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drawings/drawing8.xml" ContentType="application/vnd.openxmlformats-officedocument.drawing+xml"/>
  <Override PartName="/xl/queryTables/queryTable6.xml" ContentType="application/vnd.openxmlformats-officedocument.spreadsheetml.queryTable+xml"/>
  <Override PartName="/xl/queryTables/queryTable7.xml" ContentType="application/vnd.openxmlformats-officedocument.spreadsheetml.queryTab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9.xml" ContentType="application/vnd.openxmlformats-officedocument.drawing+xml"/>
  <Override PartName="/xl/queryTables/queryTable8.xml" ContentType="application/vnd.openxmlformats-officedocument.spreadsheetml.queryTable+xml"/>
  <Override PartName="/xl/queryTables/queryTable9.xml" ContentType="application/vnd.openxmlformats-officedocument.spreadsheetml.queryTab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drawings/drawing10.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queryTables/queryTable13.xml" ContentType="application/vnd.openxmlformats-officedocument.spreadsheetml.queryTable+xml"/>
  <Override PartName="/xl/drawings/drawing11.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2.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3.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4.xml" ContentType="application/vnd.openxmlformats-officedocument.drawing+xml"/>
  <Override PartName="/xl/drawings/drawing15.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6.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7.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queryTables/queryTable14.xml" ContentType="application/vnd.openxmlformats-officedocument.spreadsheetml.queryTable+xml"/>
  <Override PartName="/xl/queryTables/queryTable15.xml" ContentType="application/vnd.openxmlformats-officedocument.spreadsheetml.queryTable+xml"/>
  <Override PartName="/xl/drawings/drawing21.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22.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3.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4.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25.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26.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drawings/drawing27.xml" ContentType="application/vnd.openxmlformats-officedocument.drawing+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28.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30.xml" ContentType="application/vnd.openxmlformats-officedocument.drawing+xml"/>
  <Override PartName="/xl/queryTables/queryTable20.xml" ContentType="application/vnd.openxmlformats-officedocument.spreadsheetml.queryTable+xml"/>
  <Override PartName="/xl/queryTables/queryTable21.xml" ContentType="application/vnd.openxmlformats-officedocument.spreadsheetml.queryTable+xml"/>
  <Override PartName="/xl/drawings/drawing31.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queryTables/queryTable22.xml" ContentType="application/vnd.openxmlformats-officedocument.spreadsheetml.queryTable+xml"/>
  <Override PartName="/xl/queryTables/queryTable23.xml" ContentType="application/vnd.openxmlformats-officedocument.spreadsheetml.queryTable+xml"/>
  <Override PartName="/xl/drawings/drawing32.xml" ContentType="application/vnd.openxmlformats-officedocument.drawing+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drawings/drawing33.xml" ContentType="application/vnd.openxmlformats-officedocument.drawing+xml"/>
  <Override PartName="/xl/queryTables/queryTable24.xml" ContentType="application/vnd.openxmlformats-officedocument.spreadsheetml.queryTable+xml"/>
  <Override PartName="/xl/queryTables/queryTable25.xml" ContentType="application/vnd.openxmlformats-officedocument.spreadsheetml.queryTable+xml"/>
  <Override PartName="/xl/drawings/drawing34.xml" ContentType="application/vnd.openxmlformats-officedocument.drawing+xml"/>
  <Override PartName="/xl/queryTables/queryTable26.xml" ContentType="application/vnd.openxmlformats-officedocument.spreadsheetml.queryTable+xml"/>
  <Override PartName="/xl/queryTables/queryTable27.xml" ContentType="application/vnd.openxmlformats-officedocument.spreadsheetml.queryTab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35.xml" ContentType="application/vnd.openxmlformats-officedocument.drawing+xml"/>
  <Override PartName="/xl/queryTables/queryTable28.xml" ContentType="application/vnd.openxmlformats-officedocument.spreadsheetml.queryTable+xml"/>
  <Override PartName="/xl/queryTables/queryTable29.xml" ContentType="application/vnd.openxmlformats-officedocument.spreadsheetml.queryTable+xml"/>
  <Override PartName="/xl/comments2.xml" ContentType="application/vnd.openxmlformats-officedocument.spreadsheetml.comments+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drawings/drawing36.xml" ContentType="application/vnd.openxmlformats-officedocument.drawing+xml"/>
  <Override PartName="/xl/queryTables/queryTable30.xml" ContentType="application/vnd.openxmlformats-officedocument.spreadsheetml.queryTable+xml"/>
  <Override PartName="/xl/drawings/drawing37.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38.xml" ContentType="application/vnd.openxmlformats-officedocument.drawing+xml"/>
  <Override PartName="/xl/drawings/drawing39.xml" ContentType="application/vnd.openxmlformats-officedocument.drawing+xml"/>
  <Override PartName="/xl/queryTables/queryTable33.xml" ContentType="application/vnd.openxmlformats-officedocument.spreadsheetml.queryTable+xml"/>
  <Override PartName="/xl/queryTables/queryTable34.xml" ContentType="application/vnd.openxmlformats-officedocument.spreadsheetml.queryTab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queryTables/queryTable35.xml" ContentType="application/vnd.openxmlformats-officedocument.spreadsheetml.queryTable+xml"/>
  <Override PartName="/xl/queryTables/queryTable36.xml" ContentType="application/vnd.openxmlformats-officedocument.spreadsheetml.queryTable+xml"/>
  <Override PartName="/xl/drawings/drawing40.xml" ContentType="application/vnd.openxmlformats-officedocument.drawing+xml"/>
  <Override PartName="/xl/queryTables/queryTable37.xml" ContentType="application/vnd.openxmlformats-officedocument.spreadsheetml.queryTable+xml"/>
  <Override PartName="/xl/queryTables/queryTable38.xml" ContentType="application/vnd.openxmlformats-officedocument.spreadsheetml.queryTable+xml"/>
  <Override PartName="/xl/comments3.xml" ContentType="application/vnd.openxmlformats-officedocument.spreadsheetml.comments+xml"/>
  <Override PartName="/xl/queryTables/queryTable39.xml" ContentType="application/vnd.openxmlformats-officedocument.spreadsheetml.queryTable+xml"/>
  <Override PartName="/xl/tables/table1.xml" ContentType="application/vnd.openxmlformats-officedocument.spreadsheetml.table+xml"/>
  <Override PartName="/xl/queryTables/queryTable40.xml" ContentType="application/vnd.openxmlformats-officedocument.spreadsheetml.queryTable+xml"/>
  <Override PartName="/xl/drawings/drawing41.xml" ContentType="application/vnd.openxmlformats-officedocument.drawing+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drawings/drawing42.xml" ContentType="application/vnd.openxmlformats-officedocument.drawing+xml"/>
  <Override PartName="/xl/queryTables/queryTable41.xml" ContentType="application/vnd.openxmlformats-officedocument.spreadsheetml.queryTable+xml"/>
  <Override PartName="/xl/queryTables/queryTable42.xml" ContentType="application/vnd.openxmlformats-officedocument.spreadsheetml.queryTab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drawings/drawing43.xml" ContentType="application/vnd.openxmlformats-officedocument.drawing+xml"/>
  <Override PartName="/xl/queryTables/queryTable43.xml" ContentType="application/vnd.openxmlformats-officedocument.spreadsheetml.queryTable+xml"/>
  <Override PartName="/xl/queryTables/queryTable44.xml" ContentType="application/vnd.openxmlformats-officedocument.spreadsheetml.queryTable+xml"/>
  <Override PartName="/xl/comments4.xml" ContentType="application/vnd.openxmlformats-officedocument.spreadsheetml.comments+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drawings/drawing44.xml" ContentType="application/vnd.openxmlformats-officedocument.drawing+xml"/>
  <Override PartName="/xl/drawings/drawing45.xml" ContentType="application/vnd.openxmlformats-officedocument.drawing+xml"/>
  <Override PartName="/xl/queryTables/queryTable45.xml" ContentType="application/vnd.openxmlformats-officedocument.spreadsheetml.queryTable+xml"/>
  <Override PartName="/xl/queryTables/queryTable46.xml" ContentType="application/vnd.openxmlformats-officedocument.spreadsheetml.queryTab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queryTables/queryTable47.xml" ContentType="application/vnd.openxmlformats-officedocument.spreadsheetml.queryTable+xml"/>
  <Override PartName="/xl/queryTables/queryTable48.xml" ContentType="application/vnd.openxmlformats-officedocument.spreadsheetml.queryTable+xml"/>
  <Override PartName="/xl/drawings/drawing46.xml" ContentType="application/vnd.openxmlformats-officedocument.drawing+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drawings/drawing47.xml" ContentType="application/vnd.openxmlformats-officedocument.drawing+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drawings/drawing48.xml" ContentType="application/vnd.openxmlformats-officedocument.drawing+xml"/>
  <Override PartName="/xl/queryTables/queryTable49.xml" ContentType="application/vnd.openxmlformats-officedocument.spreadsheetml.queryTable+xml"/>
  <Override PartName="/xl/queryTables/queryTable50.xml" ContentType="application/vnd.openxmlformats-officedocument.spreadsheetml.queryTable+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queryTables/queryTable51.xml" ContentType="application/vnd.openxmlformats-officedocument.spreadsheetml.queryTable+xml"/>
  <Override PartName="/xl/queryTables/queryTable52.xml" ContentType="application/vnd.openxmlformats-officedocument.spreadsheetml.queryTable+xml"/>
  <Override PartName="/xl/drawings/drawing49.xml" ContentType="application/vnd.openxmlformats-officedocument.drawing+xml"/>
  <Override PartName="/xl/queryTables/queryTable53.xml" ContentType="application/vnd.openxmlformats-officedocument.spreadsheetml.queryTable+xml"/>
  <Override PartName="/xl/queryTables/queryTable54.xml" ContentType="application/vnd.openxmlformats-officedocument.spreadsheetml.queryTab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50.xml" ContentType="application/vnd.openxmlformats-officedocument.drawing+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51.xml" ContentType="application/vnd.openxmlformats-officedocument.drawing+xml"/>
  <Override PartName="/xl/queryTables/queryTable55.xml" ContentType="application/vnd.openxmlformats-officedocument.spreadsheetml.queryTable+xml"/>
  <Override PartName="/xl/queryTables/queryTable56.xml" ContentType="application/vnd.openxmlformats-officedocument.spreadsheetml.queryTable+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drawings/drawing52.xml" ContentType="application/vnd.openxmlformats-officedocument.drawing+xml"/>
  <Override PartName="/xl/queryTables/queryTable57.xml" ContentType="application/vnd.openxmlformats-officedocument.spreadsheetml.queryTable+xml"/>
  <Override PartName="/xl/queryTables/queryTable58.xml" ContentType="application/vnd.openxmlformats-officedocument.spreadsheetml.queryTable+xml"/>
  <Override PartName="/xl/drawings/drawing53.xml" ContentType="application/vnd.openxmlformats-officedocument.drawing+xml"/>
  <Override PartName="/xl/queryTables/queryTable59.xml" ContentType="application/vnd.openxmlformats-officedocument.spreadsheetml.queryTable+xml"/>
  <Override PartName="/xl/queryTables/queryTable60.xml" ContentType="application/vnd.openxmlformats-officedocument.spreadsheetml.queryTable+xml"/>
  <Override PartName="/xl/drawings/drawing54.xml" ContentType="application/vnd.openxmlformats-officedocument.drawing+xml"/>
  <Override PartName="/xl/queryTables/queryTable61.xml" ContentType="application/vnd.openxmlformats-officedocument.spreadsheetml.queryTable+xml"/>
  <Override PartName="/xl/queryTables/queryTable62.xml" ContentType="application/vnd.openxmlformats-officedocument.spreadsheetml.queryTable+xml"/>
  <Override PartName="/xl/drawings/drawing55.xml" ContentType="application/vnd.openxmlformats-officedocument.drawing+xml"/>
  <Override PartName="/xl/queryTables/queryTable63.xml" ContentType="application/vnd.openxmlformats-officedocument.spreadsheetml.queryTable+xml"/>
  <Override PartName="/xl/queryTables/queryTable64.xml" ContentType="application/vnd.openxmlformats-officedocument.spreadsheetml.queryTab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activeTab="36"/>
  </bookViews>
  <sheets>
    <sheet name="ACTIVE" sheetId="35" r:id="rId1"/>
    <sheet name="Balance" sheetId="38" r:id="rId2"/>
    <sheet name="CLOSED" sheetId="1" r:id="rId3"/>
    <sheet name="BIIB" sheetId="33" state="hidden" r:id="rId4"/>
    <sheet name="MYL" sheetId="56" r:id="rId5"/>
    <sheet name="SIG" sheetId="57" state="hidden" r:id="rId6"/>
    <sheet name="ABC" sheetId="107" state="hidden" r:id="rId7"/>
    <sheet name="NVR" sheetId="106" state="hidden" r:id="rId8"/>
    <sheet name="AAPL" sheetId="55" state="hidden" r:id="rId9"/>
    <sheet name="AXP" sheetId="60" state="hidden" r:id="rId10"/>
    <sheet name="DG" sheetId="64" state="hidden" r:id="rId11"/>
    <sheet name="PINC" sheetId="65" state="hidden" r:id="rId12"/>
    <sheet name="FOXA" sheetId="66" state="hidden" r:id="rId13"/>
    <sheet name="AOBC" sheetId="70" state="hidden" r:id="rId14"/>
    <sheet name="LUV" sheetId="62" state="hidden" r:id="rId15"/>
    <sheet name="CCEP" sheetId="73" state="hidden" r:id="rId16"/>
    <sheet name="BMY" sheetId="71" state="hidden" r:id="rId17"/>
    <sheet name="TIF" sheetId="118" state="hidden" r:id="rId18"/>
    <sheet name="DWDP" sheetId="109" state="hidden" r:id="rId19"/>
    <sheet name="GPS" sheetId="80" state="hidden" r:id="rId20"/>
    <sheet name="AKAM" sheetId="63" state="hidden" r:id="rId21"/>
    <sheet name="ARNC" sheetId="76" state="hidden" r:id="rId22"/>
    <sheet name="IEMG" sheetId="105" state="hidden" r:id="rId23"/>
    <sheet name="CVS" sheetId="69" state="hidden" r:id="rId24"/>
    <sheet name="ADBE" sheetId="85" state="hidden" r:id="rId25"/>
    <sheet name="FDX" sheetId="112" state="hidden" r:id="rId26"/>
    <sheet name="PPC" sheetId="113" state="hidden" r:id="rId27"/>
    <sheet name="SKX" sheetId="115" state="hidden" r:id="rId28"/>
    <sheet name="DOW" sheetId="128" state="hidden" r:id="rId29"/>
    <sheet name="XLB" sheetId="110" r:id="rId30"/>
    <sheet name="EOG" sheetId="117" state="hidden" r:id="rId31"/>
    <sheet name="TCEHY" sheetId="111" state="hidden" r:id="rId32"/>
    <sheet name="CCL" sheetId="126" state="hidden" r:id="rId33"/>
    <sheet name="DVN" sheetId="116" state="hidden" r:id="rId34"/>
    <sheet name="ET" sheetId="124" state="hidden" r:id="rId35"/>
    <sheet name="KWEB" sheetId="125" state="hidden" r:id="rId36"/>
    <sheet name="MRO" sheetId="25" r:id="rId37"/>
    <sheet name="GE" sheetId="86" state="hidden" r:id="rId38"/>
    <sheet name="XRAY" sheetId="103" state="hidden" r:id="rId39"/>
    <sheet name="ATVI" sheetId="127" state="hidden" r:id="rId40"/>
    <sheet name="CRI" sheetId="114" state="hidden" r:id="rId41"/>
    <sheet name="AOS" sheetId="121" state="hidden" r:id="rId42"/>
    <sheet name="IWM" sheetId="123" state="hidden" r:id="rId43"/>
    <sheet name="PXD" sheetId="119" state="hidden" r:id="rId44"/>
    <sheet name="IPGP" sheetId="120" state="hidden" r:id="rId45"/>
    <sheet name="SLCA" sheetId="122" state="hidden" r:id="rId46"/>
    <sheet name="XLP" sheetId="104" state="hidden" r:id="rId47"/>
    <sheet name="KR" sheetId="51" state="hidden" r:id="rId48"/>
    <sheet name="F" sheetId="54" state="hidden" r:id="rId49"/>
    <sheet name="JNJ" sheetId="68" state="hidden" r:id="rId50"/>
    <sheet name="ULTA" sheetId="81" state="hidden" r:id="rId51"/>
    <sheet name="FRC" sheetId="89" state="hidden" r:id="rId52"/>
    <sheet name="AAP" sheetId="77" state="hidden" r:id="rId53"/>
    <sheet name="CMCSA" sheetId="99" state="hidden" r:id="rId54"/>
    <sheet name="XEC" sheetId="100" state="hidden" r:id="rId55"/>
    <sheet name="WRK" sheetId="108" state="hidden" r:id="rId56"/>
    <sheet name="MO" sheetId="102" r:id="rId57"/>
    <sheet name="T" sheetId="93" state="hidden" r:id="rId58"/>
    <sheet name="COST" sheetId="78" state="hidden" r:id="rId59"/>
    <sheet name="CPN" sheetId="7" state="hidden" r:id="rId60"/>
    <sheet name="EW" sheetId="72" state="hidden" r:id="rId61"/>
    <sheet name="TJX" sheetId="79" state="hidden" r:id="rId62"/>
    <sheet name="QQQ" sheetId="101" state="hidden" r:id="rId63"/>
    <sheet name="WBA" sheetId="84" state="hidden" r:id="rId64"/>
    <sheet name="AZO" sheetId="83" state="hidden" r:id="rId65"/>
    <sheet name="FL" sheetId="98" r:id="rId66"/>
    <sheet name="MLM" sheetId="97" r:id="rId67"/>
    <sheet name="KHC" sheetId="96" state="hidden" r:id="rId68"/>
    <sheet name="KBWY" sheetId="94" state="hidden" r:id="rId69"/>
    <sheet name="AYI" sheetId="92" state="hidden" r:id="rId70"/>
    <sheet name="DIA" sheetId="91" state="hidden" r:id="rId71"/>
    <sheet name="ICE" sheetId="95" state="hidden" r:id="rId72"/>
    <sheet name="NKE" sheetId="50" state="hidden" r:id="rId73"/>
    <sheet name="MOS" sheetId="58" state="hidden" r:id="rId74"/>
    <sheet name="VGK" sheetId="59" state="hidden" r:id="rId75"/>
    <sheet name="CMG" sheetId="87" state="hidden" r:id="rId76"/>
    <sheet name="HAS" sheetId="90" state="hidden" r:id="rId77"/>
    <sheet name="HSIC" sheetId="82" state="hidden" r:id="rId78"/>
    <sheet name="PDCO" sheetId="88" r:id="rId79"/>
    <sheet name="MU" sheetId="17" state="hidden" r:id="rId80"/>
    <sheet name="IP" sheetId="44" state="hidden" r:id="rId81"/>
    <sheet name="INTC" sheetId="13" state="hidden" r:id="rId82"/>
    <sheet name="HES" sheetId="10" state="hidden" r:id="rId83"/>
    <sheet name="UNP" sheetId="20" state="hidden" r:id="rId84"/>
    <sheet name="NCLH" sheetId="67" state="hidden" r:id="rId85"/>
    <sheet name="SPY" sheetId="47" state="hidden" r:id="rId86"/>
    <sheet name="SWKS" sheetId="41" state="hidden" r:id="rId87"/>
    <sheet name="CNI" sheetId="42" state="hidden" r:id="rId88"/>
    <sheet name="WFC" sheetId="45" state="hidden" r:id="rId89"/>
    <sheet name="AA" sheetId="3" state="hidden" r:id="rId90"/>
    <sheet name="CF" sheetId="61" state="hidden" r:id="rId91"/>
    <sheet name="TGT" sheetId="75" state="hidden" r:id="rId92"/>
    <sheet name="NWL" sheetId="46" state="hidden" r:id="rId93"/>
    <sheet name="CPRI" sheetId="16" state="hidden" r:id="rId94"/>
    <sheet name="ALL" sheetId="22" state="hidden" r:id="rId95"/>
    <sheet name="NSC" sheetId="24" state="hidden" r:id="rId96"/>
    <sheet name="AVGO" sheetId="15" state="hidden" r:id="rId97"/>
    <sheet name="UAL" sheetId="52" state="hidden" r:id="rId98"/>
    <sheet name="CAH" sheetId="53" state="hidden" r:id="rId99"/>
    <sheet name="DAL" sheetId="49" state="hidden" r:id="rId100"/>
    <sheet name="TEVA" sheetId="74" r:id="rId101"/>
    <sheet name="DIS" sheetId="34" state="hidden" r:id="rId102"/>
    <sheet name="FTR" sheetId="40" state="hidden" r:id="rId103"/>
    <sheet name="GILD" sheetId="31" r:id="rId104"/>
    <sheet name="WWD" sheetId="28" state="hidden" r:id="rId105"/>
    <sheet name="GIS" sheetId="43" state="hidden" r:id="rId106"/>
    <sheet name="GM" sheetId="29" state="hidden" r:id="rId107"/>
    <sheet name="TMO" sheetId="48" state="hidden" r:id="rId108"/>
    <sheet name="TKR" sheetId="32" state="hidden" r:id="rId109"/>
    <sheet name="UTX" sheetId="30" state="hidden" r:id="rId110"/>
    <sheet name="UNH" sheetId="26" state="hidden" r:id="rId111"/>
  </sheets>
  <functionGroups builtInGroupCount="18"/>
  <definedNames>
    <definedName name="_xlnm._FilterDatabase" localSheetId="0" hidden="1">ACTIVE!$E$1:$M$26</definedName>
    <definedName name="hp?s_AA_Historical_Prices_1" localSheetId="89">AA!$W$1:$AC$68</definedName>
    <definedName name="hp?s_AAPL" localSheetId="8">AAPL!#REF!</definedName>
    <definedName name="hp?s_AKAM_Historical_Prices" localSheetId="16">BMY!$W$1:$AC$70</definedName>
    <definedName name="hp?s_ALL_Historical_Prices" localSheetId="94">ALL!$X$1:$AD$69</definedName>
    <definedName name="hp?s_AVGO" localSheetId="96">AVGO!$W$1:$AC$69</definedName>
    <definedName name="hp?s_AXP_Historical_Prices" localSheetId="9">AXP!$W$1:$AC$70</definedName>
    <definedName name="hp?s_BIIB" localSheetId="3">BIIB!#REF!</definedName>
    <definedName name="hp?s_CAH" localSheetId="98">CAH!#REF!</definedName>
    <definedName name="hp?s_cce" localSheetId="15">CCEP!#REF!</definedName>
    <definedName name="hp?s_CNI" localSheetId="87">CNI!$W$1:$AC$69</definedName>
    <definedName name="hp?s_CPN_Historical_Prices" localSheetId="59">CPN!$W$1:$AC$68</definedName>
    <definedName name="hp?s_DIS" localSheetId="15">CCEP!#REF!</definedName>
    <definedName name="hp?s_DIS" localSheetId="101">DIS!$W$1:$AC$68</definedName>
    <definedName name="hp?s_DIS" localSheetId="102">FTR!#REF!</definedName>
    <definedName name="hp?s_ew_Historical_Prices" localSheetId="60">EW!$W$1:$AC$68</definedName>
    <definedName name="hp?s_foxa" localSheetId="12">FOXA!$W$1:$AC$69</definedName>
    <definedName name="hp?s_GILD" localSheetId="103">GILD!#REF!</definedName>
    <definedName name="hp?s_GIS" localSheetId="105">GIS!#REF!</definedName>
    <definedName name="hp?s_GM" localSheetId="106">GM!$W$1:$AC$69</definedName>
    <definedName name="hp?s_HES" localSheetId="82">HES!$W$1:$AC$69</definedName>
    <definedName name="hp?s_INTC_Historical_Prices" localSheetId="81">INTC!$W$1:$AC$69</definedName>
    <definedName name="hp?s_IP" localSheetId="80">IP!$W$1:$AC$69</definedName>
    <definedName name="hp?s_KORS" localSheetId="93">CPRI!$W$1:$AC$68</definedName>
    <definedName name="hp?s_MYL" localSheetId="4">MYL!$W$1:$AC$68</definedName>
    <definedName name="hp?s_nclh" localSheetId="84">NCLH!$W$1:$AC$68</definedName>
    <definedName name="hp?s_nke" localSheetId="72">NKE!$W$1:$AC$69</definedName>
    <definedName name="hp?s_NWL" localSheetId="92">NWL!#REF!</definedName>
    <definedName name="hp?s_pinc" localSheetId="11">PINC!$W$1:$AC$68</definedName>
    <definedName name="hp?s_SWKS" localSheetId="86">SWKS!$W$1:$AC$69</definedName>
    <definedName name="hp?s_TKR" localSheetId="108">TKR!$W$1:$AC$69</definedName>
    <definedName name="hp?s_tmo" localSheetId="107">TMO!$W$1:$AC$69</definedName>
    <definedName name="hp?s_ual" localSheetId="97">UAL!$W$1:$AC$68</definedName>
    <definedName name="hp?s_UNH" localSheetId="110">UNH!$W$1:$AC$69</definedName>
    <definedName name="hp?s_UTX" localSheetId="109">UTX!$W$1:$AC$69</definedName>
    <definedName name="hp?s_vgk" localSheetId="74">VGK!$W$1:$AC$69</definedName>
    <definedName name="hp?s_WFC" localSheetId="88">WFC!#REF!</definedName>
    <definedName name="hp?s_WWD" localSheetId="104">WWD!$W$1:$AC$69</definedName>
    <definedName name="PL" localSheetId="89">AA!$Q$7</definedName>
    <definedName name="PL" localSheetId="52">#REF!</definedName>
    <definedName name="PL" localSheetId="6">#REF!</definedName>
    <definedName name="PL" localSheetId="24">#REF!</definedName>
    <definedName name="PL" localSheetId="20">#REF!</definedName>
    <definedName name="PL" localSheetId="13">#REF!</definedName>
    <definedName name="PL" localSheetId="41">#REF!</definedName>
    <definedName name="PL" localSheetId="21">#REF!</definedName>
    <definedName name="PL" localSheetId="39">#REF!</definedName>
    <definedName name="PL" localSheetId="9">#REF!</definedName>
    <definedName name="PL" localSheetId="69">#REF!</definedName>
    <definedName name="PL" localSheetId="64">#REF!</definedName>
    <definedName name="PL" localSheetId="16">#REF!</definedName>
    <definedName name="PL" localSheetId="98">#REF!</definedName>
    <definedName name="PL" localSheetId="32">#REF!</definedName>
    <definedName name="PL" localSheetId="90">#REF!</definedName>
    <definedName name="PL" localSheetId="53">#REF!</definedName>
    <definedName name="PL" localSheetId="75">#REF!</definedName>
    <definedName name="PL" localSheetId="58">#REF!</definedName>
    <definedName name="PL" localSheetId="40">#REF!</definedName>
    <definedName name="PL" localSheetId="23">#REF!</definedName>
    <definedName name="PL" localSheetId="10">#REF!</definedName>
    <definedName name="PL" localSheetId="70">#REF!</definedName>
    <definedName name="PL" localSheetId="28">#REF!</definedName>
    <definedName name="PL" localSheetId="33">#REF!</definedName>
    <definedName name="PL" localSheetId="18">#REF!</definedName>
    <definedName name="PL" localSheetId="30">#REF!</definedName>
    <definedName name="PL" localSheetId="34">#REF!</definedName>
    <definedName name="PL" localSheetId="60">#REF!</definedName>
    <definedName name="PL" localSheetId="48">#REF!</definedName>
    <definedName name="PL" localSheetId="25">#REF!</definedName>
    <definedName name="PL" localSheetId="65">#REF!</definedName>
    <definedName name="PL" localSheetId="12">#REF!</definedName>
    <definedName name="PL" localSheetId="51">#REF!</definedName>
    <definedName name="PL" localSheetId="37">#REF!</definedName>
    <definedName name="PL" localSheetId="19">#REF!</definedName>
    <definedName name="PL" localSheetId="76">#REF!</definedName>
    <definedName name="PL" localSheetId="77">#REF!</definedName>
    <definedName name="PL" localSheetId="71">#REF!</definedName>
    <definedName name="PL" localSheetId="22">#REF!</definedName>
    <definedName name="PL" localSheetId="44">#REF!</definedName>
    <definedName name="PL" localSheetId="42">#REF!</definedName>
    <definedName name="PL" localSheetId="49">#REF!</definedName>
    <definedName name="PL" localSheetId="68">#REF!</definedName>
    <definedName name="PL" localSheetId="67">#REF!</definedName>
    <definedName name="PL" localSheetId="47">#REF!</definedName>
    <definedName name="PL" localSheetId="35">#REF!</definedName>
    <definedName name="PL" localSheetId="14">#REF!</definedName>
    <definedName name="PL" localSheetId="66">#REF!</definedName>
    <definedName name="PL" localSheetId="56">#REF!</definedName>
    <definedName name="PL" localSheetId="73">#REF!</definedName>
    <definedName name="PL" localSheetId="4">#REF!</definedName>
    <definedName name="PL" localSheetId="84">NCLH!$Q$7</definedName>
    <definedName name="PL" localSheetId="72">#REF!</definedName>
    <definedName name="PL" localSheetId="7">#REF!</definedName>
    <definedName name="PL" localSheetId="78">#REF!</definedName>
    <definedName name="PL" localSheetId="11">PINC!$Q$7</definedName>
    <definedName name="PL" localSheetId="26">#REF!</definedName>
    <definedName name="PL" localSheetId="43">#REF!</definedName>
    <definedName name="PL" localSheetId="62">#REF!</definedName>
    <definedName name="PL" localSheetId="27">#REF!</definedName>
    <definedName name="PL" localSheetId="45">#REF!</definedName>
    <definedName name="PL" localSheetId="85">SPY!$Q$7</definedName>
    <definedName name="PL" localSheetId="86">SWKS!$Q$7</definedName>
    <definedName name="PL" localSheetId="57">#REF!</definedName>
    <definedName name="PL" localSheetId="31">#REF!</definedName>
    <definedName name="PL" localSheetId="91">#REF!</definedName>
    <definedName name="PL" localSheetId="17">#REF!</definedName>
    <definedName name="PL" localSheetId="61">#REF!</definedName>
    <definedName name="PL" localSheetId="97">#REF!</definedName>
    <definedName name="PL" localSheetId="50">#REF!</definedName>
    <definedName name="PL" localSheetId="74">#REF!</definedName>
    <definedName name="PL" localSheetId="63">#REF!</definedName>
    <definedName name="PL" localSheetId="88">WFC!$Q$7</definedName>
    <definedName name="PL" localSheetId="55">#REF!</definedName>
    <definedName name="PL" localSheetId="54">#REF!</definedName>
    <definedName name="PL" localSheetId="29">#REF!</definedName>
    <definedName name="PL" localSheetId="46">#REF!</definedName>
    <definedName name="PL" localSheetId="38">#REF!</definedName>
    <definedName name="q?s_aa_ql_1" localSheetId="89">AA!$T$40:$U$55</definedName>
    <definedName name="q?s_AKAM" localSheetId="20">AKAM!$T$43:$U$58</definedName>
    <definedName name="q?s_ALL" localSheetId="94">ALL!$T$40:$U$55</definedName>
    <definedName name="q?s_AVGO" localSheetId="96">AVGO!$T$42:$U$57</definedName>
    <definedName name="q?s_AXP" localSheetId="9">AXP!$T$43:$U$58</definedName>
    <definedName name="q?s_BMY_1" localSheetId="16">BMY!$T$43:$U$58</definedName>
    <definedName name="q?s_cce" localSheetId="15">CCEP!$T$43:$U$58</definedName>
    <definedName name="q?s_CF" localSheetId="90">CF!$T$56:$U$71</definedName>
    <definedName name="q?s_CNI" localSheetId="87">CNI!$T$43:$U$58</definedName>
    <definedName name="q?s_CPN" localSheetId="59">CPN!$T$43:$U$58</definedName>
    <definedName name="q?s_dg" localSheetId="10">DG!$T$43:$U$58</definedName>
    <definedName name="q?s_DIS" localSheetId="101">DIS!$T$43:$U$58</definedName>
    <definedName name="q?s_ew" localSheetId="60">EW!$T$43:$U$58</definedName>
    <definedName name="q?s_F" localSheetId="48">F!$T$43:$U$58</definedName>
    <definedName name="q?s_foxa" localSheetId="12">FOXA!$T$43:$U$58</definedName>
    <definedName name="q?s_FTR" localSheetId="102">FTR!$T$43:$U$58</definedName>
    <definedName name="q?s_GILD" localSheetId="103">GILD!$T$43:$U$58</definedName>
    <definedName name="q?s_GM" localSheetId="106">GM!$T$43:$U$58</definedName>
    <definedName name="q?s_HES" localSheetId="82">HES!$T$43:$U$58</definedName>
    <definedName name="q?s_INTC" localSheetId="81">INTC!$T$43:$U$58</definedName>
    <definedName name="q?s_IP" localSheetId="80">IP!$T$43:$U$58</definedName>
    <definedName name="q?s_JNJ" localSheetId="49">JNJ!$T$43:$U$58</definedName>
    <definedName name="q?s_KORS" localSheetId="93">CPRI!$T$43:$U$58</definedName>
    <definedName name="q?s_MU" localSheetId="79">MU!#REF!</definedName>
    <definedName name="q?s_MYL" localSheetId="4">MYL!$T$43:$U$58</definedName>
    <definedName name="q?s_nclh" localSheetId="84">NCLH!$T$40:$U$55</definedName>
    <definedName name="q?s_NKE" localSheetId="72">NKE!$T$43:$U$58</definedName>
    <definedName name="q?s_NSC" localSheetId="83">UNP!$T$43:$U$58</definedName>
    <definedName name="q?s_pinc" localSheetId="11">PINC!$T$40:$U$55</definedName>
    <definedName name="q?s_SIG" localSheetId="5">SIG!#REF!</definedName>
    <definedName name="q?s_SWKS" localSheetId="86">SWKS!$T$40:$U$55</definedName>
    <definedName name="q?s_tgt" localSheetId="91">TGT!$T$43:$U$58</definedName>
    <definedName name="q?s_TKR" localSheetId="108">TKR!$T$43:$U$58</definedName>
    <definedName name="q?s_tmo" localSheetId="107">TMO!$T$43:$U$58</definedName>
    <definedName name="q?s_UAL" localSheetId="97">UAL!$T$43:$U$58</definedName>
    <definedName name="q?s_UNH" localSheetId="110">UNH!$T$43:$U$58</definedName>
    <definedName name="q?s_UTX" localSheetId="109">UTX!$T$43:$U$58</definedName>
    <definedName name="q?s_vgk" localSheetId="74">VGK!$T$43:$U$56</definedName>
    <definedName name="q?s_WWD" localSheetId="104">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Q5" i="128" l="1"/>
  <c r="K18" i="107"/>
  <c r="H18" i="107"/>
  <c r="H18" i="105" l="1"/>
  <c r="A870" i="38"/>
  <c r="D870" i="38"/>
  <c r="E870" i="38"/>
  <c r="G870" i="38"/>
  <c r="H870" i="38"/>
  <c r="K870" i="38"/>
  <c r="L870" i="38" s="1"/>
  <c r="P870" i="38" s="1"/>
  <c r="M870" i="38"/>
  <c r="N870" i="38" s="1"/>
  <c r="S870" i="38"/>
  <c r="F363" i="25"/>
  <c r="H363" i="25"/>
  <c r="G363" i="25"/>
  <c r="K99" i="25"/>
  <c r="O870" i="38" l="1"/>
  <c r="Z870" i="38"/>
  <c r="U870" i="38"/>
  <c r="A869" i="38"/>
  <c r="D869" i="38"/>
  <c r="E869" i="38"/>
  <c r="G869" i="38"/>
  <c r="H869" i="38"/>
  <c r="K869" i="38"/>
  <c r="L869" i="38" s="1"/>
  <c r="P869" i="38" s="1"/>
  <c r="M869" i="38"/>
  <c r="N869" i="38" s="1"/>
  <c r="S869" i="38"/>
  <c r="O869" i="38" l="1"/>
  <c r="U869" i="38"/>
  <c r="Z869" i="38"/>
  <c r="A868" i="38"/>
  <c r="D868" i="38"/>
  <c r="E868" i="38"/>
  <c r="G868" i="38"/>
  <c r="H868" i="38"/>
  <c r="K868" i="38"/>
  <c r="L868" i="38"/>
  <c r="M868" i="38"/>
  <c r="N868" i="38" s="1"/>
  <c r="S868" i="38"/>
  <c r="F2" i="128"/>
  <c r="F18" i="128" s="1"/>
  <c r="F362" i="25"/>
  <c r="G362" i="25"/>
  <c r="H362"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P24" i="128"/>
  <c r="P23" i="128"/>
  <c r="P22" i="128"/>
  <c r="P21" i="128"/>
  <c r="P20" i="128"/>
  <c r="P19" i="128"/>
  <c r="M18" i="128"/>
  <c r="K18" i="128"/>
  <c r="H18" i="128"/>
  <c r="C18" i="128"/>
  <c r="Q2" i="128" s="1"/>
  <c r="A867" i="38"/>
  <c r="D867" i="38"/>
  <c r="E867" i="38"/>
  <c r="G867" i="38"/>
  <c r="H867" i="38"/>
  <c r="K867" i="38"/>
  <c r="L867" i="38" s="1"/>
  <c r="M867" i="38"/>
  <c r="N867" i="38" s="1"/>
  <c r="S867" i="38"/>
  <c r="K19" i="128"/>
  <c r="C19" i="128"/>
  <c r="K85" i="128"/>
  <c r="F85" i="128"/>
  <c r="H19" i="128"/>
  <c r="C85" i="128"/>
  <c r="F19" i="128"/>
  <c r="M85" i="128"/>
  <c r="H85" i="128"/>
  <c r="M19" i="128"/>
  <c r="O868" i="38" l="1"/>
  <c r="P868" i="38"/>
  <c r="M66" i="128"/>
  <c r="Q10" i="128" s="1"/>
  <c r="P867" i="38"/>
  <c r="Z868" i="38"/>
  <c r="U868" i="38"/>
  <c r="Q8" i="128"/>
  <c r="Q7" i="128" s="1"/>
  <c r="Q3" i="128"/>
  <c r="Q6" i="128" s="1"/>
  <c r="O867" i="38"/>
  <c r="Z867" i="38"/>
  <c r="U867" i="38"/>
  <c r="F30" i="112"/>
  <c r="H30" i="112"/>
  <c r="G30" i="112"/>
  <c r="G55" i="108"/>
  <c r="F55" i="108"/>
  <c r="H55" i="108"/>
  <c r="K7" i="108"/>
  <c r="F361" i="25"/>
  <c r="G361" i="25"/>
  <c r="H361" i="25"/>
  <c r="K98" i="25"/>
  <c r="F162" i="58"/>
  <c r="G162" i="58"/>
  <c r="H162" i="58"/>
  <c r="K34" i="58"/>
  <c r="F94" i="92"/>
  <c r="G94" i="92"/>
  <c r="H94" i="92"/>
  <c r="K18" i="92"/>
  <c r="H29" i="92"/>
  <c r="A866" i="38"/>
  <c r="D866" i="38"/>
  <c r="E866" i="38"/>
  <c r="G866" i="38"/>
  <c r="H866" i="38"/>
  <c r="K866" i="38"/>
  <c r="L866" i="38" s="1"/>
  <c r="M866" i="38"/>
  <c r="U866" i="38" s="1"/>
  <c r="S866" i="38"/>
  <c r="Q9" i="128" l="1"/>
  <c r="N866" i="38"/>
  <c r="P866" i="38"/>
  <c r="A865" i="38"/>
  <c r="D865" i="38"/>
  <c r="E865" i="38"/>
  <c r="G865" i="38"/>
  <c r="H865" i="38"/>
  <c r="K865" i="38"/>
  <c r="L865" i="38" s="1"/>
  <c r="M865" i="38"/>
  <c r="N865" i="38" s="1"/>
  <c r="S865" i="38"/>
  <c r="G35" i="116"/>
  <c r="T267" i="1"/>
  <c r="O865" i="38" l="1"/>
  <c r="P865" i="38"/>
  <c r="O866" i="38"/>
  <c r="Z866" i="38"/>
  <c r="U865" i="38"/>
  <c r="Z865" i="38"/>
  <c r="F54" i="107"/>
  <c r="H54" i="107"/>
  <c r="G54" i="107"/>
  <c r="H18" i="108"/>
  <c r="A864" i="38" l="1"/>
  <c r="D864" i="38"/>
  <c r="E864" i="38"/>
  <c r="G864" i="38"/>
  <c r="H864" i="38"/>
  <c r="K864" i="38"/>
  <c r="L864" i="38" s="1"/>
  <c r="P864" i="38" s="1"/>
  <c r="M864" i="38"/>
  <c r="N864" i="38" s="1"/>
  <c r="S864" i="38"/>
  <c r="G28" i="119"/>
  <c r="H28" i="119"/>
  <c r="K2" i="119"/>
  <c r="O864" i="38" l="1"/>
  <c r="Z864" i="38"/>
  <c r="U864" i="38"/>
  <c r="C18" i="69"/>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c r="M861" i="38"/>
  <c r="N861" i="38" s="1"/>
  <c r="S861" i="38"/>
  <c r="G53" i="107"/>
  <c r="F53" i="107"/>
  <c r="H53" i="107"/>
  <c r="F9" i="107"/>
  <c r="C18" i="107"/>
  <c r="P861" i="38" l="1"/>
  <c r="O861" i="38"/>
  <c r="Z861" i="38"/>
  <c r="U861" i="38"/>
  <c r="C18" i="90"/>
  <c r="A860" i="38" l="1"/>
  <c r="D860" i="38"/>
  <c r="E860" i="38"/>
  <c r="G860" i="38"/>
  <c r="H860" i="38"/>
  <c r="K860" i="38"/>
  <c r="L860" i="38" s="1"/>
  <c r="P860" i="38" s="1"/>
  <c r="M860" i="38"/>
  <c r="N860" i="38" s="1"/>
  <c r="S860" i="38"/>
  <c r="F69" i="96"/>
  <c r="G69" i="96"/>
  <c r="H69" i="96"/>
  <c r="H360" i="25"/>
  <c r="G360" i="25"/>
  <c r="F360" i="25"/>
  <c r="F359" i="25"/>
  <c r="H359" i="25"/>
  <c r="G359" i="25"/>
  <c r="F122" i="25"/>
  <c r="F121" i="25"/>
  <c r="F118" i="46"/>
  <c r="H118" i="46"/>
  <c r="G118" i="46"/>
  <c r="F35" i="46"/>
  <c r="H28" i="82"/>
  <c r="G28" i="82"/>
  <c r="F28" i="82"/>
  <c r="F3" i="82"/>
  <c r="F93" i="92"/>
  <c r="G93" i="92"/>
  <c r="H93" i="92"/>
  <c r="F24" i="92"/>
  <c r="G161" i="58"/>
  <c r="F161" i="58"/>
  <c r="H161" i="58"/>
  <c r="F42" i="58"/>
  <c r="F61" i="105"/>
  <c r="H61" i="105"/>
  <c r="G61" i="105"/>
  <c r="F10" i="105"/>
  <c r="C18" i="105"/>
  <c r="F87" i="93"/>
  <c r="H87" i="93"/>
  <c r="G87" i="93"/>
  <c r="K14" i="93"/>
  <c r="Z860" i="38" l="1"/>
  <c r="O860" i="38"/>
  <c r="U860" i="38"/>
  <c r="F68" i="96"/>
  <c r="G68" i="96"/>
  <c r="H68" i="96"/>
  <c r="Q13" i="96"/>
  <c r="H17" i="74"/>
  <c r="F86" i="93"/>
  <c r="H86" i="93"/>
  <c r="G86" i="93"/>
  <c r="F160" i="58"/>
  <c r="H160" i="58"/>
  <c r="G160"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58" i="25"/>
  <c r="H358" i="25"/>
  <c r="G358" i="25"/>
  <c r="K97" i="25"/>
  <c r="F60" i="105"/>
  <c r="H60" i="105"/>
  <c r="G60" i="105"/>
  <c r="K7" i="105"/>
  <c r="C29" i="92"/>
  <c r="H34" i="116"/>
  <c r="G34" i="116"/>
  <c r="K6" i="116"/>
  <c r="F92" i="92"/>
  <c r="H92" i="92"/>
  <c r="G92" i="92"/>
  <c r="F23" i="92"/>
  <c r="C128"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4" i="108"/>
  <c r="F54" i="108"/>
  <c r="H54" i="108"/>
  <c r="F12" i="108"/>
  <c r="C18" i="108"/>
  <c r="P855" i="38" l="1"/>
  <c r="O855" i="38"/>
  <c r="U855" i="38"/>
  <c r="Z855" i="38"/>
  <c r="F52" i="107"/>
  <c r="H52" i="107"/>
  <c r="G52" i="107"/>
  <c r="K7" i="107"/>
  <c r="H18" i="102"/>
  <c r="F29" i="127"/>
  <c r="H29" i="127"/>
  <c r="G29" i="127"/>
  <c r="K2" i="127"/>
  <c r="F117" i="46"/>
  <c r="G117" i="46"/>
  <c r="H117" i="46"/>
  <c r="F34" i="109"/>
  <c r="H34" i="109"/>
  <c r="G34" i="109"/>
  <c r="A854" i="38" l="1"/>
  <c r="D854" i="38"/>
  <c r="E854" i="38"/>
  <c r="G854" i="38"/>
  <c r="H854" i="38"/>
  <c r="K854" i="38"/>
  <c r="L854" i="38" s="1"/>
  <c r="M854" i="38"/>
  <c r="N854" i="38" s="1"/>
  <c r="S854" i="38"/>
  <c r="O854" i="38" l="1"/>
  <c r="Z854" i="38"/>
  <c r="U854" i="38"/>
  <c r="P854" i="38"/>
  <c r="H18" i="69"/>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91" i="92"/>
  <c r="H91" i="92"/>
  <c r="G91" i="92"/>
  <c r="F33" i="116"/>
  <c r="H33" i="116"/>
  <c r="G33" i="116"/>
  <c r="F53" i="90"/>
  <c r="H53" i="90"/>
  <c r="G53" i="90"/>
  <c r="F28" i="127"/>
  <c r="G28" i="127"/>
  <c r="H28" i="127"/>
  <c r="F33" i="117"/>
  <c r="H33" i="117"/>
  <c r="G33" i="117"/>
  <c r="F29" i="112"/>
  <c r="G29" i="112"/>
  <c r="H29" i="112"/>
  <c r="F26" i="82"/>
  <c r="G26" i="82"/>
  <c r="H26" i="82"/>
  <c r="F58" i="74"/>
  <c r="G58" i="74"/>
  <c r="H58" i="74"/>
  <c r="F82" i="88"/>
  <c r="H82" i="88"/>
  <c r="G82" i="88"/>
  <c r="F116" i="46"/>
  <c r="H116" i="46"/>
  <c r="G116" i="46"/>
  <c r="F85" i="93"/>
  <c r="H85" i="93"/>
  <c r="G85" i="93"/>
  <c r="F59" i="105"/>
  <c r="H59" i="105"/>
  <c r="G59" i="105"/>
  <c r="F33" i="109"/>
  <c r="H33" i="109"/>
  <c r="G33" i="109"/>
  <c r="G62" i="102"/>
  <c r="F62" i="102"/>
  <c r="H62" i="102"/>
  <c r="G159" i="58"/>
  <c r="F159" i="58"/>
  <c r="H159"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57" i="25"/>
  <c r="G357" i="25"/>
  <c r="H357"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58" i="58"/>
  <c r="G158" i="58"/>
  <c r="H158"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3" i="108"/>
  <c r="H53" i="108"/>
  <c r="G53"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H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57" i="58"/>
  <c r="H157" i="58"/>
  <c r="G157" i="58"/>
  <c r="F40" i="58"/>
  <c r="F52" i="108"/>
  <c r="H52" i="108"/>
  <c r="G52"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1" i="108"/>
  <c r="H51" i="108"/>
  <c r="G51" i="108"/>
  <c r="F156" i="58"/>
  <c r="H156" i="58"/>
  <c r="G156" i="58"/>
  <c r="K33" i="58"/>
  <c r="P841" i="38" l="1"/>
  <c r="N841" i="38"/>
  <c r="F66" i="96"/>
  <c r="H66" i="96"/>
  <c r="G66" i="96"/>
  <c r="O841" i="38" l="1"/>
  <c r="Z841" i="38"/>
  <c r="F155" i="58"/>
  <c r="H155" i="58"/>
  <c r="G155"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C18" i="96"/>
  <c r="G50" i="108"/>
  <c r="F50" i="108"/>
  <c r="H50"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49" i="108"/>
  <c r="H49" i="108"/>
  <c r="G49" i="108"/>
  <c r="K5" i="108"/>
  <c r="F154" i="58"/>
  <c r="G154" i="58"/>
  <c r="H154" i="58"/>
  <c r="K32" i="58"/>
  <c r="P838" i="38" l="1"/>
  <c r="O838" i="38"/>
  <c r="Z838" i="38"/>
  <c r="U838" i="38"/>
  <c r="Q13" i="69"/>
  <c r="Q13" i="82"/>
  <c r="K6" i="53"/>
  <c r="F48" i="108"/>
  <c r="H48" i="108"/>
  <c r="G48"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5" i="46"/>
  <c r="H115" i="46"/>
  <c r="G115" i="46"/>
  <c r="F34" i="46"/>
  <c r="F83" i="93"/>
  <c r="H83" i="93"/>
  <c r="G83" i="93"/>
  <c r="K12" i="93"/>
  <c r="G47" i="78"/>
  <c r="H47" i="78"/>
  <c r="K5" i="78"/>
  <c r="G46" i="89"/>
  <c r="H46" i="89"/>
  <c r="K5" i="89"/>
  <c r="A836" i="38"/>
  <c r="D836" i="38"/>
  <c r="E836" i="38"/>
  <c r="G836" i="38"/>
  <c r="H836" i="38"/>
  <c r="K836" i="38"/>
  <c r="L836" i="38" s="1"/>
  <c r="M836" i="38"/>
  <c r="N836" i="38" s="1"/>
  <c r="S836" i="38"/>
  <c r="O836" i="38" l="1"/>
  <c r="P836" i="38"/>
  <c r="U836" i="38"/>
  <c r="Z836" i="38"/>
  <c r="F64" i="96"/>
  <c r="H64" i="96"/>
  <c r="G64" i="96"/>
  <c r="F356" i="25"/>
  <c r="H356" i="25"/>
  <c r="G356" i="25"/>
  <c r="K96" i="25"/>
  <c r="F355" i="25"/>
  <c r="H355" i="25"/>
  <c r="G355" i="25"/>
  <c r="K95" i="25"/>
  <c r="F45" i="89"/>
  <c r="H45" i="89"/>
  <c r="G45" i="89"/>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F90" i="92"/>
  <c r="H90" i="92"/>
  <c r="G90" i="92"/>
  <c r="K17" i="92"/>
  <c r="F29" i="120"/>
  <c r="H29" i="120"/>
  <c r="G29" i="120"/>
  <c r="K3" i="120"/>
  <c r="A833" i="38"/>
  <c r="D833" i="38"/>
  <c r="E833" i="38"/>
  <c r="G833" i="38"/>
  <c r="H833" i="38"/>
  <c r="K833" i="38"/>
  <c r="L833" i="38" s="1"/>
  <c r="M833" i="38"/>
  <c r="U833" i="38" s="1"/>
  <c r="S833" i="38"/>
  <c r="F47" i="108"/>
  <c r="H47" i="108"/>
  <c r="G47"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F85" i="127"/>
  <c r="C85" i="127"/>
  <c r="M19" i="127"/>
  <c r="C19" i="127"/>
  <c r="H85" i="127"/>
  <c r="F19" i="127"/>
  <c r="K85" i="127"/>
  <c r="M85" i="127"/>
  <c r="H19" i="127"/>
  <c r="K19"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54" i="25"/>
  <c r="H354" i="25"/>
  <c r="G354" i="25"/>
  <c r="F120" i="25"/>
  <c r="F31" i="116"/>
  <c r="H31" i="116"/>
  <c r="G31" i="116"/>
  <c r="F6" i="116"/>
  <c r="F46" i="108"/>
  <c r="H46" i="108"/>
  <c r="G46" i="108"/>
  <c r="F9" i="108"/>
  <c r="F82" i="93"/>
  <c r="H82" i="93"/>
  <c r="G82" i="93"/>
  <c r="F18" i="93"/>
  <c r="P830" i="38" l="1"/>
  <c r="O830" i="38"/>
  <c r="Z830" i="38"/>
  <c r="U830" i="38"/>
  <c r="F63" i="101"/>
  <c r="H63" i="101"/>
  <c r="G63" i="101"/>
  <c r="F89" i="92"/>
  <c r="G89" i="92"/>
  <c r="H89" i="92"/>
  <c r="K16" i="92"/>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8" i="92" l="1"/>
  <c r="H88" i="92"/>
  <c r="G88" i="92"/>
  <c r="F81" i="93"/>
  <c r="G81" i="93"/>
  <c r="H81" i="93"/>
  <c r="F95" i="43"/>
  <c r="H95" i="43"/>
  <c r="G95" i="43"/>
  <c r="F46" i="107"/>
  <c r="H46" i="107"/>
  <c r="G46" i="107"/>
  <c r="F353" i="25"/>
  <c r="G353" i="25"/>
  <c r="H353" i="25"/>
  <c r="F119" i="25"/>
  <c r="F45" i="108"/>
  <c r="H45" i="108"/>
  <c r="G45" i="108"/>
  <c r="F44" i="108"/>
  <c r="H44" i="108"/>
  <c r="G44"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F87" i="92"/>
  <c r="H87" i="92"/>
  <c r="G87" i="92"/>
  <c r="K15" i="92"/>
  <c r="K11" i="47"/>
  <c r="H18" i="47"/>
  <c r="F352" i="25"/>
  <c r="H352" i="25"/>
  <c r="G352" i="25"/>
  <c r="F118" i="25"/>
  <c r="C25" i="93"/>
  <c r="Z826" i="38" l="1"/>
  <c r="O825" i="38"/>
  <c r="Z825" i="38"/>
  <c r="P825" i="38"/>
  <c r="U825" i="38"/>
  <c r="F56" i="105"/>
  <c r="H56" i="105"/>
  <c r="G56" i="105"/>
  <c r="K5" i="105"/>
  <c r="J37" i="94"/>
  <c r="J38" i="94"/>
  <c r="K6" i="94"/>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28" i="120"/>
  <c r="G28" i="120"/>
  <c r="H28" i="120"/>
  <c r="F41" i="53"/>
  <c r="H41" i="53"/>
  <c r="G41" i="53"/>
  <c r="F60" i="45"/>
  <c r="G60" i="45"/>
  <c r="H60" i="45"/>
  <c r="F57" i="74"/>
  <c r="G57" i="74"/>
  <c r="H57" i="74"/>
  <c r="F43" i="108"/>
  <c r="H43" i="108"/>
  <c r="G43" i="108"/>
  <c r="F55" i="105"/>
  <c r="H55" i="105"/>
  <c r="G55" i="105"/>
  <c r="F153" i="58"/>
  <c r="H153" i="58"/>
  <c r="G153" i="58"/>
  <c r="F63" i="96"/>
  <c r="H63" i="96"/>
  <c r="G63" i="96"/>
  <c r="F80" i="93"/>
  <c r="G80" i="93"/>
  <c r="H80" i="93"/>
  <c r="F117" i="25"/>
  <c r="F351" i="25" l="1"/>
  <c r="H351" i="25"/>
  <c r="G351" i="25"/>
  <c r="K94" i="25"/>
  <c r="A821" i="38"/>
  <c r="D821" i="38"/>
  <c r="E821" i="38"/>
  <c r="G821" i="38"/>
  <c r="H821" i="38"/>
  <c r="K821" i="38"/>
  <c r="L821" i="38" s="1"/>
  <c r="M821" i="38"/>
  <c r="N821" i="38" s="1"/>
  <c r="S821" i="38"/>
  <c r="G31" i="122"/>
  <c r="K4" i="122"/>
  <c r="F43" i="106"/>
  <c r="H43" i="106"/>
  <c r="G43" i="106"/>
  <c r="K3" i="106"/>
  <c r="F81" i="88"/>
  <c r="G81" i="88"/>
  <c r="H81"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50" i="25"/>
  <c r="H350" i="25"/>
  <c r="G350" i="25"/>
  <c r="F86" i="92"/>
  <c r="H86" i="92"/>
  <c r="G86" i="92"/>
  <c r="F22" i="92"/>
  <c r="O818" i="38" l="1"/>
  <c r="P818" i="38"/>
  <c r="U818" i="38"/>
  <c r="Z818" i="38"/>
  <c r="F32" i="109"/>
  <c r="H32" i="109"/>
  <c r="G32" i="109"/>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49" i="25"/>
  <c r="G349" i="25"/>
  <c r="H349"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K2" i="125"/>
  <c r="K2" i="123"/>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48" i="25"/>
  <c r="H348" i="25"/>
  <c r="G348" i="25"/>
  <c r="F116" i="25"/>
  <c r="Z814" i="38" l="1"/>
  <c r="P813" i="38"/>
  <c r="O813" i="38"/>
  <c r="Z813" i="38"/>
  <c r="U813" i="38"/>
  <c r="H18" i="90"/>
  <c r="F41" i="106" l="1"/>
  <c r="H41" i="106"/>
  <c r="G41" i="106"/>
  <c r="F56" i="74" l="1"/>
  <c r="H56" i="74"/>
  <c r="G56"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47" i="25"/>
  <c r="H347" i="25"/>
  <c r="G347"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F85" i="92"/>
  <c r="G85" i="92"/>
  <c r="H85" i="92"/>
  <c r="K14" i="92"/>
  <c r="K2" i="121"/>
  <c r="F152" i="58"/>
  <c r="H152" i="58"/>
  <c r="G152" i="58"/>
  <c r="K31" i="58"/>
  <c r="D809" i="38"/>
  <c r="E809" i="38"/>
  <c r="G809" i="38"/>
  <c r="H809" i="38"/>
  <c r="K809" i="38"/>
  <c r="L809" i="38" s="1"/>
  <c r="M809" i="38"/>
  <c r="N809" i="38" s="1"/>
  <c r="S809" i="38"/>
  <c r="P809" i="38" l="1"/>
  <c r="O809" i="38"/>
  <c r="Z809" i="38"/>
  <c r="U809" i="38"/>
  <c r="F84" i="92"/>
  <c r="H84" i="92"/>
  <c r="G84" i="92"/>
  <c r="F50" i="90"/>
  <c r="H50" i="90"/>
  <c r="G50" i="90"/>
  <c r="K8" i="90"/>
  <c r="G55" i="74"/>
  <c r="F55" i="74"/>
  <c r="H55" i="74"/>
  <c r="K10" i="74"/>
  <c r="K11" i="86"/>
  <c r="H18" i="86"/>
  <c r="F77" i="93"/>
  <c r="H77" i="93"/>
  <c r="G77" i="93"/>
  <c r="K10" i="93"/>
  <c r="A808" i="38"/>
  <c r="D808" i="38"/>
  <c r="E808" i="38"/>
  <c r="G808" i="38"/>
  <c r="H808" i="38"/>
  <c r="K808" i="38"/>
  <c r="L808" i="38" s="1"/>
  <c r="M808" i="38"/>
  <c r="N808" i="38" s="1"/>
  <c r="S808" i="38"/>
  <c r="P808" i="38" l="1"/>
  <c r="O808" i="38"/>
  <c r="Z808" i="38"/>
  <c r="U808" i="38"/>
  <c r="F346" i="25"/>
  <c r="H346" i="25"/>
  <c r="G346" i="25"/>
  <c r="F53" i="99"/>
  <c r="H53" i="99"/>
  <c r="G53" i="99"/>
  <c r="F62" i="96"/>
  <c r="H62" i="96"/>
  <c r="G62" i="96"/>
  <c r="F57" i="103" l="1"/>
  <c r="H57" i="103"/>
  <c r="G57" i="103"/>
  <c r="K4" i="103"/>
  <c r="F27" i="120"/>
  <c r="G27" i="120"/>
  <c r="H27" i="120"/>
  <c r="K2" i="120"/>
  <c r="F30" i="122"/>
  <c r="H30" i="122"/>
  <c r="G30" i="122"/>
  <c r="A807" i="38"/>
  <c r="D807" i="38"/>
  <c r="E807" i="38"/>
  <c r="G807" i="38"/>
  <c r="H807" i="38"/>
  <c r="K807" i="38"/>
  <c r="L807" i="38" s="1"/>
  <c r="M807" i="38"/>
  <c r="U807" i="38" s="1"/>
  <c r="S807" i="38"/>
  <c r="N807" i="38" l="1"/>
  <c r="O807" i="38" s="1"/>
  <c r="P807" i="38"/>
  <c r="F26" i="120"/>
  <c r="G26" i="120"/>
  <c r="H26" i="120"/>
  <c r="F3" i="120"/>
  <c r="F345" i="25"/>
  <c r="G345" i="25"/>
  <c r="H345" i="25"/>
  <c r="K91" i="25"/>
  <c r="F344" i="25"/>
  <c r="H344" i="25"/>
  <c r="G344" i="25"/>
  <c r="F115" i="25"/>
  <c r="A806" i="38"/>
  <c r="D806" i="38"/>
  <c r="E806" i="38"/>
  <c r="G806" i="38"/>
  <c r="H806" i="38"/>
  <c r="K806" i="38"/>
  <c r="L806" i="38" s="1"/>
  <c r="M806" i="38"/>
  <c r="N806" i="38" s="1"/>
  <c r="S806" i="38"/>
  <c r="Z807" i="38" l="1"/>
  <c r="O806" i="38"/>
  <c r="Z806" i="38"/>
  <c r="U806" i="38"/>
  <c r="P806" i="38"/>
  <c r="F29" i="117"/>
  <c r="H29" i="117"/>
  <c r="G29" i="117"/>
  <c r="F42" i="108"/>
  <c r="H42" i="108"/>
  <c r="G42" i="108"/>
  <c r="F29" i="122"/>
  <c r="G29" i="122"/>
  <c r="H29" i="122"/>
  <c r="F39" i="106"/>
  <c r="H39" i="106"/>
  <c r="G39" i="106"/>
  <c r="F61" i="96"/>
  <c r="H61" i="96"/>
  <c r="G61" i="96"/>
  <c r="F76" i="93"/>
  <c r="G76" i="93"/>
  <c r="H76" i="93"/>
  <c r="A805" i="38"/>
  <c r="D805" i="38"/>
  <c r="E805" i="38"/>
  <c r="G805" i="38"/>
  <c r="H805" i="38"/>
  <c r="K805" i="38"/>
  <c r="L805" i="38" s="1"/>
  <c r="M805" i="38"/>
  <c r="N805" i="38" s="1"/>
  <c r="S805" i="38"/>
  <c r="F343" i="25"/>
  <c r="H343" i="25"/>
  <c r="G343" i="25"/>
  <c r="K90" i="25"/>
  <c r="F60" i="86"/>
  <c r="H60" i="86"/>
  <c r="G60" i="86"/>
  <c r="K10" i="86"/>
  <c r="F4" i="116"/>
  <c r="F5" i="116"/>
  <c r="P805" i="38" l="1"/>
  <c r="U805" i="38"/>
  <c r="O805" i="38"/>
  <c r="Z805" i="38"/>
  <c r="A804" i="38"/>
  <c r="D804" i="38"/>
  <c r="E804" i="38"/>
  <c r="G804" i="38"/>
  <c r="H804" i="38"/>
  <c r="K804" i="38"/>
  <c r="L804" i="38" s="1"/>
  <c r="M804" i="38"/>
  <c r="N804" i="38" s="1"/>
  <c r="S804" i="38"/>
  <c r="F40" i="94"/>
  <c r="J40" i="94" s="1"/>
  <c r="G40" i="94"/>
  <c r="H40" i="94"/>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83" i="92"/>
  <c r="H83" i="92"/>
  <c r="G83" i="92"/>
  <c r="K13" i="92"/>
  <c r="F28" i="117"/>
  <c r="G28" i="117"/>
  <c r="H28" i="117"/>
  <c r="Q13" i="122"/>
  <c r="O802" i="38" l="1"/>
  <c r="P802" i="38"/>
  <c r="U802" i="38"/>
  <c r="Z802" i="38"/>
  <c r="F342" i="25"/>
  <c r="H342" i="25"/>
  <c r="G342" i="25"/>
  <c r="K89" i="25"/>
  <c r="A801" i="38"/>
  <c r="D801" i="38"/>
  <c r="E801" i="38"/>
  <c r="G801" i="38"/>
  <c r="H801" i="38"/>
  <c r="K801" i="38"/>
  <c r="L801" i="38" s="1"/>
  <c r="M801" i="38"/>
  <c r="N801" i="38" s="1"/>
  <c r="S801" i="38"/>
  <c r="O801" i="38" l="1"/>
  <c r="P801" i="38"/>
  <c r="U801" i="38"/>
  <c r="Z801" i="38"/>
  <c r="F53" i="105"/>
  <c r="H53" i="105"/>
  <c r="G53" i="105"/>
  <c r="F341" i="25"/>
  <c r="G341" i="25"/>
  <c r="H341"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M85" i="126"/>
  <c r="K19" i="126"/>
  <c r="C19" i="126"/>
  <c r="M19" i="126"/>
  <c r="H85" i="126"/>
  <c r="K85" i="126"/>
  <c r="C85" i="126"/>
  <c r="H19" i="126"/>
  <c r="F19" i="126"/>
  <c r="F85" i="126"/>
  <c r="Q2" i="126" l="1"/>
  <c r="Q8" i="126" s="1"/>
  <c r="N798" i="38"/>
  <c r="O798" i="38" s="1"/>
  <c r="M66" i="126"/>
  <c r="Q10" i="126" s="1"/>
  <c r="P798" i="38"/>
  <c r="A797" i="38"/>
  <c r="D797" i="38"/>
  <c r="E797" i="38"/>
  <c r="G797" i="38"/>
  <c r="H797" i="38"/>
  <c r="K797" i="38"/>
  <c r="L797" i="38" s="1"/>
  <c r="M797" i="38"/>
  <c r="N797" i="38" s="1"/>
  <c r="S797" i="38"/>
  <c r="F48" i="90"/>
  <c r="H48" i="90"/>
  <c r="G48" i="90"/>
  <c r="F10" i="90"/>
  <c r="F82" i="92"/>
  <c r="H82" i="92"/>
  <c r="G82" i="92"/>
  <c r="F21" i="92"/>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2" i="125"/>
  <c r="F18" i="125" s="1"/>
  <c r="C19" i="125"/>
  <c r="F19" i="125"/>
  <c r="H19" i="125"/>
  <c r="C85" i="125"/>
  <c r="K19" i="125"/>
  <c r="F85" i="125"/>
  <c r="M85" i="125"/>
  <c r="M19" i="125"/>
  <c r="H85" i="125"/>
  <c r="K85" i="125"/>
  <c r="Z798" i="38" l="1"/>
  <c r="Q5" i="126"/>
  <c r="Q7" i="126"/>
  <c r="Q3" i="126"/>
  <c r="Q6" i="126" s="1"/>
  <c r="Q2" i="125"/>
  <c r="Q3" i="125" s="1"/>
  <c r="Q6" i="125" s="1"/>
  <c r="M66" i="125"/>
  <c r="Q10" i="125" s="1"/>
  <c r="Q9" i="126"/>
  <c r="P797" i="38"/>
  <c r="O797" i="38"/>
  <c r="Z797" i="38"/>
  <c r="U797" i="38"/>
  <c r="G54" i="74"/>
  <c r="F54" i="74"/>
  <c r="H54" i="74"/>
  <c r="F13" i="74"/>
  <c r="F340" i="25"/>
  <c r="H340" i="25"/>
  <c r="G340"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H39" i="94"/>
  <c r="G39" i="94"/>
  <c r="F39" i="94"/>
  <c r="J39" i="94" s="1"/>
  <c r="F6" i="94"/>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2" i="123"/>
  <c r="F18" i="123" s="1"/>
  <c r="M85" i="124"/>
  <c r="K85" i="123"/>
  <c r="K19" i="124"/>
  <c r="M19" i="124"/>
  <c r="M85" i="123"/>
  <c r="K85" i="124"/>
  <c r="F19" i="124"/>
  <c r="M19" i="123"/>
  <c r="C19" i="124"/>
  <c r="H85" i="123"/>
  <c r="F19" i="123"/>
  <c r="F85" i="124"/>
  <c r="F85" i="123"/>
  <c r="C85" i="124"/>
  <c r="H19" i="124"/>
  <c r="C85" i="123"/>
  <c r="K19" i="123"/>
  <c r="H85" i="124"/>
  <c r="H19" i="123"/>
  <c r="C19" i="123"/>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39" i="25"/>
  <c r="H339" i="25"/>
  <c r="G339" i="25"/>
  <c r="F112" i="25"/>
  <c r="F26" i="114"/>
  <c r="G26" i="114"/>
  <c r="H26" i="114"/>
  <c r="F31" i="109"/>
  <c r="H31" i="109"/>
  <c r="G31" i="109"/>
  <c r="F60" i="96"/>
  <c r="H60" i="96"/>
  <c r="G60" i="96"/>
  <c r="F114" i="46"/>
  <c r="H114" i="46"/>
  <c r="G114" i="46"/>
  <c r="Q3" i="123" l="1"/>
  <c r="Q6" i="123" s="1"/>
  <c r="Q8" i="123"/>
  <c r="Q9" i="123" s="1"/>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53" i="74"/>
  <c r="H53" i="74"/>
  <c r="G53" i="74"/>
  <c r="K9" i="74"/>
  <c r="A792" i="38"/>
  <c r="D792" i="38"/>
  <c r="E792" i="38"/>
  <c r="G792" i="38"/>
  <c r="H792" i="38"/>
  <c r="K792" i="38"/>
  <c r="L792" i="38" s="1"/>
  <c r="M792" i="38"/>
  <c r="N792" i="38" s="1"/>
  <c r="S792" i="38"/>
  <c r="F151" i="58"/>
  <c r="H151" i="58"/>
  <c r="G151" i="58"/>
  <c r="F38" i="58"/>
  <c r="Q7" i="123" l="1"/>
  <c r="Q9" i="124"/>
  <c r="Z794" i="38"/>
  <c r="O793" i="38"/>
  <c r="U793" i="38"/>
  <c r="Z793" i="38"/>
  <c r="P793" i="38"/>
  <c r="P792" i="38"/>
  <c r="Z792" i="38"/>
  <c r="O792" i="38"/>
  <c r="A791" i="38"/>
  <c r="D791" i="38"/>
  <c r="E791" i="38"/>
  <c r="G791" i="38"/>
  <c r="H791" i="38"/>
  <c r="K791" i="38"/>
  <c r="L791" i="38" s="1"/>
  <c r="M791" i="38"/>
  <c r="N791" i="38" s="1"/>
  <c r="S791" i="38"/>
  <c r="K2" i="116"/>
  <c r="F81" i="92"/>
  <c r="G81" i="92"/>
  <c r="H81" i="92"/>
  <c r="F20" i="92"/>
  <c r="F34" i="111"/>
  <c r="H34" i="111"/>
  <c r="G34" i="111"/>
  <c r="K4" i="111"/>
  <c r="H24" i="88"/>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52" i="74"/>
  <c r="H52" i="74"/>
  <c r="G52" i="74"/>
  <c r="F12" i="74"/>
  <c r="F338" i="25"/>
  <c r="G338" i="25"/>
  <c r="H338" i="25"/>
  <c r="F85" i="122"/>
  <c r="F19" i="122"/>
  <c r="M19" i="122"/>
  <c r="C19" i="122"/>
  <c r="K19" i="122"/>
  <c r="M85" i="122"/>
  <c r="C85" i="122"/>
  <c r="H85" i="122"/>
  <c r="K85" i="122"/>
  <c r="H19" i="122"/>
  <c r="P791" i="38" l="1"/>
  <c r="Q2" i="122"/>
  <c r="Q8" i="122" s="1"/>
  <c r="M66" i="122"/>
  <c r="Q10" i="122" s="1"/>
  <c r="O791" i="38"/>
  <c r="Z791" i="38"/>
  <c r="U791" i="38"/>
  <c r="P790" i="38"/>
  <c r="Z790" i="38"/>
  <c r="O790" i="38"/>
  <c r="U790" i="38"/>
  <c r="G41" i="107"/>
  <c r="F41" i="107"/>
  <c r="H41" i="107"/>
  <c r="F26" i="118"/>
  <c r="G26" i="118"/>
  <c r="H26" i="118"/>
  <c r="F44" i="89"/>
  <c r="H44" i="89"/>
  <c r="G44" i="89"/>
  <c r="F27" i="117"/>
  <c r="G27" i="117"/>
  <c r="H27" i="117"/>
  <c r="F30" i="109"/>
  <c r="G30" i="109"/>
  <c r="H30" i="109"/>
  <c r="F56" i="102"/>
  <c r="G56" i="102"/>
  <c r="H56" i="102"/>
  <c r="G44" i="97"/>
  <c r="F44" i="97"/>
  <c r="H44" i="97"/>
  <c r="F93" i="43"/>
  <c r="G93" i="43"/>
  <c r="H93" i="43"/>
  <c r="F56" i="103"/>
  <c r="G56" i="103"/>
  <c r="H56" i="103"/>
  <c r="F60" i="101"/>
  <c r="H60" i="101"/>
  <c r="G60" i="101"/>
  <c r="F41" i="108"/>
  <c r="G41" i="108"/>
  <c r="H41" i="108"/>
  <c r="F75" i="93"/>
  <c r="H75" i="93"/>
  <c r="G75" i="93"/>
  <c r="F38" i="106"/>
  <c r="H38" i="106"/>
  <c r="G38" i="106"/>
  <c r="F150" i="58"/>
  <c r="H150" i="58"/>
  <c r="G150"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80" i="92"/>
  <c r="H80" i="92"/>
  <c r="G80" i="92"/>
  <c r="K12" i="92"/>
  <c r="F337" i="25"/>
  <c r="G337" i="25"/>
  <c r="H337" i="25"/>
  <c r="F111" i="25"/>
  <c r="K88" i="25"/>
  <c r="H44" i="47"/>
  <c r="G44" i="47"/>
  <c r="F44" i="47"/>
  <c r="F12" i="47"/>
  <c r="H27" i="112"/>
  <c r="G27" i="112"/>
  <c r="F27" i="112"/>
  <c r="F3" i="112"/>
  <c r="O789" i="38" l="1"/>
  <c r="P789" i="38"/>
  <c r="U789" i="38"/>
  <c r="Z789" i="38"/>
  <c r="F51" i="105"/>
  <c r="H51" i="105"/>
  <c r="G51" i="105"/>
  <c r="F8" i="105"/>
  <c r="F40" i="107"/>
  <c r="H40" i="107"/>
  <c r="G40" i="107"/>
  <c r="F6" i="107"/>
  <c r="F79" i="92"/>
  <c r="H79" i="92"/>
  <c r="G79" i="92"/>
  <c r="F19" i="92"/>
  <c r="F80" i="88"/>
  <c r="G80" i="88"/>
  <c r="H80" i="88"/>
  <c r="F20" i="88"/>
  <c r="F149" i="58"/>
  <c r="H149" i="58"/>
  <c r="G149" i="58"/>
  <c r="F37" i="58"/>
  <c r="F336" i="25"/>
  <c r="H336" i="25"/>
  <c r="G336" i="25"/>
  <c r="F110" i="25"/>
  <c r="F29" i="109"/>
  <c r="H29" i="109"/>
  <c r="G29" i="109"/>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H25" i="120"/>
  <c r="G25" i="120"/>
  <c r="F25" i="120"/>
  <c r="P24" i="120"/>
  <c r="P23" i="120"/>
  <c r="P22" i="120"/>
  <c r="P21" i="120"/>
  <c r="P20" i="120"/>
  <c r="P19" i="120"/>
  <c r="P18" i="120"/>
  <c r="M18" i="120"/>
  <c r="K18" i="120"/>
  <c r="H18" i="120"/>
  <c r="C18" i="120"/>
  <c r="P17" i="120"/>
  <c r="R11" i="120"/>
  <c r="Q11" i="120" s="1"/>
  <c r="F2" i="120"/>
  <c r="F18" i="120" s="1"/>
  <c r="K85" i="121"/>
  <c r="M19" i="120"/>
  <c r="F85" i="120"/>
  <c r="K85" i="120"/>
  <c r="C19" i="121"/>
  <c r="C85" i="121"/>
  <c r="M85" i="120"/>
  <c r="F19" i="121"/>
  <c r="H19" i="121"/>
  <c r="M85" i="121"/>
  <c r="H85" i="120"/>
  <c r="K19" i="121"/>
  <c r="H19" i="120"/>
  <c r="K19" i="120"/>
  <c r="H85" i="121"/>
  <c r="M19" i="121"/>
  <c r="F85" i="121"/>
  <c r="F19" i="120"/>
  <c r="C19" i="120"/>
  <c r="C85" i="120"/>
  <c r="Q2" i="120" l="1"/>
  <c r="Q8" i="120" s="1"/>
  <c r="Q2" i="121"/>
  <c r="Q3" i="121" s="1"/>
  <c r="Q6" i="121" s="1"/>
  <c r="M66" i="121"/>
  <c r="Q10" i="121" s="1"/>
  <c r="M66" i="120"/>
  <c r="Q10" i="120" s="1"/>
  <c r="P788" i="38"/>
  <c r="O788" i="38"/>
  <c r="Z788" i="38"/>
  <c r="U788" i="38"/>
  <c r="Q3" i="120"/>
  <c r="Q6" i="120" s="1"/>
  <c r="A787" i="38"/>
  <c r="D787" i="38"/>
  <c r="E787" i="38"/>
  <c r="G787" i="38"/>
  <c r="H787" i="38"/>
  <c r="K787" i="38"/>
  <c r="L787" i="38" s="1"/>
  <c r="M787" i="38"/>
  <c r="N787" i="38" s="1"/>
  <c r="S787" i="38"/>
  <c r="F148" i="58"/>
  <c r="H148" i="58"/>
  <c r="G148" i="58"/>
  <c r="F36" i="58"/>
  <c r="F78" i="92"/>
  <c r="H78" i="92"/>
  <c r="G78" i="92"/>
  <c r="F18" i="92"/>
  <c r="Q5" i="120" l="1"/>
  <c r="Q7"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28" i="109" l="1"/>
  <c r="G28" i="109"/>
  <c r="H28" i="109"/>
  <c r="F40" i="108"/>
  <c r="H40" i="108"/>
  <c r="G40" i="108"/>
  <c r="F38" i="107"/>
  <c r="H38" i="107"/>
  <c r="G38" i="107"/>
  <c r="G43" i="97" l="1"/>
  <c r="F43" i="97"/>
  <c r="H43" i="97"/>
  <c r="F7" i="97"/>
  <c r="F335" i="25"/>
  <c r="H335" i="25"/>
  <c r="G335" i="25"/>
  <c r="K87" i="25"/>
  <c r="F37" i="106"/>
  <c r="H37" i="106"/>
  <c r="G37" i="106"/>
  <c r="F5" i="106"/>
  <c r="F51" i="74"/>
  <c r="H51" i="74"/>
  <c r="G51"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M85" i="119"/>
  <c r="M19" i="119"/>
  <c r="C85" i="119"/>
  <c r="K85" i="119"/>
  <c r="K19" i="119"/>
  <c r="H85" i="119"/>
  <c r="H19" i="119"/>
  <c r="C19" i="119"/>
  <c r="F85" i="119"/>
  <c r="F19"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H19" i="118"/>
  <c r="C19" i="118"/>
  <c r="F19" i="118"/>
  <c r="M19" i="118"/>
  <c r="C85" i="118"/>
  <c r="H85" i="118"/>
  <c r="K19" i="118"/>
  <c r="M85" i="118"/>
  <c r="K85" i="118"/>
  <c r="F85"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C18" i="86"/>
  <c r="K7" i="69"/>
  <c r="F44" i="69"/>
  <c r="H44" i="69"/>
  <c r="G44" i="69"/>
  <c r="A782" i="38"/>
  <c r="D782" i="38"/>
  <c r="E782" i="38"/>
  <c r="G782" i="38"/>
  <c r="H782" i="38"/>
  <c r="K782" i="38"/>
  <c r="L782" i="38" s="1"/>
  <c r="M782" i="38"/>
  <c r="N782" i="38" s="1"/>
  <c r="S782" i="38"/>
  <c r="F79" i="88"/>
  <c r="H79" i="88"/>
  <c r="G79"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34" i="25"/>
  <c r="H334" i="25"/>
  <c r="G334" i="25"/>
  <c r="K86" i="25"/>
  <c r="F77" i="92"/>
  <c r="H77" i="92"/>
  <c r="G77" i="92"/>
  <c r="K11" i="92"/>
  <c r="F113" i="46"/>
  <c r="H113" i="46"/>
  <c r="G113"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C18" i="102"/>
  <c r="F39" i="108"/>
  <c r="H39" i="108"/>
  <c r="G39" i="108"/>
  <c r="K2" i="108"/>
  <c r="K18" i="108" s="1"/>
  <c r="K2" i="112"/>
  <c r="F50" i="74"/>
  <c r="H50" i="74"/>
  <c r="G50" i="74"/>
  <c r="K8" i="74"/>
  <c r="F55" i="49"/>
  <c r="H55" i="49"/>
  <c r="G55" i="49"/>
  <c r="K7" i="49"/>
  <c r="F333" i="25"/>
  <c r="G333" i="25"/>
  <c r="H333" i="25"/>
  <c r="K85" i="25"/>
  <c r="F109" i="25"/>
  <c r="M19" i="116"/>
  <c r="H85" i="117"/>
  <c r="F19" i="116"/>
  <c r="M85" i="117"/>
  <c r="C19" i="117"/>
  <c r="K85" i="117"/>
  <c r="H19" i="117"/>
  <c r="H85" i="116"/>
  <c r="F85" i="117"/>
  <c r="H19" i="116"/>
  <c r="M19" i="117"/>
  <c r="K85" i="116"/>
  <c r="C85" i="116"/>
  <c r="F85" i="116"/>
  <c r="F19" i="117"/>
  <c r="C19" i="116"/>
  <c r="K19" i="117"/>
  <c r="K19" i="116"/>
  <c r="C85" i="117"/>
  <c r="M85" i="116"/>
  <c r="Q2" i="117" l="1"/>
  <c r="Q5" i="117" s="1"/>
  <c r="M66" i="117"/>
  <c r="Q10" i="117" s="1"/>
  <c r="M66" i="116"/>
  <c r="Q10" i="116" s="1"/>
  <c r="P780" i="38"/>
  <c r="Z780" i="38"/>
  <c r="O780" i="38"/>
  <c r="U780" i="38"/>
  <c r="Q8" i="117"/>
  <c r="Q7" i="117" s="1"/>
  <c r="Q3" i="117"/>
  <c r="Q6" i="117" s="1"/>
  <c r="Q2" i="116"/>
  <c r="Q5" i="116" s="1"/>
  <c r="E3" i="38"/>
  <c r="D3" i="38"/>
  <c r="A779" i="38"/>
  <c r="D779" i="38"/>
  <c r="E779" i="38"/>
  <c r="G779" i="38"/>
  <c r="H779" i="38"/>
  <c r="K779" i="38"/>
  <c r="L779" i="38" s="1"/>
  <c r="M779" i="38"/>
  <c r="N779" i="38" s="1"/>
  <c r="S779" i="38"/>
  <c r="F332" i="25"/>
  <c r="G332" i="25"/>
  <c r="H332" i="25"/>
  <c r="F108" i="25"/>
  <c r="F57" i="101"/>
  <c r="H57" i="101"/>
  <c r="G57" i="101"/>
  <c r="F17" i="101"/>
  <c r="F71" i="93"/>
  <c r="H71" i="93"/>
  <c r="G71" i="93"/>
  <c r="F15" i="93"/>
  <c r="F76" i="92"/>
  <c r="H76" i="92"/>
  <c r="G76" i="92"/>
  <c r="F17" i="92"/>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M85" i="115"/>
  <c r="H19" i="115"/>
  <c r="F19" i="115"/>
  <c r="K85" i="115"/>
  <c r="C19" i="115"/>
  <c r="H85" i="115"/>
  <c r="M19" i="115"/>
  <c r="F85" i="115"/>
  <c r="C85" i="115"/>
  <c r="K19" i="115"/>
  <c r="Q8" i="116" l="1"/>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49" i="74"/>
  <c r="H49" i="74"/>
  <c r="G49" i="74"/>
  <c r="F10" i="74"/>
  <c r="F38" i="108"/>
  <c r="H38" i="108"/>
  <c r="G38" i="108"/>
  <c r="Q9" i="116" l="1"/>
  <c r="Q7" i="115"/>
  <c r="Q5" i="115"/>
  <c r="Q3" i="115"/>
  <c r="Q6" i="115" s="1"/>
  <c r="Q9" i="115" s="1"/>
  <c r="P777" i="38"/>
  <c r="O777" i="38"/>
  <c r="Z777" i="38"/>
  <c r="U777" i="38"/>
  <c r="H26" i="113"/>
  <c r="F331" i="25" l="1"/>
  <c r="H331" i="25"/>
  <c r="G331" i="25"/>
  <c r="F37" i="108"/>
  <c r="H37" i="108"/>
  <c r="G37" i="108"/>
  <c r="F34" i="106"/>
  <c r="H34" i="106"/>
  <c r="G34" i="106"/>
  <c r="F47" i="105"/>
  <c r="H47" i="105"/>
  <c r="G47" i="105"/>
  <c r="F57" i="96"/>
  <c r="H57" i="96"/>
  <c r="G57" i="96"/>
  <c r="F147" i="58"/>
  <c r="H147" i="58"/>
  <c r="G147" i="58"/>
  <c r="K30" i="58"/>
  <c r="F112" i="46"/>
  <c r="H112" i="46"/>
  <c r="G112" i="46"/>
  <c r="F59" i="86"/>
  <c r="H59" i="86"/>
  <c r="G59" i="86"/>
  <c r="F13" i="86"/>
  <c r="A776" i="38"/>
  <c r="D776" i="38"/>
  <c r="E776" i="38"/>
  <c r="G776" i="38"/>
  <c r="H776" i="38"/>
  <c r="K776" i="38"/>
  <c r="L776" i="38" s="1"/>
  <c r="M776" i="38"/>
  <c r="N776" i="38" s="1"/>
  <c r="S776" i="38"/>
  <c r="K21" i="46"/>
  <c r="F111" i="46"/>
  <c r="H111" i="46"/>
  <c r="G111"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30" i="25"/>
  <c r="H330" i="25"/>
  <c r="G330" i="25"/>
  <c r="A774" i="38"/>
  <c r="D774" i="38"/>
  <c r="E774" i="38"/>
  <c r="G774" i="38"/>
  <c r="H774" i="38"/>
  <c r="K774" i="38"/>
  <c r="L774" i="38" s="1"/>
  <c r="M774" i="38"/>
  <c r="U774" i="38" s="1"/>
  <c r="S774" i="38"/>
  <c r="C18" i="99"/>
  <c r="N774" i="38" l="1"/>
  <c r="O774" i="38" s="1"/>
  <c r="P774" i="38"/>
  <c r="F90" i="43"/>
  <c r="G90" i="43"/>
  <c r="H90" i="43"/>
  <c r="F30" i="111"/>
  <c r="H30" i="111"/>
  <c r="G30" i="111"/>
  <c r="F146" i="58"/>
  <c r="G146" i="58"/>
  <c r="H146" i="58"/>
  <c r="F36" i="108"/>
  <c r="G36" i="108"/>
  <c r="H36" i="108"/>
  <c r="F56" i="96"/>
  <c r="H56" i="96"/>
  <c r="G56" i="96"/>
  <c r="F110" i="46"/>
  <c r="G110" i="46"/>
  <c r="H110" i="46"/>
  <c r="F70" i="93"/>
  <c r="H70" i="93"/>
  <c r="G70" i="93"/>
  <c r="F46" i="105"/>
  <c r="H46" i="105"/>
  <c r="G46" i="105"/>
  <c r="F329" i="25"/>
  <c r="H329" i="25"/>
  <c r="G329" i="25"/>
  <c r="F26" i="113"/>
  <c r="G26" i="113"/>
  <c r="K2" i="113"/>
  <c r="A773" i="38"/>
  <c r="D773" i="38"/>
  <c r="E773" i="38"/>
  <c r="G773" i="38"/>
  <c r="H773" i="38"/>
  <c r="K773" i="38"/>
  <c r="L773" i="38" s="1"/>
  <c r="M773" i="38"/>
  <c r="N773" i="38" s="1"/>
  <c r="S773" i="38"/>
  <c r="Z774" i="38" l="1"/>
  <c r="O773" i="38"/>
  <c r="P773" i="38"/>
  <c r="U773" i="38"/>
  <c r="Z773" i="38"/>
  <c r="F58" i="86"/>
  <c r="H58" i="86"/>
  <c r="G58" i="86"/>
  <c r="F181" i="51"/>
  <c r="H181" i="51"/>
  <c r="G181" i="51"/>
  <c r="K41" i="51"/>
  <c r="F328" i="25"/>
  <c r="G328" i="25"/>
  <c r="H328"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M19" i="114"/>
  <c r="K85" i="114"/>
  <c r="C85" i="114"/>
  <c r="H19" i="114"/>
  <c r="F85" i="114"/>
  <c r="K19" i="114"/>
  <c r="M85" i="114"/>
  <c r="F19" i="114"/>
  <c r="H85" i="114"/>
  <c r="C19"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F43" i="89"/>
  <c r="H43" i="89"/>
  <c r="G43" i="89"/>
  <c r="A771" i="38"/>
  <c r="D771" i="38"/>
  <c r="E771" i="38"/>
  <c r="G771" i="38"/>
  <c r="H771" i="38"/>
  <c r="K771" i="38"/>
  <c r="L771" i="38" s="1"/>
  <c r="M771" i="38"/>
  <c r="N771" i="38" s="1"/>
  <c r="S771" i="38"/>
  <c r="Q5" i="114" l="1"/>
  <c r="Q8" i="114"/>
  <c r="Q7" i="114" s="1"/>
  <c r="Q9" i="114"/>
  <c r="P771" i="38"/>
  <c r="O771" i="38"/>
  <c r="Z771" i="38"/>
  <c r="U771" i="38"/>
  <c r="G48" i="74"/>
  <c r="F48" i="74"/>
  <c r="H48" i="74"/>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45" i="58"/>
  <c r="H145" i="58"/>
  <c r="G145" i="58"/>
  <c r="Q13" i="108"/>
  <c r="F35" i="108"/>
  <c r="H35" i="108"/>
  <c r="G35" i="108"/>
  <c r="R11" i="108"/>
  <c r="A769" i="38"/>
  <c r="D769" i="38"/>
  <c r="E769" i="38"/>
  <c r="G769" i="38"/>
  <c r="H769" i="38"/>
  <c r="K769" i="38"/>
  <c r="L769" i="38" s="1"/>
  <c r="M769" i="38"/>
  <c r="N769" i="38" s="1"/>
  <c r="S769" i="38"/>
  <c r="F180" i="51"/>
  <c r="G180" i="51"/>
  <c r="H180" i="51"/>
  <c r="K40" i="51"/>
  <c r="P769" i="38" l="1"/>
  <c r="O769" i="38"/>
  <c r="Z769" i="38"/>
  <c r="U769" i="38"/>
  <c r="Q13" i="58"/>
  <c r="G78" i="88" l="1"/>
  <c r="F78" i="88"/>
  <c r="H78" i="88"/>
  <c r="F55" i="96"/>
  <c r="G55" i="96"/>
  <c r="H55" i="96"/>
  <c r="F144" i="58"/>
  <c r="H144" i="58"/>
  <c r="G144" i="58"/>
  <c r="K29" i="58"/>
  <c r="F109" i="46"/>
  <c r="H109" i="46"/>
  <c r="G109" i="46"/>
  <c r="K18" i="46"/>
  <c r="A768" i="38"/>
  <c r="D768" i="38"/>
  <c r="E768" i="38"/>
  <c r="G768" i="38"/>
  <c r="H768" i="38"/>
  <c r="K768" i="38"/>
  <c r="L768" i="38" s="1"/>
  <c r="M768" i="38"/>
  <c r="N768" i="38" s="1"/>
  <c r="S768" i="38"/>
  <c r="O768" i="38" l="1"/>
  <c r="Z768" i="38"/>
  <c r="P768" i="38"/>
  <c r="U768" i="38"/>
  <c r="F57" i="86"/>
  <c r="H57" i="86"/>
  <c r="G57" i="86"/>
  <c r="G47" i="74"/>
  <c r="F47" i="74"/>
  <c r="H47" i="74"/>
  <c r="F38" i="95"/>
  <c r="H38" i="95"/>
  <c r="G38" i="95"/>
  <c r="F45" i="105"/>
  <c r="H45" i="105"/>
  <c r="G45" i="105"/>
  <c r="F54" i="96"/>
  <c r="H54" i="96"/>
  <c r="G54" i="96"/>
  <c r="F108" i="46"/>
  <c r="H108" i="46"/>
  <c r="G108" i="46"/>
  <c r="F69" i="93"/>
  <c r="H69" i="93"/>
  <c r="G69" i="93"/>
  <c r="Q13" i="93"/>
  <c r="F327" i="25" l="1"/>
  <c r="H327" i="25"/>
  <c r="G327" i="25"/>
  <c r="A767" i="38"/>
  <c r="D767" i="38"/>
  <c r="E767" i="38"/>
  <c r="G767" i="38"/>
  <c r="H767" i="38"/>
  <c r="K767" i="38"/>
  <c r="L767" i="38" s="1"/>
  <c r="M767" i="38"/>
  <c r="N767" i="38" s="1"/>
  <c r="S767" i="38"/>
  <c r="O767" i="38" l="1"/>
  <c r="Z767" i="38"/>
  <c r="P767" i="38"/>
  <c r="U767" i="38"/>
  <c r="G46" i="74"/>
  <c r="F46" i="74"/>
  <c r="H46" i="74"/>
  <c r="K6" i="74"/>
  <c r="F37" i="107"/>
  <c r="G37" i="107"/>
  <c r="H37" i="107"/>
  <c r="K4" i="107"/>
  <c r="F89" i="43"/>
  <c r="H89" i="43"/>
  <c r="G89" i="43"/>
  <c r="F42" i="69"/>
  <c r="H42" i="69"/>
  <c r="G42" i="69"/>
  <c r="F68" i="93"/>
  <c r="H68" i="93"/>
  <c r="G68" i="93"/>
  <c r="F75" i="92"/>
  <c r="H75" i="92"/>
  <c r="G75" i="92"/>
  <c r="A766" i="38"/>
  <c r="D766" i="38"/>
  <c r="E766" i="38"/>
  <c r="G766" i="38"/>
  <c r="H766" i="38"/>
  <c r="K766" i="38"/>
  <c r="L766" i="38" s="1"/>
  <c r="P766" i="38" s="1"/>
  <c r="M766" i="38"/>
  <c r="N766" i="38" s="1"/>
  <c r="S766" i="38"/>
  <c r="F326" i="25"/>
  <c r="H326" i="25"/>
  <c r="G326" i="25"/>
  <c r="O766" i="38" l="1"/>
  <c r="Z766" i="38"/>
  <c r="U766" i="38"/>
  <c r="F34" i="108"/>
  <c r="H34" i="108"/>
  <c r="G34" i="108"/>
  <c r="F325" i="25"/>
  <c r="H325" i="25"/>
  <c r="G325"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74" i="92"/>
  <c r="H74" i="92"/>
  <c r="G74" i="92"/>
  <c r="F15" i="92"/>
  <c r="K10" i="92"/>
  <c r="F12" i="92"/>
  <c r="F73" i="92"/>
  <c r="H73" i="92"/>
  <c r="G73" i="92"/>
  <c r="K9" i="92"/>
  <c r="F56" i="86"/>
  <c r="H56" i="86"/>
  <c r="G56" i="86"/>
  <c r="F12" i="86"/>
  <c r="P764" i="38" l="1"/>
  <c r="Z764" i="38"/>
  <c r="O764" i="38"/>
  <c r="U764" i="38"/>
  <c r="F53" i="101"/>
  <c r="H53" i="101"/>
  <c r="G53" i="101"/>
  <c r="F41" i="69"/>
  <c r="H41" i="69"/>
  <c r="G41" i="69"/>
  <c r="F33" i="108"/>
  <c r="H33" i="108"/>
  <c r="G33" i="108"/>
  <c r="F143" i="58"/>
  <c r="H143" i="58"/>
  <c r="G143" i="58"/>
  <c r="F44" i="105"/>
  <c r="H44" i="105"/>
  <c r="G44" i="105"/>
  <c r="F53" i="96"/>
  <c r="H53" i="96"/>
  <c r="G53" i="96"/>
  <c r="F107" i="46"/>
  <c r="H107" i="46"/>
  <c r="G107" i="46"/>
  <c r="F67" i="93"/>
  <c r="H67" i="93"/>
  <c r="G67" i="93"/>
  <c r="F55" i="86"/>
  <c r="H55" i="86"/>
  <c r="G55" i="86"/>
  <c r="F323" i="25"/>
  <c r="F324" i="25"/>
  <c r="G324" i="25"/>
  <c r="H324" i="25"/>
  <c r="F179" i="51"/>
  <c r="G179" i="51"/>
  <c r="H179" i="51"/>
  <c r="K39"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77" i="88"/>
  <c r="H77" i="88"/>
  <c r="G77" i="88"/>
  <c r="P762" i="38" l="1"/>
  <c r="O762" i="38"/>
  <c r="Z762" i="38"/>
  <c r="U762" i="38"/>
  <c r="C21" i="101"/>
  <c r="A761" i="38"/>
  <c r="D761" i="38"/>
  <c r="E761" i="38"/>
  <c r="G761" i="38"/>
  <c r="H761" i="38"/>
  <c r="K761" i="38"/>
  <c r="L761" i="38" s="1"/>
  <c r="M761" i="38"/>
  <c r="N761" i="38" s="1"/>
  <c r="S761" i="38"/>
  <c r="F54" i="86"/>
  <c r="H54" i="86"/>
  <c r="G54" i="86"/>
  <c r="P761" i="38" l="1"/>
  <c r="O761" i="38"/>
  <c r="Z761" i="38"/>
  <c r="U761" i="38"/>
  <c r="A760" i="38"/>
  <c r="D760" i="38"/>
  <c r="E760" i="38"/>
  <c r="G760" i="38"/>
  <c r="H760" i="38"/>
  <c r="K760" i="38"/>
  <c r="L760" i="38" s="1"/>
  <c r="M760" i="38"/>
  <c r="N760" i="38" s="1"/>
  <c r="S760" i="38"/>
  <c r="F66" i="93"/>
  <c r="H66" i="93"/>
  <c r="G66" i="93"/>
  <c r="F14" i="93"/>
  <c r="F36" i="107"/>
  <c r="G36" i="107"/>
  <c r="H36" i="107"/>
  <c r="F5" i="107"/>
  <c r="G323" i="25"/>
  <c r="H323" i="25"/>
  <c r="F322" i="25"/>
  <c r="H322" i="25"/>
  <c r="G322" i="25"/>
  <c r="F106" i="25"/>
  <c r="K83" i="25"/>
  <c r="F50" i="99"/>
  <c r="H50" i="99"/>
  <c r="G50" i="99"/>
  <c r="F9" i="99"/>
  <c r="P760" i="38" l="1"/>
  <c r="O760" i="38"/>
  <c r="Z760" i="38"/>
  <c r="U760" i="38"/>
  <c r="A759" i="38"/>
  <c r="D759" i="38"/>
  <c r="E759" i="38"/>
  <c r="G759" i="38"/>
  <c r="H759" i="38"/>
  <c r="K759" i="38"/>
  <c r="L759" i="38" s="1"/>
  <c r="M759" i="38"/>
  <c r="N759" i="38" s="1"/>
  <c r="S759" i="38"/>
  <c r="F142" i="58"/>
  <c r="H142" i="58"/>
  <c r="G142" i="58"/>
  <c r="F35" i="58"/>
  <c r="F321" i="25"/>
  <c r="G321" i="25"/>
  <c r="H321" i="25"/>
  <c r="F105" i="25"/>
  <c r="F72" i="92"/>
  <c r="H72" i="92"/>
  <c r="G72" i="92"/>
  <c r="F16" i="92"/>
  <c r="O759" i="38" l="1"/>
  <c r="Z759" i="38"/>
  <c r="P759" i="38"/>
  <c r="U759" i="38"/>
  <c r="A758" i="38"/>
  <c r="D758" i="38"/>
  <c r="E758" i="38"/>
  <c r="G758" i="38"/>
  <c r="H758" i="38"/>
  <c r="K758" i="38"/>
  <c r="L758" i="38" s="1"/>
  <c r="M758" i="38"/>
  <c r="N758" i="38" s="1"/>
  <c r="S758" i="38"/>
  <c r="P758" i="38" l="1"/>
  <c r="O758" i="38"/>
  <c r="Z758" i="38"/>
  <c r="U758" i="38"/>
  <c r="F27" i="109"/>
  <c r="G27" i="109"/>
  <c r="H27" i="109"/>
  <c r="G76" i="88"/>
  <c r="F76" i="88"/>
  <c r="H76" i="88"/>
  <c r="F28" i="111"/>
  <c r="G28" i="111"/>
  <c r="H28" i="111"/>
  <c r="F42" i="89"/>
  <c r="H42" i="89"/>
  <c r="G42" i="89"/>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2" i="108"/>
  <c r="G32" i="108"/>
  <c r="H32" i="108"/>
  <c r="F141" i="58"/>
  <c r="G141" i="58"/>
  <c r="H141" i="58"/>
  <c r="F106" i="46"/>
  <c r="G106" i="46"/>
  <c r="H106" i="46"/>
  <c r="F320" i="25"/>
  <c r="G320" i="25"/>
  <c r="H320"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M18" i="112"/>
  <c r="K18" i="112"/>
  <c r="H18" i="112"/>
  <c r="C18" i="112"/>
  <c r="P17" i="112"/>
  <c r="Q11" i="112"/>
  <c r="F2" i="112"/>
  <c r="F18" i="112" s="1"/>
  <c r="F40" i="69"/>
  <c r="H40" i="69"/>
  <c r="G40" i="69"/>
  <c r="F7" i="69"/>
  <c r="F65" i="93"/>
  <c r="H65" i="93"/>
  <c r="G65" i="93"/>
  <c r="F13" i="93"/>
  <c r="F33" i="106"/>
  <c r="H33" i="106"/>
  <c r="G33" i="106"/>
  <c r="F4" i="106"/>
  <c r="F319" i="25"/>
  <c r="H319" i="25"/>
  <c r="G319" i="25"/>
  <c r="F104" i="25"/>
  <c r="F178" i="51"/>
  <c r="H178" i="51"/>
  <c r="G178" i="51"/>
  <c r="F54" i="51"/>
  <c r="C19" i="112"/>
  <c r="F19" i="113"/>
  <c r="M19" i="112"/>
  <c r="F19" i="112"/>
  <c r="M19" i="113"/>
  <c r="F85" i="113"/>
  <c r="H85" i="112"/>
  <c r="C85" i="113"/>
  <c r="H85" i="113"/>
  <c r="H19" i="112"/>
  <c r="K19" i="112"/>
  <c r="C19" i="113"/>
  <c r="C85" i="112"/>
  <c r="F85" i="112"/>
  <c r="K19" i="113"/>
  <c r="M85" i="113"/>
  <c r="H19" i="113"/>
  <c r="K85" i="113"/>
  <c r="M85" i="112"/>
  <c r="K85" i="112"/>
  <c r="Q2" i="112" l="1"/>
  <c r="Q5" i="112" s="1"/>
  <c r="P751" i="38"/>
  <c r="M66" i="113"/>
  <c r="Q10" i="113" s="1"/>
  <c r="Q2" i="113"/>
  <c r="Q5" i="113" s="1"/>
  <c r="M66" i="112"/>
  <c r="Q10" i="112" s="1"/>
  <c r="O751" i="38"/>
  <c r="Z751" i="38"/>
  <c r="U751" i="38"/>
  <c r="Q8" i="112"/>
  <c r="F26" i="109"/>
  <c r="G26" i="109"/>
  <c r="H26" i="109"/>
  <c r="F51" i="102"/>
  <c r="G51" i="102"/>
  <c r="H51" i="102"/>
  <c r="F58" i="45"/>
  <c r="G58" i="45"/>
  <c r="H58" i="45"/>
  <c r="F41" i="89"/>
  <c r="H41" i="89"/>
  <c r="G41" i="89"/>
  <c r="F32" i="106"/>
  <c r="H32" i="106"/>
  <c r="G32" i="106"/>
  <c r="F54" i="103"/>
  <c r="H54" i="103"/>
  <c r="G54" i="103"/>
  <c r="F34" i="97"/>
  <c r="H34" i="97"/>
  <c r="G34" i="97"/>
  <c r="F105" i="46"/>
  <c r="G105" i="46"/>
  <c r="H105"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71" i="92"/>
  <c r="H71" i="92"/>
  <c r="G71" i="92"/>
  <c r="F14" i="92"/>
  <c r="F31" i="108"/>
  <c r="H31" i="108"/>
  <c r="G31"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40" i="58"/>
  <c r="H140" i="58"/>
  <c r="G140" i="58"/>
  <c r="F34" i="58"/>
  <c r="F33" i="58"/>
  <c r="F318" i="25"/>
  <c r="H318" i="25"/>
  <c r="G318"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H19" i="110"/>
  <c r="C85" i="111"/>
  <c r="M19" i="110"/>
  <c r="C19" i="111"/>
  <c r="H85" i="110"/>
  <c r="F19" i="111"/>
  <c r="K85" i="110"/>
  <c r="H85" i="111"/>
  <c r="H19" i="111"/>
  <c r="F19" i="110"/>
  <c r="K85" i="111"/>
  <c r="C85" i="110"/>
  <c r="F85" i="111"/>
  <c r="K19" i="110"/>
  <c r="C19" i="110"/>
  <c r="K19" i="111"/>
  <c r="M85" i="110"/>
  <c r="M19" i="111"/>
  <c r="M85" i="111"/>
  <c r="F85" i="110"/>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77" i="51"/>
  <c r="H177" i="51"/>
  <c r="G177" i="51"/>
  <c r="F53" i="51"/>
  <c r="F53" i="86"/>
  <c r="H53" i="86"/>
  <c r="G53" i="86"/>
  <c r="K9" i="86"/>
  <c r="Q3" i="110" l="1"/>
  <c r="Q6" i="110" s="1"/>
  <c r="Q9" i="113"/>
  <c r="Q5" i="110"/>
  <c r="Q8" i="110"/>
  <c r="Q7" i="110" s="1"/>
  <c r="P749" i="38"/>
  <c r="Q3" i="111"/>
  <c r="Q6" i="111" s="1"/>
  <c r="Q8" i="111"/>
  <c r="Q7" i="111" s="1"/>
  <c r="Q9" i="110"/>
  <c r="O749" i="38"/>
  <c r="Z749" i="38"/>
  <c r="U749" i="38"/>
  <c r="F32" i="58"/>
  <c r="F104" i="46"/>
  <c r="G104" i="46"/>
  <c r="H104" i="46"/>
  <c r="A748" i="38"/>
  <c r="D748" i="38"/>
  <c r="E748" i="38"/>
  <c r="G748" i="38"/>
  <c r="H748" i="38"/>
  <c r="K748" i="38"/>
  <c r="L748" i="38" s="1"/>
  <c r="M748" i="38"/>
  <c r="N748" i="38" s="1"/>
  <c r="S748" i="38"/>
  <c r="F30" i="108"/>
  <c r="H30" i="108"/>
  <c r="G30" i="108"/>
  <c r="F5" i="108"/>
  <c r="F317" i="25"/>
  <c r="H317" i="25"/>
  <c r="G317" i="25"/>
  <c r="F100" i="25"/>
  <c r="F139" i="58"/>
  <c r="H139" i="58"/>
  <c r="G139" i="58"/>
  <c r="K28" i="58"/>
  <c r="F52" i="86"/>
  <c r="H52" i="86"/>
  <c r="G52"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70" i="92"/>
  <c r="H70" i="92"/>
  <c r="G70" i="92"/>
  <c r="F13" i="92"/>
  <c r="F103" i="46"/>
  <c r="H103" i="46"/>
  <c r="G103" i="46"/>
  <c r="F33" i="46"/>
  <c r="F32" i="46"/>
  <c r="P747" i="38" l="1"/>
  <c r="O747" i="38"/>
  <c r="Z747" i="38"/>
  <c r="U747" i="38"/>
  <c r="A746" i="38"/>
  <c r="D746" i="38"/>
  <c r="E746" i="38"/>
  <c r="G746" i="38"/>
  <c r="H746" i="38"/>
  <c r="K746" i="38"/>
  <c r="L746" i="38" s="1"/>
  <c r="M746" i="38"/>
  <c r="U746" i="38" s="1"/>
  <c r="S746" i="38"/>
  <c r="N746" i="38" l="1"/>
  <c r="O746" i="38" s="1"/>
  <c r="P746" i="38"/>
  <c r="Q13" i="109"/>
  <c r="M84" i="109"/>
  <c r="K84" i="109"/>
  <c r="H84" i="109"/>
  <c r="F84" i="109"/>
  <c r="C84" i="109"/>
  <c r="P39" i="109"/>
  <c r="P38" i="109"/>
  <c r="P37" i="109"/>
  <c r="P36" i="109"/>
  <c r="P35" i="109"/>
  <c r="P34" i="109"/>
  <c r="P33" i="109"/>
  <c r="P32" i="109"/>
  <c r="P31" i="109"/>
  <c r="P30" i="109"/>
  <c r="P29" i="109"/>
  <c r="P28" i="109"/>
  <c r="P27" i="109"/>
  <c r="P26" i="109"/>
  <c r="P25" i="109"/>
  <c r="H25" i="109"/>
  <c r="G25" i="109"/>
  <c r="F25" i="109"/>
  <c r="P24" i="109"/>
  <c r="P23" i="109"/>
  <c r="P22" i="109"/>
  <c r="P21" i="109"/>
  <c r="P20" i="109"/>
  <c r="P19" i="109"/>
  <c r="M18" i="109"/>
  <c r="K18" i="109"/>
  <c r="H18" i="109"/>
  <c r="C18" i="109"/>
  <c r="Q11" i="109"/>
  <c r="F2" i="109"/>
  <c r="F18" i="109" s="1"/>
  <c r="F29" i="108"/>
  <c r="H29" i="108"/>
  <c r="G29" i="108"/>
  <c r="F4" i="108"/>
  <c r="F176" i="51"/>
  <c r="H176" i="51"/>
  <c r="G176" i="51"/>
  <c r="F52" i="51"/>
  <c r="F69" i="92"/>
  <c r="H69" i="92"/>
  <c r="G69" i="92"/>
  <c r="F316" i="25"/>
  <c r="G316" i="25"/>
  <c r="H316" i="25"/>
  <c r="M19" i="109"/>
  <c r="C19" i="109"/>
  <c r="F85" i="109"/>
  <c r="F19" i="109"/>
  <c r="H85" i="109"/>
  <c r="K19" i="109"/>
  <c r="K85" i="109"/>
  <c r="H19" i="109"/>
  <c r="M85" i="109"/>
  <c r="C85"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15" i="25"/>
  <c r="G315" i="25"/>
  <c r="H315" i="25"/>
  <c r="F51" i="86" l="1"/>
  <c r="H51" i="86"/>
  <c r="G51"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14" i="25"/>
  <c r="H314" i="25"/>
  <c r="G314"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28" i="108"/>
  <c r="G28" i="108"/>
  <c r="H28" i="108"/>
  <c r="F3" i="108"/>
  <c r="F49" i="98"/>
  <c r="H49" i="98"/>
  <c r="G49" i="98"/>
  <c r="K8" i="98"/>
  <c r="H18" i="98"/>
  <c r="G45" i="74"/>
  <c r="F45" i="74"/>
  <c r="H45"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13" i="25"/>
  <c r="H313" i="25"/>
  <c r="G313" i="25"/>
  <c r="K81" i="25"/>
  <c r="F34" i="107"/>
  <c r="H34" i="107"/>
  <c r="G34" i="107"/>
  <c r="F4" i="107"/>
  <c r="F50" i="86"/>
  <c r="H50" i="86"/>
  <c r="G50" i="86"/>
  <c r="F11" i="86"/>
  <c r="F102" i="46"/>
  <c r="H102" i="46"/>
  <c r="G102" i="46"/>
  <c r="F101" i="46"/>
  <c r="H101" i="46"/>
  <c r="G101" i="46"/>
  <c r="F31" i="46"/>
  <c r="F30" i="46"/>
  <c r="F50" i="102"/>
  <c r="H50" i="102"/>
  <c r="G50" i="102"/>
  <c r="F7" i="102"/>
  <c r="F52" i="96"/>
  <c r="H52" i="96"/>
  <c r="G52" i="96"/>
  <c r="F8" i="96"/>
  <c r="N738" i="38" l="1"/>
  <c r="O738" i="38" s="1"/>
  <c r="P738" i="38"/>
  <c r="F37" i="53"/>
  <c r="G37" i="53"/>
  <c r="H37" i="53"/>
  <c r="Z738" i="38" l="1"/>
  <c r="F36" i="95" l="1"/>
  <c r="G36" i="95"/>
  <c r="H36" i="95"/>
  <c r="F40" i="89"/>
  <c r="G40" i="89"/>
  <c r="H40" i="89"/>
  <c r="F49" i="86" l="1"/>
  <c r="G49" i="86"/>
  <c r="H49" i="86"/>
  <c r="F68" i="92"/>
  <c r="G68" i="92"/>
  <c r="H68" i="92"/>
  <c r="F48" i="98"/>
  <c r="G48" i="98"/>
  <c r="H48" i="98"/>
  <c r="F33" i="97"/>
  <c r="G33" i="97"/>
  <c r="H33" i="97"/>
  <c r="F42" i="105"/>
  <c r="G42" i="105"/>
  <c r="H42" i="105"/>
  <c r="F63" i="93"/>
  <c r="G63" i="93"/>
  <c r="H63" i="93"/>
  <c r="F100" i="46"/>
  <c r="G100" i="46"/>
  <c r="H100" i="46"/>
  <c r="F312" i="25"/>
  <c r="G312" i="25"/>
  <c r="H312" i="25"/>
  <c r="F175" i="51"/>
  <c r="G175" i="51"/>
  <c r="H175" i="51"/>
  <c r="K38" i="51"/>
  <c r="A737" i="38"/>
  <c r="D737" i="38"/>
  <c r="E737" i="38"/>
  <c r="G737" i="38"/>
  <c r="H737" i="38"/>
  <c r="K737" i="38"/>
  <c r="L737" i="38" s="1"/>
  <c r="M737" i="38"/>
  <c r="U737" i="38" s="1"/>
  <c r="S737" i="38"/>
  <c r="N737" i="38" l="1"/>
  <c r="O737" i="38" s="1"/>
  <c r="P737" i="38"/>
  <c r="F48" i="86"/>
  <c r="G48" i="86"/>
  <c r="H48" i="86"/>
  <c r="F85" i="84"/>
  <c r="G85" i="84"/>
  <c r="H85" i="84"/>
  <c r="F99" i="46"/>
  <c r="H99" i="46"/>
  <c r="G99" i="46"/>
  <c r="K17" i="46"/>
  <c r="F33" i="107"/>
  <c r="H33" i="107"/>
  <c r="G33" i="107"/>
  <c r="K2" i="107"/>
  <c r="F48" i="101"/>
  <c r="G48" i="101"/>
  <c r="H48" i="101"/>
  <c r="H47" i="101"/>
  <c r="G47" i="101"/>
  <c r="F47" i="101"/>
  <c r="K9" i="101"/>
  <c r="F138" i="58"/>
  <c r="G138" i="58"/>
  <c r="H138" i="58"/>
  <c r="A735" i="38"/>
  <c r="A736" i="38"/>
  <c r="D736" i="38"/>
  <c r="E736" i="38"/>
  <c r="G736" i="38"/>
  <c r="H736" i="38"/>
  <c r="K736" i="38"/>
  <c r="L736" i="38" s="1"/>
  <c r="M736" i="38"/>
  <c r="N736" i="38" s="1"/>
  <c r="S736" i="38"/>
  <c r="Z737" i="38" l="1"/>
  <c r="O736" i="38"/>
  <c r="Z736" i="38"/>
  <c r="P736" i="38"/>
  <c r="U736" i="38"/>
  <c r="F44" i="74"/>
  <c r="G44" i="74"/>
  <c r="H44" i="74"/>
  <c r="F27" i="108"/>
  <c r="G27" i="108"/>
  <c r="H27" i="108"/>
  <c r="F39" i="89"/>
  <c r="G39" i="89"/>
  <c r="H39" i="89"/>
  <c r="F32" i="97"/>
  <c r="G32" i="97"/>
  <c r="H32" i="97"/>
  <c r="F41" i="105"/>
  <c r="G41" i="105"/>
  <c r="H41" i="105"/>
  <c r="F62" i="93"/>
  <c r="G62" i="93"/>
  <c r="H62" i="93"/>
  <c r="F311" i="25"/>
  <c r="G311" i="25"/>
  <c r="H311"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10" i="25"/>
  <c r="H310" i="25"/>
  <c r="G310" i="25"/>
  <c r="K80" i="25"/>
  <c r="F174" i="51"/>
  <c r="G174" i="51"/>
  <c r="H174" i="51"/>
  <c r="K37" i="51"/>
  <c r="F37" i="69"/>
  <c r="H37" i="69"/>
  <c r="G37" i="69"/>
  <c r="K4" i="69"/>
  <c r="A734" i="38"/>
  <c r="E734" i="38"/>
  <c r="H734" i="38"/>
  <c r="M734" i="38"/>
  <c r="N734" i="38" s="1"/>
  <c r="S734" i="38"/>
  <c r="P734" i="38" l="1"/>
  <c r="O734" i="38"/>
  <c r="Z734" i="38"/>
  <c r="U734" i="38"/>
  <c r="F85" i="43"/>
  <c r="G85" i="43"/>
  <c r="H85" i="43"/>
  <c r="F173" i="51"/>
  <c r="H173" i="51"/>
  <c r="G173" i="51"/>
  <c r="F49" i="51"/>
  <c r="K36" i="51"/>
  <c r="K27" i="58"/>
  <c r="F137" i="58"/>
  <c r="G137" i="58"/>
  <c r="H137" i="58"/>
  <c r="F136" i="58"/>
  <c r="H136" i="58"/>
  <c r="G136" i="58"/>
  <c r="K26" i="58"/>
  <c r="G37" i="89" l="1"/>
  <c r="H37" i="89"/>
  <c r="H38" i="89"/>
  <c r="G38" i="89"/>
  <c r="F38" i="89"/>
  <c r="F5" i="89"/>
  <c r="A733" i="38"/>
  <c r="D733" i="38"/>
  <c r="P733" i="38" s="1"/>
  <c r="E733" i="38"/>
  <c r="H733" i="38"/>
  <c r="M733" i="38"/>
  <c r="N733" i="38" s="1"/>
  <c r="S733" i="38"/>
  <c r="C19" i="89"/>
  <c r="O733" i="38" l="1"/>
  <c r="Z733" i="38"/>
  <c r="U733" i="38"/>
  <c r="F32" i="107"/>
  <c r="G32" i="107"/>
  <c r="H32" i="107"/>
  <c r="F309" i="25"/>
  <c r="G309" i="25"/>
  <c r="H309" i="25"/>
  <c r="F31" i="97" l="1"/>
  <c r="G31" i="97"/>
  <c r="H31" i="97"/>
  <c r="F57" i="45"/>
  <c r="G57" i="45"/>
  <c r="H57" i="45"/>
  <c r="F67" i="92"/>
  <c r="G67" i="92"/>
  <c r="H67" i="92"/>
  <c r="A732" i="38"/>
  <c r="D732" i="38"/>
  <c r="E732" i="38"/>
  <c r="G732" i="38"/>
  <c r="H732" i="38"/>
  <c r="K732" i="38"/>
  <c r="L732" i="38" s="1"/>
  <c r="P732" i="38" s="1"/>
  <c r="M732" i="38"/>
  <c r="N732" i="38" s="1"/>
  <c r="S732" i="38"/>
  <c r="F50" i="96"/>
  <c r="G50" i="96"/>
  <c r="H50" i="96"/>
  <c r="F172" i="51"/>
  <c r="G172" i="51"/>
  <c r="H172" i="51"/>
  <c r="F51" i="51"/>
  <c r="F98" i="46"/>
  <c r="G98" i="46"/>
  <c r="H98" i="46"/>
  <c r="Z732" i="38" l="1"/>
  <c r="O732" i="38"/>
  <c r="U732" i="38"/>
  <c r="F308" i="25"/>
  <c r="G308" i="25"/>
  <c r="H308" i="25"/>
  <c r="F47" i="98"/>
  <c r="G47" i="98"/>
  <c r="H47" i="98"/>
  <c r="F40" i="105"/>
  <c r="G40" i="105"/>
  <c r="H40" i="105"/>
  <c r="F61" i="93"/>
  <c r="G61" i="93"/>
  <c r="H61" i="93"/>
  <c r="A731" i="38"/>
  <c r="D731" i="38"/>
  <c r="E731" i="38"/>
  <c r="G731" i="38"/>
  <c r="H731" i="38"/>
  <c r="K731" i="38"/>
  <c r="L731" i="38" s="1"/>
  <c r="M731" i="38"/>
  <c r="N731" i="38" s="1"/>
  <c r="S731" i="38"/>
  <c r="F171" i="51"/>
  <c r="H171" i="51"/>
  <c r="G171" i="51"/>
  <c r="F50" i="51"/>
  <c r="P731" i="38" l="1"/>
  <c r="O731" i="38"/>
  <c r="Z731" i="38"/>
  <c r="U731" i="38"/>
  <c r="F31" i="107"/>
  <c r="G31" i="107"/>
  <c r="H31" i="107"/>
  <c r="F170" i="51"/>
  <c r="G170" i="51"/>
  <c r="H170" i="51"/>
  <c r="F53" i="103"/>
  <c r="G53" i="103"/>
  <c r="H53" i="103"/>
  <c r="F39" i="105"/>
  <c r="G39" i="105"/>
  <c r="H39" i="105"/>
  <c r="F49" i="96"/>
  <c r="G49" i="96"/>
  <c r="H49" i="96"/>
  <c r="F135" i="58"/>
  <c r="G135" i="58"/>
  <c r="H135" i="58"/>
  <c r="F97" i="46"/>
  <c r="G97" i="46"/>
  <c r="H97" i="46"/>
  <c r="F60" i="93"/>
  <c r="H60" i="93"/>
  <c r="G60" i="93"/>
  <c r="K8" i="93"/>
  <c r="K7" i="93"/>
  <c r="F49" i="102"/>
  <c r="H49" i="102"/>
  <c r="G49" i="102"/>
  <c r="K7" i="102"/>
  <c r="K6" i="102"/>
  <c r="G56" i="45"/>
  <c r="F56" i="45"/>
  <c r="H56" i="45"/>
  <c r="F12" i="45"/>
  <c r="F83" i="84"/>
  <c r="H83" i="84"/>
  <c r="G83" i="84"/>
  <c r="K11" i="84"/>
  <c r="F16" i="84"/>
  <c r="F43" i="74"/>
  <c r="H43" i="74"/>
  <c r="G43" i="74"/>
  <c r="K5" i="74"/>
  <c r="A730" i="38"/>
  <c r="D730" i="38"/>
  <c r="E730" i="38"/>
  <c r="G730" i="38"/>
  <c r="H730" i="38"/>
  <c r="K730" i="38"/>
  <c r="L730" i="38" s="1"/>
  <c r="M730" i="38"/>
  <c r="U730" i="38" s="1"/>
  <c r="S730" i="38"/>
  <c r="N730" i="38" l="1"/>
  <c r="O730" i="38" s="1"/>
  <c r="P730" i="38"/>
  <c r="F30" i="97"/>
  <c r="G30" i="97"/>
  <c r="H30" i="97"/>
  <c r="F52" i="103"/>
  <c r="G52" i="103"/>
  <c r="H52" i="103"/>
  <c r="F134" i="58"/>
  <c r="G134" i="58"/>
  <c r="H134"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42" i="74"/>
  <c r="H42" i="74"/>
  <c r="G42" i="74"/>
  <c r="F8" i="74"/>
  <c r="F307" i="25"/>
  <c r="H307" i="25"/>
  <c r="G307" i="25"/>
  <c r="H66" i="92"/>
  <c r="G66" i="92"/>
  <c r="F66" i="92"/>
  <c r="F11" i="92"/>
  <c r="P728" i="38" l="1"/>
  <c r="O728" i="38"/>
  <c r="Z728" i="38"/>
  <c r="U728" i="38"/>
  <c r="F38" i="105"/>
  <c r="H38" i="105"/>
  <c r="G38" i="105"/>
  <c r="F48" i="96"/>
  <c r="G48" i="96"/>
  <c r="H48" i="96"/>
  <c r="A727" i="38"/>
  <c r="D727" i="38"/>
  <c r="E727" i="38"/>
  <c r="G727" i="38"/>
  <c r="H727" i="38"/>
  <c r="K727" i="38"/>
  <c r="L727" i="38" s="1"/>
  <c r="M727" i="38"/>
  <c r="N727" i="38" s="1"/>
  <c r="S727" i="38"/>
  <c r="G85" i="81"/>
  <c r="K18" i="81"/>
  <c r="G65" i="92"/>
  <c r="H65" i="92"/>
  <c r="K8" i="92"/>
  <c r="F84" i="43"/>
  <c r="H84" i="43"/>
  <c r="G84" i="43"/>
  <c r="K12" i="43"/>
  <c r="O727" i="38" l="1"/>
  <c r="P727" i="38"/>
  <c r="U727" i="38"/>
  <c r="Z727" i="38"/>
  <c r="F41" i="74"/>
  <c r="G41" i="74"/>
  <c r="H41" i="74"/>
  <c r="F83" i="43"/>
  <c r="G83" i="43"/>
  <c r="H83" i="43"/>
  <c r="F133" i="58"/>
  <c r="G133" i="58"/>
  <c r="H133" i="58"/>
  <c r="F96" i="46"/>
  <c r="G96" i="46"/>
  <c r="H96" i="46"/>
  <c r="F59" i="93"/>
  <c r="H59" i="93"/>
  <c r="G59" i="93"/>
  <c r="A726" i="38"/>
  <c r="D726" i="38"/>
  <c r="E726" i="38"/>
  <c r="G726" i="38"/>
  <c r="H726" i="38"/>
  <c r="K726" i="38"/>
  <c r="L726" i="38" s="1"/>
  <c r="M726" i="38"/>
  <c r="N726" i="38" s="1"/>
  <c r="S726" i="38"/>
  <c r="F306" i="25"/>
  <c r="H306" i="25"/>
  <c r="G306" i="25"/>
  <c r="F99" i="25"/>
  <c r="F132" i="58"/>
  <c r="G132" i="58"/>
  <c r="H132" i="58"/>
  <c r="F31" i="58"/>
  <c r="P726" i="38" l="1"/>
  <c r="O726" i="38"/>
  <c r="Z726" i="38"/>
  <c r="U726" i="38"/>
  <c r="F46" i="98"/>
  <c r="H46" i="98"/>
  <c r="G46" i="98"/>
  <c r="F31" i="106"/>
  <c r="H31" i="106"/>
  <c r="G31" i="106"/>
  <c r="F48" i="102"/>
  <c r="G48" i="102"/>
  <c r="H48" i="102"/>
  <c r="F37" i="105"/>
  <c r="H37" i="105"/>
  <c r="G37" i="105"/>
  <c r="F95" i="46"/>
  <c r="G95" i="46"/>
  <c r="H95" i="46"/>
  <c r="A725" i="38"/>
  <c r="D725" i="38"/>
  <c r="E725" i="38"/>
  <c r="G725" i="38"/>
  <c r="H725" i="38"/>
  <c r="K725" i="38"/>
  <c r="L725" i="38" s="1"/>
  <c r="M725" i="38"/>
  <c r="U725" i="38" s="1"/>
  <c r="S725" i="38"/>
  <c r="F75" i="88"/>
  <c r="H75" i="88"/>
  <c r="G75" i="88"/>
  <c r="K13" i="88"/>
  <c r="N725" i="38" l="1"/>
  <c r="Z725" i="38" s="1"/>
  <c r="P725" i="38"/>
  <c r="F131" i="58"/>
  <c r="H131" i="58"/>
  <c r="G131" i="58"/>
  <c r="F169" i="51"/>
  <c r="H169" i="51"/>
  <c r="G169" i="51"/>
  <c r="F36" i="53"/>
  <c r="H36" i="53"/>
  <c r="G36" i="53"/>
  <c r="F6" i="53"/>
  <c r="F98" i="25"/>
  <c r="F94" i="46"/>
  <c r="G94" i="46"/>
  <c r="H94" i="46"/>
  <c r="F29" i="46"/>
  <c r="F47" i="96"/>
  <c r="H47" i="96"/>
  <c r="G47" i="96"/>
  <c r="F7" i="96"/>
  <c r="A724" i="38"/>
  <c r="D724" i="38"/>
  <c r="E724" i="38"/>
  <c r="G724" i="38"/>
  <c r="H724" i="38"/>
  <c r="K724" i="38"/>
  <c r="L724" i="38" s="1"/>
  <c r="M724" i="38"/>
  <c r="N724" i="38" s="1"/>
  <c r="S724" i="38"/>
  <c r="F305" i="25"/>
  <c r="G305" i="25"/>
  <c r="H305" i="25"/>
  <c r="O725" i="38" l="1"/>
  <c r="O724" i="38"/>
  <c r="Z724" i="38"/>
  <c r="P724" i="38"/>
  <c r="U724" i="38"/>
  <c r="Q11" i="97"/>
  <c r="F47" i="102" l="1"/>
  <c r="G47" i="102"/>
  <c r="H47" i="102"/>
  <c r="F304" i="25"/>
  <c r="G304" i="25"/>
  <c r="H304" i="25"/>
  <c r="F168" i="51" l="1"/>
  <c r="H168" i="51"/>
  <c r="G168"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4" i="88"/>
  <c r="H74" i="88"/>
  <c r="G74" i="88"/>
  <c r="F46" i="96"/>
  <c r="H46" i="96"/>
  <c r="G46" i="96"/>
  <c r="F81" i="84"/>
  <c r="G81" i="84"/>
  <c r="H81" i="84"/>
  <c r="F51" i="103"/>
  <c r="H51" i="103"/>
  <c r="G51" i="103"/>
  <c r="F93" i="46"/>
  <c r="G93" i="46"/>
  <c r="H93"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47" i="86"/>
  <c r="F47" i="86"/>
  <c r="H47" i="86"/>
  <c r="F167" i="51"/>
  <c r="H167" i="51"/>
  <c r="G167" i="51"/>
  <c r="F45" i="98"/>
  <c r="G45" i="98"/>
  <c r="H45" i="98"/>
  <c r="F130" i="58"/>
  <c r="H130" i="58"/>
  <c r="G130" i="58"/>
  <c r="F92" i="46"/>
  <c r="G92" i="46"/>
  <c r="H92" i="46"/>
  <c r="A721" i="38"/>
  <c r="D721" i="38"/>
  <c r="E721" i="38"/>
  <c r="G721" i="38"/>
  <c r="H721" i="38"/>
  <c r="K721" i="38"/>
  <c r="L721" i="38" s="1"/>
  <c r="M721" i="38"/>
  <c r="N721" i="38" s="1"/>
  <c r="S721" i="38"/>
  <c r="F303" i="25"/>
  <c r="H303" i="25"/>
  <c r="G303" i="25"/>
  <c r="K79" i="25"/>
  <c r="F57" i="93"/>
  <c r="H57" i="93"/>
  <c r="G57" i="93"/>
  <c r="F11" i="93"/>
  <c r="C18" i="98"/>
  <c r="F40" i="74"/>
  <c r="H40" i="74"/>
  <c r="G40" i="74"/>
  <c r="H50" i="103"/>
  <c r="G50" i="103"/>
  <c r="F50" i="103"/>
  <c r="F302" i="25"/>
  <c r="G302" i="25"/>
  <c r="H302"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3" i="88"/>
  <c r="H73" i="88"/>
  <c r="G73" i="88"/>
  <c r="K12" i="88"/>
  <c r="F46" i="86"/>
  <c r="H46" i="86"/>
  <c r="G46" i="86"/>
  <c r="K6" i="86"/>
  <c r="F36" i="69"/>
  <c r="H36" i="69"/>
  <c r="G36" i="69"/>
  <c r="K3" i="69"/>
  <c r="F301" i="25"/>
  <c r="G301" i="25"/>
  <c r="H301" i="25"/>
  <c r="K78" i="25"/>
  <c r="G44" i="98"/>
  <c r="F44" i="98"/>
  <c r="H44" i="98"/>
  <c r="K7" i="98"/>
  <c r="F129" i="58"/>
  <c r="H129" i="58"/>
  <c r="G129" i="58"/>
  <c r="K25" i="58"/>
  <c r="F97" i="25"/>
  <c r="F34" i="105"/>
  <c r="H34" i="105"/>
  <c r="G34" i="105"/>
  <c r="K2" i="105"/>
  <c r="K18" i="105" s="1"/>
  <c r="F35" i="53"/>
  <c r="H35" i="53"/>
  <c r="G35" i="53"/>
  <c r="K4" i="53"/>
  <c r="F300" i="25"/>
  <c r="G300" i="25"/>
  <c r="H300" i="25"/>
  <c r="F96" i="25"/>
  <c r="P719" i="38" l="1"/>
  <c r="Z719" i="38"/>
  <c r="O719" i="38"/>
  <c r="U719" i="38"/>
  <c r="F56" i="93"/>
  <c r="H56" i="93"/>
  <c r="G56" i="93"/>
  <c r="F88" i="25"/>
  <c r="F33" i="105"/>
  <c r="H33" i="105"/>
  <c r="G33" i="105"/>
  <c r="F35" i="69"/>
  <c r="H35" i="69"/>
  <c r="G35" i="69"/>
  <c r="F64" i="92"/>
  <c r="H64" i="92"/>
  <c r="G64" i="92"/>
  <c r="F299" i="25"/>
  <c r="G299" i="25"/>
  <c r="H299" i="25"/>
  <c r="G72" i="88"/>
  <c r="F72" i="88"/>
  <c r="H72"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63" i="92"/>
  <c r="G63" i="92"/>
  <c r="H63" i="92"/>
  <c r="F29" i="107"/>
  <c r="G29" i="107"/>
  <c r="H29" i="107"/>
  <c r="F30" i="106"/>
  <c r="G30" i="106"/>
  <c r="H30" i="106"/>
  <c r="F55" i="45"/>
  <c r="G55" i="45"/>
  <c r="H55" i="45"/>
  <c r="K8" i="45"/>
  <c r="F298" i="25"/>
  <c r="H298" i="25"/>
  <c r="G298" i="25"/>
  <c r="K76" i="25"/>
  <c r="F297" i="25"/>
  <c r="H297" i="25"/>
  <c r="G297" i="25"/>
  <c r="K75" i="25"/>
  <c r="A716" i="38"/>
  <c r="D716" i="38"/>
  <c r="E716" i="38"/>
  <c r="G716" i="38"/>
  <c r="H716" i="38"/>
  <c r="K716" i="38"/>
  <c r="L716" i="38" s="1"/>
  <c r="M716" i="38"/>
  <c r="N716" i="38" s="1"/>
  <c r="S716" i="38"/>
  <c r="O716" i="38" l="1"/>
  <c r="Z716" i="38"/>
  <c r="P716" i="38"/>
  <c r="U716" i="38"/>
  <c r="F34" i="69"/>
  <c r="H34" i="69"/>
  <c r="G34" i="69"/>
  <c r="F5" i="69"/>
  <c r="F55" i="93"/>
  <c r="G55" i="93"/>
  <c r="H55" i="93"/>
  <c r="F296" i="25"/>
  <c r="G296" i="25"/>
  <c r="H296" i="25"/>
  <c r="F128" i="58"/>
  <c r="G128" i="58"/>
  <c r="H128"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39" i="74"/>
  <c r="H39" i="74"/>
  <c r="G39" i="74"/>
  <c r="F82" i="81"/>
  <c r="H82" i="81"/>
  <c r="G82" i="81"/>
  <c r="F49" i="103"/>
  <c r="H49" i="103"/>
  <c r="G49" i="103"/>
  <c r="F127" i="58"/>
  <c r="H127" i="58"/>
  <c r="G127" i="58"/>
  <c r="F54" i="93"/>
  <c r="H54" i="93"/>
  <c r="G54" i="93"/>
  <c r="F26" i="108"/>
  <c r="G26" i="108"/>
  <c r="H26" i="108"/>
  <c r="F91" i="46"/>
  <c r="H91" i="46"/>
  <c r="G91" i="46"/>
  <c r="K16" i="46"/>
  <c r="A714" i="38"/>
  <c r="D714" i="38"/>
  <c r="E714" i="38"/>
  <c r="G714" i="38"/>
  <c r="H714" i="38"/>
  <c r="K714" i="38"/>
  <c r="L714" i="38" s="1"/>
  <c r="M714" i="38"/>
  <c r="N714" i="38" s="1"/>
  <c r="S714" i="38"/>
  <c r="F295" i="25"/>
  <c r="G295" i="25"/>
  <c r="H295" i="25"/>
  <c r="F33" i="69"/>
  <c r="H33" i="69"/>
  <c r="G33" i="69"/>
  <c r="K2" i="69"/>
  <c r="K18" i="69" s="1"/>
  <c r="F3" i="69"/>
  <c r="G71" i="88"/>
  <c r="F71" i="88"/>
  <c r="H71" i="88"/>
  <c r="K11" i="88"/>
  <c r="Z715" i="38" l="1"/>
  <c r="O714" i="38"/>
  <c r="Z714" i="38"/>
  <c r="P714" i="38"/>
  <c r="U714" i="38"/>
  <c r="Q11" i="107"/>
  <c r="Q13" i="107"/>
  <c r="Q13" i="106"/>
  <c r="F28" i="107" l="1"/>
  <c r="G28" i="107"/>
  <c r="H28" i="107"/>
  <c r="F33" i="53"/>
  <c r="G33" i="53"/>
  <c r="H33" i="53"/>
  <c r="F166" i="51"/>
  <c r="G166" i="51"/>
  <c r="H166" i="51"/>
  <c r="F70" i="88"/>
  <c r="G70" i="88"/>
  <c r="H70" i="88"/>
  <c r="F29" i="106"/>
  <c r="G29" i="106"/>
  <c r="H29" i="106"/>
  <c r="F62" i="92"/>
  <c r="G62" i="92"/>
  <c r="H62" i="92"/>
  <c r="F32" i="69"/>
  <c r="G32" i="69"/>
  <c r="H32" i="69"/>
  <c r="F46" i="102"/>
  <c r="G46" i="102"/>
  <c r="H46" i="102"/>
  <c r="F44" i="96"/>
  <c r="G44" i="96"/>
  <c r="H44" i="96"/>
  <c r="F48" i="103"/>
  <c r="G48" i="103"/>
  <c r="H48" i="103"/>
  <c r="F80" i="84"/>
  <c r="G80" i="84"/>
  <c r="H80" i="84"/>
  <c r="F32" i="105"/>
  <c r="G32" i="105"/>
  <c r="H32" i="105"/>
  <c r="F53" i="93"/>
  <c r="H53" i="93"/>
  <c r="G53" i="93"/>
  <c r="F294" i="25"/>
  <c r="G294" i="25"/>
  <c r="H294" i="25"/>
  <c r="K74" i="25"/>
  <c r="F79" i="43"/>
  <c r="H79" i="43"/>
  <c r="G79" i="43"/>
  <c r="K11" i="43"/>
  <c r="F90" i="46"/>
  <c r="H90" i="46"/>
  <c r="G90" i="46"/>
  <c r="F20" i="46"/>
  <c r="K15" i="46"/>
  <c r="A713" i="38"/>
  <c r="D713" i="38"/>
  <c r="E713" i="38"/>
  <c r="G713" i="38"/>
  <c r="H713" i="38"/>
  <c r="K713" i="38"/>
  <c r="L713" i="38" s="1"/>
  <c r="M713" i="38"/>
  <c r="U713" i="38" s="1"/>
  <c r="S713" i="38"/>
  <c r="F31" i="68"/>
  <c r="H31" i="68"/>
  <c r="G31" i="68"/>
  <c r="K3" i="68"/>
  <c r="N713" i="38" l="1"/>
  <c r="O713" i="38" s="1"/>
  <c r="P713" i="38"/>
  <c r="G45" i="86"/>
  <c r="F45" i="86"/>
  <c r="H45" i="86"/>
  <c r="F32" i="53"/>
  <c r="G32" i="53"/>
  <c r="H32" i="53"/>
  <c r="F165" i="51"/>
  <c r="G165" i="51"/>
  <c r="H165" i="51"/>
  <c r="F28" i="106"/>
  <c r="G28" i="106"/>
  <c r="H28" i="106"/>
  <c r="F31" i="69"/>
  <c r="G31" i="69"/>
  <c r="H31" i="69"/>
  <c r="F43" i="96"/>
  <c r="G43" i="96"/>
  <c r="H43" i="96"/>
  <c r="F45" i="102"/>
  <c r="G45" i="102"/>
  <c r="H45" i="102"/>
  <c r="F79" i="84"/>
  <c r="G79" i="84"/>
  <c r="H79" i="84"/>
  <c r="G78" i="43"/>
  <c r="F78" i="43"/>
  <c r="H78" i="43"/>
  <c r="F31" i="105"/>
  <c r="G31" i="105"/>
  <c r="H31" i="105"/>
  <c r="F89" i="46"/>
  <c r="H89" i="46"/>
  <c r="G89" i="46"/>
  <c r="F293" i="25"/>
  <c r="G293" i="25"/>
  <c r="H293"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26" i="58"/>
  <c r="H126" i="58"/>
  <c r="G126" i="58"/>
  <c r="F30" i="58"/>
  <c r="F53" i="49"/>
  <c r="G53" i="49"/>
  <c r="H53" i="49"/>
  <c r="K6" i="49"/>
  <c r="H46" i="101"/>
  <c r="G46" i="101"/>
  <c r="F9" i="101"/>
  <c r="F47" i="103"/>
  <c r="H47" i="103"/>
  <c r="G47" i="103"/>
  <c r="F7" i="103"/>
  <c r="F292" i="25"/>
  <c r="H292" i="25"/>
  <c r="G292" i="25"/>
  <c r="F291" i="25"/>
  <c r="H291" i="25"/>
  <c r="G291" i="25"/>
  <c r="F95" i="25"/>
  <c r="F94" i="25"/>
  <c r="P711" i="38" l="1"/>
  <c r="O711" i="38"/>
  <c r="Z711" i="38"/>
  <c r="U711" i="38"/>
  <c r="F27" i="107"/>
  <c r="G27" i="107"/>
  <c r="H27" i="107"/>
  <c r="F61" i="92"/>
  <c r="H61" i="92"/>
  <c r="G61" i="92"/>
  <c r="K7" i="92"/>
  <c r="F31" i="53"/>
  <c r="H31" i="53"/>
  <c r="G31" i="53"/>
  <c r="K3" i="53"/>
  <c r="A710" i="38"/>
  <c r="D710" i="38"/>
  <c r="E710" i="38"/>
  <c r="G710" i="38"/>
  <c r="H710" i="38"/>
  <c r="K710" i="38"/>
  <c r="L710" i="38" s="1"/>
  <c r="M710" i="38"/>
  <c r="N710" i="38" s="1"/>
  <c r="S710" i="38"/>
  <c r="O710" i="38" l="1"/>
  <c r="Z710" i="38"/>
  <c r="P710" i="38"/>
  <c r="U710" i="38"/>
  <c r="F38" i="74"/>
  <c r="H38" i="74"/>
  <c r="G38" i="74"/>
  <c r="F45" i="99"/>
  <c r="H45" i="99"/>
  <c r="G45" i="99"/>
  <c r="F30" i="68"/>
  <c r="H30" i="68"/>
  <c r="G30" i="68"/>
  <c r="F54" i="45"/>
  <c r="G54" i="45"/>
  <c r="H54" i="45"/>
  <c r="F46" i="103"/>
  <c r="H46" i="103"/>
  <c r="G46" i="103"/>
  <c r="G69" i="88"/>
  <c r="F69" i="88"/>
  <c r="H69" i="88"/>
  <c r="F60" i="92"/>
  <c r="H60" i="92"/>
  <c r="G60" i="92"/>
  <c r="F30" i="69"/>
  <c r="G30" i="69"/>
  <c r="H30" i="69"/>
  <c r="F81" i="81"/>
  <c r="G81" i="81"/>
  <c r="H81" i="81"/>
  <c r="F42" i="96"/>
  <c r="G42" i="96"/>
  <c r="H42" i="96"/>
  <c r="G125" i="58"/>
  <c r="F125" i="58"/>
  <c r="H125" i="58"/>
  <c r="F30" i="53"/>
  <c r="H30" i="53"/>
  <c r="G30" i="53"/>
  <c r="F51" i="93"/>
  <c r="H51" i="93"/>
  <c r="G51" i="93"/>
  <c r="F290" i="25"/>
  <c r="H290" i="25"/>
  <c r="G290" i="25"/>
  <c r="A709" i="38"/>
  <c r="D709" i="38"/>
  <c r="E709" i="38"/>
  <c r="G709" i="38"/>
  <c r="H709" i="38"/>
  <c r="K709" i="38"/>
  <c r="L709" i="38" s="1"/>
  <c r="M709" i="38"/>
  <c r="N709" i="38" s="1"/>
  <c r="S709" i="38"/>
  <c r="F44" i="86"/>
  <c r="H44" i="86"/>
  <c r="G44" i="86"/>
  <c r="F10" i="86"/>
  <c r="F28" i="105"/>
  <c r="G28" i="105"/>
  <c r="H28" i="105"/>
  <c r="F3" i="105"/>
  <c r="F27" i="106"/>
  <c r="G27" i="106"/>
  <c r="H27" i="106"/>
  <c r="F3" i="106"/>
  <c r="F88" i="46"/>
  <c r="H88" i="46"/>
  <c r="G88" i="46"/>
  <c r="F28" i="46"/>
  <c r="M84" i="108"/>
  <c r="K84" i="108"/>
  <c r="H84" i="108"/>
  <c r="F84" i="108"/>
  <c r="C84" i="108"/>
  <c r="P37" i="108"/>
  <c r="P36" i="108"/>
  <c r="P35" i="108"/>
  <c r="P34" i="108"/>
  <c r="P33" i="108"/>
  <c r="P32" i="108"/>
  <c r="P31" i="108"/>
  <c r="P30" i="108"/>
  <c r="P29" i="108"/>
  <c r="P28" i="108"/>
  <c r="P27" i="108"/>
  <c r="P26" i="108"/>
  <c r="P25" i="108"/>
  <c r="H25" i="108"/>
  <c r="G25" i="108"/>
  <c r="F25" i="108"/>
  <c r="P24" i="108"/>
  <c r="P23" i="108"/>
  <c r="P22" i="108"/>
  <c r="P21" i="108"/>
  <c r="P20" i="108"/>
  <c r="P19" i="108"/>
  <c r="P18" i="108"/>
  <c r="M18" i="108"/>
  <c r="P17" i="108"/>
  <c r="Q11" i="108"/>
  <c r="F2" i="108"/>
  <c r="F18" i="108" s="1"/>
  <c r="F19" i="108"/>
  <c r="K19" i="108"/>
  <c r="H19" i="108"/>
  <c r="K85" i="108"/>
  <c r="C19" i="108"/>
  <c r="M85" i="108"/>
  <c r="C85" i="108"/>
  <c r="H85" i="108"/>
  <c r="M19" i="108"/>
  <c r="F85" i="108"/>
  <c r="M66"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289" i="25"/>
  <c r="G289" i="25"/>
  <c r="H289"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64" i="51"/>
  <c r="G164" i="51"/>
  <c r="H164" i="51"/>
  <c r="F48" i="51"/>
  <c r="O707" i="38" l="1"/>
  <c r="P707" i="38"/>
  <c r="U707" i="38"/>
  <c r="Z707" i="38"/>
  <c r="F80" i="81"/>
  <c r="G80" i="81"/>
  <c r="H80" i="81"/>
  <c r="F43" i="102"/>
  <c r="G43" i="102"/>
  <c r="H43" i="102"/>
  <c r="G40" i="96" l="1"/>
  <c r="F40" i="96"/>
  <c r="H40" i="96"/>
  <c r="F124" i="58" l="1"/>
  <c r="G124" i="58"/>
  <c r="H124" i="58"/>
  <c r="F78" i="84"/>
  <c r="G78" i="84"/>
  <c r="H78" i="84"/>
  <c r="Q13" i="43"/>
  <c r="A706" i="38"/>
  <c r="D706" i="38"/>
  <c r="E706" i="38"/>
  <c r="G706" i="38"/>
  <c r="H706" i="38"/>
  <c r="K706" i="38"/>
  <c r="L706" i="38" s="1"/>
  <c r="M706" i="38"/>
  <c r="N706" i="38" s="1"/>
  <c r="S706" i="38"/>
  <c r="F87" i="46"/>
  <c r="H87" i="46"/>
  <c r="G87" i="46"/>
  <c r="F27" i="46"/>
  <c r="F41" i="90"/>
  <c r="G41" i="90"/>
  <c r="H41" i="90"/>
  <c r="F42" i="90"/>
  <c r="G42" i="90"/>
  <c r="H42" i="90"/>
  <c r="F7" i="90"/>
  <c r="F288" i="25"/>
  <c r="G288" i="25"/>
  <c r="H288" i="25"/>
  <c r="F93" i="25"/>
  <c r="F43" i="86"/>
  <c r="H43" i="86"/>
  <c r="G43" i="86"/>
  <c r="F9" i="86"/>
  <c r="F29" i="53"/>
  <c r="H29" i="53"/>
  <c r="G29" i="53"/>
  <c r="F5" i="53"/>
  <c r="F163" i="51"/>
  <c r="H163" i="51"/>
  <c r="G163" i="51"/>
  <c r="K35" i="51"/>
  <c r="K34" i="51"/>
  <c r="Q11" i="69"/>
  <c r="F77" i="43"/>
  <c r="H77" i="43"/>
  <c r="G77" i="43"/>
  <c r="F18" i="43"/>
  <c r="P706" i="38" l="1"/>
  <c r="O706" i="38"/>
  <c r="Z706" i="38"/>
  <c r="U706" i="38"/>
  <c r="F86" i="46"/>
  <c r="H86" i="46"/>
  <c r="G86" i="46"/>
  <c r="F26" i="46"/>
  <c r="F45" i="103"/>
  <c r="H45" i="103"/>
  <c r="G45" i="103"/>
  <c r="F6" i="103"/>
  <c r="A705" i="38"/>
  <c r="D705" i="38"/>
  <c r="E705" i="38"/>
  <c r="G705" i="38"/>
  <c r="H705" i="38"/>
  <c r="K705" i="38"/>
  <c r="L705" i="38" s="1"/>
  <c r="M705" i="38"/>
  <c r="N705" i="38" s="1"/>
  <c r="S705" i="38"/>
  <c r="Q13" i="103"/>
  <c r="F44" i="103"/>
  <c r="G44" i="103"/>
  <c r="H44" i="103"/>
  <c r="G68" i="88"/>
  <c r="F68" i="88"/>
  <c r="H68" i="88"/>
  <c r="F18" i="88"/>
  <c r="P705" i="38" l="1"/>
  <c r="O705" i="38"/>
  <c r="Z705" i="38"/>
  <c r="U705" i="38"/>
  <c r="G39" i="96"/>
  <c r="F39" i="96"/>
  <c r="H39" i="96"/>
  <c r="D704" i="38"/>
  <c r="G703" i="38"/>
  <c r="G704" i="38"/>
  <c r="K704" i="38"/>
  <c r="L704" i="38" s="1"/>
  <c r="A704" i="38"/>
  <c r="E704" i="38"/>
  <c r="H704" i="38"/>
  <c r="M704" i="38"/>
  <c r="N704" i="38" s="1"/>
  <c r="S704" i="38"/>
  <c r="F85" i="46"/>
  <c r="H85" i="46"/>
  <c r="G85" i="46"/>
  <c r="F25" i="46"/>
  <c r="F24" i="46"/>
  <c r="F43" i="103"/>
  <c r="H43" i="103"/>
  <c r="G43" i="103"/>
  <c r="K3" i="103"/>
  <c r="G67" i="88"/>
  <c r="F67" i="88"/>
  <c r="H67" i="88"/>
  <c r="K10" i="88"/>
  <c r="G84" i="46"/>
  <c r="F84" i="46"/>
  <c r="H84" i="46"/>
  <c r="F23" i="46"/>
  <c r="F38" i="98"/>
  <c r="H38" i="98"/>
  <c r="G38" i="98"/>
  <c r="F26" i="107"/>
  <c r="G26" i="107"/>
  <c r="H26" i="107"/>
  <c r="F35" i="95"/>
  <c r="G35" i="95"/>
  <c r="H35" i="95"/>
  <c r="G37" i="74"/>
  <c r="F37" i="74"/>
  <c r="H37" i="74"/>
  <c r="F44" i="99"/>
  <c r="G44" i="99"/>
  <c r="H44" i="99"/>
  <c r="F27" i="105"/>
  <c r="G27" i="105"/>
  <c r="H27" i="105"/>
  <c r="F26" i="106"/>
  <c r="G26" i="106"/>
  <c r="H26" i="106"/>
  <c r="F52" i="49"/>
  <c r="G52" i="49"/>
  <c r="H52" i="49"/>
  <c r="F29" i="68"/>
  <c r="G29" i="68"/>
  <c r="H29" i="68"/>
  <c r="F52" i="45"/>
  <c r="G52" i="45"/>
  <c r="H52" i="45"/>
  <c r="F42" i="86"/>
  <c r="H42" i="86"/>
  <c r="G42" i="86"/>
  <c r="F76" i="43"/>
  <c r="H76" i="43"/>
  <c r="G76" i="43"/>
  <c r="F59" i="92"/>
  <c r="G59" i="92"/>
  <c r="H59" i="92"/>
  <c r="F162" i="51"/>
  <c r="H162" i="51"/>
  <c r="G162"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287" i="25"/>
  <c r="G287" i="25"/>
  <c r="H287" i="25"/>
  <c r="K73" i="25"/>
  <c r="F41" i="102"/>
  <c r="H41" i="102"/>
  <c r="G41" i="102"/>
  <c r="K5" i="102"/>
  <c r="F286" i="25"/>
  <c r="H286" i="25"/>
  <c r="G286" i="25"/>
  <c r="F92" i="25"/>
  <c r="H36" i="74"/>
  <c r="G36" i="74"/>
  <c r="F36"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F58" i="92"/>
  <c r="H58" i="92"/>
  <c r="G58" i="92"/>
  <c r="F10" i="92"/>
  <c r="M84" i="107"/>
  <c r="K84" i="107"/>
  <c r="H84" i="107"/>
  <c r="F84" i="107"/>
  <c r="C84"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M19" i="107"/>
  <c r="F19" i="107"/>
  <c r="K19" i="107"/>
  <c r="H19" i="107"/>
  <c r="K85" i="107"/>
  <c r="M85" i="107"/>
  <c r="C19" i="107"/>
  <c r="H85" i="107"/>
  <c r="F85" i="107"/>
  <c r="C85" i="107"/>
  <c r="Q2" i="107" l="1"/>
  <c r="Q5" i="107" s="1"/>
  <c r="M66" i="107"/>
  <c r="Q10" i="107" s="1"/>
  <c r="P701" i="38"/>
  <c r="O701" i="38"/>
  <c r="Z701" i="38"/>
  <c r="U701" i="38"/>
  <c r="F26" i="105"/>
  <c r="G26" i="105"/>
  <c r="H26" i="105"/>
  <c r="F51" i="45"/>
  <c r="G51" i="45"/>
  <c r="H51" i="45"/>
  <c r="F26" i="69"/>
  <c r="G26" i="69"/>
  <c r="H26" i="69"/>
  <c r="F57" i="92"/>
  <c r="H57" i="92"/>
  <c r="G57" i="92"/>
  <c r="F74" i="43"/>
  <c r="H74" i="43"/>
  <c r="G74" i="43"/>
  <c r="F41" i="103"/>
  <c r="G41" i="103"/>
  <c r="H41" i="103"/>
  <c r="F123" i="58"/>
  <c r="G123" i="58"/>
  <c r="H123" i="58"/>
  <c r="F77" i="84"/>
  <c r="H77" i="84"/>
  <c r="G77" i="84"/>
  <c r="F40" i="102"/>
  <c r="H40" i="102"/>
  <c r="G40" i="102"/>
  <c r="F161" i="51"/>
  <c r="G161" i="51"/>
  <c r="H161" i="51"/>
  <c r="A700" i="38"/>
  <c r="D700" i="38"/>
  <c r="E700" i="38"/>
  <c r="G700" i="38"/>
  <c r="H700" i="38"/>
  <c r="K700" i="38"/>
  <c r="L700" i="38" s="1"/>
  <c r="M700" i="38"/>
  <c r="N700" i="38" s="1"/>
  <c r="S700" i="38"/>
  <c r="F41" i="86"/>
  <c r="H41" i="86"/>
  <c r="G41" i="86"/>
  <c r="K5" i="86"/>
  <c r="F285" i="25"/>
  <c r="H285" i="25"/>
  <c r="G285" i="25"/>
  <c r="F91" i="25"/>
  <c r="F45" i="101"/>
  <c r="H45" i="101"/>
  <c r="G45" i="101"/>
  <c r="Q3" i="107" l="1"/>
  <c r="Q6" i="107" s="1"/>
  <c r="Q8" i="107"/>
  <c r="Q7" i="107" s="1"/>
  <c r="P700" i="38"/>
  <c r="O700" i="38"/>
  <c r="Z700" i="38"/>
  <c r="U700" i="38"/>
  <c r="F284" i="25"/>
  <c r="H284" i="25"/>
  <c r="G284" i="25"/>
  <c r="K72" i="25"/>
  <c r="F28" i="53"/>
  <c r="G28" i="53"/>
  <c r="H28" i="53"/>
  <c r="F3" i="53"/>
  <c r="K2" i="53"/>
  <c r="F56" i="92"/>
  <c r="H56" i="92"/>
  <c r="G56" i="92"/>
  <c r="K6" i="92"/>
  <c r="F66" i="88"/>
  <c r="H66" i="88"/>
  <c r="G66" i="88"/>
  <c r="K9" i="88"/>
  <c r="F48" i="93"/>
  <c r="H48" i="93"/>
  <c r="G48" i="93"/>
  <c r="K5" i="93"/>
  <c r="A699" i="38"/>
  <c r="D699" i="38"/>
  <c r="E699" i="38"/>
  <c r="G699" i="38"/>
  <c r="H699" i="38"/>
  <c r="K699" i="38"/>
  <c r="L699" i="38" s="1"/>
  <c r="M699" i="38"/>
  <c r="N699" i="38" s="1"/>
  <c r="S699" i="38"/>
  <c r="C26" i="93"/>
  <c r="Q9" i="107" l="1"/>
  <c r="P699" i="38"/>
  <c r="O699" i="38"/>
  <c r="Z699" i="38"/>
  <c r="U699" i="38"/>
  <c r="F160" i="51"/>
  <c r="G160" i="51"/>
  <c r="H160" i="51"/>
  <c r="H25" i="93" l="1"/>
  <c r="F47" i="93" l="1"/>
  <c r="H47" i="93"/>
  <c r="G47" i="93"/>
  <c r="A698" i="38"/>
  <c r="D698" i="38"/>
  <c r="E698" i="38"/>
  <c r="G698" i="38"/>
  <c r="H698" i="38"/>
  <c r="K698" i="38"/>
  <c r="L698" i="38" s="1"/>
  <c r="M698" i="38"/>
  <c r="N698" i="38" s="1"/>
  <c r="S698" i="38"/>
  <c r="F283" i="25"/>
  <c r="G283" i="25"/>
  <c r="H283" i="25"/>
  <c r="C46" i="58"/>
  <c r="F40" i="103"/>
  <c r="H40" i="103"/>
  <c r="G40" i="103"/>
  <c r="F65" i="88"/>
  <c r="H65" i="88"/>
  <c r="G65" i="88"/>
  <c r="P698" i="38" l="1"/>
  <c r="O698" i="38"/>
  <c r="Z698" i="38"/>
  <c r="U698" i="38"/>
  <c r="Q11" i="102"/>
  <c r="F39" i="102"/>
  <c r="G39" i="102"/>
  <c r="H39" i="102"/>
  <c r="Q13" i="102"/>
  <c r="A697" i="38"/>
  <c r="D697" i="38"/>
  <c r="E697" i="38"/>
  <c r="G697" i="38"/>
  <c r="H697" i="38"/>
  <c r="K697" i="38"/>
  <c r="L697" i="38" s="1"/>
  <c r="M697" i="38"/>
  <c r="N697" i="38" s="1"/>
  <c r="S697" i="38"/>
  <c r="F282" i="25"/>
  <c r="G282" i="25"/>
  <c r="H282" i="25"/>
  <c r="F78" i="81"/>
  <c r="G78" i="81"/>
  <c r="H78" i="81"/>
  <c r="F22" i="81"/>
  <c r="F64" i="88"/>
  <c r="H64" i="88"/>
  <c r="G64" i="88"/>
  <c r="F17" i="88"/>
  <c r="F36" i="96"/>
  <c r="G36" i="96"/>
  <c r="H36" i="96"/>
  <c r="K3" i="96"/>
  <c r="F77" i="81"/>
  <c r="G77" i="81"/>
  <c r="H77" i="81"/>
  <c r="K16" i="81"/>
  <c r="G83" i="46"/>
  <c r="F83" i="46"/>
  <c r="H83" i="46"/>
  <c r="K14" i="46"/>
  <c r="F43" i="99"/>
  <c r="H43" i="99"/>
  <c r="G43" i="99"/>
  <c r="K6" i="99"/>
  <c r="A696" i="38"/>
  <c r="D696" i="38"/>
  <c r="E696" i="38"/>
  <c r="G696" i="38"/>
  <c r="H696" i="38"/>
  <c r="K696" i="38"/>
  <c r="L696" i="38" s="1"/>
  <c r="M696" i="38"/>
  <c r="N696" i="38" s="1"/>
  <c r="S696" i="38"/>
  <c r="F82" i="46"/>
  <c r="H82" i="46"/>
  <c r="G82" i="46"/>
  <c r="F22" i="46"/>
  <c r="F46" i="93"/>
  <c r="H46" i="93"/>
  <c r="G46" i="93"/>
  <c r="F10" i="93"/>
  <c r="G122" i="58"/>
  <c r="F122" i="58"/>
  <c r="H122" i="58"/>
  <c r="F29" i="58"/>
  <c r="F42" i="99"/>
  <c r="H42" i="99"/>
  <c r="G42" i="99"/>
  <c r="F7" i="99"/>
  <c r="F63" i="88"/>
  <c r="H63" i="88"/>
  <c r="G63" i="88"/>
  <c r="F45" i="93"/>
  <c r="H45" i="93"/>
  <c r="G45" i="93"/>
  <c r="F44" i="93"/>
  <c r="H44" i="93"/>
  <c r="G44" i="93"/>
  <c r="F9" i="93"/>
  <c r="F8" i="93"/>
  <c r="F16" i="88"/>
  <c r="F41" i="99"/>
  <c r="H41" i="99"/>
  <c r="G41" i="99"/>
  <c r="F40" i="86"/>
  <c r="H40" i="86"/>
  <c r="G40" i="86"/>
  <c r="A695" i="38"/>
  <c r="D695" i="38"/>
  <c r="E695" i="38"/>
  <c r="G695" i="38"/>
  <c r="H695" i="38"/>
  <c r="K695" i="38"/>
  <c r="L695" i="38" s="1"/>
  <c r="M695" i="38"/>
  <c r="U695" i="38" s="1"/>
  <c r="S695" i="38"/>
  <c r="H35" i="96"/>
  <c r="G35" i="96"/>
  <c r="F35" i="96"/>
  <c r="F5" i="96"/>
  <c r="F281" i="25"/>
  <c r="H281" i="25"/>
  <c r="G281" i="25"/>
  <c r="K71" i="25"/>
  <c r="F121" i="58"/>
  <c r="H121" i="58"/>
  <c r="G121"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2" i="88"/>
  <c r="H62" i="88"/>
  <c r="G62" i="88"/>
  <c r="K8" i="88"/>
  <c r="K5" i="90"/>
  <c r="H37" i="98"/>
  <c r="G37" i="98"/>
  <c r="F37" i="98"/>
  <c r="F5" i="98"/>
  <c r="F40" i="90"/>
  <c r="H40" i="90"/>
  <c r="G40" i="90"/>
  <c r="Q11" i="93"/>
  <c r="G43" i="93"/>
  <c r="F43" i="93"/>
  <c r="H43" i="93"/>
  <c r="G61" i="88"/>
  <c r="F61" i="88"/>
  <c r="H61"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C85" i="106"/>
  <c r="K19" i="106"/>
  <c r="M19" i="106"/>
  <c r="F85" i="106"/>
  <c r="F19" i="106"/>
  <c r="C19" i="106"/>
  <c r="K85" i="106"/>
  <c r="H85" i="106"/>
  <c r="M85" i="106"/>
  <c r="H19" i="106"/>
  <c r="M66" i="106" l="1"/>
  <c r="Q10" i="106" s="1"/>
  <c r="P693" i="38"/>
  <c r="Q2" i="106"/>
  <c r="Q3" i="106" s="1"/>
  <c r="Q6" i="106" s="1"/>
  <c r="O693" i="38"/>
  <c r="Z693" i="38"/>
  <c r="U693" i="38"/>
  <c r="Q8" i="106"/>
  <c r="G81" i="46"/>
  <c r="F81" i="46"/>
  <c r="H81" i="46"/>
  <c r="F21" i="46"/>
  <c r="F39" i="86"/>
  <c r="H39" i="86"/>
  <c r="G39" i="86"/>
  <c r="F8" i="86"/>
  <c r="Q7" i="106" l="1"/>
  <c r="Q5" i="106"/>
  <c r="Q9" i="106"/>
  <c r="Q13" i="53"/>
  <c r="F76" i="84"/>
  <c r="H76" i="84"/>
  <c r="G76" i="84"/>
  <c r="F280" i="25"/>
  <c r="H280" i="25"/>
  <c r="G280"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279" i="25"/>
  <c r="F279" i="25"/>
  <c r="H279"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20" i="58"/>
  <c r="H120" i="58"/>
  <c r="G120"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278" i="25"/>
  <c r="G278" i="25"/>
  <c r="H278" i="25"/>
  <c r="F277" i="25"/>
  <c r="H277" i="25"/>
  <c r="G277" i="25"/>
  <c r="F90" i="25"/>
  <c r="F35" i="102"/>
  <c r="H35" i="102"/>
  <c r="G35" i="102"/>
  <c r="F5" i="102"/>
  <c r="F89" i="25"/>
  <c r="F159" i="51"/>
  <c r="H159" i="51"/>
  <c r="G159"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276" i="25"/>
  <c r="H276" i="25"/>
  <c r="G276" i="25"/>
  <c r="F87" i="25"/>
  <c r="F40" i="93" l="1"/>
  <c r="H40" i="93"/>
  <c r="G40" i="93"/>
  <c r="F6" i="93"/>
  <c r="F40" i="99"/>
  <c r="H40" i="99"/>
  <c r="G40" i="99"/>
  <c r="K5" i="99"/>
  <c r="F118" i="58"/>
  <c r="G118" i="58"/>
  <c r="H118" i="58"/>
  <c r="F119" i="58"/>
  <c r="G119" i="58"/>
  <c r="H119" i="58"/>
  <c r="F28" i="58"/>
  <c r="F27" i="58"/>
  <c r="F48" i="49"/>
  <c r="H48" i="49"/>
  <c r="G48" i="49"/>
  <c r="F7" i="49"/>
  <c r="A685" i="38" l="1"/>
  <c r="D685" i="38"/>
  <c r="E685" i="38"/>
  <c r="G685" i="38"/>
  <c r="H685" i="38"/>
  <c r="K685" i="38"/>
  <c r="L685" i="38" s="1"/>
  <c r="M685" i="38"/>
  <c r="N685" i="38" s="1"/>
  <c r="S685" i="38"/>
  <c r="F34" i="102"/>
  <c r="H34" i="102"/>
  <c r="G34" i="102"/>
  <c r="K3" i="102"/>
  <c r="K2" i="68"/>
  <c r="K3" i="104"/>
  <c r="F55" i="92"/>
  <c r="H55" i="92"/>
  <c r="G55" i="92"/>
  <c r="K5" i="92"/>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275" i="25"/>
  <c r="H275" i="25"/>
  <c r="G275" i="25"/>
  <c r="K68" i="25"/>
  <c r="Z684" i="38" l="1"/>
  <c r="O684" i="38"/>
  <c r="P684" i="38"/>
  <c r="U684" i="38"/>
  <c r="G80" i="46"/>
  <c r="F80" i="46"/>
  <c r="H80" i="46"/>
  <c r="F39" i="99"/>
  <c r="H39" i="99"/>
  <c r="G39" i="99"/>
  <c r="F36" i="103"/>
  <c r="H36" i="103"/>
  <c r="G36" i="103"/>
  <c r="G60" i="88"/>
  <c r="F60" i="88"/>
  <c r="H60" i="88"/>
  <c r="F158" i="51"/>
  <c r="G158" i="51"/>
  <c r="H158" i="51"/>
  <c r="A683" i="38" l="1"/>
  <c r="D683" i="38"/>
  <c r="E683" i="38"/>
  <c r="G683" i="38"/>
  <c r="H683" i="38"/>
  <c r="K683" i="38"/>
  <c r="L683" i="38" s="1"/>
  <c r="M683" i="38"/>
  <c r="N683" i="38" s="1"/>
  <c r="S683" i="38"/>
  <c r="P683" i="38" l="1"/>
  <c r="O683" i="38"/>
  <c r="Z683" i="38"/>
  <c r="U683" i="38"/>
  <c r="F38" i="86"/>
  <c r="H38" i="86"/>
  <c r="G38" i="86"/>
  <c r="K4" i="86"/>
  <c r="F74" i="84" l="1"/>
  <c r="G74" i="84"/>
  <c r="H74" i="84"/>
  <c r="K10" i="84"/>
  <c r="F274" i="25"/>
  <c r="G274" i="25"/>
  <c r="H274" i="25"/>
  <c r="K67" i="25"/>
  <c r="F76" i="81"/>
  <c r="H76" i="81"/>
  <c r="G76" i="81"/>
  <c r="K15" i="81"/>
  <c r="F32" i="102"/>
  <c r="G32" i="102"/>
  <c r="H32" i="102"/>
  <c r="K2" i="102"/>
  <c r="K18" i="102" s="1"/>
  <c r="K5" i="98"/>
  <c r="K12" i="57"/>
  <c r="K2" i="96"/>
  <c r="Q2" i="31" l="1"/>
  <c r="K2" i="31"/>
  <c r="K10" i="47"/>
  <c r="F44" i="101"/>
  <c r="H44" i="101"/>
  <c r="G44" i="101"/>
  <c r="K7" i="101"/>
  <c r="K7" i="91"/>
  <c r="H18" i="91"/>
  <c r="K7" i="45"/>
  <c r="F73" i="84"/>
  <c r="H73" i="84"/>
  <c r="G73" i="84"/>
  <c r="K9" i="84"/>
  <c r="K682" i="38"/>
  <c r="G682" i="38"/>
  <c r="D682" i="38"/>
  <c r="A682" i="38"/>
  <c r="E682" i="38"/>
  <c r="H682" i="38"/>
  <c r="M682" i="38"/>
  <c r="N682" i="38" s="1"/>
  <c r="S682" i="38"/>
  <c r="F273" i="25"/>
  <c r="H273" i="25"/>
  <c r="G273" i="25"/>
  <c r="F86" i="25"/>
  <c r="F79" i="46"/>
  <c r="H79" i="46"/>
  <c r="G79" i="46"/>
  <c r="F41" i="47"/>
  <c r="H41" i="47"/>
  <c r="G41" i="47"/>
  <c r="K9" i="47"/>
  <c r="K13" i="46"/>
  <c r="F272" i="25"/>
  <c r="H272" i="25"/>
  <c r="G272" i="25"/>
  <c r="F54" i="92"/>
  <c r="H54" i="92"/>
  <c r="G54" i="92"/>
  <c r="F9" i="92"/>
  <c r="F85" i="25"/>
  <c r="F53" i="92"/>
  <c r="H53" i="92"/>
  <c r="G53" i="92"/>
  <c r="F8" i="92"/>
  <c r="Q13" i="68"/>
  <c r="Q13" i="47"/>
  <c r="F31" i="102"/>
  <c r="H31" i="102"/>
  <c r="G31" i="102"/>
  <c r="Q13" i="84"/>
  <c r="F72" i="84"/>
  <c r="H72" i="84"/>
  <c r="G72" i="84"/>
  <c r="F157" i="51"/>
  <c r="H157" i="51"/>
  <c r="G157" i="51"/>
  <c r="Q13" i="51"/>
  <c r="H19" i="47"/>
  <c r="H39" i="46"/>
  <c r="C39" i="46"/>
  <c r="M19" i="47"/>
  <c r="C19" i="47"/>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52" i="92"/>
  <c r="H52" i="92"/>
  <c r="G52" i="92"/>
  <c r="F7" i="92"/>
  <c r="F51" i="92"/>
  <c r="H51" i="92"/>
  <c r="G51" i="92"/>
  <c r="K3" i="92"/>
  <c r="K4" i="92"/>
  <c r="F271" i="25"/>
  <c r="H271" i="25"/>
  <c r="G271"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59" i="88"/>
  <c r="H59" i="88"/>
  <c r="F59" i="88"/>
  <c r="F46" i="49"/>
  <c r="H46" i="49"/>
  <c r="G46" i="49"/>
  <c r="F50" i="92"/>
  <c r="G50" i="92"/>
  <c r="H50" i="92"/>
  <c r="F71" i="84"/>
  <c r="H71" i="84"/>
  <c r="G71" i="84"/>
  <c r="F270" i="25"/>
  <c r="G270" i="25"/>
  <c r="H270"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49" i="92"/>
  <c r="H49" i="92"/>
  <c r="G49" i="92"/>
  <c r="F6" i="92"/>
  <c r="F35" i="31"/>
  <c r="H35" i="31"/>
  <c r="G35" i="31"/>
  <c r="O678" i="38" l="1"/>
  <c r="Z678" i="38"/>
  <c r="P678" i="38"/>
  <c r="U678" i="38"/>
  <c r="C18" i="91"/>
  <c r="F38" i="99"/>
  <c r="H38" i="99"/>
  <c r="G38" i="99"/>
  <c r="F29" i="102"/>
  <c r="H29" i="102"/>
  <c r="G29" i="102"/>
  <c r="F35" i="103"/>
  <c r="H35" i="103"/>
  <c r="G35" i="103"/>
  <c r="F73" i="81"/>
  <c r="G73" i="81"/>
  <c r="H73" i="81"/>
  <c r="F46" i="45"/>
  <c r="G46" i="45"/>
  <c r="H46" i="45"/>
  <c r="F48" i="92"/>
  <c r="H48" i="92"/>
  <c r="G48" i="92"/>
  <c r="F69" i="84"/>
  <c r="G69" i="84"/>
  <c r="H69" i="84"/>
  <c r="F156" i="51"/>
  <c r="H156" i="51"/>
  <c r="G156" i="51"/>
  <c r="F269" i="25"/>
  <c r="G269" i="25"/>
  <c r="H269" i="25"/>
  <c r="F44" i="49"/>
  <c r="H44" i="49"/>
  <c r="G44" i="49"/>
  <c r="F5" i="49"/>
  <c r="A677" i="38"/>
  <c r="D677" i="38"/>
  <c r="E677" i="38"/>
  <c r="G677" i="38"/>
  <c r="H677" i="38"/>
  <c r="K677" i="38"/>
  <c r="L677" i="38" s="1"/>
  <c r="M677" i="38"/>
  <c r="N677" i="38" s="1"/>
  <c r="S677" i="38"/>
  <c r="H25" i="105"/>
  <c r="G25" i="105"/>
  <c r="F25" i="105"/>
  <c r="M84" i="105"/>
  <c r="K84" i="105"/>
  <c r="H84" i="105"/>
  <c r="F84" i="105"/>
  <c r="C84"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4" i="88"/>
  <c r="K19" i="105"/>
  <c r="C19" i="105"/>
  <c r="C85" i="105"/>
  <c r="H19" i="105"/>
  <c r="M85" i="105"/>
  <c r="H85" i="105"/>
  <c r="K85" i="105"/>
  <c r="M19" i="105"/>
  <c r="F19" i="105"/>
  <c r="F85" i="105"/>
  <c r="M66" i="105" l="1"/>
  <c r="Q10" i="105" s="1"/>
  <c r="O677" i="38"/>
  <c r="Z677" i="38"/>
  <c r="P677" i="38"/>
  <c r="U677" i="38"/>
  <c r="Q2" i="105"/>
  <c r="Q5" i="105" s="1"/>
  <c r="G58" i="88"/>
  <c r="F58" i="88"/>
  <c r="H58"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57" i="88"/>
  <c r="H57" i="88"/>
  <c r="G57" i="88"/>
  <c r="K7" i="88"/>
  <c r="F268" i="25"/>
  <c r="G268" i="25"/>
  <c r="H268"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55" i="51"/>
  <c r="H155" i="51"/>
  <c r="G155" i="51"/>
  <c r="F44" i="51"/>
  <c r="F47" i="51"/>
  <c r="K33" i="51"/>
  <c r="K32" i="51"/>
  <c r="G117" i="58"/>
  <c r="F117" i="58"/>
  <c r="H117" i="58"/>
  <c r="K22" i="58"/>
  <c r="A674" i="38"/>
  <c r="D674" i="38"/>
  <c r="E674" i="38"/>
  <c r="G674" i="38"/>
  <c r="H674" i="38"/>
  <c r="K674" i="38"/>
  <c r="L674" i="38" s="1"/>
  <c r="M674" i="38"/>
  <c r="N674" i="38" s="1"/>
  <c r="S674" i="38"/>
  <c r="H19" i="45"/>
  <c r="O674" i="38" l="1"/>
  <c r="P674" i="38"/>
  <c r="U674" i="38"/>
  <c r="Z674" i="38"/>
  <c r="F34" i="103"/>
  <c r="H34" i="103"/>
  <c r="G34" i="103"/>
  <c r="F56" i="88"/>
  <c r="H56" i="88"/>
  <c r="G56" i="88"/>
  <c r="K6" i="88"/>
  <c r="F267" i="25"/>
  <c r="H267" i="25"/>
  <c r="G267" i="25"/>
  <c r="F83" i="25"/>
  <c r="F154" i="51"/>
  <c r="G154" i="51"/>
  <c r="H154" i="51"/>
  <c r="F46" i="51"/>
  <c r="K31" i="51"/>
  <c r="G116" i="58"/>
  <c r="F116" i="58"/>
  <c r="H116" i="58"/>
  <c r="A673" i="38"/>
  <c r="D673" i="38"/>
  <c r="E673" i="38"/>
  <c r="G673" i="38"/>
  <c r="H673" i="38"/>
  <c r="K673" i="38"/>
  <c r="L673" i="38" s="1"/>
  <c r="M673" i="38"/>
  <c r="N673" i="38" s="1"/>
  <c r="S673" i="38"/>
  <c r="H25" i="88"/>
  <c r="C25"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66" i="25"/>
  <c r="G266" i="25"/>
  <c r="H266" i="25"/>
  <c r="K65" i="25"/>
  <c r="G27" i="104"/>
  <c r="H27" i="104"/>
  <c r="O672" i="38" l="1"/>
  <c r="Z672" i="38"/>
  <c r="P672" i="38"/>
  <c r="U672" i="38"/>
  <c r="A671" i="38"/>
  <c r="D671" i="38"/>
  <c r="E671" i="38"/>
  <c r="G671" i="38"/>
  <c r="H671" i="38"/>
  <c r="K671" i="38"/>
  <c r="L671" i="38" s="1"/>
  <c r="M671" i="38"/>
  <c r="N671" i="38" s="1"/>
  <c r="S671" i="38"/>
  <c r="O671" i="38" l="1"/>
  <c r="Z671" i="38"/>
  <c r="P671" i="38"/>
  <c r="U671" i="38"/>
  <c r="G115" i="58"/>
  <c r="F115" i="58"/>
  <c r="H115" i="58"/>
  <c r="F26" i="58"/>
  <c r="A670" i="38" l="1"/>
  <c r="D670" i="38"/>
  <c r="E670" i="38"/>
  <c r="G670" i="38"/>
  <c r="H670" i="38"/>
  <c r="K670" i="38"/>
  <c r="L670" i="38" s="1"/>
  <c r="M670" i="38"/>
  <c r="N670" i="38" s="1"/>
  <c r="S670" i="38"/>
  <c r="F265" i="25"/>
  <c r="H265" i="25"/>
  <c r="G265" i="25"/>
  <c r="K64" i="25"/>
  <c r="F153" i="51"/>
  <c r="G153" i="51"/>
  <c r="H153" i="51"/>
  <c r="F38" i="51"/>
  <c r="K30" i="51"/>
  <c r="F36" i="99"/>
  <c r="H36" i="99"/>
  <c r="G36" i="99"/>
  <c r="F6" i="99"/>
  <c r="O670" i="38" l="1"/>
  <c r="Z670" i="38"/>
  <c r="P670" i="38"/>
  <c r="U670" i="38"/>
  <c r="F67" i="84"/>
  <c r="H67" i="84"/>
  <c r="G67" i="84"/>
  <c r="A669" i="38" l="1"/>
  <c r="D669" i="38"/>
  <c r="E669" i="38"/>
  <c r="G669" i="38"/>
  <c r="H669" i="38"/>
  <c r="K669" i="38"/>
  <c r="L669" i="38" s="1"/>
  <c r="M669" i="38"/>
  <c r="N669" i="38" s="1"/>
  <c r="S669" i="38"/>
  <c r="F264" i="25"/>
  <c r="H264" i="25"/>
  <c r="G264" i="25"/>
  <c r="F82" i="25"/>
  <c r="F37" i="86"/>
  <c r="H37" i="86"/>
  <c r="G37" i="86"/>
  <c r="F7" i="86"/>
  <c r="F263" i="25"/>
  <c r="H263" i="25"/>
  <c r="G263" i="25"/>
  <c r="F81" i="25"/>
  <c r="F80" i="25"/>
  <c r="F152" i="51"/>
  <c r="H152" i="51"/>
  <c r="G152" i="51"/>
  <c r="F45" i="51"/>
  <c r="F33" i="96"/>
  <c r="H33" i="96"/>
  <c r="G33" i="96"/>
  <c r="F78" i="46"/>
  <c r="H78" i="46"/>
  <c r="M38" i="46"/>
  <c r="G78"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51" i="51"/>
  <c r="H151" i="51"/>
  <c r="G151" i="51"/>
  <c r="K2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5" i="88"/>
  <c r="G55" i="88"/>
  <c r="H55"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62" i="25"/>
  <c r="G262" i="25"/>
  <c r="H262" i="25"/>
  <c r="K63" i="25"/>
  <c r="G77" i="46"/>
  <c r="F77" i="46"/>
  <c r="H77" i="46"/>
  <c r="K12" i="46"/>
  <c r="F40" i="91"/>
  <c r="H40" i="91"/>
  <c r="G40" i="91"/>
  <c r="A665" i="38"/>
  <c r="D665" i="38"/>
  <c r="E665" i="38"/>
  <c r="G665" i="38"/>
  <c r="H665" i="38"/>
  <c r="K665" i="38"/>
  <c r="L665" i="38" s="1"/>
  <c r="M665" i="38"/>
  <c r="N665" i="38" s="1"/>
  <c r="S665" i="38"/>
  <c r="O665" i="38" l="1"/>
  <c r="Z665" i="38"/>
  <c r="P665" i="38"/>
  <c r="U665" i="38"/>
  <c r="F34" i="99"/>
  <c r="G34" i="99"/>
  <c r="H34" i="99"/>
  <c r="F47" i="92"/>
  <c r="H47" i="92"/>
  <c r="G47" i="92"/>
  <c r="K4" i="74" l="1"/>
  <c r="F62" i="57"/>
  <c r="G62" i="57"/>
  <c r="H62" i="57"/>
  <c r="K10" i="57"/>
  <c r="H26" i="104"/>
  <c r="G26" i="104"/>
  <c r="F3" i="104"/>
  <c r="K2" i="104"/>
  <c r="F150" i="51"/>
  <c r="H150" i="51"/>
  <c r="G150" i="51"/>
  <c r="K2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14" i="58"/>
  <c r="H114" i="58"/>
  <c r="G114"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76" i="46"/>
  <c r="G76" i="46"/>
  <c r="H76" i="46"/>
  <c r="F59" i="82" l="1"/>
  <c r="K59" i="82"/>
  <c r="F60" i="57"/>
  <c r="H60" i="57"/>
  <c r="G60" i="57"/>
  <c r="R11" i="57"/>
  <c r="F41" i="101" l="1"/>
  <c r="H41" i="101"/>
  <c r="G41" i="101"/>
  <c r="K5" i="101"/>
  <c r="G42" i="49"/>
  <c r="H42" i="49"/>
  <c r="F149" i="51"/>
  <c r="G149" i="51"/>
  <c r="H149"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61" i="25"/>
  <c r="G261" i="25"/>
  <c r="H261" i="25"/>
  <c r="G54" i="88"/>
  <c r="F54" i="88"/>
  <c r="H54"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5" i="46"/>
  <c r="H75" i="46"/>
  <c r="G75"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60" i="25"/>
  <c r="H260" i="25"/>
  <c r="G260"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48" i="51"/>
  <c r="H148" i="51"/>
  <c r="G148" i="51"/>
  <c r="F43" i="51"/>
  <c r="F36" i="86"/>
  <c r="H36" i="86"/>
  <c r="G36" i="86"/>
  <c r="F6" i="86"/>
  <c r="AA6" i="86" s="1"/>
  <c r="AB6" i="86" s="1"/>
  <c r="F33" i="98"/>
  <c r="H33" i="98"/>
  <c r="G33" i="98"/>
  <c r="K3" i="98"/>
  <c r="K5" i="94"/>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4" i="46"/>
  <c r="G74" i="46"/>
  <c r="H74" i="46"/>
  <c r="F53" i="88"/>
  <c r="H53" i="88"/>
  <c r="G53" i="88"/>
  <c r="F147" i="51"/>
  <c r="G147" i="51"/>
  <c r="H147" i="51"/>
  <c r="F65" i="84"/>
  <c r="H65" i="84"/>
  <c r="G65" i="84"/>
  <c r="F259" i="25"/>
  <c r="H259" i="25"/>
  <c r="G259" i="25"/>
  <c r="A651" i="38"/>
  <c r="D651" i="38"/>
  <c r="E651" i="38"/>
  <c r="G651" i="38"/>
  <c r="H651" i="38"/>
  <c r="K651" i="38"/>
  <c r="L651" i="38" s="1"/>
  <c r="M651" i="38"/>
  <c r="N651" i="38" s="1"/>
  <c r="S651" i="38"/>
  <c r="K62" i="25"/>
  <c r="O651" i="38" l="1"/>
  <c r="P651" i="38"/>
  <c r="U651" i="38"/>
  <c r="Z651" i="38"/>
  <c r="Q13" i="90"/>
  <c r="F28" i="95"/>
  <c r="G28" i="95"/>
  <c r="H28" i="95"/>
  <c r="F146" i="51"/>
  <c r="G146" i="51"/>
  <c r="H146" i="51"/>
  <c r="A650" i="38" l="1"/>
  <c r="D650" i="38"/>
  <c r="E650" i="38"/>
  <c r="G650" i="38"/>
  <c r="H650" i="38"/>
  <c r="K650" i="38"/>
  <c r="L650" i="38" s="1"/>
  <c r="M650" i="38"/>
  <c r="N650" i="38" s="1"/>
  <c r="S650" i="38"/>
  <c r="O650" i="38" l="1"/>
  <c r="Z650" i="38"/>
  <c r="P650" i="38"/>
  <c r="U650" i="38"/>
  <c r="F40" i="45"/>
  <c r="G40" i="45"/>
  <c r="H40" i="45"/>
  <c r="F6" i="45"/>
  <c r="F145" i="51"/>
  <c r="H145" i="51"/>
  <c r="G145" i="51"/>
  <c r="F42" i="51"/>
  <c r="K27" i="51"/>
  <c r="A649" i="38"/>
  <c r="D649" i="38"/>
  <c r="E649" i="38"/>
  <c r="G649" i="38"/>
  <c r="H649" i="38"/>
  <c r="K649" i="38"/>
  <c r="L649" i="38" s="1"/>
  <c r="M649" i="38"/>
  <c r="N649" i="38" s="1"/>
  <c r="S649" i="38"/>
  <c r="O649" i="38" l="1"/>
  <c r="Z649" i="38"/>
  <c r="P649" i="38"/>
  <c r="U649" i="38"/>
  <c r="F35" i="86"/>
  <c r="H35" i="86"/>
  <c r="G35" i="86"/>
  <c r="K3" i="86"/>
  <c r="AD3" i="86" l="1"/>
  <c r="AE3" i="86" s="1"/>
  <c r="F39" i="47"/>
  <c r="G39" i="47"/>
  <c r="H39" i="47"/>
  <c r="F40" i="101"/>
  <c r="H40" i="101"/>
  <c r="G40" i="101"/>
  <c r="F32" i="99"/>
  <c r="H32" i="99"/>
  <c r="G32" i="99"/>
  <c r="F64" i="84"/>
  <c r="H64" i="84"/>
  <c r="G64" i="84"/>
  <c r="K4" i="89"/>
  <c r="F38" i="90"/>
  <c r="H38" i="90"/>
  <c r="G38" i="90"/>
  <c r="A648" i="38"/>
  <c r="D648" i="38"/>
  <c r="E648" i="38"/>
  <c r="G648" i="38"/>
  <c r="H648" i="38"/>
  <c r="K648" i="38"/>
  <c r="L648" i="38" s="1"/>
  <c r="P648" i="38" s="1"/>
  <c r="M648" i="38"/>
  <c r="N648" i="38" s="1"/>
  <c r="S648" i="38"/>
  <c r="O648" i="38" l="1"/>
  <c r="Z648" i="38"/>
  <c r="U648" i="38"/>
  <c r="G35" i="74"/>
  <c r="F35" i="74"/>
  <c r="H35" i="74"/>
  <c r="F31" i="96"/>
  <c r="H31" i="96"/>
  <c r="G31" i="96"/>
  <c r="A647" i="38"/>
  <c r="D647" i="38"/>
  <c r="E647" i="38"/>
  <c r="G647" i="38"/>
  <c r="H647" i="38"/>
  <c r="K647" i="38"/>
  <c r="L647" i="38" s="1"/>
  <c r="M647" i="38"/>
  <c r="U647" i="38" s="1"/>
  <c r="S647" i="38"/>
  <c r="N647" i="38" l="1"/>
  <c r="O647" i="38" s="1"/>
  <c r="P647" i="38"/>
  <c r="F33" i="103"/>
  <c r="H33" i="103"/>
  <c r="G33" i="103"/>
  <c r="F258" i="25"/>
  <c r="G258" i="25"/>
  <c r="H258" i="25"/>
  <c r="K61" i="25"/>
  <c r="F113" i="58"/>
  <c r="H113" i="58"/>
  <c r="G113" i="58"/>
  <c r="H46" i="58"/>
  <c r="K19" i="58"/>
  <c r="A646" i="38"/>
  <c r="D646" i="38"/>
  <c r="E646" i="38"/>
  <c r="G646" i="38"/>
  <c r="H646" i="38"/>
  <c r="K646" i="38"/>
  <c r="L646" i="38" s="1"/>
  <c r="M646" i="38"/>
  <c r="N646" i="38" s="1"/>
  <c r="S646" i="38"/>
  <c r="Z647" i="38" l="1"/>
  <c r="O646" i="38"/>
  <c r="Z646" i="38"/>
  <c r="P646" i="38"/>
  <c r="U646" i="38"/>
  <c r="Q11" i="92"/>
  <c r="Q11" i="104"/>
  <c r="Q13" i="45"/>
  <c r="F144" i="51"/>
  <c r="G144" i="51"/>
  <c r="H144" i="51"/>
  <c r="F36" i="89" l="1"/>
  <c r="H36" i="89"/>
  <c r="G36" i="89"/>
  <c r="A645" i="38"/>
  <c r="D645" i="38"/>
  <c r="E645" i="38"/>
  <c r="G645" i="38"/>
  <c r="H645" i="38"/>
  <c r="K645" i="38"/>
  <c r="L645" i="38" s="1"/>
  <c r="M645" i="38"/>
  <c r="N645" i="38" s="1"/>
  <c r="S645" i="38"/>
  <c r="P645" i="38" l="1"/>
  <c r="Z645" i="38"/>
  <c r="O645" i="38"/>
  <c r="U645" i="38"/>
  <c r="F35" i="89"/>
  <c r="H35" i="89"/>
  <c r="G35" i="89"/>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57" i="25"/>
  <c r="G257" i="25"/>
  <c r="H257"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2" i="88"/>
  <c r="H52" i="88"/>
  <c r="G52" i="88"/>
  <c r="F14" i="88"/>
  <c r="AA14" i="88" s="1"/>
  <c r="AB14" i="88" s="1"/>
  <c r="F112" i="58"/>
  <c r="H112" i="58"/>
  <c r="G112"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11" i="58"/>
  <c r="H111" i="58"/>
  <c r="G111" i="58"/>
  <c r="F24" i="58"/>
  <c r="P642" i="38" l="1"/>
  <c r="O642" i="38"/>
  <c r="Z642" i="38"/>
  <c r="U642" i="38"/>
  <c r="F34" i="74"/>
  <c r="G34" i="74"/>
  <c r="H34" i="74"/>
  <c r="H33" i="74"/>
  <c r="A641" i="38"/>
  <c r="D641" i="38"/>
  <c r="E641" i="38"/>
  <c r="G641" i="38"/>
  <c r="H641" i="38"/>
  <c r="K641" i="38"/>
  <c r="L641" i="38" s="1"/>
  <c r="M641" i="38"/>
  <c r="N641" i="38" s="1"/>
  <c r="S641" i="38"/>
  <c r="F36" i="94"/>
  <c r="J36" i="94" s="1"/>
  <c r="H36" i="94"/>
  <c r="G36" i="94"/>
  <c r="K4" i="94"/>
  <c r="K2" i="97"/>
  <c r="K18" i="97" s="1"/>
  <c r="F38" i="47"/>
  <c r="G38" i="47"/>
  <c r="H38" i="47"/>
  <c r="K7" i="47"/>
  <c r="F256" i="25"/>
  <c r="H256" i="25"/>
  <c r="G256" i="25"/>
  <c r="C127" i="25"/>
  <c r="F77" i="25"/>
  <c r="K59" i="25"/>
  <c r="P641" i="38" l="1"/>
  <c r="O641" i="38"/>
  <c r="Z641" i="38"/>
  <c r="U641" i="38"/>
  <c r="F33" i="31"/>
  <c r="G33" i="31"/>
  <c r="H33" i="31"/>
  <c r="F62" i="84"/>
  <c r="H62" i="84"/>
  <c r="G62" i="84"/>
  <c r="Q13" i="25"/>
  <c r="F82" i="51"/>
  <c r="H82" i="51"/>
  <c r="H143" i="51"/>
  <c r="F143" i="51"/>
  <c r="G143" i="51"/>
  <c r="F30" i="98"/>
  <c r="G30" i="98"/>
  <c r="H30" i="98"/>
  <c r="F31" i="98"/>
  <c r="G31" i="98"/>
  <c r="H31" i="98"/>
  <c r="F32" i="98"/>
  <c r="G32" i="98"/>
  <c r="H32" i="98"/>
  <c r="F33" i="74" l="1"/>
  <c r="G33" i="74"/>
  <c r="K3" i="74"/>
  <c r="A640" i="38" l="1"/>
  <c r="D640" i="38"/>
  <c r="E640" i="38"/>
  <c r="G640" i="38"/>
  <c r="H640" i="38"/>
  <c r="K640" i="38"/>
  <c r="L640" i="38" s="1"/>
  <c r="M640" i="38"/>
  <c r="N640" i="38" s="1"/>
  <c r="S640" i="38"/>
  <c r="F32" i="74"/>
  <c r="H32" i="74"/>
  <c r="G32" i="74"/>
  <c r="F6" i="74"/>
  <c r="F255" i="25"/>
  <c r="H255" i="25"/>
  <c r="G255" i="25"/>
  <c r="K58" i="25"/>
  <c r="F110" i="58"/>
  <c r="H110" i="58"/>
  <c r="G110" i="58"/>
  <c r="K18" i="58"/>
  <c r="P640" i="38" l="1"/>
  <c r="O640" i="38"/>
  <c r="Z640" i="38"/>
  <c r="U640" i="38"/>
  <c r="C18" i="47"/>
  <c r="D555" i="38"/>
  <c r="A639" i="38"/>
  <c r="D639" i="38"/>
  <c r="E639" i="38"/>
  <c r="G639" i="38"/>
  <c r="H639" i="38"/>
  <c r="K639" i="38"/>
  <c r="L639" i="38" s="1"/>
  <c r="M639" i="38"/>
  <c r="N639" i="38" s="1"/>
  <c r="S639" i="38"/>
  <c r="F30" i="103"/>
  <c r="G30" i="103"/>
  <c r="H30" i="103"/>
  <c r="F31" i="74"/>
  <c r="H31" i="74"/>
  <c r="G31" i="74"/>
  <c r="G73" i="46"/>
  <c r="F73" i="46"/>
  <c r="H73" i="46"/>
  <c r="F18" i="46"/>
  <c r="F254" i="25"/>
  <c r="H254" i="25"/>
  <c r="G254" i="25"/>
  <c r="K57" i="25"/>
  <c r="F37" i="47"/>
  <c r="H37" i="47"/>
  <c r="G37" i="47"/>
  <c r="F11" i="47"/>
  <c r="F30" i="74"/>
  <c r="H30" i="74"/>
  <c r="G30" i="74"/>
  <c r="K2" i="74"/>
  <c r="O639" i="38" l="1"/>
  <c r="Z639" i="38"/>
  <c r="U639" i="38"/>
  <c r="P639" i="38"/>
  <c r="F30" i="96"/>
  <c r="H30" i="96"/>
  <c r="G30" i="96"/>
  <c r="A638" i="38"/>
  <c r="D638" i="38"/>
  <c r="E638" i="38"/>
  <c r="G638" i="38"/>
  <c r="H638" i="38"/>
  <c r="K638" i="38"/>
  <c r="L638" i="38" s="1"/>
  <c r="M638" i="38"/>
  <c r="N638" i="38" s="1"/>
  <c r="S638" i="38"/>
  <c r="F72" i="46"/>
  <c r="H72" i="46"/>
  <c r="G72" i="46"/>
  <c r="K11" i="46"/>
  <c r="F46" i="92"/>
  <c r="H46" i="92"/>
  <c r="G46" i="92"/>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F19" i="104"/>
  <c r="K19" i="104"/>
  <c r="H85" i="104"/>
  <c r="K85" i="104"/>
  <c r="M85" i="104"/>
  <c r="H19" i="104"/>
  <c r="F85" i="104"/>
  <c r="C85" i="104"/>
  <c r="M19" i="104"/>
  <c r="C19" i="104"/>
  <c r="P638" i="38" l="1"/>
  <c r="M66" i="104"/>
  <c r="Q10" i="104" s="1"/>
  <c r="O638" i="38"/>
  <c r="Z638" i="38"/>
  <c r="U638" i="38"/>
  <c r="Q2" i="104"/>
  <c r="Q8" i="104" s="1"/>
  <c r="Q7" i="104" s="1"/>
  <c r="A637" i="38"/>
  <c r="D637" i="38"/>
  <c r="E637" i="38"/>
  <c r="G637" i="38"/>
  <c r="H637" i="38"/>
  <c r="K637" i="38"/>
  <c r="L637" i="38" s="1"/>
  <c r="M637" i="38"/>
  <c r="N637" i="38" s="1"/>
  <c r="S637" i="38"/>
  <c r="F35" i="94"/>
  <c r="J35" i="94" s="1"/>
  <c r="H35" i="94"/>
  <c r="G35" i="94"/>
  <c r="F36" i="47"/>
  <c r="H36" i="47"/>
  <c r="G36" i="47"/>
  <c r="F4" i="98"/>
  <c r="F71" i="46"/>
  <c r="H71" i="46"/>
  <c r="G71" i="46"/>
  <c r="F17" i="46"/>
  <c r="F142" i="51"/>
  <c r="G142" i="51"/>
  <c r="H142" i="51"/>
  <c r="F41" i="51"/>
  <c r="Q3" i="104" l="1"/>
  <c r="Q6" i="104" s="1"/>
  <c r="Q9" i="104" s="1"/>
  <c r="Q5" i="104"/>
  <c r="P637" i="38"/>
  <c r="O637" i="38"/>
  <c r="Z637" i="38"/>
  <c r="U637" i="38"/>
  <c r="M18" i="99"/>
  <c r="F253" i="25"/>
  <c r="G253" i="25"/>
  <c r="H253" i="25"/>
  <c r="K56" i="25"/>
  <c r="H141" i="51"/>
  <c r="G141" i="51"/>
  <c r="F141" i="51"/>
  <c r="F140" i="51"/>
  <c r="G140" i="51"/>
  <c r="H140" i="51"/>
  <c r="F40" i="51"/>
  <c r="K26" i="51"/>
  <c r="F51" i="88"/>
  <c r="H51" i="88"/>
  <c r="G51" i="88"/>
  <c r="F13" i="88"/>
  <c r="AA13" i="88" s="1"/>
  <c r="AB13" i="88" s="1"/>
  <c r="A636" i="38"/>
  <c r="D636" i="38"/>
  <c r="E636" i="38"/>
  <c r="G636" i="38"/>
  <c r="H636" i="38"/>
  <c r="M636" i="38"/>
  <c r="S636" i="38"/>
  <c r="N636" i="38" l="1"/>
  <c r="U636" i="38"/>
  <c r="M77" i="75"/>
  <c r="O636" i="38" l="1"/>
  <c r="Z636" i="38"/>
  <c r="I635" i="38"/>
  <c r="K636" i="38" s="1"/>
  <c r="L636" i="38" s="1"/>
  <c r="P636" i="38" s="1"/>
  <c r="F50" i="88"/>
  <c r="G50" i="88"/>
  <c r="H50" i="88"/>
  <c r="F61" i="84"/>
  <c r="G61" i="84"/>
  <c r="H61" i="84"/>
  <c r="F70" i="81"/>
  <c r="H70" i="81"/>
  <c r="G70" i="81"/>
  <c r="H69" i="81"/>
  <c r="F60" i="77" l="1"/>
  <c r="H60" i="77"/>
  <c r="G60" i="77"/>
  <c r="F49" i="88"/>
  <c r="H49" i="88"/>
  <c r="G49" i="88"/>
  <c r="K5" i="88"/>
  <c r="F45" i="92"/>
  <c r="H45" i="92"/>
  <c r="G45" i="92"/>
  <c r="F5" i="92"/>
  <c r="F30" i="99"/>
  <c r="H30" i="99"/>
  <c r="G30" i="99"/>
  <c r="F4" i="99"/>
  <c r="A635" i="38"/>
  <c r="D635" i="38"/>
  <c r="E635" i="38"/>
  <c r="G635" i="38"/>
  <c r="H635" i="38"/>
  <c r="K635" i="38"/>
  <c r="L635" i="38" s="1"/>
  <c r="M635" i="38"/>
  <c r="N635" i="38" s="1"/>
  <c r="S635" i="38"/>
  <c r="K2" i="75"/>
  <c r="F34" i="93"/>
  <c r="G34" i="93"/>
  <c r="H34" i="93"/>
  <c r="K2" i="93"/>
  <c r="K10" i="77"/>
  <c r="F3" i="98"/>
  <c r="K2" i="98"/>
  <c r="K18" i="98" s="1"/>
  <c r="F34" i="94"/>
  <c r="J34" i="94" s="1"/>
  <c r="H34" i="94"/>
  <c r="G34" i="94"/>
  <c r="K3" i="94"/>
  <c r="F252" i="25"/>
  <c r="G252" i="25"/>
  <c r="H252" i="25"/>
  <c r="F76" i="25"/>
  <c r="F39" i="101"/>
  <c r="H39" i="101"/>
  <c r="G39" i="101"/>
  <c r="F7" i="101"/>
  <c r="F70" i="46"/>
  <c r="H70" i="46"/>
  <c r="G70" i="46"/>
  <c r="K10" i="46"/>
  <c r="F4" i="90"/>
  <c r="F37" i="90"/>
  <c r="G37" i="90"/>
  <c r="H37" i="90"/>
  <c r="K3" i="90"/>
  <c r="K26" i="93"/>
  <c r="K25" i="93" l="1"/>
  <c r="AD5" i="88"/>
  <c r="AE5" i="88" s="1"/>
  <c r="P635" i="38"/>
  <c r="O635" i="38"/>
  <c r="Z635" i="38"/>
  <c r="U635" i="38"/>
  <c r="F44" i="92"/>
  <c r="G44" i="92"/>
  <c r="H44" i="92"/>
  <c r="F29" i="74"/>
  <c r="G29" i="74"/>
  <c r="H29" i="74"/>
  <c r="F38" i="45"/>
  <c r="G38" i="45"/>
  <c r="H38" i="45"/>
  <c r="F69" i="46"/>
  <c r="G69" i="46"/>
  <c r="H69" i="46"/>
  <c r="F109" i="58"/>
  <c r="G109" i="58"/>
  <c r="H109" i="58"/>
  <c r="F58" i="57"/>
  <c r="G58" i="57"/>
  <c r="H58" i="57"/>
  <c r="F48" i="88"/>
  <c r="H48" i="88"/>
  <c r="G48" i="88"/>
  <c r="F251" i="25"/>
  <c r="G251" i="25"/>
  <c r="H251"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139" i="51"/>
  <c r="G139" i="51"/>
  <c r="H139" i="51"/>
  <c r="K25"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138" i="51"/>
  <c r="G138" i="51"/>
  <c r="H138" i="51"/>
  <c r="C59" i="51"/>
  <c r="H59" i="51"/>
  <c r="F39" i="51"/>
  <c r="K24" i="51"/>
  <c r="A631" i="38"/>
  <c r="D631" i="38"/>
  <c r="E631" i="38"/>
  <c r="G631" i="38"/>
  <c r="H631" i="38"/>
  <c r="K631" i="38"/>
  <c r="L631" i="38" s="1"/>
  <c r="M631" i="38"/>
  <c r="N631" i="38" s="1"/>
  <c r="S631" i="38"/>
  <c r="O631" i="38" l="1"/>
  <c r="P631" i="38"/>
  <c r="Z631" i="38"/>
  <c r="U631" i="38"/>
  <c r="F47" i="88"/>
  <c r="G47" i="88"/>
  <c r="H47"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137" i="51"/>
  <c r="G137" i="51"/>
  <c r="H137" i="51"/>
  <c r="F37" i="51"/>
  <c r="F136" i="51"/>
  <c r="G136" i="51"/>
  <c r="H136" i="51"/>
  <c r="K23" i="51"/>
  <c r="F34" i="86"/>
  <c r="H34" i="86"/>
  <c r="G34" i="86"/>
  <c r="F5" i="86"/>
  <c r="AA5" i="86" s="1"/>
  <c r="AB5" i="86" s="1"/>
  <c r="F3" i="86"/>
  <c r="AA3" i="86" s="1"/>
  <c r="AB3" i="86" s="1"/>
  <c r="K2" i="86"/>
  <c r="K18" i="86" s="1"/>
  <c r="K30" i="49"/>
  <c r="K19" i="86"/>
  <c r="AD2" i="86" l="1"/>
  <c r="AE2" i="86" s="1"/>
  <c r="P630" i="38"/>
  <c r="Z630" i="38"/>
  <c r="O630" i="38"/>
  <c r="U630" i="38"/>
  <c r="F27" i="102"/>
  <c r="G27" i="102"/>
  <c r="H27" i="102"/>
  <c r="F3" i="102"/>
  <c r="F33" i="94"/>
  <c r="J33" i="94" s="1"/>
  <c r="H33" i="94"/>
  <c r="G33" i="94"/>
  <c r="F5" i="94"/>
  <c r="F135" i="51"/>
  <c r="G135" i="51"/>
  <c r="H135" i="51"/>
  <c r="F36" i="51"/>
  <c r="A629" i="38"/>
  <c r="D629" i="38"/>
  <c r="E629" i="38"/>
  <c r="G629" i="38"/>
  <c r="H629" i="38"/>
  <c r="K629" i="38"/>
  <c r="L629" i="38" s="1"/>
  <c r="M629" i="38"/>
  <c r="N629" i="38" s="1"/>
  <c r="S629" i="38"/>
  <c r="U629" i="38" l="1"/>
  <c r="P629" i="38"/>
  <c r="O629" i="38"/>
  <c r="Z629" i="38"/>
  <c r="F29" i="100"/>
  <c r="G29" i="100"/>
  <c r="H29" i="100"/>
  <c r="F108" i="58"/>
  <c r="G108" i="58"/>
  <c r="H108" i="58"/>
  <c r="F250" i="25"/>
  <c r="H250" i="25"/>
  <c r="G250" i="25"/>
  <c r="A628" i="38"/>
  <c r="D628" i="38"/>
  <c r="E628" i="38"/>
  <c r="G628" i="38"/>
  <c r="H628" i="38"/>
  <c r="K628" i="38"/>
  <c r="L628" i="38" s="1"/>
  <c r="M628" i="38"/>
  <c r="N628" i="38" s="1"/>
  <c r="S628" i="38"/>
  <c r="F134" i="51"/>
  <c r="G134" i="51"/>
  <c r="H134" i="51"/>
  <c r="K2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4" i="89"/>
  <c r="H34" i="89"/>
  <c r="G34" i="89"/>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49" i="25"/>
  <c r="H249" i="25"/>
  <c r="G249" i="25"/>
  <c r="K55" i="25"/>
  <c r="F33" i="47"/>
  <c r="H33" i="47"/>
  <c r="G33" i="47"/>
  <c r="K5" i="47"/>
  <c r="F107" i="58"/>
  <c r="H107" i="58"/>
  <c r="G107"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F43" i="92"/>
  <c r="G43" i="92"/>
  <c r="H43" i="92"/>
  <c r="Q13" i="77"/>
  <c r="Q13" i="78"/>
  <c r="Q13" i="92"/>
  <c r="Q13" i="74"/>
  <c r="F36" i="45"/>
  <c r="G36" i="45"/>
  <c r="H36" i="45"/>
  <c r="Q13" i="98"/>
  <c r="H70" i="43"/>
  <c r="G70" i="43"/>
  <c r="F70" i="43"/>
  <c r="F33" i="90"/>
  <c r="G33" i="90"/>
  <c r="H33" i="90"/>
  <c r="Q13" i="81"/>
  <c r="F57" i="57"/>
  <c r="H57" i="57"/>
  <c r="G57" i="57"/>
  <c r="Q13" i="57"/>
  <c r="F59" i="84"/>
  <c r="G59" i="84"/>
  <c r="H59" i="84"/>
  <c r="F133" i="51"/>
  <c r="G133" i="51"/>
  <c r="H133"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46" i="88"/>
  <c r="H46" i="88"/>
  <c r="G46" i="88"/>
  <c r="K4" i="88"/>
  <c r="F57" i="77"/>
  <c r="H57" i="77"/>
  <c r="G57" i="77"/>
  <c r="F12" i="77"/>
  <c r="F106" i="58"/>
  <c r="H106" i="58"/>
  <c r="G106" i="58"/>
  <c r="F23" i="58"/>
  <c r="F34" i="101"/>
  <c r="H34" i="101"/>
  <c r="G34" i="101"/>
  <c r="F5" i="101"/>
  <c r="F248" i="25"/>
  <c r="H248" i="25"/>
  <c r="G248" i="25"/>
  <c r="F75" i="25"/>
  <c r="F31" i="47"/>
  <c r="H31" i="47"/>
  <c r="G31" i="47"/>
  <c r="F9" i="47"/>
  <c r="F34" i="91"/>
  <c r="H34" i="91"/>
  <c r="G34" i="91"/>
  <c r="F7" i="91"/>
  <c r="F64" i="81"/>
  <c r="H64" i="81"/>
  <c r="G64" i="81"/>
  <c r="F18" i="81"/>
  <c r="F105" i="58"/>
  <c r="H105" i="58"/>
  <c r="G105" i="58"/>
  <c r="F22" i="58"/>
  <c r="F247" i="25"/>
  <c r="G247" i="25"/>
  <c r="H247" i="25"/>
  <c r="F74" i="25"/>
  <c r="F63" i="81"/>
  <c r="H63" i="81"/>
  <c r="G63" i="81"/>
  <c r="K8" i="81"/>
  <c r="AD4" i="88" l="1"/>
  <c r="AE4" i="88" s="1"/>
  <c r="P620" i="38"/>
  <c r="O620" i="38"/>
  <c r="Z620" i="38"/>
  <c r="U620" i="38"/>
  <c r="A619" i="38"/>
  <c r="D619" i="38"/>
  <c r="E619" i="38"/>
  <c r="G619" i="38"/>
  <c r="H619" i="38"/>
  <c r="K619" i="38"/>
  <c r="L619" i="38" s="1"/>
  <c r="M619" i="38"/>
  <c r="U619" i="38" s="1"/>
  <c r="S619" i="38"/>
  <c r="F246" i="25"/>
  <c r="H246" i="25"/>
  <c r="G246" i="25"/>
  <c r="K54" i="25"/>
  <c r="F104" i="58"/>
  <c r="H104" i="58"/>
  <c r="G104" i="58"/>
  <c r="K16" i="58"/>
  <c r="N619" i="38" l="1"/>
  <c r="Z619" i="38" s="1"/>
  <c r="P619" i="38"/>
  <c r="F42" i="92"/>
  <c r="G42" i="92"/>
  <c r="H42" i="92"/>
  <c r="A618" i="38"/>
  <c r="D618" i="38"/>
  <c r="E618" i="38"/>
  <c r="G618" i="38"/>
  <c r="H618" i="38"/>
  <c r="K618" i="38"/>
  <c r="L618" i="38" s="1"/>
  <c r="M618" i="38"/>
  <c r="N618" i="38" s="1"/>
  <c r="S618" i="38"/>
  <c r="F33" i="91"/>
  <c r="H33" i="91"/>
  <c r="G33" i="91"/>
  <c r="F3" i="91"/>
  <c r="K3" i="91"/>
  <c r="F30" i="47"/>
  <c r="H30" i="47"/>
  <c r="G30" i="47"/>
  <c r="F4" i="47"/>
  <c r="K3" i="47"/>
  <c r="F32" i="94"/>
  <c r="J32" i="94" s="1"/>
  <c r="H32" i="94"/>
  <c r="G32" i="94"/>
  <c r="K2" i="94"/>
  <c r="K18" i="94" s="1"/>
  <c r="F68" i="46"/>
  <c r="G68" i="46"/>
  <c r="H68" i="46"/>
  <c r="K9" i="46"/>
  <c r="F132" i="51"/>
  <c r="G132" i="51"/>
  <c r="H132" i="51"/>
  <c r="K21" i="51"/>
  <c r="O619" i="38" l="1"/>
  <c r="Z618" i="38"/>
  <c r="P618" i="38"/>
  <c r="O618" i="38"/>
  <c r="U618" i="38"/>
  <c r="A617" i="38"/>
  <c r="D617" i="38"/>
  <c r="E617" i="38"/>
  <c r="G617" i="38"/>
  <c r="H617" i="38"/>
  <c r="K617" i="38"/>
  <c r="L617" i="38" s="1"/>
  <c r="M617" i="38"/>
  <c r="N617" i="38" s="1"/>
  <c r="S617" i="38"/>
  <c r="F245" i="25"/>
  <c r="H245" i="25"/>
  <c r="G245" i="25"/>
  <c r="K53" i="25"/>
  <c r="A616" i="38"/>
  <c r="D616" i="38"/>
  <c r="E616" i="38"/>
  <c r="G616" i="38"/>
  <c r="H616" i="38"/>
  <c r="K616" i="38"/>
  <c r="L616" i="38" s="1"/>
  <c r="M616" i="38"/>
  <c r="N616" i="38" s="1"/>
  <c r="F103" i="58"/>
  <c r="H103" i="58"/>
  <c r="G103" i="58"/>
  <c r="F21" i="58"/>
  <c r="F29" i="47"/>
  <c r="H29" i="47"/>
  <c r="G29" i="47"/>
  <c r="F8" i="47"/>
  <c r="H244" i="25"/>
  <c r="G244" i="25"/>
  <c r="F244" i="25"/>
  <c r="F243" i="25"/>
  <c r="G243" i="25"/>
  <c r="H243" i="25"/>
  <c r="P617" i="38" l="1"/>
  <c r="O617" i="38"/>
  <c r="Z617" i="38"/>
  <c r="U617" i="38"/>
  <c r="O616" i="38"/>
  <c r="Z616" i="38"/>
  <c r="P616" i="38"/>
  <c r="F73" i="25"/>
  <c r="F72" i="25"/>
  <c r="F32" i="31" l="1"/>
  <c r="G32" i="31"/>
  <c r="H32" i="31"/>
  <c r="F31" i="94"/>
  <c r="J31" i="94" s="1"/>
  <c r="G31" i="94"/>
  <c r="H31" i="94"/>
  <c r="F27" i="95"/>
  <c r="G27" i="95"/>
  <c r="H27" i="95"/>
  <c r="Q11" i="95"/>
  <c r="F242" i="25" l="1"/>
  <c r="H242" i="25"/>
  <c r="G242" i="25"/>
  <c r="K52" i="25"/>
  <c r="F102" i="58"/>
  <c r="H102" i="58"/>
  <c r="G102" i="58"/>
  <c r="K15" i="58"/>
  <c r="F131" i="51"/>
  <c r="G131" i="51"/>
  <c r="H131" i="51"/>
  <c r="K20" i="51"/>
  <c r="A615" i="38" l="1"/>
  <c r="D615" i="38"/>
  <c r="E615" i="38"/>
  <c r="G615" i="38"/>
  <c r="H615" i="38"/>
  <c r="K615" i="38"/>
  <c r="L615" i="38" s="1"/>
  <c r="M615" i="38"/>
  <c r="N615" i="38" s="1"/>
  <c r="S615" i="38"/>
  <c r="F241" i="25"/>
  <c r="H241" i="25"/>
  <c r="G241" i="25"/>
  <c r="K51" i="25"/>
  <c r="P615" i="38" l="1"/>
  <c r="O615" i="38"/>
  <c r="Z615" i="38"/>
  <c r="U615" i="38"/>
  <c r="A614" i="38"/>
  <c r="D614" i="38"/>
  <c r="E614" i="38"/>
  <c r="G614" i="38"/>
  <c r="H614" i="38"/>
  <c r="K614" i="38"/>
  <c r="L614" i="38" s="1"/>
  <c r="M614" i="38"/>
  <c r="N614" i="38" s="1"/>
  <c r="S614" i="38"/>
  <c r="F101" i="58"/>
  <c r="H101" i="58"/>
  <c r="G101" i="58"/>
  <c r="F20" i="58"/>
  <c r="F240" i="25"/>
  <c r="H240" i="25"/>
  <c r="G240" i="25"/>
  <c r="F71" i="25"/>
  <c r="P614" i="38" l="1"/>
  <c r="O614" i="38"/>
  <c r="Z614" i="38"/>
  <c r="U614" i="38"/>
  <c r="F33" i="89"/>
  <c r="G33" i="89"/>
  <c r="H33" i="89"/>
  <c r="F27" i="103"/>
  <c r="G27" i="103"/>
  <c r="H27" i="103"/>
  <c r="F27" i="99"/>
  <c r="G27" i="99"/>
  <c r="H27" i="99"/>
  <c r="F33" i="86"/>
  <c r="G33" i="86"/>
  <c r="H33" i="86"/>
  <c r="F29" i="96"/>
  <c r="G29" i="96"/>
  <c r="H29" i="96"/>
  <c r="F33" i="101"/>
  <c r="G33" i="101"/>
  <c r="H33" i="101"/>
  <c r="F32" i="90"/>
  <c r="G32" i="90"/>
  <c r="H32" i="90"/>
  <c r="F35" i="45"/>
  <c r="G35" i="45"/>
  <c r="H35" i="45"/>
  <c r="F58" i="84"/>
  <c r="G58" i="84"/>
  <c r="H58" i="84"/>
  <c r="F28" i="47"/>
  <c r="G28" i="47"/>
  <c r="H28" i="47"/>
  <c r="F239" i="25"/>
  <c r="G239" i="25"/>
  <c r="H239" i="25"/>
  <c r="F62" i="81"/>
  <c r="G62" i="81"/>
  <c r="H62" i="81"/>
  <c r="A613" i="38"/>
  <c r="D613" i="38"/>
  <c r="E613" i="38"/>
  <c r="G613" i="38"/>
  <c r="H613" i="38"/>
  <c r="K613" i="38"/>
  <c r="L613" i="38" s="1"/>
  <c r="M613" i="38"/>
  <c r="N613" i="38" s="1"/>
  <c r="S613" i="38"/>
  <c r="F67" i="46"/>
  <c r="H67" i="46"/>
  <c r="G67" i="46"/>
  <c r="F16" i="46"/>
  <c r="P613" i="38" l="1"/>
  <c r="O613" i="38"/>
  <c r="Z613" i="38"/>
  <c r="U613" i="38"/>
  <c r="F32" i="89"/>
  <c r="G32" i="89"/>
  <c r="H32" i="89"/>
  <c r="F26" i="75"/>
  <c r="G26" i="75"/>
  <c r="H26" i="75"/>
  <c r="F31" i="31"/>
  <c r="G31" i="31"/>
  <c r="H31" i="31"/>
  <c r="F56" i="77"/>
  <c r="G56" i="77"/>
  <c r="H56" i="77"/>
  <c r="F26" i="100"/>
  <c r="G26" i="100"/>
  <c r="H26" i="100"/>
  <c r="G39" i="49"/>
  <c r="H39" i="49"/>
  <c r="F51" i="70"/>
  <c r="G51" i="70"/>
  <c r="H51" i="70"/>
  <c r="F26" i="103"/>
  <c r="G26" i="103"/>
  <c r="H26" i="103"/>
  <c r="F32" i="86"/>
  <c r="G32" i="86"/>
  <c r="H32" i="86"/>
  <c r="F28" i="96"/>
  <c r="G28" i="96"/>
  <c r="H28" i="96"/>
  <c r="F39" i="78"/>
  <c r="G39" i="78"/>
  <c r="H39" i="78"/>
  <c r="F41" i="92"/>
  <c r="G41" i="92"/>
  <c r="H41" i="92"/>
  <c r="F28" i="74"/>
  <c r="G28" i="74"/>
  <c r="H28" i="74"/>
  <c r="F26" i="98"/>
  <c r="G26" i="98"/>
  <c r="H26" i="98"/>
  <c r="F27" i="98"/>
  <c r="G27" i="98"/>
  <c r="H27" i="98"/>
  <c r="F28" i="98"/>
  <c r="G28" i="98"/>
  <c r="H28" i="98"/>
  <c r="H25" i="98"/>
  <c r="G25" i="98"/>
  <c r="F25" i="98"/>
  <c r="H69" i="43"/>
  <c r="G69" i="43"/>
  <c r="F69" i="43"/>
  <c r="H32" i="101"/>
  <c r="G32" i="101"/>
  <c r="F32" i="101"/>
  <c r="F31" i="90"/>
  <c r="G31" i="90"/>
  <c r="H31" i="90"/>
  <c r="F34" i="45"/>
  <c r="G34" i="45"/>
  <c r="H34" i="45"/>
  <c r="F30" i="94"/>
  <c r="J30" i="94" s="1"/>
  <c r="G30" i="94"/>
  <c r="H30" i="94"/>
  <c r="F66" i="46"/>
  <c r="H66" i="46"/>
  <c r="G66" i="46"/>
  <c r="F32" i="91"/>
  <c r="H32" i="91"/>
  <c r="G32" i="91"/>
  <c r="F100" i="58"/>
  <c r="G100" i="58"/>
  <c r="H100" i="58"/>
  <c r="H61" i="81"/>
  <c r="G61" i="81"/>
  <c r="F61" i="81"/>
  <c r="F238" i="25"/>
  <c r="G238" i="25"/>
  <c r="H238" i="25"/>
  <c r="A612" i="38"/>
  <c r="D612" i="38"/>
  <c r="E612" i="38"/>
  <c r="G612" i="38"/>
  <c r="H612" i="38"/>
  <c r="K612" i="38"/>
  <c r="L612" i="38" s="1"/>
  <c r="M612" i="38"/>
  <c r="N612" i="38" s="1"/>
  <c r="S612" i="38"/>
  <c r="P612" i="38" l="1"/>
  <c r="Z612" i="38"/>
  <c r="O612" i="38"/>
  <c r="U612" i="38"/>
  <c r="H25" i="75"/>
  <c r="H24" i="75"/>
  <c r="G25" i="75"/>
  <c r="G24" i="75"/>
  <c r="F25" i="75"/>
  <c r="H26" i="102"/>
  <c r="G26" i="102"/>
  <c r="F26" i="102"/>
  <c r="H29" i="94"/>
  <c r="G29" i="94"/>
  <c r="F29" i="94"/>
  <c r="J29" i="94" s="1"/>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1" i="86"/>
  <c r="G31" i="86"/>
  <c r="F31" i="86"/>
  <c r="R11" i="98"/>
  <c r="Q11" i="98" s="1"/>
  <c r="F31" i="91"/>
  <c r="G31" i="91"/>
  <c r="H31" i="91"/>
  <c r="F38" i="49"/>
  <c r="G38" i="49"/>
  <c r="H38" i="49"/>
  <c r="F38" i="78"/>
  <c r="G38" i="78"/>
  <c r="H38" i="78"/>
  <c r="F55" i="77"/>
  <c r="G55" i="77"/>
  <c r="H55" i="77"/>
  <c r="F50" i="70"/>
  <c r="G50" i="70"/>
  <c r="H50" i="70"/>
  <c r="F40" i="92"/>
  <c r="G40" i="92"/>
  <c r="H40" i="92"/>
  <c r="F26" i="99"/>
  <c r="G26" i="99"/>
  <c r="H26" i="99"/>
  <c r="F27" i="96"/>
  <c r="G27" i="96"/>
  <c r="H27" i="96"/>
  <c r="A611" i="38" l="1"/>
  <c r="D611" i="38"/>
  <c r="E611" i="38"/>
  <c r="G611" i="38"/>
  <c r="H611" i="38"/>
  <c r="K611" i="38"/>
  <c r="L611" i="38" s="1"/>
  <c r="M611" i="38"/>
  <c r="U611" i="38" s="1"/>
  <c r="S611" i="38"/>
  <c r="F45" i="88"/>
  <c r="H45" i="88"/>
  <c r="G45" i="88"/>
  <c r="F6" i="88"/>
  <c r="AA6" i="88" s="1"/>
  <c r="AB6" i="88" s="1"/>
  <c r="K3" i="88"/>
  <c r="F12" i="88"/>
  <c r="AA12" i="88" s="1"/>
  <c r="AB12" i="88" s="1"/>
  <c r="F130" i="51"/>
  <c r="G130" i="51"/>
  <c r="H130" i="51"/>
  <c r="K19" i="51"/>
  <c r="F35" i="51"/>
  <c r="F34" i="51"/>
  <c r="F237" i="25"/>
  <c r="H237" i="25"/>
  <c r="G237" i="25"/>
  <c r="F70" i="25"/>
  <c r="AD3" i="88" l="1"/>
  <c r="AE3" i="88" s="1"/>
  <c r="P611" i="38"/>
  <c r="N611" i="38"/>
  <c r="Z611" i="38" s="1"/>
  <c r="F44" i="88"/>
  <c r="H44" i="88"/>
  <c r="G44" i="88"/>
  <c r="F11" i="88"/>
  <c r="AA11" i="88" s="1"/>
  <c r="AB11" i="88" s="1"/>
  <c r="F27" i="47"/>
  <c r="H27" i="47"/>
  <c r="G27" i="47"/>
  <c r="F7" i="47"/>
  <c r="F30" i="91"/>
  <c r="G30" i="91"/>
  <c r="H30" i="91"/>
  <c r="F6" i="91"/>
  <c r="O611" i="38" l="1"/>
  <c r="A610" i="38"/>
  <c r="D610" i="38"/>
  <c r="E610" i="38"/>
  <c r="G610" i="38"/>
  <c r="H610" i="38"/>
  <c r="K610" i="38"/>
  <c r="L610" i="38" s="1"/>
  <c r="M610" i="38"/>
  <c r="N610" i="38" s="1"/>
  <c r="S610" i="38"/>
  <c r="F39" i="92"/>
  <c r="G39" i="92"/>
  <c r="H39" i="92"/>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F31" i="89"/>
  <c r="G31" i="89"/>
  <c r="H31" i="89"/>
  <c r="M18" i="89"/>
  <c r="C18" i="89"/>
  <c r="K3" i="89"/>
  <c r="F3" i="89"/>
  <c r="K2" i="89"/>
  <c r="F2" i="89"/>
  <c r="F33" i="45"/>
  <c r="G33" i="45"/>
  <c r="H33" i="45"/>
  <c r="F5" i="45"/>
  <c r="F236" i="25"/>
  <c r="H236" i="25"/>
  <c r="G236" i="25"/>
  <c r="K50" i="25"/>
  <c r="F30" i="101"/>
  <c r="G30" i="101"/>
  <c r="H30" i="101"/>
  <c r="K2" i="101"/>
  <c r="K21" i="101" s="1"/>
  <c r="F26" i="96"/>
  <c r="G26" i="96"/>
  <c r="H26" i="96"/>
  <c r="F3" i="96"/>
  <c r="F29" i="101"/>
  <c r="G29" i="101"/>
  <c r="H29" i="101"/>
  <c r="F3" i="101"/>
  <c r="F4" i="92"/>
  <c r="F235" i="25"/>
  <c r="H235" i="25"/>
  <c r="G235" i="25"/>
  <c r="F69" i="25"/>
  <c r="K91" i="103"/>
  <c r="H19" i="103"/>
  <c r="K19" i="103"/>
  <c r="H91" i="103"/>
  <c r="C19" i="103"/>
  <c r="M91" i="103"/>
  <c r="C91" i="103"/>
  <c r="F19" i="103"/>
  <c r="F91" i="103"/>
  <c r="M19" i="103"/>
  <c r="K19" i="89"/>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34" i="25"/>
  <c r="H234" i="25"/>
  <c r="G234" i="25"/>
  <c r="K49" i="25"/>
  <c r="C18" i="82"/>
  <c r="M86" i="102"/>
  <c r="K86" i="102"/>
  <c r="H86" i="102"/>
  <c r="F86" i="102"/>
  <c r="C86"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33" i="25"/>
  <c r="H233" i="25"/>
  <c r="G233" i="25"/>
  <c r="K48" i="25"/>
  <c r="F69" i="87"/>
  <c r="K69" i="87"/>
  <c r="K87" i="102"/>
  <c r="F87" i="102"/>
  <c r="C87" i="102"/>
  <c r="H87" i="102"/>
  <c r="M19" i="102"/>
  <c r="F19" i="102"/>
  <c r="K19" i="102"/>
  <c r="C19" i="102"/>
  <c r="H19" i="102"/>
  <c r="M87" i="102"/>
  <c r="Q5" i="103" l="1"/>
  <c r="Q8" i="103"/>
  <c r="Q7" i="103" s="1"/>
  <c r="P609" i="38"/>
  <c r="M68" i="102"/>
  <c r="Q10" i="102" s="1"/>
  <c r="Q2" i="102"/>
  <c r="Q8" i="102" s="1"/>
  <c r="U609" i="38"/>
  <c r="O609" i="38"/>
  <c r="Z609" i="38"/>
  <c r="S608" i="38"/>
  <c r="A608" i="38"/>
  <c r="D608" i="38"/>
  <c r="E608" i="38"/>
  <c r="G608" i="38"/>
  <c r="H608" i="38"/>
  <c r="K608" i="38"/>
  <c r="L608" i="38" s="1"/>
  <c r="M608" i="38"/>
  <c r="N608" i="38" s="1"/>
  <c r="J61" i="102" l="1"/>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8" i="94"/>
  <c r="J28" i="94" s="1"/>
  <c r="G28" i="94"/>
  <c r="H28" i="94"/>
  <c r="F26" i="47"/>
  <c r="H26" i="47"/>
  <c r="G26" i="47"/>
  <c r="F57" i="84"/>
  <c r="G57" i="84"/>
  <c r="H57" i="84"/>
  <c r="F27" i="74"/>
  <c r="H27" i="74"/>
  <c r="G27" i="74"/>
  <c r="F5" i="74"/>
  <c r="F67" i="43"/>
  <c r="H67" i="43"/>
  <c r="G67" i="43"/>
  <c r="F16" i="43"/>
  <c r="F30" i="86"/>
  <c r="H30" i="86"/>
  <c r="A607" i="38"/>
  <c r="D607" i="38"/>
  <c r="E607" i="38"/>
  <c r="G607" i="38"/>
  <c r="H607" i="38"/>
  <c r="K607" i="38"/>
  <c r="L607" i="38" s="1"/>
  <c r="M607" i="38"/>
  <c r="N607" i="38" s="1"/>
  <c r="G30" i="86"/>
  <c r="F4" i="86"/>
  <c r="AA4" i="86" s="1"/>
  <c r="AB4" i="86" s="1"/>
  <c r="F4" i="94"/>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5" i="46"/>
  <c r="H65" i="46"/>
  <c r="G65" i="46"/>
  <c r="F15" i="46"/>
  <c r="F99" i="58"/>
  <c r="H99" i="58"/>
  <c r="G99" i="58"/>
  <c r="F19" i="58"/>
  <c r="F43" i="88"/>
  <c r="H43" i="88"/>
  <c r="G43" i="88"/>
  <c r="F10" i="88"/>
  <c r="AA10" i="88" s="1"/>
  <c r="AB10" i="88" s="1"/>
  <c r="F85" i="99"/>
  <c r="K85" i="100"/>
  <c r="K85" i="99"/>
  <c r="F19" i="99"/>
  <c r="H85" i="100"/>
  <c r="H85" i="99"/>
  <c r="M85" i="100"/>
  <c r="M85" i="99"/>
  <c r="H19" i="99"/>
  <c r="M19" i="99"/>
  <c r="F19" i="100"/>
  <c r="F22" i="101"/>
  <c r="H19" i="100"/>
  <c r="K19" i="99"/>
  <c r="C19" i="100"/>
  <c r="C22" i="101"/>
  <c r="F90" i="101"/>
  <c r="H90" i="101"/>
  <c r="M90" i="101"/>
  <c r="K90" i="101"/>
  <c r="M19" i="100"/>
  <c r="F85" i="100"/>
  <c r="C90" i="101"/>
  <c r="C85" i="99"/>
  <c r="K22" i="101"/>
  <c r="H22" i="101"/>
  <c r="M22" i="101"/>
  <c r="C85" i="100"/>
  <c r="K19" i="100"/>
  <c r="C19" i="99"/>
  <c r="Q2" i="99" l="1"/>
  <c r="Q3" i="99" s="1"/>
  <c r="Q6" i="99" s="1"/>
  <c r="M71" i="101"/>
  <c r="Q10" i="101" s="1"/>
  <c r="Q2" i="100"/>
  <c r="Q5" i="100" s="1"/>
  <c r="M66" i="99"/>
  <c r="Q10" i="99" s="1"/>
  <c r="P607" i="38"/>
  <c r="M66" i="100"/>
  <c r="Q10" i="100" s="1"/>
  <c r="O607" i="38"/>
  <c r="Z607" i="38"/>
  <c r="Q2" i="101"/>
  <c r="Q5" i="101" s="1"/>
  <c r="F28" i="90"/>
  <c r="G28" i="90"/>
  <c r="H28" i="90"/>
  <c r="F42" i="88"/>
  <c r="G42" i="88"/>
  <c r="H42"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4" i="46"/>
  <c r="G64" i="46"/>
  <c r="H64"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4" i="89"/>
  <c r="F55" i="84"/>
  <c r="H55" i="84"/>
  <c r="G55" i="84"/>
  <c r="F232" i="25"/>
  <c r="H232" i="25"/>
  <c r="G232"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129" i="51"/>
  <c r="G129" i="51"/>
  <c r="H129" i="51"/>
  <c r="F231" i="25"/>
  <c r="G231" i="25"/>
  <c r="H231"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128" i="51"/>
  <c r="G128" i="51"/>
  <c r="H128" i="51"/>
  <c r="F127" i="51"/>
  <c r="G127" i="51"/>
  <c r="H127" i="51"/>
  <c r="F126" i="51"/>
  <c r="G126" i="51"/>
  <c r="H126" i="51"/>
  <c r="F33" i="51"/>
  <c r="F32" i="51"/>
  <c r="F31" i="51"/>
  <c r="F27" i="94"/>
  <c r="J27" i="94" s="1"/>
  <c r="G27" i="94"/>
  <c r="H27" i="94"/>
  <c r="F3" i="94"/>
  <c r="F38" i="92"/>
  <c r="G38" i="92"/>
  <c r="H38" i="92"/>
  <c r="K2" i="92"/>
  <c r="K29" i="92" s="1"/>
  <c r="F56" i="81"/>
  <c r="H56" i="81"/>
  <c r="G56" i="81"/>
  <c r="F10" i="81"/>
  <c r="K5" i="81"/>
  <c r="A599" i="38" l="1"/>
  <c r="D599" i="38"/>
  <c r="E599" i="38"/>
  <c r="G599" i="38"/>
  <c r="H599" i="38"/>
  <c r="K599" i="38"/>
  <c r="L599" i="38" s="1"/>
  <c r="M599" i="38"/>
  <c r="N599" i="38" s="1"/>
  <c r="S599" i="38"/>
  <c r="P599" i="38" l="1"/>
  <c r="O599" i="38"/>
  <c r="Z599" i="38"/>
  <c r="U599" i="38"/>
  <c r="F37" i="92"/>
  <c r="G37" i="92"/>
  <c r="H37" i="92"/>
  <c r="F3" i="92"/>
  <c r="F125" i="51"/>
  <c r="G125" i="51"/>
  <c r="H125" i="51"/>
  <c r="F30" i="51"/>
  <c r="F53" i="84"/>
  <c r="H53" i="84"/>
  <c r="G53" i="84"/>
  <c r="F13" i="84"/>
  <c r="F52" i="84"/>
  <c r="H52" i="84"/>
  <c r="G52" i="84"/>
  <c r="K7" i="84"/>
  <c r="F98" i="58" l="1"/>
  <c r="G98" i="58"/>
  <c r="H98" i="58"/>
  <c r="F55" i="81"/>
  <c r="G55" i="81"/>
  <c r="H55" i="81"/>
  <c r="F124" i="51"/>
  <c r="G124" i="51"/>
  <c r="H124" i="51"/>
  <c r="F230" i="25"/>
  <c r="H230" i="25"/>
  <c r="G230"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1" i="88"/>
  <c r="H41" i="88"/>
  <c r="G41" i="88"/>
  <c r="K2" i="88"/>
  <c r="K24"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M85" i="98"/>
  <c r="F85" i="97"/>
  <c r="H85" i="98"/>
  <c r="C85" i="97"/>
  <c r="K85" i="98"/>
  <c r="H19" i="97"/>
  <c r="C19" i="98"/>
  <c r="F85" i="98"/>
  <c r="F19" i="97"/>
  <c r="K19" i="97"/>
  <c r="M85" i="97"/>
  <c r="F19" i="98"/>
  <c r="H19" i="98"/>
  <c r="K19" i="98"/>
  <c r="C19" i="97"/>
  <c r="M19" i="98"/>
  <c r="H85" i="97"/>
  <c r="K85" i="97"/>
  <c r="K25" i="88"/>
  <c r="M19" i="97"/>
  <c r="C85" i="98"/>
  <c r="AD2" i="88" l="1"/>
  <c r="AE2" i="88" s="1"/>
  <c r="Q2" i="98"/>
  <c r="Q5" i="98" s="1"/>
  <c r="Q2" i="97"/>
  <c r="Q8" i="97" s="1"/>
  <c r="M66" i="97"/>
  <c r="Q10" i="97" s="1"/>
  <c r="M66" i="98"/>
  <c r="Q10" i="98" s="1"/>
  <c r="C18" i="70"/>
  <c r="Q3" i="98" l="1"/>
  <c r="Q6" i="98" s="1"/>
  <c r="Q8" i="98"/>
  <c r="Q7" i="98" s="1"/>
  <c r="Q3" i="97"/>
  <c r="Q6" i="97" s="1"/>
  <c r="Q9" i="97" s="1"/>
  <c r="Q5" i="97"/>
  <c r="Q7" i="97"/>
  <c r="F40" i="88"/>
  <c r="H40" i="88"/>
  <c r="G40" i="88"/>
  <c r="F39" i="88"/>
  <c r="H39" i="88"/>
  <c r="G39" i="88"/>
  <c r="F38" i="88"/>
  <c r="H38" i="88"/>
  <c r="G38" i="88"/>
  <c r="F9" i="88"/>
  <c r="AA9" i="88" s="1"/>
  <c r="AB9" i="88" s="1"/>
  <c r="F8" i="88"/>
  <c r="AA8" i="88" s="1"/>
  <c r="AB8" i="88" s="1"/>
  <c r="F7" i="88"/>
  <c r="AA7" i="88" s="1"/>
  <c r="AB7" i="88" s="1"/>
  <c r="R11" i="94"/>
  <c r="Q11" i="94" s="1"/>
  <c r="F26" i="94"/>
  <c r="J26" i="94" s="1"/>
  <c r="G26" i="94"/>
  <c r="H26" i="94"/>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29" i="25"/>
  <c r="H229" i="25"/>
  <c r="G229" i="25"/>
  <c r="F68" i="25"/>
  <c r="F63" i="46" l="1"/>
  <c r="G63" i="46"/>
  <c r="H63" i="46"/>
  <c r="F26" i="74"/>
  <c r="G26" i="74"/>
  <c r="H26" i="74"/>
  <c r="F47" i="70"/>
  <c r="H47" i="70"/>
  <c r="G47" i="70"/>
  <c r="F53" i="77"/>
  <c r="G53" i="77"/>
  <c r="H53" i="77"/>
  <c r="H97" i="58"/>
  <c r="G97" i="58"/>
  <c r="F97" i="58"/>
  <c r="F96" i="58"/>
  <c r="H96" i="58"/>
  <c r="G96"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28" i="25"/>
  <c r="G228" i="25"/>
  <c r="H228"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27" i="25"/>
  <c r="H227" i="25"/>
  <c r="G227" i="25"/>
  <c r="F67" i="25"/>
  <c r="F52" i="77"/>
  <c r="H52" i="77"/>
  <c r="G52" i="77"/>
  <c r="K8" i="77"/>
  <c r="O589" i="38" l="1"/>
  <c r="P589" i="38"/>
  <c r="Z589" i="38"/>
  <c r="U589" i="38"/>
  <c r="F26" i="87"/>
  <c r="G26" i="87"/>
  <c r="H26" i="87"/>
  <c r="F26" i="95"/>
  <c r="G26" i="95"/>
  <c r="H26" i="95"/>
  <c r="F35" i="78"/>
  <c r="G35" i="78"/>
  <c r="H35" i="78"/>
  <c r="F123" i="51"/>
  <c r="G123" i="51"/>
  <c r="H123"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26" i="25"/>
  <c r="H226" i="25"/>
  <c r="G226" i="25"/>
  <c r="F66" i="25"/>
  <c r="M93" i="96"/>
  <c r="K93" i="96"/>
  <c r="H93" i="96"/>
  <c r="F93" i="96"/>
  <c r="C93"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K18" i="96"/>
  <c r="H18" i="96"/>
  <c r="F2" i="96"/>
  <c r="F18" i="96" s="1"/>
  <c r="F25" i="74"/>
  <c r="H25" i="74"/>
  <c r="G25" i="74"/>
  <c r="F4" i="74"/>
  <c r="F51" i="77"/>
  <c r="H51" i="77"/>
  <c r="G51" i="77"/>
  <c r="F11" i="77"/>
  <c r="F48" i="57"/>
  <c r="H48" i="57"/>
  <c r="G48" i="57"/>
  <c r="F11" i="57"/>
  <c r="F47" i="57"/>
  <c r="H47" i="57"/>
  <c r="G47" i="57"/>
  <c r="F10" i="57"/>
  <c r="H18" i="82"/>
  <c r="F225" i="25"/>
  <c r="H225" i="25"/>
  <c r="G225" i="25"/>
  <c r="K47" i="25"/>
  <c r="F95" i="58"/>
  <c r="H95" i="58"/>
  <c r="G95" i="58"/>
  <c r="K14" i="58"/>
  <c r="F94" i="58"/>
  <c r="H94" i="58"/>
  <c r="G94" i="58"/>
  <c r="K13" i="58"/>
  <c r="H19" i="96"/>
  <c r="H94" i="96"/>
  <c r="F94" i="96"/>
  <c r="K19" i="96"/>
  <c r="M94" i="96"/>
  <c r="C19" i="96"/>
  <c r="C94" i="96"/>
  <c r="F19" i="96"/>
  <c r="K94" i="96"/>
  <c r="M19" i="96"/>
  <c r="Q2" i="96" l="1"/>
  <c r="M75" i="96"/>
  <c r="Q10" i="96" s="1"/>
  <c r="AC54" i="58"/>
  <c r="Q5" i="96" l="1"/>
  <c r="Q3" i="96"/>
  <c r="Q6" i="96" s="1"/>
  <c r="Q8" i="96"/>
  <c r="Q7" i="96" s="1"/>
  <c r="F24" i="74"/>
  <c r="G24" i="74"/>
  <c r="H24" i="74"/>
  <c r="F51" i="81"/>
  <c r="G51" i="81"/>
  <c r="H51" i="81"/>
  <c r="Q9" i="96" l="1"/>
  <c r="A587" i="38"/>
  <c r="D587" i="38"/>
  <c r="E587" i="38"/>
  <c r="G587" i="38"/>
  <c r="H587" i="38"/>
  <c r="K587" i="38"/>
  <c r="L587" i="38" s="1"/>
  <c r="M587" i="38"/>
  <c r="N587" i="38" s="1"/>
  <c r="S587" i="38"/>
  <c r="F224" i="25"/>
  <c r="H224" i="25"/>
  <c r="G224" i="25"/>
  <c r="F65" i="25"/>
  <c r="F26" i="90"/>
  <c r="G26" i="90"/>
  <c r="H26" i="90"/>
  <c r="P587" i="38" l="1"/>
  <c r="O587" i="38"/>
  <c r="Z587" i="38"/>
  <c r="U587" i="38"/>
  <c r="F50" i="77"/>
  <c r="H50" i="77"/>
  <c r="G50" i="77"/>
  <c r="F93" i="58"/>
  <c r="H93" i="58"/>
  <c r="G93" i="58"/>
  <c r="F122" i="51"/>
  <c r="G122" i="51"/>
  <c r="H122" i="51"/>
  <c r="F223" i="25"/>
  <c r="H223" i="25"/>
  <c r="G223"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30" i="89"/>
  <c r="H30" i="89"/>
  <c r="G30" i="89"/>
  <c r="F29" i="89"/>
  <c r="H29" i="89"/>
  <c r="F222" i="25"/>
  <c r="H222" i="25"/>
  <c r="G222" i="25"/>
  <c r="K44" i="25"/>
  <c r="A583" i="38"/>
  <c r="D583" i="38"/>
  <c r="E583" i="38"/>
  <c r="G583" i="38"/>
  <c r="H583" i="38"/>
  <c r="K583" i="38"/>
  <c r="L583" i="38" s="1"/>
  <c r="M583" i="38"/>
  <c r="N583" i="38" s="1"/>
  <c r="S583" i="38"/>
  <c r="O584" i="38" l="1"/>
  <c r="P583" i="38"/>
  <c r="Z584" i="38"/>
  <c r="Z583" i="38"/>
  <c r="O583" i="38"/>
  <c r="U583" i="38"/>
  <c r="F62" i="46"/>
  <c r="G62" i="46"/>
  <c r="H62"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92" i="58"/>
  <c r="H92" i="58"/>
  <c r="F91" i="58"/>
  <c r="H91" i="58"/>
  <c r="G92" i="58"/>
  <c r="K12" i="58"/>
  <c r="F44" i="57"/>
  <c r="H44" i="57"/>
  <c r="G44" i="57"/>
  <c r="K5" i="57"/>
  <c r="F221" i="25"/>
  <c r="G221" i="25"/>
  <c r="H221" i="25"/>
  <c r="F220" i="25"/>
  <c r="H220" i="25"/>
  <c r="F219" i="25"/>
  <c r="H219" i="25"/>
  <c r="F218" i="25"/>
  <c r="H218" i="25"/>
  <c r="K43" i="25"/>
  <c r="F25" i="47"/>
  <c r="G25" i="47"/>
  <c r="H25" i="47"/>
  <c r="F24" i="47"/>
  <c r="G24" i="47"/>
  <c r="H24" i="47"/>
  <c r="K2" i="47"/>
  <c r="K18" i="47" s="1"/>
  <c r="G220" i="25"/>
  <c r="F61" i="25"/>
  <c r="G49" i="81"/>
  <c r="K4" i="81"/>
  <c r="G219" i="25"/>
  <c r="K42" i="25"/>
  <c r="F6" i="47"/>
  <c r="F5" i="91"/>
  <c r="G48" i="81"/>
  <c r="F11" i="81"/>
  <c r="F8" i="57"/>
  <c r="G218" i="25"/>
  <c r="F2" i="49"/>
  <c r="G91" i="58"/>
  <c r="F18" i="58"/>
  <c r="G29" i="89"/>
  <c r="F60" i="25"/>
  <c r="AE11" i="31"/>
  <c r="AG11" i="31"/>
  <c r="AG8" i="31"/>
  <c r="AG9" i="31"/>
  <c r="AF11" i="31"/>
  <c r="AF9" i="31"/>
  <c r="AF8" i="31"/>
  <c r="AF22" i="31"/>
  <c r="AF23" i="31"/>
  <c r="AF25" i="31" s="1"/>
  <c r="AG22" i="31"/>
  <c r="AG23" i="31"/>
  <c r="AG25" i="31" s="1"/>
  <c r="K19" i="47"/>
  <c r="O582" i="38" l="1"/>
  <c r="Z582" i="38"/>
  <c r="AG10" i="31"/>
  <c r="P582" i="38"/>
  <c r="U582" i="38"/>
  <c r="F121" i="51"/>
  <c r="G121" i="51"/>
  <c r="H121" i="51"/>
  <c r="A581" i="38"/>
  <c r="D581" i="38"/>
  <c r="E581" i="38"/>
  <c r="G581" i="38"/>
  <c r="H581" i="38"/>
  <c r="K581" i="38"/>
  <c r="L581" i="38" s="1"/>
  <c r="M581" i="38"/>
  <c r="N581" i="38" s="1"/>
  <c r="S581" i="38"/>
  <c r="F23" i="74"/>
  <c r="G23" i="74"/>
  <c r="H23" i="74"/>
  <c r="F3" i="74"/>
  <c r="F217" i="25"/>
  <c r="H217" i="25"/>
  <c r="G217"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M19" i="95"/>
  <c r="H85" i="95"/>
  <c r="K85" i="95"/>
  <c r="F19" i="95"/>
  <c r="F85" i="95"/>
  <c r="K19" i="95"/>
  <c r="C85" i="95"/>
  <c r="M85" i="95"/>
  <c r="C19" i="95"/>
  <c r="H19"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37" i="88"/>
  <c r="H37" i="88"/>
  <c r="G37" i="88"/>
  <c r="A579" i="38"/>
  <c r="D579" i="38"/>
  <c r="E579" i="38"/>
  <c r="G579" i="38"/>
  <c r="H579" i="38"/>
  <c r="K579" i="38"/>
  <c r="L579" i="38" s="1"/>
  <c r="M579" i="38"/>
  <c r="N579" i="38" s="1"/>
  <c r="S579" i="38"/>
  <c r="M84" i="94"/>
  <c r="K84" i="94"/>
  <c r="H84" i="94"/>
  <c r="F84" i="94"/>
  <c r="C84" i="94"/>
  <c r="P37" i="94"/>
  <c r="P36" i="94"/>
  <c r="P35" i="94"/>
  <c r="P34" i="94"/>
  <c r="P33" i="94"/>
  <c r="P32" i="94"/>
  <c r="P31" i="94"/>
  <c r="P30" i="94"/>
  <c r="P29" i="94"/>
  <c r="P28" i="94"/>
  <c r="P27" i="94"/>
  <c r="P26" i="94"/>
  <c r="P25" i="94"/>
  <c r="P24" i="94"/>
  <c r="P23" i="94"/>
  <c r="P22" i="94"/>
  <c r="P21" i="94"/>
  <c r="P20" i="94"/>
  <c r="P19" i="94"/>
  <c r="P18" i="94"/>
  <c r="P17" i="94"/>
  <c r="H25" i="94"/>
  <c r="G25" i="94"/>
  <c r="F25" i="94"/>
  <c r="J25" i="94" s="1"/>
  <c r="M18" i="94"/>
  <c r="C18" i="94"/>
  <c r="F2" i="94"/>
  <c r="F18" i="94" s="1"/>
  <c r="F47" i="81"/>
  <c r="H47" i="81"/>
  <c r="G47" i="81"/>
  <c r="F9" i="81"/>
  <c r="F120" i="51"/>
  <c r="G120" i="51"/>
  <c r="H120" i="51"/>
  <c r="F29" i="51"/>
  <c r="C85" i="94"/>
  <c r="F85" i="94"/>
  <c r="M85" i="94"/>
  <c r="F19" i="94"/>
  <c r="K19" i="94"/>
  <c r="M19" i="94"/>
  <c r="H85" i="94"/>
  <c r="K85" i="94"/>
  <c r="H19" i="94"/>
  <c r="C19" i="94"/>
  <c r="Q9" i="95" l="1"/>
  <c r="Q2" i="94"/>
  <c r="Q5" i="94" s="1"/>
  <c r="Z579" i="38"/>
  <c r="M66" i="94"/>
  <c r="Q10" i="94" s="1"/>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M113" i="93"/>
  <c r="H26" i="93"/>
  <c r="F113" i="93"/>
  <c r="M26" i="93"/>
  <c r="H113" i="93"/>
  <c r="C113" i="93"/>
  <c r="F26" i="93"/>
  <c r="K113" i="93"/>
  <c r="Q8" i="94" l="1"/>
  <c r="Q7" i="94" s="1"/>
  <c r="Q3" i="94"/>
  <c r="Q6" i="94" s="1"/>
  <c r="Z578" i="38"/>
  <c r="O578" i="38"/>
  <c r="P578" i="38"/>
  <c r="M94" i="93"/>
  <c r="Q10" i="93" s="1"/>
  <c r="Q2" i="93"/>
  <c r="U578" i="38"/>
  <c r="A577" i="38"/>
  <c r="D577" i="38"/>
  <c r="E577" i="38"/>
  <c r="G577" i="38"/>
  <c r="H577" i="38"/>
  <c r="K577" i="38"/>
  <c r="L577" i="38" s="1"/>
  <c r="M577" i="38"/>
  <c r="N577" i="38" s="1"/>
  <c r="S577" i="38"/>
  <c r="F119" i="51"/>
  <c r="G119" i="51"/>
  <c r="H119" i="51"/>
  <c r="F28" i="51"/>
  <c r="F65" i="43"/>
  <c r="H65" i="43"/>
  <c r="G65" i="43"/>
  <c r="F15" i="43"/>
  <c r="M120" i="92"/>
  <c r="K120" i="92"/>
  <c r="H120" i="92"/>
  <c r="F120" i="92"/>
  <c r="C120" i="92"/>
  <c r="P39" i="92"/>
  <c r="P38" i="92"/>
  <c r="P37" i="92"/>
  <c r="P36" i="92"/>
  <c r="P35" i="92"/>
  <c r="P34" i="92"/>
  <c r="P33" i="92"/>
  <c r="P32" i="92"/>
  <c r="P31" i="92"/>
  <c r="P30" i="92"/>
  <c r="P29" i="92"/>
  <c r="P28" i="92"/>
  <c r="P27" i="92"/>
  <c r="P26" i="92"/>
  <c r="P25" i="92"/>
  <c r="P24" i="92"/>
  <c r="P23" i="92"/>
  <c r="P22" i="92"/>
  <c r="P21" i="92"/>
  <c r="P20" i="92"/>
  <c r="P19" i="92"/>
  <c r="H36" i="92"/>
  <c r="G36" i="92"/>
  <c r="F36" i="92"/>
  <c r="M29" i="92"/>
  <c r="F2" i="92"/>
  <c r="F29" i="92" s="1"/>
  <c r="F90" i="58"/>
  <c r="G90" i="58"/>
  <c r="H90"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16" i="25"/>
  <c r="H216" i="25"/>
  <c r="G216" i="25"/>
  <c r="F58" i="25"/>
  <c r="A576" i="38"/>
  <c r="D576" i="38"/>
  <c r="E576" i="38"/>
  <c r="G576" i="38"/>
  <c r="H576" i="38"/>
  <c r="K576" i="38"/>
  <c r="L576" i="38" s="1"/>
  <c r="M576" i="38"/>
  <c r="N576" i="38" s="1"/>
  <c r="S576" i="38"/>
  <c r="F46" i="81"/>
  <c r="H46" i="81"/>
  <c r="G46" i="81"/>
  <c r="F8" i="81"/>
  <c r="F36" i="88"/>
  <c r="H36" i="88"/>
  <c r="G36" i="88"/>
  <c r="F5" i="88"/>
  <c r="AA5" i="88" s="1"/>
  <c r="AB5" i="88" s="1"/>
  <c r="F44" i="70"/>
  <c r="H44" i="70"/>
  <c r="G44" i="70"/>
  <c r="F14" i="70"/>
  <c r="K85" i="91"/>
  <c r="C30" i="92"/>
  <c r="C85" i="91"/>
  <c r="F121" i="92"/>
  <c r="M19" i="91"/>
  <c r="M85" i="91"/>
  <c r="K19" i="91"/>
  <c r="F19" i="91"/>
  <c r="M121" i="92"/>
  <c r="C121" i="92"/>
  <c r="K121" i="92"/>
  <c r="H19" i="91"/>
  <c r="H85" i="91"/>
  <c r="K30" i="92"/>
  <c r="M30" i="92"/>
  <c r="F19" i="47"/>
  <c r="C19" i="91"/>
  <c r="H121" i="92"/>
  <c r="F30" i="92"/>
  <c r="H30" i="92"/>
  <c r="F85" i="91"/>
  <c r="Q3" i="93" l="1"/>
  <c r="Q6" i="93" s="1"/>
  <c r="F18" i="47"/>
  <c r="Q9" i="94"/>
  <c r="Q2" i="92"/>
  <c r="Q5" i="92" s="1"/>
  <c r="Q5" i="93"/>
  <c r="Z577" i="38"/>
  <c r="Z576" i="38"/>
  <c r="P577" i="38"/>
  <c r="Q8" i="93"/>
  <c r="Q7" i="93" s="1"/>
  <c r="Q2" i="91"/>
  <c r="Q3" i="91" s="1"/>
  <c r="Q6" i="91" s="1"/>
  <c r="M102" i="92"/>
  <c r="Q10" i="92" s="1"/>
  <c r="O577" i="38"/>
  <c r="O576" i="38"/>
  <c r="U577" i="38"/>
  <c r="M66" i="91"/>
  <c r="Q10" i="91" s="1"/>
  <c r="P576" i="38"/>
  <c r="U576" i="38"/>
  <c r="A575" i="38"/>
  <c r="D575" i="38"/>
  <c r="E575" i="38"/>
  <c r="G575" i="38"/>
  <c r="H575" i="38"/>
  <c r="K575" i="38"/>
  <c r="L575" i="38" s="1"/>
  <c r="M575" i="38"/>
  <c r="N575" i="38" s="1"/>
  <c r="S575" i="38"/>
  <c r="F89" i="58"/>
  <c r="H89" i="58"/>
  <c r="G89" i="58"/>
  <c r="F16" i="58"/>
  <c r="G43" i="70"/>
  <c r="F43" i="70"/>
  <c r="H43" i="70"/>
  <c r="F13" i="70"/>
  <c r="F118" i="51"/>
  <c r="G118" i="51"/>
  <c r="H118" i="51"/>
  <c r="F27" i="51"/>
  <c r="Q3" i="92" l="1"/>
  <c r="Q6" i="92" s="1"/>
  <c r="Q8" i="92"/>
  <c r="Q7" i="92" s="1"/>
  <c r="Q8" i="91"/>
  <c r="Q9" i="91" s="1"/>
  <c r="Q5" i="91"/>
  <c r="Q9" i="93"/>
  <c r="Z575" i="38"/>
  <c r="O575" i="38"/>
  <c r="P575" i="38"/>
  <c r="U575" i="38"/>
  <c r="A574" i="38"/>
  <c r="D574" i="38"/>
  <c r="E574" i="38"/>
  <c r="G574" i="38"/>
  <c r="H574" i="38"/>
  <c r="K574" i="38"/>
  <c r="L574" i="38" s="1"/>
  <c r="M574" i="38"/>
  <c r="N574" i="38" s="1"/>
  <c r="S574" i="38"/>
  <c r="F215" i="25"/>
  <c r="H215" i="25"/>
  <c r="G215" i="25"/>
  <c r="F57" i="25"/>
  <c r="F56" i="25"/>
  <c r="F49" i="77"/>
  <c r="H49" i="77"/>
  <c r="G49" i="77"/>
  <c r="F10" i="77"/>
  <c r="F43" i="57"/>
  <c r="H43" i="57"/>
  <c r="G43" i="57"/>
  <c r="F7" i="57"/>
  <c r="F35" i="88"/>
  <c r="H35" i="88"/>
  <c r="G35" i="88"/>
  <c r="F3" i="88"/>
  <c r="AA3" i="88" s="1"/>
  <c r="AB3" i="88" s="1"/>
  <c r="F4" i="88"/>
  <c r="AA4" i="88" s="1"/>
  <c r="AB4" i="88" s="1"/>
  <c r="Q7" i="91" l="1"/>
  <c r="Z574" i="38"/>
  <c r="Q9" i="92"/>
  <c r="P574" i="38"/>
  <c r="O574" i="38"/>
  <c r="U574" i="38"/>
  <c r="F34" i="88"/>
  <c r="G34" i="88"/>
  <c r="H34" i="88"/>
  <c r="A573" i="38"/>
  <c r="D573" i="38"/>
  <c r="E573" i="38"/>
  <c r="G573" i="38"/>
  <c r="H573" i="38"/>
  <c r="K573" i="38"/>
  <c r="L573" i="38" s="1"/>
  <c r="M573" i="38"/>
  <c r="U573" i="38" s="1"/>
  <c r="S573" i="38"/>
  <c r="K68" i="87"/>
  <c r="F68" i="87"/>
  <c r="N573" i="38" l="1"/>
  <c r="P573" i="38"/>
  <c r="F214" i="25"/>
  <c r="G214" i="25"/>
  <c r="H214" i="25"/>
  <c r="O573" i="38" l="1"/>
  <c r="Z573" i="38"/>
  <c r="A572" i="38"/>
  <c r="D572" i="38"/>
  <c r="E572" i="38"/>
  <c r="G572" i="38"/>
  <c r="H572" i="38"/>
  <c r="K572" i="38"/>
  <c r="L572" i="38" s="1"/>
  <c r="M572" i="38"/>
  <c r="N572" i="38" s="1"/>
  <c r="S572" i="38"/>
  <c r="F117" i="51"/>
  <c r="G117" i="51"/>
  <c r="H117" i="51"/>
  <c r="K18" i="51"/>
  <c r="F88" i="58"/>
  <c r="H88" i="58"/>
  <c r="G88" i="58"/>
  <c r="K11" i="58"/>
  <c r="F42" i="70"/>
  <c r="H42" i="70"/>
  <c r="G42" i="70"/>
  <c r="K7" i="70"/>
  <c r="F61" i="46"/>
  <c r="H61" i="46"/>
  <c r="G61" i="46"/>
  <c r="K8" i="46"/>
  <c r="K88" i="31"/>
  <c r="F88" i="31"/>
  <c r="K87" i="31"/>
  <c r="F87" i="31"/>
  <c r="K86" i="31"/>
  <c r="F86" i="31"/>
  <c r="K85" i="31"/>
  <c r="F85" i="31"/>
  <c r="K84" i="31"/>
  <c r="F84" i="31"/>
  <c r="K83" i="31"/>
  <c r="F83" i="31"/>
  <c r="F60" i="46"/>
  <c r="H60" i="46"/>
  <c r="G60" i="46"/>
  <c r="F11" i="46"/>
  <c r="K7" i="46"/>
  <c r="AE8" i="31"/>
  <c r="AE9" i="31"/>
  <c r="AF10" i="31" s="1"/>
  <c r="AE22" i="31"/>
  <c r="AE23" i="31"/>
  <c r="AF24" i="31" s="1"/>
  <c r="F116" i="51"/>
  <c r="H116" i="51"/>
  <c r="G116" i="51"/>
  <c r="K17" i="51"/>
  <c r="F59" i="46"/>
  <c r="H59" i="46"/>
  <c r="G59" i="46"/>
  <c r="F14" i="46"/>
  <c r="F213" i="25"/>
  <c r="G213" i="25"/>
  <c r="H213" i="25"/>
  <c r="A571" i="38"/>
  <c r="D571" i="38"/>
  <c r="E571" i="38"/>
  <c r="G571" i="38"/>
  <c r="H571" i="38"/>
  <c r="K571" i="38"/>
  <c r="L571" i="38" s="1"/>
  <c r="M571" i="38"/>
  <c r="N571" i="38" s="1"/>
  <c r="S571" i="38"/>
  <c r="F55" i="25"/>
  <c r="Z572" i="38" l="1"/>
  <c r="Z571" i="38"/>
  <c r="O572" i="38"/>
  <c r="P572" i="38"/>
  <c r="AE25" i="31"/>
  <c r="AG24" i="31"/>
  <c r="U572" i="38"/>
  <c r="O571" i="38"/>
  <c r="P571" i="38"/>
  <c r="U571" i="38"/>
  <c r="F22" i="74"/>
  <c r="G22" i="74"/>
  <c r="H22" i="74"/>
  <c r="F45" i="81"/>
  <c r="G45" i="81"/>
  <c r="H45" i="81"/>
  <c r="F42" i="57"/>
  <c r="H42" i="57"/>
  <c r="G42" i="57"/>
  <c r="F29" i="86"/>
  <c r="H29" i="86"/>
  <c r="G29" i="86"/>
  <c r="F48" i="77"/>
  <c r="H48" i="77"/>
  <c r="G48" i="77"/>
  <c r="K7" i="77"/>
  <c r="A570" i="38"/>
  <c r="D570" i="38"/>
  <c r="E570" i="38"/>
  <c r="G570" i="38"/>
  <c r="H570" i="38"/>
  <c r="K570" i="38"/>
  <c r="L570" i="38" s="1"/>
  <c r="M570" i="38"/>
  <c r="N570" i="38" s="1"/>
  <c r="S570" i="38"/>
  <c r="Z570" i="38" l="1"/>
  <c r="O570" i="38"/>
  <c r="P570" i="38"/>
  <c r="U570" i="38"/>
  <c r="F41" i="57"/>
  <c r="H41" i="57"/>
  <c r="G41" i="57"/>
  <c r="F54" i="25"/>
  <c r="F115" i="51"/>
  <c r="G115" i="51"/>
  <c r="H115" i="51"/>
  <c r="F212" i="25"/>
  <c r="H212" i="25"/>
  <c r="G212"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114" i="51"/>
  <c r="G114" i="51"/>
  <c r="H114" i="51"/>
  <c r="F26" i="51"/>
  <c r="F43" i="81"/>
  <c r="H43" i="81"/>
  <c r="G43" i="81"/>
  <c r="F6" i="81"/>
  <c r="Z568" i="38" l="1"/>
  <c r="O568" i="38"/>
  <c r="P568" i="38"/>
  <c r="U568" i="38"/>
  <c r="F40" i="57"/>
  <c r="H40" i="57"/>
  <c r="G40" i="57"/>
  <c r="F87" i="58"/>
  <c r="H87" i="58"/>
  <c r="G87" i="58"/>
  <c r="AD8" i="31" l="1"/>
  <c r="AD9" i="31"/>
  <c r="AE10" i="31" s="1"/>
  <c r="AD11" i="31"/>
  <c r="AD22" i="31"/>
  <c r="AD23" i="31"/>
  <c r="AD25" i="31" l="1"/>
  <c r="AE24" i="31"/>
  <c r="A567" i="38"/>
  <c r="D567" i="38"/>
  <c r="E567" i="38"/>
  <c r="G567" i="38"/>
  <c r="H567" i="38"/>
  <c r="K567" i="38"/>
  <c r="L567" i="38" s="1"/>
  <c r="P567" i="38" s="1"/>
  <c r="M567" i="38"/>
  <c r="N567" i="38" s="1"/>
  <c r="S567" i="38"/>
  <c r="F113" i="51"/>
  <c r="G113" i="51"/>
  <c r="H113" i="51"/>
  <c r="K16" i="51"/>
  <c r="Z567" i="38" l="1"/>
  <c r="O567" i="38"/>
  <c r="U567" i="38"/>
  <c r="F86" i="58"/>
  <c r="H86" i="58"/>
  <c r="G86"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3" i="88"/>
  <c r="G33" i="88"/>
  <c r="H33" i="88"/>
  <c r="F30" i="45"/>
  <c r="G30" i="45"/>
  <c r="H30" i="45"/>
  <c r="F28" i="89"/>
  <c r="G28" i="89"/>
  <c r="H28" i="89"/>
  <c r="F112" i="51"/>
  <c r="G112" i="51"/>
  <c r="H112" i="51"/>
  <c r="F28" i="86"/>
  <c r="G28" i="86"/>
  <c r="H28" i="86"/>
  <c r="A565" i="38"/>
  <c r="D565" i="38"/>
  <c r="E565" i="38"/>
  <c r="G565" i="38"/>
  <c r="H565" i="38"/>
  <c r="K565" i="38"/>
  <c r="L565" i="38" s="1"/>
  <c r="M565" i="38"/>
  <c r="N565" i="38" s="1"/>
  <c r="S565" i="38"/>
  <c r="F211" i="25"/>
  <c r="H211" i="25"/>
  <c r="G211" i="25"/>
  <c r="K40" i="25"/>
  <c r="F210" i="25"/>
  <c r="H210" i="25"/>
  <c r="G210" i="25"/>
  <c r="K39" i="25"/>
  <c r="F53" i="25"/>
  <c r="Z565" i="38" l="1"/>
  <c r="O565" i="38"/>
  <c r="U565" i="38"/>
  <c r="P565" i="38"/>
  <c r="Q11" i="89"/>
  <c r="F209" i="25"/>
  <c r="H209" i="25"/>
  <c r="G209" i="25"/>
  <c r="F52" i="25"/>
  <c r="A564" i="38"/>
  <c r="D564" i="38"/>
  <c r="E564" i="38"/>
  <c r="G564" i="38"/>
  <c r="H564" i="38"/>
  <c r="K564" i="38"/>
  <c r="L564" i="38" s="1"/>
  <c r="M564" i="38"/>
  <c r="N564" i="38" s="1"/>
  <c r="S564" i="38"/>
  <c r="F27" i="89"/>
  <c r="G27" i="89"/>
  <c r="H27" i="89"/>
  <c r="F208" i="25"/>
  <c r="H208" i="25"/>
  <c r="G208" i="25"/>
  <c r="F51" i="25"/>
  <c r="F85" i="58"/>
  <c r="H85" i="58"/>
  <c r="G85" i="58"/>
  <c r="F15" i="58"/>
  <c r="H21" i="74"/>
  <c r="G21" i="74"/>
  <c r="F21"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84" i="58"/>
  <c r="G84" i="58"/>
  <c r="H84" i="58"/>
  <c r="AC25" i="31" l="1"/>
  <c r="F207" i="25"/>
  <c r="H207" i="25"/>
  <c r="G207" i="25"/>
  <c r="K38" i="25"/>
  <c r="F111" i="51"/>
  <c r="G111" i="51"/>
  <c r="H111" i="51"/>
  <c r="F25" i="51"/>
  <c r="K15" i="51"/>
  <c r="K73" i="74"/>
  <c r="F73" i="74"/>
  <c r="K72" i="74"/>
  <c r="F72" i="74"/>
  <c r="K71" i="74"/>
  <c r="F71" i="74"/>
  <c r="K70" i="74"/>
  <c r="F70" i="74"/>
  <c r="M69" i="74"/>
  <c r="M82" i="74" s="1"/>
  <c r="K69" i="74"/>
  <c r="F69" i="74"/>
  <c r="K68" i="74"/>
  <c r="F68" i="74"/>
  <c r="K67" i="74"/>
  <c r="F67" i="74"/>
  <c r="K66" i="74"/>
  <c r="F66" i="74"/>
  <c r="K65" i="74"/>
  <c r="F65" i="74"/>
  <c r="H112" i="74"/>
  <c r="G112" i="74"/>
  <c r="F112" i="74"/>
  <c r="H111" i="74"/>
  <c r="G111" i="74"/>
  <c r="F111" i="74"/>
  <c r="H110" i="74"/>
  <c r="G110" i="74"/>
  <c r="F110" i="74"/>
  <c r="H109" i="74"/>
  <c r="G109" i="74"/>
  <c r="F109" i="74"/>
  <c r="H108" i="74"/>
  <c r="G108" i="74"/>
  <c r="F108" i="74"/>
  <c r="H107" i="74"/>
  <c r="G107" i="74"/>
  <c r="F107" i="74"/>
  <c r="H106" i="74"/>
  <c r="G106" i="74"/>
  <c r="F106" i="74"/>
  <c r="H105" i="74"/>
  <c r="G105" i="74"/>
  <c r="F105" i="74"/>
  <c r="H104" i="74"/>
  <c r="G104" i="74"/>
  <c r="F104" i="74"/>
  <c r="H103" i="74"/>
  <c r="G103" i="74"/>
  <c r="F103" i="74"/>
  <c r="H102" i="74"/>
  <c r="G102" i="74"/>
  <c r="F102" i="74"/>
  <c r="H101" i="74"/>
  <c r="G101" i="74"/>
  <c r="F101" i="74"/>
  <c r="H100" i="74"/>
  <c r="G100" i="74"/>
  <c r="F100" i="74"/>
  <c r="H99" i="74"/>
  <c r="G99" i="74"/>
  <c r="F99" i="74"/>
  <c r="H98" i="74"/>
  <c r="G98" i="74"/>
  <c r="F98" i="74"/>
  <c r="H97" i="74"/>
  <c r="G97" i="74"/>
  <c r="F97" i="74"/>
  <c r="H96" i="74"/>
  <c r="G96" i="74"/>
  <c r="F96" i="74"/>
  <c r="H95" i="74"/>
  <c r="G95" i="74"/>
  <c r="F95" i="74"/>
  <c r="H94" i="74"/>
  <c r="G94" i="74"/>
  <c r="F94" i="74"/>
  <c r="H93" i="74"/>
  <c r="G93" i="74"/>
  <c r="F93" i="74"/>
  <c r="H91" i="74"/>
  <c r="G91" i="74"/>
  <c r="F91" i="74"/>
  <c r="H90" i="74"/>
  <c r="G90" i="74"/>
  <c r="F90" i="74"/>
  <c r="H89" i="74"/>
  <c r="G89" i="74"/>
  <c r="F89"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06" i="25"/>
  <c r="H206" i="25"/>
  <c r="G206"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83" i="58"/>
  <c r="H83" i="58"/>
  <c r="G83" i="58"/>
  <c r="F58" i="46"/>
  <c r="G58" i="46"/>
  <c r="H58"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05" i="25"/>
  <c r="G205" i="25"/>
  <c r="H205"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110" i="51"/>
  <c r="G110" i="51"/>
  <c r="H110" i="51"/>
  <c r="F41" i="81"/>
  <c r="H41" i="81"/>
  <c r="G41" i="81"/>
  <c r="F5" i="81"/>
  <c r="A559" i="38"/>
  <c r="D559" i="38"/>
  <c r="E559" i="38"/>
  <c r="G559" i="38"/>
  <c r="H559" i="38"/>
  <c r="K559" i="38"/>
  <c r="L559" i="38" s="1"/>
  <c r="M559" i="38"/>
  <c r="N559" i="38" s="1"/>
  <c r="S559" i="38"/>
  <c r="Z559" i="38" l="1"/>
  <c r="P559" i="38"/>
  <c r="O559" i="38"/>
  <c r="U559" i="38"/>
  <c r="F26" i="89"/>
  <c r="G26" i="89"/>
  <c r="H26" i="89"/>
  <c r="F90" i="87"/>
  <c r="G90" i="87"/>
  <c r="H90" i="87"/>
  <c r="F33" i="78"/>
  <c r="G33" i="78"/>
  <c r="H33" i="78"/>
  <c r="F40" i="81"/>
  <c r="G40" i="81"/>
  <c r="H40" i="81"/>
  <c r="F27" i="86"/>
  <c r="G27" i="86"/>
  <c r="H27" i="86"/>
  <c r="F32" i="88"/>
  <c r="G32" i="88"/>
  <c r="H32" i="88"/>
  <c r="F39" i="57"/>
  <c r="G39" i="57"/>
  <c r="H39" i="57"/>
  <c r="F46" i="77"/>
  <c r="G46" i="77"/>
  <c r="H46" i="77"/>
  <c r="F204" i="25"/>
  <c r="G204" i="25"/>
  <c r="H204"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109" i="51"/>
  <c r="G109" i="51"/>
  <c r="H109" i="51"/>
  <c r="K14" i="51"/>
  <c r="K19" i="90"/>
  <c r="C85" i="90"/>
  <c r="H85" i="90"/>
  <c r="K85" i="90"/>
  <c r="H19" i="90"/>
  <c r="M19" i="90"/>
  <c r="F19" i="90"/>
  <c r="F85" i="90"/>
  <c r="C19" i="90"/>
  <c r="M85" i="90"/>
  <c r="Z558" i="38" l="1"/>
  <c r="Q2" i="90"/>
  <c r="Q5" i="90" s="1"/>
  <c r="M66" i="90"/>
  <c r="Q10" i="90" s="1"/>
  <c r="O558" i="38"/>
  <c r="P558" i="38"/>
  <c r="U558" i="38"/>
  <c r="Q8" i="90"/>
  <c r="A557" i="38"/>
  <c r="D557" i="38"/>
  <c r="E557" i="38"/>
  <c r="G557" i="38"/>
  <c r="H557" i="38"/>
  <c r="K557" i="38"/>
  <c r="L557" i="38" s="1"/>
  <c r="M557" i="38"/>
  <c r="U557" i="38" s="1"/>
  <c r="S557" i="38"/>
  <c r="F45" i="77"/>
  <c r="G45" i="77"/>
  <c r="H45" i="77"/>
  <c r="F7" i="77"/>
  <c r="K5" i="77"/>
  <c r="F45" i="84"/>
  <c r="H45" i="84"/>
  <c r="G45" i="84"/>
  <c r="F9" i="84"/>
  <c r="F203" i="25"/>
  <c r="H203" i="25"/>
  <c r="G203" i="25"/>
  <c r="K35" i="25"/>
  <c r="F108" i="51"/>
  <c r="G108" i="51"/>
  <c r="H108" i="51"/>
  <c r="F24" i="51"/>
  <c r="F107" i="51"/>
  <c r="G107" i="51"/>
  <c r="H107" i="51"/>
  <c r="F23" i="51"/>
  <c r="N557" i="38" l="1"/>
  <c r="Z557" i="38" s="1"/>
  <c r="Q3" i="90"/>
  <c r="Q6" i="90" s="1"/>
  <c r="Q9" i="90" s="1"/>
  <c r="Q7" i="90"/>
  <c r="P557" i="38"/>
  <c r="F26" i="86"/>
  <c r="G26" i="86"/>
  <c r="H26" i="86"/>
  <c r="F57" i="46"/>
  <c r="G57" i="46"/>
  <c r="H57" i="46"/>
  <c r="F106" i="51"/>
  <c r="G106" i="51"/>
  <c r="H106" i="51"/>
  <c r="F202" i="25"/>
  <c r="G202" i="25"/>
  <c r="H202"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01" i="25"/>
  <c r="H201" i="25"/>
  <c r="G201" i="25"/>
  <c r="K34" i="25"/>
  <c r="R11" i="58"/>
  <c r="Q11" i="58" s="1"/>
  <c r="F82" i="58"/>
  <c r="H82" i="58"/>
  <c r="G82" i="58"/>
  <c r="K9" i="58"/>
  <c r="F105" i="51"/>
  <c r="G105" i="51"/>
  <c r="H105" i="51"/>
  <c r="K13" i="51"/>
  <c r="M84" i="89"/>
  <c r="K84" i="89"/>
  <c r="H84" i="89"/>
  <c r="F84" i="89"/>
  <c r="C84" i="89"/>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F85" i="89"/>
  <c r="M85" i="89"/>
  <c r="C85" i="89"/>
  <c r="H85" i="89"/>
  <c r="H60" i="51"/>
  <c r="M19" i="89"/>
  <c r="K85" i="89"/>
  <c r="H19" i="89"/>
  <c r="Q2" i="89" l="1"/>
  <c r="Q5" i="89" s="1"/>
  <c r="M66" i="89"/>
  <c r="Q10" i="89" s="1"/>
  <c r="P555" i="38"/>
  <c r="N555" i="38"/>
  <c r="A554" i="38"/>
  <c r="D554" i="38"/>
  <c r="E554" i="38"/>
  <c r="G554" i="38"/>
  <c r="H554" i="38"/>
  <c r="K554" i="38"/>
  <c r="L554" i="38" s="1"/>
  <c r="M554" i="38"/>
  <c r="N554" i="38" s="1"/>
  <c r="S554" i="38"/>
  <c r="F2" i="31"/>
  <c r="M106" i="88"/>
  <c r="K106" i="88"/>
  <c r="H106" i="88"/>
  <c r="F106" i="88"/>
  <c r="C106" i="88"/>
  <c r="P39" i="88"/>
  <c r="P38" i="88"/>
  <c r="P37" i="88"/>
  <c r="P36" i="88"/>
  <c r="P35" i="88"/>
  <c r="P34" i="88"/>
  <c r="P33" i="88"/>
  <c r="P32" i="88"/>
  <c r="P31" i="88"/>
  <c r="P30" i="88"/>
  <c r="P29" i="88"/>
  <c r="P28" i="88"/>
  <c r="P27" i="88"/>
  <c r="P26" i="88"/>
  <c r="P25" i="88"/>
  <c r="P24" i="88"/>
  <c r="P23" i="88"/>
  <c r="P22" i="88"/>
  <c r="P21" i="88"/>
  <c r="P20" i="88"/>
  <c r="P19" i="88"/>
  <c r="H31" i="88"/>
  <c r="G31" i="88"/>
  <c r="F31" i="88"/>
  <c r="M24" i="88"/>
  <c r="F2" i="88"/>
  <c r="F24"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K85" i="87"/>
  <c r="F25" i="88"/>
  <c r="K107" i="88"/>
  <c r="M85" i="87"/>
  <c r="M107" i="88"/>
  <c r="F85" i="87"/>
  <c r="M25" i="88"/>
  <c r="M19" i="87"/>
  <c r="H85" i="87"/>
  <c r="C107" i="88"/>
  <c r="C85" i="87"/>
  <c r="K19" i="87"/>
  <c r="H19" i="87"/>
  <c r="H107" i="88"/>
  <c r="C19" i="87"/>
  <c r="F107" i="88"/>
  <c r="F19" i="87"/>
  <c r="AA2" i="88" l="1"/>
  <c r="AB2" i="88" s="1"/>
  <c r="M66" i="87"/>
  <c r="Q10" i="87" s="1"/>
  <c r="O555" i="38"/>
  <c r="Z554" i="38"/>
  <c r="Z555" i="38"/>
  <c r="Q2" i="87"/>
  <c r="Q5" i="87" s="1"/>
  <c r="Q3" i="89"/>
  <c r="Q6" i="89" s="1"/>
  <c r="Q8" i="89"/>
  <c r="Q7" i="89" s="1"/>
  <c r="P554" i="38"/>
  <c r="Q2" i="88"/>
  <c r="M88" i="88"/>
  <c r="Q10" i="88" s="1"/>
  <c r="AM2" i="88" s="1"/>
  <c r="O554" i="38"/>
  <c r="U554" i="38"/>
  <c r="Q5" i="88" l="1"/>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56" i="46"/>
  <c r="H56" i="46"/>
  <c r="G56" i="46"/>
  <c r="K6" i="46"/>
  <c r="Z553" i="38" l="1"/>
  <c r="P553" i="38"/>
  <c r="O553" i="38"/>
  <c r="U553" i="38"/>
  <c r="Z22" i="31"/>
  <c r="Z8" i="31"/>
  <c r="Z11" i="31"/>
  <c r="Y11" i="31"/>
  <c r="P24" i="25"/>
  <c r="P25" i="25"/>
  <c r="P26" i="25"/>
  <c r="P27" i="25"/>
  <c r="P28" i="25"/>
  <c r="P29" i="25"/>
  <c r="P30" i="25"/>
  <c r="P31" i="25"/>
  <c r="P32" i="25"/>
  <c r="P33" i="25"/>
  <c r="P34" i="25"/>
  <c r="P35" i="25"/>
  <c r="P36" i="25"/>
  <c r="P37" i="25"/>
  <c r="F200" i="25"/>
  <c r="G200" i="25"/>
  <c r="H200" i="25"/>
  <c r="A552" i="38"/>
  <c r="D552" i="38"/>
  <c r="E552" i="38"/>
  <c r="G552" i="38"/>
  <c r="H552" i="38"/>
  <c r="K552" i="38"/>
  <c r="L552" i="38" s="1"/>
  <c r="M552" i="38"/>
  <c r="N552" i="38" s="1"/>
  <c r="S552" i="38"/>
  <c r="C60"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104" i="51"/>
  <c r="G104" i="51"/>
  <c r="H104" i="51"/>
  <c r="F22" i="51"/>
  <c r="F38" i="70"/>
  <c r="H38" i="70"/>
  <c r="G38" i="70"/>
  <c r="F2" i="86"/>
  <c r="F18" i="86" s="1"/>
  <c r="M84" i="86"/>
  <c r="K84" i="86"/>
  <c r="H84" i="86"/>
  <c r="F84" i="86"/>
  <c r="C84" i="86"/>
  <c r="P41" i="86"/>
  <c r="P40" i="86"/>
  <c r="P39" i="86"/>
  <c r="P38" i="86"/>
  <c r="P37" i="86"/>
  <c r="P36" i="86"/>
  <c r="P35" i="86"/>
  <c r="P34" i="86"/>
  <c r="P33" i="86"/>
  <c r="P32" i="86"/>
  <c r="P31" i="86"/>
  <c r="P30" i="86"/>
  <c r="P29" i="86"/>
  <c r="P28" i="86"/>
  <c r="P27" i="86"/>
  <c r="P26" i="86"/>
  <c r="P25" i="86"/>
  <c r="P24" i="86"/>
  <c r="P23" i="86"/>
  <c r="P22" i="86"/>
  <c r="P21" i="86"/>
  <c r="H25" i="86"/>
  <c r="G25" i="86"/>
  <c r="F25" i="86"/>
  <c r="M18" i="86"/>
  <c r="K6" i="70"/>
  <c r="C19" i="86"/>
  <c r="H85" i="86"/>
  <c r="H19" i="86"/>
  <c r="F85" i="86"/>
  <c r="M85" i="86"/>
  <c r="K85" i="86"/>
  <c r="C85" i="86"/>
  <c r="F19" i="86"/>
  <c r="M19" i="86"/>
  <c r="AA2" i="86" l="1"/>
  <c r="AB2" i="86" s="1"/>
  <c r="Q2" i="86"/>
  <c r="M66" i="86"/>
  <c r="Q10" i="86" s="1"/>
  <c r="AM2" i="86" s="1"/>
  <c r="F37" i="70"/>
  <c r="H37" i="70"/>
  <c r="G37" i="70"/>
  <c r="F11" i="70"/>
  <c r="G63" i="43"/>
  <c r="G64" i="43"/>
  <c r="F64" i="43"/>
  <c r="H64" i="43"/>
  <c r="F14" i="43"/>
  <c r="K10" i="43"/>
  <c r="F103" i="51"/>
  <c r="G103" i="51"/>
  <c r="H103" i="51"/>
  <c r="K12" i="51"/>
  <c r="A550" i="38"/>
  <c r="D550" i="38"/>
  <c r="E550" i="38"/>
  <c r="G550" i="38"/>
  <c r="H550" i="38"/>
  <c r="K550" i="38"/>
  <c r="L550" i="38" s="1"/>
  <c r="M550" i="38"/>
  <c r="N550" i="38" s="1"/>
  <c r="H28" i="43"/>
  <c r="C28" i="43"/>
  <c r="M28" i="43"/>
  <c r="Q5" i="86" l="1"/>
  <c r="AJ2" i="86"/>
  <c r="AK2" i="86" s="1"/>
  <c r="AO2" i="86" s="1"/>
  <c r="Z550" i="38"/>
  <c r="Q3" i="86"/>
  <c r="Q6" i="86" s="1"/>
  <c r="Q8" i="86"/>
  <c r="Q7" i="86" s="1"/>
  <c r="P550" i="38"/>
  <c r="O550" i="38"/>
  <c r="F55" i="46"/>
  <c r="H55" i="46"/>
  <c r="G55" i="46"/>
  <c r="K5" i="46"/>
  <c r="F81" i="58"/>
  <c r="H81" i="58"/>
  <c r="G81" i="58"/>
  <c r="F10" i="58"/>
  <c r="K8" i="58"/>
  <c r="F199" i="25"/>
  <c r="H199" i="25"/>
  <c r="G199" i="25"/>
  <c r="K33" i="25"/>
  <c r="F44" i="84"/>
  <c r="H44" i="84"/>
  <c r="G44" i="84"/>
  <c r="K5" i="84"/>
  <c r="F198" i="25"/>
  <c r="G198" i="25"/>
  <c r="H198" i="25"/>
  <c r="K32" i="25"/>
  <c r="K31" i="25"/>
  <c r="A549" i="38"/>
  <c r="D549" i="38"/>
  <c r="E549" i="38"/>
  <c r="G549" i="38"/>
  <c r="H549" i="38"/>
  <c r="K549" i="38"/>
  <c r="L549" i="38" s="1"/>
  <c r="M549" i="38"/>
  <c r="N549" i="38" s="1"/>
  <c r="S549" i="38"/>
  <c r="F197" i="25"/>
  <c r="H197" i="25"/>
  <c r="Z549" i="38" l="1"/>
  <c r="Q9" i="86"/>
  <c r="P549" i="38"/>
  <c r="O549" i="38"/>
  <c r="U549" i="38"/>
  <c r="F102" i="51"/>
  <c r="G102" i="51"/>
  <c r="H102" i="51"/>
  <c r="K11" i="51"/>
  <c r="F36" i="70"/>
  <c r="H36" i="70"/>
  <c r="G36" i="70"/>
  <c r="F10" i="70"/>
  <c r="F54" i="46"/>
  <c r="H54" i="46"/>
  <c r="G54" i="46"/>
  <c r="F13" i="46"/>
  <c r="A548" i="38"/>
  <c r="D548" i="38"/>
  <c r="E548" i="38"/>
  <c r="G548" i="38"/>
  <c r="H548" i="38"/>
  <c r="K548" i="38"/>
  <c r="L548" i="38" s="1"/>
  <c r="M548" i="38"/>
  <c r="N548" i="38" s="1"/>
  <c r="S548" i="38"/>
  <c r="G197" i="25"/>
  <c r="K30" i="25"/>
  <c r="Z548" i="38" l="1"/>
  <c r="P548" i="38"/>
  <c r="O548" i="38"/>
  <c r="U548" i="38"/>
  <c r="F196" i="25"/>
  <c r="G196" i="25"/>
  <c r="H196" i="25"/>
  <c r="A547" i="38" l="1"/>
  <c r="D547" i="38"/>
  <c r="E547" i="38"/>
  <c r="G547" i="38"/>
  <c r="H547" i="38"/>
  <c r="K547" i="38"/>
  <c r="L547" i="38" s="1"/>
  <c r="M547" i="38"/>
  <c r="N547" i="38" s="1"/>
  <c r="S547" i="38"/>
  <c r="K29" i="25"/>
  <c r="Z547" i="38" l="1"/>
  <c r="P547" i="38"/>
  <c r="O547" i="38"/>
  <c r="U547" i="38"/>
  <c r="F195" i="25"/>
  <c r="H195" i="25"/>
  <c r="G195"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101" i="51"/>
  <c r="G101" i="51"/>
  <c r="H101" i="51"/>
  <c r="K10" i="51"/>
  <c r="F194" i="25"/>
  <c r="H194" i="25"/>
  <c r="G194" i="25"/>
  <c r="K27" i="25"/>
  <c r="H53" i="46"/>
  <c r="F53" i="46"/>
  <c r="G53"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80" i="58"/>
  <c r="G80" i="58"/>
  <c r="H80" i="58"/>
  <c r="F193" i="25"/>
  <c r="H193" i="25"/>
  <c r="G193"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100" i="51" l="1"/>
  <c r="G100" i="51"/>
  <c r="H100"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2" i="46"/>
  <c r="F52" i="46"/>
  <c r="G52"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99" i="51"/>
  <c r="G99" i="51"/>
  <c r="H99" i="51"/>
  <c r="F28" i="45"/>
  <c r="G28" i="45"/>
  <c r="H28" i="45"/>
  <c r="R267" i="1" l="1"/>
  <c r="F37" i="57"/>
  <c r="G37" i="57"/>
  <c r="H37" i="57"/>
  <c r="F192" i="25"/>
  <c r="H192" i="25"/>
  <c r="G192"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191" i="25"/>
  <c r="H191" i="25"/>
  <c r="G191" i="25"/>
  <c r="F190" i="25"/>
  <c r="H190" i="25"/>
  <c r="G190" i="25"/>
  <c r="G62" i="43"/>
  <c r="F62" i="43"/>
  <c r="H62" i="43"/>
  <c r="K8" i="43"/>
  <c r="F50" i="25"/>
  <c r="F27" i="45"/>
  <c r="G27" i="45"/>
  <c r="H27" i="45"/>
  <c r="F36" i="57"/>
  <c r="H36" i="57"/>
  <c r="G36" i="57"/>
  <c r="K4" i="57"/>
  <c r="K19" i="82"/>
  <c r="K19" i="45"/>
  <c r="P534" i="38" l="1"/>
  <c r="N534" i="38"/>
  <c r="F98" i="51"/>
  <c r="G98" i="51"/>
  <c r="H98" i="51"/>
  <c r="K9" i="51"/>
  <c r="F97" i="51"/>
  <c r="G97" i="51"/>
  <c r="H97" i="51"/>
  <c r="K8" i="51"/>
  <c r="O534" i="38" l="1"/>
  <c r="Z534" i="38"/>
  <c r="E533" i="38"/>
  <c r="H533" i="38"/>
  <c r="K533" i="38"/>
  <c r="L533" i="38" s="1"/>
  <c r="M533" i="38"/>
  <c r="U533" i="38" s="1"/>
  <c r="S533" i="38"/>
  <c r="F79" i="58"/>
  <c r="H79" i="58"/>
  <c r="G79"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1" i="46"/>
  <c r="H51" i="46"/>
  <c r="G51"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189" i="25"/>
  <c r="H189" i="25"/>
  <c r="G189" i="25"/>
  <c r="F49" i="25"/>
  <c r="N528" i="38" l="1"/>
  <c r="L528" i="38"/>
  <c r="P528" i="38" s="1"/>
  <c r="D527" i="38"/>
  <c r="E527" i="38"/>
  <c r="G527" i="38"/>
  <c r="H527" i="38"/>
  <c r="K527" i="38"/>
  <c r="M527" i="38"/>
  <c r="U527" i="38" s="1"/>
  <c r="S527" i="38"/>
  <c r="F41" i="84"/>
  <c r="H41" i="84"/>
  <c r="G41" i="84"/>
  <c r="F8" i="84"/>
  <c r="I15" i="40"/>
  <c r="K15" i="40" s="1"/>
  <c r="F48" i="25"/>
  <c r="O528" i="38" l="1"/>
  <c r="Z528" i="38"/>
  <c r="L527" i="38"/>
  <c r="P527" i="38" s="1"/>
  <c r="N527" i="38"/>
  <c r="F42" i="77"/>
  <c r="G42" i="77"/>
  <c r="H42" i="77"/>
  <c r="O527" i="38" l="1"/>
  <c r="Z527" i="38"/>
  <c r="F96" i="51"/>
  <c r="G96" i="51"/>
  <c r="H96" i="51"/>
  <c r="K7"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188" i="25"/>
  <c r="H188" i="25"/>
  <c r="G188"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0" i="46"/>
  <c r="H50" i="46"/>
  <c r="G50" i="46"/>
  <c r="F12" i="46"/>
  <c r="F40" i="84"/>
  <c r="H40" i="84"/>
  <c r="G40" i="84"/>
  <c r="K3" i="84"/>
  <c r="O523" i="38" l="1"/>
  <c r="Z523" i="38"/>
  <c r="N522" i="38"/>
  <c r="P522" i="38"/>
  <c r="F95" i="51"/>
  <c r="G95" i="51"/>
  <c r="H95" i="51"/>
  <c r="F78" i="58"/>
  <c r="G78" i="58"/>
  <c r="H78" i="58"/>
  <c r="O522" i="38" l="1"/>
  <c r="Z522" i="38"/>
  <c r="D521" i="38"/>
  <c r="E521" i="38"/>
  <c r="G521" i="38"/>
  <c r="H521" i="38"/>
  <c r="K521" i="38"/>
  <c r="L521" i="38" s="1"/>
  <c r="M521" i="38"/>
  <c r="U521" i="38" s="1"/>
  <c r="S521" i="38"/>
  <c r="N521" i="38" l="1"/>
  <c r="P521" i="38"/>
  <c r="F88" i="40"/>
  <c r="G88" i="40"/>
  <c r="H88" i="40"/>
  <c r="I14" i="40"/>
  <c r="K14" i="40" s="1"/>
  <c r="D520" i="38"/>
  <c r="E520" i="38"/>
  <c r="G520" i="38"/>
  <c r="H520" i="38"/>
  <c r="K520" i="38"/>
  <c r="L520" i="38" s="1"/>
  <c r="M520" i="38"/>
  <c r="U520" i="38" s="1"/>
  <c r="S520" i="38"/>
  <c r="F34" i="57"/>
  <c r="H34" i="57"/>
  <c r="G34" i="57"/>
  <c r="F34" i="70"/>
  <c r="H34" i="70"/>
  <c r="G34" i="70"/>
  <c r="F9" i="70"/>
  <c r="F49" i="46"/>
  <c r="H49" i="46"/>
  <c r="G49" i="46"/>
  <c r="F10" i="46"/>
  <c r="O521" i="38" l="1"/>
  <c r="Z521" i="38"/>
  <c r="N520" i="38"/>
  <c r="P520" i="38"/>
  <c r="D519" i="38"/>
  <c r="E519" i="38"/>
  <c r="G519" i="38"/>
  <c r="H519" i="38"/>
  <c r="K519" i="38"/>
  <c r="L519" i="38" s="1"/>
  <c r="M519" i="38"/>
  <c r="U519" i="38" s="1"/>
  <c r="S519" i="38"/>
  <c r="F5" i="46"/>
  <c r="F48" i="46"/>
  <c r="H48" i="46"/>
  <c r="G48" i="46"/>
  <c r="K2" i="46"/>
  <c r="F187" i="25"/>
  <c r="H187" i="25"/>
  <c r="G187" i="25"/>
  <c r="F46" i="25"/>
  <c r="F60" i="43"/>
  <c r="H60" i="43"/>
  <c r="G60" i="43"/>
  <c r="M27" i="43"/>
  <c r="H27" i="43"/>
  <c r="K6" i="43"/>
  <c r="C21" i="40"/>
  <c r="K39" i="46"/>
  <c r="M39"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186" i="25"/>
  <c r="H186" i="25"/>
  <c r="G186" i="25"/>
  <c r="K24" i="25"/>
  <c r="F40" i="77"/>
  <c r="H40" i="77"/>
  <c r="G40" i="77"/>
  <c r="F9" i="77"/>
  <c r="F47" i="46"/>
  <c r="H47" i="46"/>
  <c r="G47" i="46"/>
  <c r="F9" i="46"/>
  <c r="F8" i="46"/>
  <c r="F59" i="43"/>
  <c r="H59" i="43"/>
  <c r="G59" i="43"/>
  <c r="F12" i="43"/>
  <c r="F39" i="46"/>
  <c r="O517" i="38" l="1"/>
  <c r="Z517" i="38"/>
  <c r="P517" i="38"/>
  <c r="U517" i="38"/>
  <c r="F87" i="40" l="1"/>
  <c r="H87" i="40"/>
  <c r="G87" i="40"/>
  <c r="F39" i="77"/>
  <c r="H39" i="77"/>
  <c r="G39" i="77"/>
  <c r="D516" i="38" l="1"/>
  <c r="E516" i="38"/>
  <c r="G516" i="38"/>
  <c r="H516" i="38"/>
  <c r="K516" i="38"/>
  <c r="L516" i="38" s="1"/>
  <c r="M516" i="38"/>
  <c r="U516" i="38" s="1"/>
  <c r="S516" i="38"/>
  <c r="F46" i="46"/>
  <c r="H46" i="46"/>
  <c r="G46" i="46"/>
  <c r="F185" i="25"/>
  <c r="H185" i="25"/>
  <c r="G185"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184" i="25"/>
  <c r="H184" i="25"/>
  <c r="G184" i="25"/>
  <c r="K22" i="25"/>
  <c r="F86" i="40"/>
  <c r="H86" i="40"/>
  <c r="G86" i="40"/>
  <c r="D21" i="40"/>
  <c r="F21" i="40" s="1"/>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77" i="58"/>
  <c r="G77" i="58"/>
  <c r="H77" i="58"/>
  <c r="F94" i="51"/>
  <c r="G94" i="51"/>
  <c r="H94" i="51"/>
  <c r="F183" i="25"/>
  <c r="G183" i="25"/>
  <c r="H183" i="25"/>
  <c r="O508" i="38" l="1"/>
  <c r="Z508" i="38"/>
  <c r="P507" i="38"/>
  <c r="N507" i="38"/>
  <c r="F182" i="25"/>
  <c r="G182" i="25"/>
  <c r="H182" i="25"/>
  <c r="F58" i="43"/>
  <c r="H58" i="43"/>
  <c r="G58" i="43"/>
  <c r="K4" i="43"/>
  <c r="F37" i="77"/>
  <c r="G37" i="77"/>
  <c r="H37" i="77"/>
  <c r="O507" i="38" l="1"/>
  <c r="Z507" i="38"/>
  <c r="D506" i="38"/>
  <c r="E506" i="38"/>
  <c r="G506" i="38"/>
  <c r="H506" i="38"/>
  <c r="K506" i="38"/>
  <c r="L506" i="38" s="1"/>
  <c r="M506" i="38"/>
  <c r="U506" i="38" s="1"/>
  <c r="S506" i="38"/>
  <c r="F45" i="46"/>
  <c r="G45" i="46"/>
  <c r="H45"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76" i="58"/>
  <c r="H76" i="58"/>
  <c r="G76" i="58"/>
  <c r="F93" i="51"/>
  <c r="G93" i="51"/>
  <c r="H93" i="51"/>
  <c r="F181" i="25"/>
  <c r="G181" i="25"/>
  <c r="H181"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5" i="45"/>
  <c r="K94" i="45"/>
  <c r="F94" i="45"/>
  <c r="K93" i="45"/>
  <c r="F93" i="45"/>
  <c r="K92" i="45"/>
  <c r="F92" i="45"/>
  <c r="K91" i="45"/>
  <c r="F91" i="45"/>
  <c r="K90" i="45"/>
  <c r="F90"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92" i="51"/>
  <c r="H92" i="51"/>
  <c r="G92" i="51"/>
  <c r="K6" i="51"/>
  <c r="D493" i="38"/>
  <c r="E493" i="38"/>
  <c r="G493" i="38"/>
  <c r="H493" i="38"/>
  <c r="K493" i="38"/>
  <c r="L493" i="38" s="1"/>
  <c r="M493" i="38"/>
  <c r="U493" i="38" s="1"/>
  <c r="S493" i="38"/>
  <c r="F180" i="25"/>
  <c r="H180" i="25"/>
  <c r="G180" i="25"/>
  <c r="K21" i="25"/>
  <c r="O494" i="38" l="1"/>
  <c r="Z494" i="38"/>
  <c r="P493" i="38"/>
  <c r="N493" i="38"/>
  <c r="D492" i="38"/>
  <c r="E492" i="38"/>
  <c r="G492" i="38"/>
  <c r="H492" i="38"/>
  <c r="K492" i="38"/>
  <c r="L492" i="38" s="1"/>
  <c r="M492" i="38"/>
  <c r="U492" i="38" s="1"/>
  <c r="S492" i="38"/>
  <c r="F41" i="64"/>
  <c r="H41" i="64"/>
  <c r="G41" i="64"/>
  <c r="M29" i="40"/>
  <c r="F85" i="40"/>
  <c r="H85" i="40"/>
  <c r="G85" i="40"/>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75" i="58"/>
  <c r="H75" i="58"/>
  <c r="G75"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179" i="25"/>
  <c r="H179" i="25"/>
  <c r="G179" i="25"/>
  <c r="F45" i="25"/>
  <c r="F2" i="45"/>
  <c r="O491" i="38" l="1"/>
  <c r="Z491" i="38"/>
  <c r="P490" i="38"/>
  <c r="N490" i="38"/>
  <c r="D489" i="38"/>
  <c r="E489" i="38"/>
  <c r="G489" i="38"/>
  <c r="H489" i="38"/>
  <c r="K489" i="38"/>
  <c r="L489" i="38" s="1"/>
  <c r="M489" i="38"/>
  <c r="U489" i="38" s="1"/>
  <c r="S489" i="38"/>
  <c r="F178" i="25"/>
  <c r="H178" i="25"/>
  <c r="G178"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177" i="25"/>
  <c r="H177" i="25"/>
  <c r="G177" i="25"/>
  <c r="K19" i="25"/>
  <c r="M128"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176" i="25"/>
  <c r="H176" i="25"/>
  <c r="G176" i="25"/>
  <c r="K18" i="25"/>
  <c r="F175" i="25"/>
  <c r="H175" i="25"/>
  <c r="G175" i="25"/>
  <c r="K17" i="25"/>
  <c r="P486" i="38" l="1"/>
  <c r="N486" i="38"/>
  <c r="F174" i="25"/>
  <c r="G174" i="25"/>
  <c r="H174" i="25"/>
  <c r="F44" i="46"/>
  <c r="G44" i="46"/>
  <c r="H44" i="46"/>
  <c r="F84" i="40"/>
  <c r="H84" i="40"/>
  <c r="G84" i="40"/>
  <c r="F30" i="70"/>
  <c r="H30" i="70"/>
  <c r="G30" i="70"/>
  <c r="F91" i="51"/>
  <c r="G91" i="51"/>
  <c r="H91" i="51"/>
  <c r="F21"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M19" i="85"/>
  <c r="F19" i="85"/>
  <c r="H19" i="85"/>
  <c r="K19" i="85"/>
  <c r="M85" i="85"/>
  <c r="H85" i="85"/>
  <c r="C19" i="85"/>
  <c r="K85" i="85"/>
  <c r="F85" i="85"/>
  <c r="C85"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F110" i="84"/>
  <c r="C25" i="84"/>
  <c r="K85" i="83"/>
  <c r="H25" i="84"/>
  <c r="H110" i="84"/>
  <c r="M25" i="84"/>
  <c r="H19" i="83"/>
  <c r="F19" i="83"/>
  <c r="K110" i="84"/>
  <c r="C85" i="83"/>
  <c r="C19" i="83"/>
  <c r="K19" i="83"/>
  <c r="F25" i="84"/>
  <c r="M85" i="83"/>
  <c r="M19" i="83"/>
  <c r="M110" i="84"/>
  <c r="H85" i="83"/>
  <c r="C110" i="84"/>
  <c r="F85" i="83"/>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74" i="58"/>
  <c r="G74" i="58"/>
  <c r="H74" i="58"/>
  <c r="F90" i="51"/>
  <c r="G90" i="51"/>
  <c r="H90" i="51"/>
  <c r="K42" i="54"/>
  <c r="F42" i="54"/>
  <c r="H100" i="54"/>
  <c r="G100" i="54"/>
  <c r="F100" i="54"/>
  <c r="H99" i="54"/>
  <c r="G99" i="54"/>
  <c r="F99" i="54"/>
  <c r="F173" i="25"/>
  <c r="G173" i="25"/>
  <c r="H173" i="25"/>
  <c r="K16" i="25"/>
  <c r="M17" i="74"/>
  <c r="C17"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C19" i="82"/>
  <c r="C60" i="82"/>
  <c r="H19" i="82"/>
  <c r="K60" i="82"/>
  <c r="H18" i="74"/>
  <c r="F19" i="82"/>
  <c r="M19" i="82"/>
  <c r="M18" i="74"/>
  <c r="M60" i="82"/>
  <c r="F60" i="82"/>
  <c r="H60" i="82"/>
  <c r="C18" i="74"/>
  <c r="Q2" i="82" l="1"/>
  <c r="Q5" i="82" s="1"/>
  <c r="Q9" i="83"/>
  <c r="N482" i="38"/>
  <c r="M41" i="82"/>
  <c r="Q10" i="82" s="1"/>
  <c r="K28" i="82" s="1"/>
  <c r="P482" i="38"/>
  <c r="K26" i="82" l="1"/>
  <c r="K25" i="82"/>
  <c r="O482" i="38"/>
  <c r="Z482" i="38"/>
  <c r="Q3" i="82"/>
  <c r="Q6" i="82" s="1"/>
  <c r="Q8" i="82"/>
  <c r="Q7" i="82" s="1"/>
  <c r="F43" i="46"/>
  <c r="G43" i="46"/>
  <c r="H43" i="46"/>
  <c r="F3" i="46"/>
  <c r="D481" i="38"/>
  <c r="E481" i="38"/>
  <c r="G481" i="38"/>
  <c r="H481" i="38"/>
  <c r="K481" i="38"/>
  <c r="L481" i="38" s="1"/>
  <c r="M481" i="38"/>
  <c r="U481" i="38" s="1"/>
  <c r="S481" i="38"/>
  <c r="Q9" i="82" l="1"/>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89" i="51"/>
  <c r="D476" i="38" l="1"/>
  <c r="E476" i="38"/>
  <c r="G476" i="38"/>
  <c r="H476" i="38"/>
  <c r="K476" i="38"/>
  <c r="L476" i="38" s="1"/>
  <c r="M476" i="38"/>
  <c r="N476" i="38" s="1"/>
  <c r="S476" i="38"/>
  <c r="F89" i="51"/>
  <c r="G89" i="51"/>
  <c r="H89" i="51"/>
  <c r="F88" i="51"/>
  <c r="G88" i="51"/>
  <c r="H88" i="51"/>
  <c r="F172" i="25"/>
  <c r="G172" i="25"/>
  <c r="H172" i="25"/>
  <c r="K15" i="25"/>
  <c r="F29" i="78"/>
  <c r="H29" i="78"/>
  <c r="G29" i="78"/>
  <c r="F29" i="70"/>
  <c r="H29" i="70"/>
  <c r="G29" i="70"/>
  <c r="K5" i="51"/>
  <c r="F6" i="70"/>
  <c r="F171" i="25"/>
  <c r="H171" i="25"/>
  <c r="G171" i="25"/>
  <c r="F44" i="25"/>
  <c r="F28" i="78"/>
  <c r="G28" i="78"/>
  <c r="H28" i="78"/>
  <c r="F2" i="78"/>
  <c r="K3" i="70"/>
  <c r="F20" i="51"/>
  <c r="F19" i="51"/>
  <c r="F18" i="51"/>
  <c r="O476" i="38" l="1"/>
  <c r="Z476" i="38"/>
  <c r="P476" i="38"/>
  <c r="U476" i="38"/>
  <c r="D475" i="38"/>
  <c r="E475" i="38"/>
  <c r="G475" i="38"/>
  <c r="H475" i="38"/>
  <c r="K475" i="38"/>
  <c r="L475" i="38" s="1"/>
  <c r="M475" i="38"/>
  <c r="U475" i="38" s="1"/>
  <c r="S475" i="38"/>
  <c r="H152" i="46"/>
  <c r="G152" i="46"/>
  <c r="F152" i="46"/>
  <c r="H151" i="46"/>
  <c r="G151" i="46"/>
  <c r="F151" i="46"/>
  <c r="H150" i="46"/>
  <c r="G150" i="46"/>
  <c r="F150" i="46"/>
  <c r="H149" i="46"/>
  <c r="G149" i="46"/>
  <c r="F149" i="46"/>
  <c r="H148" i="46"/>
  <c r="G148" i="46"/>
  <c r="F148" i="46"/>
  <c r="H147" i="46"/>
  <c r="G147" i="46"/>
  <c r="F147" i="46"/>
  <c r="H146" i="46"/>
  <c r="G146" i="46"/>
  <c r="F146" i="46"/>
  <c r="H145" i="46"/>
  <c r="G145" i="46"/>
  <c r="F145" i="46"/>
  <c r="H144" i="46"/>
  <c r="G144" i="46"/>
  <c r="F144" i="46"/>
  <c r="H143" i="46"/>
  <c r="G143" i="46"/>
  <c r="F143" i="46"/>
  <c r="H142" i="46"/>
  <c r="G142" i="46"/>
  <c r="F142" i="46"/>
  <c r="F2" i="46"/>
  <c r="P475" i="38" l="1"/>
  <c r="N475" i="38"/>
  <c r="O475" i="38" l="1"/>
  <c r="Z475" i="38"/>
  <c r="M80" i="61"/>
  <c r="H80" i="61"/>
  <c r="D474" i="38"/>
  <c r="E474" i="38"/>
  <c r="G474" i="38"/>
  <c r="H474" i="38"/>
  <c r="K474" i="38"/>
  <c r="L474" i="38" s="1"/>
  <c r="M474" i="38"/>
  <c r="U474" i="38" s="1"/>
  <c r="S474" i="38"/>
  <c r="K104" i="7"/>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73" i="58"/>
  <c r="G73" i="58"/>
  <c r="H73"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170" i="25"/>
  <c r="H170" i="25"/>
  <c r="G170" i="25"/>
  <c r="K14" i="25"/>
  <c r="C78" i="75"/>
  <c r="M78" i="75"/>
  <c r="K96" i="31"/>
  <c r="K78" i="75"/>
  <c r="C96" i="31"/>
  <c r="H78" i="75"/>
  <c r="H96" i="31"/>
  <c r="F96" i="31"/>
  <c r="M96" i="31"/>
  <c r="F78" i="75"/>
  <c r="P474" i="38" l="1"/>
  <c r="N474" i="38"/>
  <c r="F77" i="75"/>
  <c r="K77" i="75"/>
  <c r="F95" i="31"/>
  <c r="K95" i="31"/>
  <c r="F83" i="40"/>
  <c r="G83" i="40"/>
  <c r="H83" i="40"/>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72" i="58"/>
  <c r="G72" i="58"/>
  <c r="H72" i="58"/>
  <c r="F14" i="58"/>
  <c r="H18" i="64"/>
  <c r="F36" i="64"/>
  <c r="G36" i="64"/>
  <c r="H36" i="64"/>
  <c r="H85" i="64"/>
  <c r="K85" i="64"/>
  <c r="M85" i="64"/>
  <c r="H19" i="64"/>
  <c r="M19" i="64"/>
  <c r="K19" i="64"/>
  <c r="O474" i="38" l="1"/>
  <c r="Z474" i="38"/>
  <c r="M54" i="31"/>
  <c r="Q10" i="31" s="1"/>
  <c r="M59" i="75"/>
  <c r="Q10" i="75" s="1"/>
  <c r="N473" i="38"/>
  <c r="P473" i="38"/>
  <c r="F27" i="78"/>
  <c r="G27" i="78"/>
  <c r="H27" i="78"/>
  <c r="S472" i="38"/>
  <c r="O473" i="38" l="1"/>
  <c r="Z473" i="38"/>
  <c r="F87" i="51"/>
  <c r="G87" i="51"/>
  <c r="H87"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169" i="25"/>
  <c r="H169" i="25"/>
  <c r="G169"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H30" i="81"/>
  <c r="F110" i="81"/>
  <c r="M30" i="81"/>
  <c r="M110" i="81"/>
  <c r="C110" i="81"/>
  <c r="H110" i="81"/>
  <c r="K110" i="81"/>
  <c r="F3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68" i="25"/>
  <c r="H168" i="25"/>
  <c r="G168"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H85" i="80"/>
  <c r="K19" i="80"/>
  <c r="K85" i="80"/>
  <c r="F85" i="80"/>
  <c r="C85" i="80"/>
  <c r="H19" i="80"/>
  <c r="M19" i="80"/>
  <c r="F19" i="80"/>
  <c r="C19" i="80"/>
  <c r="M85"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82" i="40"/>
  <c r="G82" i="40"/>
  <c r="H82" i="40"/>
  <c r="D20" i="40"/>
  <c r="C20" i="40"/>
  <c r="F86" i="51"/>
  <c r="G86" i="51"/>
  <c r="H86" i="51"/>
  <c r="F17" i="51"/>
  <c r="D463" i="38"/>
  <c r="E463" i="38"/>
  <c r="G463" i="38"/>
  <c r="H463" i="38"/>
  <c r="K463" i="38"/>
  <c r="L463" i="38" s="1"/>
  <c r="M463" i="38"/>
  <c r="N463" i="38" s="1"/>
  <c r="S463" i="38"/>
  <c r="M65" i="79"/>
  <c r="C19" i="79"/>
  <c r="C65" i="79"/>
  <c r="F19" i="79"/>
  <c r="K19" i="79"/>
  <c r="F65" i="79"/>
  <c r="H65" i="79"/>
  <c r="M19" i="79"/>
  <c r="K65" i="79"/>
  <c r="H19" i="79"/>
  <c r="O463" i="38" l="1"/>
  <c r="Z463" i="38"/>
  <c r="P463" i="38"/>
  <c r="Q2" i="79"/>
  <c r="Q8" i="79" s="1"/>
  <c r="F20" i="40"/>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67" i="25"/>
  <c r="G167" i="25"/>
  <c r="H167"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67" i="7"/>
  <c r="G267" i="7"/>
  <c r="H267" i="7"/>
  <c r="F113" i="7"/>
  <c r="F166" i="25"/>
  <c r="H166" i="25"/>
  <c r="G166" i="25"/>
  <c r="F39" i="25"/>
  <c r="K12" i="25"/>
  <c r="H13" i="40"/>
  <c r="H29" i="40" s="1"/>
  <c r="O458" i="38" l="1"/>
  <c r="Z458" i="38"/>
  <c r="P457" i="38"/>
  <c r="N457" i="38"/>
  <c r="F53" i="43"/>
  <c r="G53" i="43"/>
  <c r="H53" i="43"/>
  <c r="D456" i="38"/>
  <c r="E456" i="38"/>
  <c r="G456" i="38"/>
  <c r="H456" i="38"/>
  <c r="K456" i="38"/>
  <c r="L456" i="38" s="1"/>
  <c r="M456" i="38"/>
  <c r="N456" i="38" s="1"/>
  <c r="S456" i="38"/>
  <c r="O456" i="38" l="1"/>
  <c r="O457" i="38"/>
  <c r="Z456" i="38"/>
  <c r="Z457" i="38"/>
  <c r="P456" i="38"/>
  <c r="F71" i="58"/>
  <c r="H71" i="58"/>
  <c r="G71"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65" i="25"/>
  <c r="G165" i="25"/>
  <c r="H165" i="25"/>
  <c r="K11" i="25"/>
  <c r="K103" i="7"/>
  <c r="F85" i="51"/>
  <c r="G85" i="51"/>
  <c r="H85" i="51"/>
  <c r="K4" i="51"/>
  <c r="O454" i="38" l="1"/>
  <c r="Z454" i="38"/>
  <c r="P454" i="38"/>
  <c r="D453" i="38"/>
  <c r="E453" i="38"/>
  <c r="G453" i="38"/>
  <c r="H453" i="38"/>
  <c r="K453" i="38"/>
  <c r="L453" i="38" s="1"/>
  <c r="M453" i="38"/>
  <c r="N453" i="38" s="1"/>
  <c r="S453" i="38"/>
  <c r="F164" i="25"/>
  <c r="H164" i="25"/>
  <c r="G164"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F81" i="40"/>
  <c r="G81" i="40"/>
  <c r="H81" i="40"/>
  <c r="I13" i="40"/>
  <c r="K13" i="40" s="1"/>
  <c r="O453" i="38" l="1"/>
  <c r="Z453" i="38"/>
  <c r="P453" i="38"/>
  <c r="F35" i="64"/>
  <c r="H35" i="64"/>
  <c r="G35" i="64"/>
  <c r="D452" i="38"/>
  <c r="E452" i="38"/>
  <c r="G452" i="38"/>
  <c r="H452" i="38"/>
  <c r="K452" i="38"/>
  <c r="L452" i="38" s="1"/>
  <c r="M452" i="38"/>
  <c r="N452" i="38" s="1"/>
  <c r="S452" i="38"/>
  <c r="O452" i="38" l="1"/>
  <c r="Z452" i="38"/>
  <c r="P452" i="38"/>
  <c r="F70" i="58"/>
  <c r="H70" i="58"/>
  <c r="G70" i="58"/>
  <c r="F11" i="58"/>
  <c r="D451" i="38" l="1"/>
  <c r="E451" i="38"/>
  <c r="G451" i="38"/>
  <c r="H451" i="38"/>
  <c r="K451" i="38"/>
  <c r="L451" i="38" s="1"/>
  <c r="M451" i="38"/>
  <c r="N451" i="38" s="1"/>
  <c r="S451" i="38"/>
  <c r="F69" i="58"/>
  <c r="H69" i="58"/>
  <c r="G69" i="58"/>
  <c r="F68" i="58"/>
  <c r="H68" i="58"/>
  <c r="G68" i="58"/>
  <c r="K5" i="58"/>
  <c r="O451" i="38" l="1"/>
  <c r="Z451" i="38"/>
  <c r="P451" i="38"/>
  <c r="D450" i="38"/>
  <c r="E450" i="38"/>
  <c r="G450" i="38"/>
  <c r="H450" i="38"/>
  <c r="K450" i="38"/>
  <c r="L450" i="38" s="1"/>
  <c r="M450" i="38"/>
  <c r="N450" i="38" s="1"/>
  <c r="S450" i="38"/>
  <c r="O450" i="38" l="1"/>
  <c r="Z450" i="38"/>
  <c r="P450" i="38"/>
  <c r="F84" i="51"/>
  <c r="G84" i="51"/>
  <c r="H84" i="51"/>
  <c r="F52" i="43"/>
  <c r="G52" i="43"/>
  <c r="H52" i="43"/>
  <c r="F163" i="25"/>
  <c r="G163" i="25"/>
  <c r="H163"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67" i="58"/>
  <c r="H67" i="58"/>
  <c r="G67" i="58"/>
  <c r="K4" i="58"/>
  <c r="F436" i="17"/>
  <c r="K435" i="17"/>
  <c r="F435" i="17"/>
  <c r="K434" i="17"/>
  <c r="F434" i="17"/>
  <c r="K433" i="17"/>
  <c r="F433" i="17"/>
  <c r="K432" i="17"/>
  <c r="F432" i="17"/>
  <c r="K431" i="17"/>
  <c r="F431" i="17"/>
  <c r="K430" i="17"/>
  <c r="F430" i="17"/>
  <c r="K429" i="17"/>
  <c r="F429" i="17"/>
  <c r="C19" i="78"/>
  <c r="H85" i="78"/>
  <c r="K19" i="78"/>
  <c r="H19" i="78"/>
  <c r="C85" i="78"/>
  <c r="F85" i="78"/>
  <c r="K85" i="78"/>
  <c r="M85" i="78"/>
  <c r="M19" i="78"/>
  <c r="F19" i="78"/>
  <c r="Q2" i="78" l="1"/>
  <c r="Q3" i="78" s="1"/>
  <c r="Q6" i="78" s="1"/>
  <c r="M66" i="78"/>
  <c r="Q10" i="78" s="1"/>
  <c r="D446" i="38"/>
  <c r="E446" i="38"/>
  <c r="G446" i="38"/>
  <c r="H446" i="38"/>
  <c r="K446" i="38"/>
  <c r="L446" i="38" s="1"/>
  <c r="M446" i="38"/>
  <c r="U446" i="38" s="1"/>
  <c r="S446" i="38"/>
  <c r="H79" i="40"/>
  <c r="F79" i="40"/>
  <c r="G79" i="40"/>
  <c r="K48" i="50"/>
  <c r="F48" i="50"/>
  <c r="Q8" i="78" l="1"/>
  <c r="Q7" i="78" s="1"/>
  <c r="Q5" i="78"/>
  <c r="N446" i="38"/>
  <c r="P446" i="38"/>
  <c r="D445" i="38"/>
  <c r="E445" i="38"/>
  <c r="G445" i="38"/>
  <c r="H445" i="38"/>
  <c r="K445" i="38"/>
  <c r="L445" i="38" s="1"/>
  <c r="M445" i="38"/>
  <c r="U445" i="38" s="1"/>
  <c r="S445" i="38"/>
  <c r="O446" i="38" l="1"/>
  <c r="Z446" i="38"/>
  <c r="Q9" i="78"/>
  <c r="P445" i="38"/>
  <c r="N445" i="38"/>
  <c r="H83" i="51"/>
  <c r="G83" i="51"/>
  <c r="F83" i="51"/>
  <c r="F16" i="51"/>
  <c r="F66" i="58"/>
  <c r="G66" i="58"/>
  <c r="H66"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82" i="51"/>
  <c r="F15" i="51"/>
  <c r="F14" i="51"/>
  <c r="O444" i="38" l="1"/>
  <c r="Z444" i="38"/>
  <c r="P443" i="38"/>
  <c r="N443" i="38"/>
  <c r="D442" i="38"/>
  <c r="E442" i="38"/>
  <c r="G442" i="38"/>
  <c r="H442" i="38"/>
  <c r="K442" i="38"/>
  <c r="L442" i="38" s="1"/>
  <c r="M442" i="38"/>
  <c r="N442" i="38" s="1"/>
  <c r="S442" i="38"/>
  <c r="F65" i="58"/>
  <c r="H65" i="58"/>
  <c r="G65" i="58"/>
  <c r="F51" i="43"/>
  <c r="H51" i="43"/>
  <c r="G51" i="43"/>
  <c r="F8" i="43"/>
  <c r="K2" i="43"/>
  <c r="F8" i="58"/>
  <c r="K28" i="43"/>
  <c r="Z442" i="38" l="1"/>
  <c r="O442" i="38"/>
  <c r="O443" i="38"/>
  <c r="Z443" i="38"/>
  <c r="K27" i="43"/>
  <c r="P442" i="38"/>
  <c r="U442" i="38"/>
  <c r="M127" i="25"/>
  <c r="F162" i="25"/>
  <c r="H162" i="25"/>
  <c r="G162"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64" i="58"/>
  <c r="H64" i="58"/>
  <c r="G64"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F89" i="77"/>
  <c r="C19" i="77"/>
  <c r="M89" i="77"/>
  <c r="H19" i="77"/>
  <c r="H89" i="77"/>
  <c r="F19" i="77"/>
  <c r="C89" i="77"/>
  <c r="K89" i="77"/>
  <c r="M1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61" i="25"/>
  <c r="H161" i="25"/>
  <c r="G161" i="25"/>
  <c r="F35" i="25"/>
  <c r="F34" i="25"/>
  <c r="O430" i="38" l="1"/>
  <c r="O429" i="38"/>
  <c r="Z430" i="38"/>
  <c r="Z429" i="38"/>
  <c r="P429" i="38"/>
  <c r="U429" i="38"/>
  <c r="D428" i="38"/>
  <c r="E428" i="38"/>
  <c r="H428" i="38"/>
  <c r="K428" i="38"/>
  <c r="L428" i="38" s="1"/>
  <c r="M428" i="38"/>
  <c r="U428" i="38" s="1"/>
  <c r="S428" i="38"/>
  <c r="G78" i="40"/>
  <c r="F19" i="40"/>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81" i="51"/>
  <c r="G81" i="51"/>
  <c r="H81"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K12" i="40"/>
  <c r="F160" i="25"/>
  <c r="H160" i="25"/>
  <c r="G160" i="25"/>
  <c r="K10" i="25"/>
  <c r="E424" i="38"/>
  <c r="H424" i="38"/>
  <c r="K424" i="38"/>
  <c r="L424" i="38" s="1"/>
  <c r="P424" i="38" s="1"/>
  <c r="M424" i="38"/>
  <c r="U424" i="38" s="1"/>
  <c r="S424" i="38"/>
  <c r="N424" i="38" l="1"/>
  <c r="M73" i="76"/>
  <c r="Q10" i="76" s="1"/>
  <c r="N425" i="38"/>
  <c r="F159" i="25"/>
  <c r="H159" i="25"/>
  <c r="G159" i="25"/>
  <c r="F33" i="25"/>
  <c r="F266" i="7"/>
  <c r="H266" i="7"/>
  <c r="G266" i="7"/>
  <c r="K102" i="7"/>
  <c r="G23" i="50"/>
  <c r="K23" i="50" s="1"/>
  <c r="F23" i="50"/>
  <c r="M18" i="50"/>
  <c r="C18" i="50"/>
  <c r="F18" i="50"/>
  <c r="F158" i="25"/>
  <c r="H158" i="25"/>
  <c r="G158" i="25"/>
  <c r="K9" i="25"/>
  <c r="F32" i="25"/>
  <c r="O425" i="38" l="1"/>
  <c r="O424" i="38"/>
  <c r="Z424" i="38"/>
  <c r="Z425" i="38"/>
  <c r="E423" i="38"/>
  <c r="H423" i="38"/>
  <c r="K423" i="38"/>
  <c r="L423" i="38" s="1"/>
  <c r="P423" i="38" s="1"/>
  <c r="M423" i="38"/>
  <c r="U423" i="38" s="1"/>
  <c r="S423" i="38"/>
  <c r="F157" i="25"/>
  <c r="H157" i="25"/>
  <c r="G157" i="25"/>
  <c r="F31" i="25"/>
  <c r="F265" i="7"/>
  <c r="H265" i="7"/>
  <c r="G265" i="7"/>
  <c r="K101" i="7"/>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63" i="58"/>
  <c r="H63" i="58"/>
  <c r="G63" i="58"/>
  <c r="F7" i="58"/>
  <c r="O421" i="38" l="1"/>
  <c r="P420" i="38"/>
  <c r="N420" i="38"/>
  <c r="E419" i="38"/>
  <c r="H419" i="38"/>
  <c r="K419" i="38"/>
  <c r="L419" i="38" s="1"/>
  <c r="M419" i="38"/>
  <c r="U419" i="38" s="1"/>
  <c r="S419" i="38"/>
  <c r="F264" i="7"/>
  <c r="G264" i="7"/>
  <c r="H264" i="7"/>
  <c r="F156" i="25"/>
  <c r="H156" i="25"/>
  <c r="G156" i="25"/>
  <c r="F31" i="64"/>
  <c r="H31" i="64"/>
  <c r="G31" i="64"/>
  <c r="O420" i="38" l="1"/>
  <c r="Z420" i="38"/>
  <c r="P419" i="38"/>
  <c r="N419" i="38"/>
  <c r="H158" i="1"/>
  <c r="C158" i="1"/>
  <c r="F155" i="1"/>
  <c r="F154" i="1"/>
  <c r="F153" i="1"/>
  <c r="F152" i="1"/>
  <c r="F151" i="1"/>
  <c r="F150" i="1"/>
  <c r="F149" i="1"/>
  <c r="K148" i="1"/>
  <c r="F148" i="1"/>
  <c r="K147" i="1"/>
  <c r="F147" i="1"/>
  <c r="K146" i="1"/>
  <c r="F146" i="1"/>
  <c r="K145" i="1"/>
  <c r="F145" i="1"/>
  <c r="K144" i="1"/>
  <c r="F144" i="1"/>
  <c r="K143" i="1"/>
  <c r="F143" i="1"/>
  <c r="K142" i="1"/>
  <c r="F142" i="1"/>
  <c r="K141" i="1"/>
  <c r="F141" i="1"/>
  <c r="F160" i="1"/>
  <c r="F161" i="1" s="1"/>
  <c r="K160" i="1"/>
  <c r="K161" i="1" s="1"/>
  <c r="C161" i="1"/>
  <c r="H161" i="1"/>
  <c r="F163" i="1"/>
  <c r="K163" i="1"/>
  <c r="K165" i="1" s="1"/>
  <c r="F164" i="1"/>
  <c r="C165" i="1"/>
  <c r="H165" i="1"/>
  <c r="F167" i="1"/>
  <c r="K167" i="1"/>
  <c r="O419" i="38" l="1"/>
  <c r="Z419" i="38"/>
  <c r="F158" i="1"/>
  <c r="K158" i="1"/>
  <c r="F165" i="1"/>
  <c r="N165" i="1" s="1"/>
  <c r="O165" i="1" s="1"/>
  <c r="N161" i="1"/>
  <c r="O161" i="1" s="1"/>
  <c r="E418" i="38"/>
  <c r="H418" i="38"/>
  <c r="K418" i="38"/>
  <c r="L418" i="38" s="1"/>
  <c r="M418" i="38"/>
  <c r="N418" i="38" s="1"/>
  <c r="S418" i="38"/>
  <c r="F263" i="7"/>
  <c r="H263" i="7"/>
  <c r="G263" i="7"/>
  <c r="K100" i="7"/>
  <c r="Z418" i="38" l="1"/>
  <c r="O418" i="38"/>
  <c r="N158" i="1"/>
  <c r="O158" i="1" s="1"/>
  <c r="P418" i="38"/>
  <c r="U418" i="38"/>
  <c r="G413" i="38"/>
  <c r="G414" i="38"/>
  <c r="G415" i="38"/>
  <c r="G416" i="38"/>
  <c r="D415" i="38"/>
  <c r="D416" i="38"/>
  <c r="D417" i="38"/>
  <c r="E417" i="38"/>
  <c r="H417" i="38"/>
  <c r="K417" i="38"/>
  <c r="L417" i="38" s="1"/>
  <c r="M417" i="38"/>
  <c r="N417" i="38" s="1"/>
  <c r="S417" i="38"/>
  <c r="F262" i="7"/>
  <c r="H262" i="7"/>
  <c r="G262" i="7"/>
  <c r="K99" i="7"/>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55" i="25"/>
  <c r="H155" i="25"/>
  <c r="G155" i="25"/>
  <c r="K8" i="25"/>
  <c r="P416" i="38" l="1"/>
  <c r="N416" i="38"/>
  <c r="F49" i="43"/>
  <c r="H49" i="43"/>
  <c r="G49" i="43"/>
  <c r="F62" i="58"/>
  <c r="H62" i="58"/>
  <c r="G62" i="58"/>
  <c r="F77" i="40"/>
  <c r="G77" i="40"/>
  <c r="H77" i="40"/>
  <c r="F80" i="51"/>
  <c r="G80" i="51"/>
  <c r="H80" i="51"/>
  <c r="F261" i="7"/>
  <c r="H261" i="7"/>
  <c r="G261" i="7"/>
  <c r="F154" i="25"/>
  <c r="H154" i="25"/>
  <c r="G154" i="25"/>
  <c r="O416" i="38" l="1"/>
  <c r="Z416" i="38"/>
  <c r="E415" i="38"/>
  <c r="H415" i="38"/>
  <c r="K415" i="38"/>
  <c r="L415" i="38" s="1"/>
  <c r="P415" i="38" s="1"/>
  <c r="M415" i="38"/>
  <c r="U415" i="38" s="1"/>
  <c r="S415" i="38"/>
  <c r="F153" i="25"/>
  <c r="H153" i="25"/>
  <c r="G153"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61" i="58"/>
  <c r="H61" i="58"/>
  <c r="G61" i="58"/>
  <c r="F6" i="58"/>
  <c r="O414" i="38" l="1"/>
  <c r="Z414" i="38"/>
  <c r="N413" i="38"/>
  <c r="L413" i="38"/>
  <c r="P413" i="38" s="1"/>
  <c r="D412" i="38"/>
  <c r="E412" i="38"/>
  <c r="G412" i="38"/>
  <c r="H412" i="38"/>
  <c r="K412" i="38"/>
  <c r="L412" i="38" s="1"/>
  <c r="M412" i="38"/>
  <c r="U412" i="38" s="1"/>
  <c r="S412" i="38"/>
  <c r="F48" i="43"/>
  <c r="H48" i="43"/>
  <c r="G48" i="43"/>
  <c r="F60" i="58"/>
  <c r="H60" i="58"/>
  <c r="G60" i="58"/>
  <c r="F5" i="58"/>
  <c r="F260" i="7"/>
  <c r="H260" i="7"/>
  <c r="G260" i="7"/>
  <c r="F112" i="7"/>
  <c r="O413" i="38" l="1"/>
  <c r="Z413" i="38"/>
  <c r="N412" i="38"/>
  <c r="P412" i="38"/>
  <c r="G409" i="38"/>
  <c r="G410" i="38"/>
  <c r="G411" i="38"/>
  <c r="D410" i="38"/>
  <c r="D411" i="38"/>
  <c r="E411" i="38"/>
  <c r="H411" i="38"/>
  <c r="K411" i="38"/>
  <c r="L411" i="38" s="1"/>
  <c r="M411" i="38"/>
  <c r="U411" i="38" s="1"/>
  <c r="S411" i="38"/>
  <c r="F259" i="7"/>
  <c r="H259" i="7"/>
  <c r="G259" i="7"/>
  <c r="K98" i="7"/>
  <c r="O412" i="38" l="1"/>
  <c r="Z412" i="38"/>
  <c r="N411" i="38"/>
  <c r="P411" i="38"/>
  <c r="F152" i="25"/>
  <c r="H152" i="25"/>
  <c r="G152"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H93" i="69"/>
  <c r="G93" i="69"/>
  <c r="F93" i="69"/>
  <c r="H92" i="69"/>
  <c r="G92" i="69"/>
  <c r="F92" i="69"/>
  <c r="H91" i="69"/>
  <c r="G91" i="69"/>
  <c r="F91" i="69"/>
  <c r="H90" i="69"/>
  <c r="G90" i="69"/>
  <c r="F90" i="69"/>
  <c r="H89" i="69"/>
  <c r="G89" i="69"/>
  <c r="F89" i="69"/>
  <c r="H88" i="69"/>
  <c r="G88" i="69"/>
  <c r="F88" i="69"/>
  <c r="H87" i="69"/>
  <c r="G87" i="69"/>
  <c r="F87" i="69"/>
  <c r="H86" i="69"/>
  <c r="G86" i="69"/>
  <c r="F86" i="69"/>
  <c r="H85" i="69"/>
  <c r="G85" i="69"/>
  <c r="F85" i="69"/>
  <c r="H84" i="69"/>
  <c r="G84" i="69"/>
  <c r="F84" i="69"/>
  <c r="M76" i="69"/>
  <c r="H76" i="69"/>
  <c r="C76" i="69"/>
  <c r="F65" i="69"/>
  <c r="F64" i="69"/>
  <c r="K63" i="69"/>
  <c r="F63" i="69"/>
  <c r="K62" i="69"/>
  <c r="F62" i="69"/>
  <c r="K61" i="69"/>
  <c r="F61" i="69"/>
  <c r="K60" i="69"/>
  <c r="F60" i="69"/>
  <c r="D407" i="38"/>
  <c r="E407" i="38"/>
  <c r="G407" i="38"/>
  <c r="H407" i="38"/>
  <c r="K407" i="38"/>
  <c r="L407" i="38" s="1"/>
  <c r="M407" i="38"/>
  <c r="U407" i="38" s="1"/>
  <c r="S407" i="38"/>
  <c r="H77" i="69"/>
  <c r="K77" i="69"/>
  <c r="F77" i="69"/>
  <c r="M77" i="69"/>
  <c r="C77" i="69"/>
  <c r="N407" i="38" l="1"/>
  <c r="Z407" i="38" s="1"/>
  <c r="F76" i="69"/>
  <c r="K76" i="69"/>
  <c r="P407" i="38"/>
  <c r="G404" i="38"/>
  <c r="G405" i="38"/>
  <c r="G406" i="38"/>
  <c r="D404" i="38"/>
  <c r="D405" i="38"/>
  <c r="D406" i="38"/>
  <c r="E406" i="38"/>
  <c r="H406" i="38"/>
  <c r="K406" i="38"/>
  <c r="L406" i="38" s="1"/>
  <c r="M406" i="38"/>
  <c r="U406" i="38" s="1"/>
  <c r="S406" i="38"/>
  <c r="O407" i="38" l="1"/>
  <c r="N406" i="38"/>
  <c r="M58" i="69"/>
  <c r="Q10" i="69" s="1"/>
  <c r="K52" i="69" s="1"/>
  <c r="P406" i="38"/>
  <c r="K49" i="69" l="1"/>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F258" i="7"/>
  <c r="H258" i="7"/>
  <c r="G258" i="7"/>
  <c r="F111" i="7"/>
  <c r="O405" i="38" l="1"/>
  <c r="Z405" i="38"/>
  <c r="N404" i="38"/>
  <c r="F151" i="25"/>
  <c r="H151" i="25"/>
  <c r="G151" i="25"/>
  <c r="F28" i="25"/>
  <c r="F257" i="7"/>
  <c r="H257" i="7"/>
  <c r="G257" i="7"/>
  <c r="F110" i="7"/>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C19" i="76"/>
  <c r="F19" i="76"/>
  <c r="H19" i="76"/>
  <c r="M19" i="76"/>
  <c r="K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50" i="25"/>
  <c r="H150" i="25"/>
  <c r="G150" i="25"/>
  <c r="F27" i="25"/>
  <c r="E400" i="38"/>
  <c r="H400" i="38"/>
  <c r="K400" i="38"/>
  <c r="L400" i="38" s="1"/>
  <c r="M400" i="38"/>
  <c r="U400" i="38" s="1"/>
  <c r="S400" i="38"/>
  <c r="N400" i="38" l="1"/>
  <c r="P400" i="38"/>
  <c r="D399" i="38"/>
  <c r="E399" i="38"/>
  <c r="H399" i="38"/>
  <c r="K399" i="38"/>
  <c r="L399" i="38" s="1"/>
  <c r="M399" i="38"/>
  <c r="U399" i="38" s="1"/>
  <c r="S399" i="38"/>
  <c r="F256" i="7"/>
  <c r="H256" i="7"/>
  <c r="G256" i="7"/>
  <c r="K97" i="7"/>
  <c r="O400" i="38" l="1"/>
  <c r="Z400" i="38"/>
  <c r="N399" i="38"/>
  <c r="P399" i="38"/>
  <c r="O399" i="38" l="1"/>
  <c r="Z399" i="38"/>
  <c r="F59" i="58"/>
  <c r="H59" i="58"/>
  <c r="G59"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F255" i="7"/>
  <c r="H255" i="7"/>
  <c r="G255" i="7"/>
  <c r="F109" i="7"/>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49" i="25"/>
  <c r="G149" i="25"/>
  <c r="H149"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K96" i="7"/>
  <c r="F254" i="7"/>
  <c r="G254" i="7"/>
  <c r="H254" i="7"/>
  <c r="F253" i="7"/>
  <c r="H253" i="7"/>
  <c r="O392" i="38" l="1"/>
  <c r="Z392" i="38"/>
  <c r="P391" i="38"/>
  <c r="N391" i="38"/>
  <c r="F76" i="40"/>
  <c r="G76" i="40"/>
  <c r="H76" i="40"/>
  <c r="D390" i="38"/>
  <c r="E390" i="38"/>
  <c r="H390" i="38"/>
  <c r="K390" i="38"/>
  <c r="L390" i="38" s="1"/>
  <c r="M390" i="38"/>
  <c r="U390" i="38" s="1"/>
  <c r="S390" i="38"/>
  <c r="O391" i="38" l="1"/>
  <c r="Z391" i="38"/>
  <c r="N390" i="38"/>
  <c r="P390" i="38"/>
  <c r="D389" i="38"/>
  <c r="E389" i="38"/>
  <c r="G389" i="38"/>
  <c r="H389" i="38"/>
  <c r="K389" i="38"/>
  <c r="L389" i="38" s="1"/>
  <c r="M389" i="38"/>
  <c r="U389" i="38" s="1"/>
  <c r="S389" i="38"/>
  <c r="G253" i="7"/>
  <c r="K95" i="7"/>
  <c r="F148" i="25"/>
  <c r="H148" i="25"/>
  <c r="G148" i="25"/>
  <c r="K6" i="25"/>
  <c r="O390" i="38" l="1"/>
  <c r="Z390" i="38"/>
  <c r="N389" i="38"/>
  <c r="P389" i="38"/>
  <c r="F147" i="25"/>
  <c r="G147" i="25"/>
  <c r="H147" i="25"/>
  <c r="D388" i="38"/>
  <c r="E388" i="38"/>
  <c r="G388" i="38"/>
  <c r="H388" i="38"/>
  <c r="K388" i="38"/>
  <c r="L388" i="38" s="1"/>
  <c r="M388" i="38"/>
  <c r="N388" i="38" s="1"/>
  <c r="S388" i="38"/>
  <c r="F75" i="40"/>
  <c r="G75" i="40"/>
  <c r="H75" i="40"/>
  <c r="F146" i="25"/>
  <c r="G146" i="25"/>
  <c r="H146"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68" i="1"/>
  <c r="H168" i="1"/>
  <c r="C168" i="1"/>
  <c r="K168" i="1"/>
  <c r="F168" i="1"/>
  <c r="F79" i="51"/>
  <c r="G79" i="51"/>
  <c r="H79" i="51"/>
  <c r="F252" i="7"/>
  <c r="G252" i="7"/>
  <c r="H252" i="7"/>
  <c r="F145" i="25"/>
  <c r="G145" i="25"/>
  <c r="H145" i="25"/>
  <c r="K427" i="17"/>
  <c r="F427" i="17"/>
  <c r="O387" i="38" l="1"/>
  <c r="Z387" i="38"/>
  <c r="N168" i="1"/>
  <c r="O168"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74" i="40"/>
  <c r="G74" i="40"/>
  <c r="H74" i="40"/>
  <c r="F18" i="40"/>
  <c r="F28" i="64"/>
  <c r="G28" i="64"/>
  <c r="H28" i="64"/>
  <c r="F144" i="25"/>
  <c r="G144" i="25"/>
  <c r="H144"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F251" i="7"/>
  <c r="H251" i="7"/>
  <c r="G251" i="7"/>
  <c r="F108" i="7"/>
  <c r="O383" i="38" l="1"/>
  <c r="O384" i="38"/>
  <c r="Z384" i="38"/>
  <c r="Z383" i="38"/>
  <c r="L382" i="38"/>
  <c r="P382" i="38" s="1"/>
  <c r="N382" i="38"/>
  <c r="E381" i="38"/>
  <c r="H381" i="38"/>
  <c r="K381" i="38"/>
  <c r="L381" i="38" s="1"/>
  <c r="M381" i="38"/>
  <c r="U381" i="38" s="1"/>
  <c r="S381" i="38"/>
  <c r="F73" i="40"/>
  <c r="G73" i="40"/>
  <c r="H73" i="40"/>
  <c r="F17" i="40"/>
  <c r="F58" i="58"/>
  <c r="G58" i="58"/>
  <c r="H58" i="58"/>
  <c r="O382" i="38" l="1"/>
  <c r="Z382" i="38"/>
  <c r="N381" i="38"/>
  <c r="P381" i="38"/>
  <c r="F13" i="40"/>
  <c r="F72" i="40"/>
  <c r="H72" i="40"/>
  <c r="G72" i="40"/>
  <c r="K11" i="40"/>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88" i="45"/>
  <c r="F88" i="45"/>
  <c r="F425" i="17"/>
  <c r="K424" i="17"/>
  <c r="F424" i="17"/>
  <c r="K423" i="17"/>
  <c r="F423" i="17"/>
  <c r="K422" i="17"/>
  <c r="F422" i="17"/>
  <c r="K421" i="17"/>
  <c r="F421" i="17"/>
  <c r="K420" i="17"/>
  <c r="F420" i="17"/>
  <c r="F143" i="25"/>
  <c r="G143" i="25"/>
  <c r="H143" i="25"/>
  <c r="F57" i="58"/>
  <c r="G57" i="58"/>
  <c r="H57" i="58"/>
  <c r="F78" i="51"/>
  <c r="G78" i="51"/>
  <c r="H78" i="51"/>
  <c r="F45" i="43"/>
  <c r="G45" i="43"/>
  <c r="H45" i="43"/>
  <c r="F27" i="64"/>
  <c r="G27" i="64"/>
  <c r="H27" i="64"/>
  <c r="F250" i="7"/>
  <c r="G250" i="7"/>
  <c r="H250" i="7"/>
  <c r="E379" i="38"/>
  <c r="H379" i="38"/>
  <c r="K379" i="38"/>
  <c r="L379" i="38" s="1"/>
  <c r="M379" i="38"/>
  <c r="N379" i="38" s="1"/>
  <c r="S379" i="38"/>
  <c r="C29" i="40"/>
  <c r="F71" i="40"/>
  <c r="H71" i="40"/>
  <c r="G71" i="40"/>
  <c r="K10" i="40"/>
  <c r="K2" i="58"/>
  <c r="F16" i="40"/>
  <c r="K94" i="7"/>
  <c r="K3" i="51"/>
  <c r="K46" i="58" l="1"/>
  <c r="O379" i="38"/>
  <c r="O380" i="38"/>
  <c r="Z379" i="38"/>
  <c r="Z380" i="38"/>
  <c r="Q2" i="40"/>
  <c r="P379" i="38"/>
  <c r="U379" i="38"/>
  <c r="F56" i="58"/>
  <c r="G56" i="58"/>
  <c r="H56" i="58"/>
  <c r="F70" i="40"/>
  <c r="G70" i="40"/>
  <c r="H70" i="40"/>
  <c r="F15" i="40"/>
  <c r="F77" i="51"/>
  <c r="G77" i="51"/>
  <c r="H77" i="51"/>
  <c r="F249" i="7"/>
  <c r="G249" i="7"/>
  <c r="H249" i="7"/>
  <c r="F142" i="25"/>
  <c r="G142" i="25"/>
  <c r="H142" i="25"/>
  <c r="D378" i="38"/>
  <c r="E378" i="38"/>
  <c r="H378" i="38"/>
  <c r="K378" i="38"/>
  <c r="L378" i="38" s="1"/>
  <c r="M378" i="38"/>
  <c r="N378" i="38" s="1"/>
  <c r="S378" i="38"/>
  <c r="F13" i="51"/>
  <c r="F3" i="58"/>
  <c r="K5" i="25"/>
  <c r="F24" i="25"/>
  <c r="F107" i="7"/>
  <c r="Z378" i="38" l="1"/>
  <c r="O378" i="38"/>
  <c r="P378" i="38"/>
  <c r="U378" i="38"/>
  <c r="F141" i="25"/>
  <c r="G141" i="25"/>
  <c r="H141"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40" i="25"/>
  <c r="G140" i="25"/>
  <c r="H140"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39" i="25"/>
  <c r="G139" i="25"/>
  <c r="H139" i="25"/>
  <c r="K3" i="25"/>
  <c r="K4" i="25"/>
  <c r="C54" i="50"/>
  <c r="K44" i="50"/>
  <c r="F44" i="50"/>
  <c r="K43" i="50"/>
  <c r="F43" i="50"/>
  <c r="K46" i="50"/>
  <c r="F46" i="50"/>
  <c r="K45" i="50"/>
  <c r="F45" i="50"/>
  <c r="K48" i="48"/>
  <c r="K47" i="48"/>
  <c r="F47" i="48"/>
  <c r="K46" i="48"/>
  <c r="F46" i="48"/>
  <c r="O376" i="38" l="1"/>
  <c r="Z376" i="38"/>
  <c r="P375" i="38"/>
  <c r="N375" i="38"/>
  <c r="F138" i="25"/>
  <c r="H138" i="25"/>
  <c r="G138"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F69" i="40"/>
  <c r="G69" i="40"/>
  <c r="H69" i="40"/>
  <c r="H98" i="72"/>
  <c r="G98" i="72"/>
  <c r="F98" i="72"/>
  <c r="H97" i="72"/>
  <c r="G97" i="72"/>
  <c r="F97" i="72"/>
  <c r="H96" i="72"/>
  <c r="G96" i="72"/>
  <c r="F96" i="72"/>
  <c r="F137" i="25"/>
  <c r="G137" i="25"/>
  <c r="H137" i="25"/>
  <c r="E372" i="38"/>
  <c r="H372" i="38"/>
  <c r="K372" i="38"/>
  <c r="L372" i="38" s="1"/>
  <c r="M372" i="38"/>
  <c r="U372" i="38" s="1"/>
  <c r="S372" i="38"/>
  <c r="N372" i="38" l="1"/>
  <c r="P372" i="38"/>
  <c r="F136" i="25"/>
  <c r="G136" i="25"/>
  <c r="H136" i="25"/>
  <c r="E371" i="38"/>
  <c r="H371" i="38"/>
  <c r="K371" i="38"/>
  <c r="L371" i="38" s="1"/>
  <c r="P371" i="38" s="1"/>
  <c r="M371" i="38"/>
  <c r="U371" i="38" s="1"/>
  <c r="S371" i="38"/>
  <c r="F76" i="51"/>
  <c r="G76" i="51"/>
  <c r="H76" i="51"/>
  <c r="F12"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35" i="25"/>
  <c r="G135" i="25"/>
  <c r="H135" i="25"/>
  <c r="F21" i="25"/>
  <c r="F75" i="51"/>
  <c r="G75" i="51"/>
  <c r="H75" i="51"/>
  <c r="F11" i="51"/>
  <c r="F10" i="51"/>
  <c r="F9" i="51"/>
  <c r="F93" i="68"/>
  <c r="C93" i="68"/>
  <c r="K93" i="68"/>
  <c r="H93" i="68"/>
  <c r="M93" i="68"/>
  <c r="O371" i="38" l="1"/>
  <c r="Z371" i="38"/>
  <c r="N370" i="38"/>
  <c r="L370" i="38"/>
  <c r="P370" i="38" s="1"/>
  <c r="F92" i="68"/>
  <c r="K92" i="68"/>
  <c r="F26" i="64"/>
  <c r="G26" i="64"/>
  <c r="H26" i="64"/>
  <c r="D369" i="38"/>
  <c r="E369" i="38"/>
  <c r="G369" i="38"/>
  <c r="H369" i="38"/>
  <c r="K369" i="38"/>
  <c r="L369" i="38" s="1"/>
  <c r="M369" i="38"/>
  <c r="U369" i="38" s="1"/>
  <c r="S369" i="38"/>
  <c r="F134" i="25"/>
  <c r="G134" i="25"/>
  <c r="H134" i="25"/>
  <c r="K2" i="25"/>
  <c r="K127" i="25" s="1"/>
  <c r="K128"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74" i="51"/>
  <c r="G74" i="51"/>
  <c r="H74" i="51"/>
  <c r="F8" i="51"/>
  <c r="F68" i="40"/>
  <c r="H68" i="40"/>
  <c r="G68" i="40"/>
  <c r="F14" i="40"/>
  <c r="O368" i="38" l="1"/>
  <c r="Z368" i="38"/>
  <c r="P367" i="38"/>
  <c r="N367" i="38"/>
  <c r="O367" i="38" l="1"/>
  <c r="Z367" i="38"/>
  <c r="F248" i="7"/>
  <c r="G248" i="7"/>
  <c r="H248" i="7"/>
  <c r="E366" i="38"/>
  <c r="H366" i="38"/>
  <c r="K366" i="38"/>
  <c r="L366" i="38" s="1"/>
  <c r="P366" i="38" s="1"/>
  <c r="M366" i="38"/>
  <c r="U366" i="38" s="1"/>
  <c r="S366" i="38"/>
  <c r="F67" i="40"/>
  <c r="H67" i="40"/>
  <c r="G67" i="40"/>
  <c r="K9" i="40"/>
  <c r="N366" i="38" l="1"/>
  <c r="E365" i="38"/>
  <c r="H365" i="38"/>
  <c r="K365" i="38"/>
  <c r="L365" i="38" s="1"/>
  <c r="M365" i="38"/>
  <c r="U365" i="38" s="1"/>
  <c r="S365" i="38"/>
  <c r="O366" i="38" l="1"/>
  <c r="Z366" i="38"/>
  <c r="P365" i="38"/>
  <c r="N365" i="38"/>
  <c r="F66" i="40"/>
  <c r="G66" i="40"/>
  <c r="H66" i="40"/>
  <c r="K418" i="17"/>
  <c r="F418" i="17"/>
  <c r="K417" i="17"/>
  <c r="F417" i="17"/>
  <c r="O365" i="38" l="1"/>
  <c r="Z365" i="38"/>
  <c r="D364" i="38"/>
  <c r="E364" i="38"/>
  <c r="H364" i="38"/>
  <c r="K364" i="38"/>
  <c r="L364" i="38" s="1"/>
  <c r="M364" i="38"/>
  <c r="U364" i="38" s="1"/>
  <c r="S364" i="38"/>
  <c r="F133" i="25"/>
  <c r="G133" i="25"/>
  <c r="H133" i="25"/>
  <c r="F20" i="25"/>
  <c r="F73" i="51"/>
  <c r="G73" i="51"/>
  <c r="H73" i="51"/>
  <c r="F7" i="51"/>
  <c r="P364" i="38" l="1"/>
  <c r="N364" i="38"/>
  <c r="H132" i="25"/>
  <c r="G132" i="25"/>
  <c r="F132" i="25"/>
  <c r="M891" i="25"/>
  <c r="H891" i="25"/>
  <c r="C891" i="25"/>
  <c r="F867" i="25"/>
  <c r="F866" i="25"/>
  <c r="F865" i="25"/>
  <c r="F864" i="25"/>
  <c r="F863" i="25"/>
  <c r="F862" i="25"/>
  <c r="F861" i="25"/>
  <c r="F860" i="25"/>
  <c r="K859" i="25"/>
  <c r="F859" i="25"/>
  <c r="K858" i="25"/>
  <c r="F858" i="25"/>
  <c r="K857" i="25"/>
  <c r="F857" i="25"/>
  <c r="K856" i="25"/>
  <c r="F856" i="25"/>
  <c r="K855" i="25"/>
  <c r="F855" i="25"/>
  <c r="K854" i="25"/>
  <c r="F854" i="25"/>
  <c r="K853" i="25"/>
  <c r="F853" i="25"/>
  <c r="K852" i="25"/>
  <c r="F852" i="25"/>
  <c r="K851" i="25"/>
  <c r="F851" i="25"/>
  <c r="K850" i="25"/>
  <c r="F850" i="25"/>
  <c r="K849" i="25"/>
  <c r="F849" i="25"/>
  <c r="K848" i="25"/>
  <c r="F848" i="25"/>
  <c r="K847" i="25"/>
  <c r="F847" i="25"/>
  <c r="K846" i="25"/>
  <c r="F846" i="25"/>
  <c r="K845" i="25"/>
  <c r="F845" i="25"/>
  <c r="K844" i="25"/>
  <c r="F844" i="25"/>
  <c r="K843" i="25"/>
  <c r="F843" i="25"/>
  <c r="K842" i="25"/>
  <c r="F842" i="25"/>
  <c r="K841" i="25"/>
  <c r="F841" i="25"/>
  <c r="K840" i="25"/>
  <c r="F840" i="25"/>
  <c r="K839" i="25"/>
  <c r="F839" i="25"/>
  <c r="K838" i="25"/>
  <c r="F838" i="25"/>
  <c r="K837" i="25"/>
  <c r="F837" i="25"/>
  <c r="K836" i="25"/>
  <c r="F836" i="25"/>
  <c r="K835" i="25"/>
  <c r="F835" i="25"/>
  <c r="K834" i="25"/>
  <c r="F834" i="25"/>
  <c r="K833" i="25"/>
  <c r="F833" i="25"/>
  <c r="K832" i="25"/>
  <c r="F832" i="25"/>
  <c r="K831" i="25"/>
  <c r="F831" i="25"/>
  <c r="K830" i="25"/>
  <c r="F830" i="25"/>
  <c r="K829" i="25"/>
  <c r="F829" i="25"/>
  <c r="K828" i="25"/>
  <c r="F828" i="25"/>
  <c r="K827" i="25"/>
  <c r="F827" i="25"/>
  <c r="K826" i="25"/>
  <c r="F826" i="25"/>
  <c r="K825" i="25"/>
  <c r="F825" i="25"/>
  <c r="K824" i="25"/>
  <c r="F824" i="25"/>
  <c r="K823" i="25"/>
  <c r="F823" i="25"/>
  <c r="K822" i="25"/>
  <c r="F822" i="25"/>
  <c r="K821" i="25"/>
  <c r="F821" i="25"/>
  <c r="K820" i="25"/>
  <c r="F820" i="25"/>
  <c r="K819" i="25"/>
  <c r="F819" i="25"/>
  <c r="K818" i="25"/>
  <c r="F818" i="25"/>
  <c r="K817" i="25"/>
  <c r="F817" i="25"/>
  <c r="K816" i="25"/>
  <c r="F816" i="25"/>
  <c r="K815" i="25"/>
  <c r="F815" i="25"/>
  <c r="K814" i="25"/>
  <c r="F814" i="25"/>
  <c r="K813" i="25"/>
  <c r="F813" i="25"/>
  <c r="K812" i="25"/>
  <c r="F812" i="25"/>
  <c r="K811" i="25"/>
  <c r="F811" i="25"/>
  <c r="K810" i="25"/>
  <c r="F810" i="25"/>
  <c r="K809" i="25"/>
  <c r="F809" i="25"/>
  <c r="K808" i="25"/>
  <c r="F808" i="25"/>
  <c r="K807" i="25"/>
  <c r="F807" i="25"/>
  <c r="K806" i="25"/>
  <c r="F806" i="25"/>
  <c r="K805" i="25"/>
  <c r="F805" i="25"/>
  <c r="K804" i="25"/>
  <c r="F804" i="25"/>
  <c r="K803" i="25"/>
  <c r="F803" i="25"/>
  <c r="K802" i="25"/>
  <c r="F802" i="25"/>
  <c r="K801" i="25"/>
  <c r="F801" i="25"/>
  <c r="K800" i="25"/>
  <c r="F800" i="25"/>
  <c r="K799" i="25"/>
  <c r="F799" i="25"/>
  <c r="K798" i="25"/>
  <c r="F798" i="25"/>
  <c r="K797" i="25"/>
  <c r="F797" i="25"/>
  <c r="K796" i="25"/>
  <c r="F796" i="25"/>
  <c r="K795" i="25"/>
  <c r="F795" i="25"/>
  <c r="K794" i="25"/>
  <c r="F794" i="25"/>
  <c r="K793" i="25"/>
  <c r="F793" i="25"/>
  <c r="K792" i="25"/>
  <c r="F792" i="25"/>
  <c r="K791" i="25"/>
  <c r="F791" i="25"/>
  <c r="K790" i="25"/>
  <c r="F790" i="25"/>
  <c r="K789" i="25"/>
  <c r="F789" i="25"/>
  <c r="K788" i="25"/>
  <c r="F788" i="25"/>
  <c r="K787" i="25"/>
  <c r="F787" i="25"/>
  <c r="K786" i="25"/>
  <c r="F786" i="25"/>
  <c r="K785" i="25"/>
  <c r="F785" i="25"/>
  <c r="K784" i="25"/>
  <c r="F784" i="25"/>
  <c r="K783" i="25"/>
  <c r="F783" i="25"/>
  <c r="K782" i="25"/>
  <c r="F782" i="25"/>
  <c r="K781" i="25"/>
  <c r="F781" i="25"/>
  <c r="K780" i="25"/>
  <c r="F780" i="25"/>
  <c r="K779" i="25"/>
  <c r="F779" i="25"/>
  <c r="K778" i="25"/>
  <c r="F778" i="25"/>
  <c r="K777" i="25"/>
  <c r="F777" i="25"/>
  <c r="K776" i="25"/>
  <c r="F776" i="25"/>
  <c r="K775" i="25"/>
  <c r="F775" i="25"/>
  <c r="K774" i="25"/>
  <c r="F774" i="25"/>
  <c r="F773" i="25"/>
  <c r="F772" i="25"/>
  <c r="F771" i="25"/>
  <c r="K770" i="25"/>
  <c r="F770" i="25"/>
  <c r="F769" i="25"/>
  <c r="F768" i="25"/>
  <c r="F767" i="25"/>
  <c r="F766" i="25"/>
  <c r="F765" i="25"/>
  <c r="F764" i="25"/>
  <c r="F763" i="25"/>
  <c r="F762" i="25"/>
  <c r="F761" i="25"/>
  <c r="F760" i="25"/>
  <c r="F759" i="25"/>
  <c r="F758" i="25"/>
  <c r="F757" i="25"/>
  <c r="F756" i="25"/>
  <c r="F755" i="25"/>
  <c r="F754" i="25"/>
  <c r="F753" i="25"/>
  <c r="F752" i="25"/>
  <c r="F751" i="25"/>
  <c r="F750" i="25"/>
  <c r="F749" i="25"/>
  <c r="F748" i="25"/>
  <c r="F747" i="25"/>
  <c r="F746" i="25"/>
  <c r="F745" i="25"/>
  <c r="F744" i="25"/>
  <c r="F743" i="25"/>
  <c r="F742" i="25"/>
  <c r="F741" i="25"/>
  <c r="F740" i="25"/>
  <c r="F739" i="25"/>
  <c r="F738" i="25"/>
  <c r="F737"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703" i="25"/>
  <c r="F703" i="25"/>
  <c r="K702" i="25"/>
  <c r="F702" i="25"/>
  <c r="K701" i="25"/>
  <c r="F701" i="25"/>
  <c r="K700" i="25"/>
  <c r="F700" i="25"/>
  <c r="K699" i="25"/>
  <c r="F699" i="25"/>
  <c r="K698" i="25"/>
  <c r="F698" i="25"/>
  <c r="K697" i="25"/>
  <c r="F697" i="25"/>
  <c r="K696" i="25"/>
  <c r="F696" i="25"/>
  <c r="K695" i="25"/>
  <c r="F695" i="25"/>
  <c r="K694" i="25"/>
  <c r="F694" i="25"/>
  <c r="K693" i="25"/>
  <c r="F693" i="25"/>
  <c r="K692" i="25"/>
  <c r="F692" i="25"/>
  <c r="K691" i="25"/>
  <c r="F691" i="25"/>
  <c r="K690" i="25"/>
  <c r="F690" i="25"/>
  <c r="K689" i="25"/>
  <c r="F689" i="25"/>
  <c r="K688" i="25"/>
  <c r="F688" i="25"/>
  <c r="K687" i="25"/>
  <c r="F687" i="25"/>
  <c r="K686" i="25"/>
  <c r="F686" i="25"/>
  <c r="K685" i="25"/>
  <c r="F685" i="25"/>
  <c r="K684" i="25"/>
  <c r="F684" i="25"/>
  <c r="K683" i="25"/>
  <c r="F683" i="25"/>
  <c r="K682" i="25"/>
  <c r="F682" i="25"/>
  <c r="K681" i="25"/>
  <c r="F681" i="25"/>
  <c r="K680" i="25"/>
  <c r="F680" i="25"/>
  <c r="K679" i="25"/>
  <c r="F679" i="25"/>
  <c r="K678" i="25"/>
  <c r="F678" i="25"/>
  <c r="K677" i="25"/>
  <c r="F677" i="25"/>
  <c r="K676" i="25"/>
  <c r="F676" i="25"/>
  <c r="K675" i="25"/>
  <c r="F675" i="25"/>
  <c r="K674" i="25"/>
  <c r="F674" i="25"/>
  <c r="K673" i="25"/>
  <c r="F673" i="25"/>
  <c r="K672" i="25"/>
  <c r="F672" i="25"/>
  <c r="K671" i="25"/>
  <c r="F671" i="25"/>
  <c r="K670" i="25"/>
  <c r="F670" i="25"/>
  <c r="K669" i="25"/>
  <c r="F669" i="25"/>
  <c r="K668" i="25"/>
  <c r="F668" i="25"/>
  <c r="K667" i="25"/>
  <c r="F667" i="25"/>
  <c r="K666" i="25"/>
  <c r="F666" i="25"/>
  <c r="K665" i="25"/>
  <c r="F665" i="25"/>
  <c r="K664" i="25"/>
  <c r="F664" i="25"/>
  <c r="K663" i="25"/>
  <c r="F663" i="25"/>
  <c r="K662" i="25"/>
  <c r="F662" i="25"/>
  <c r="K661" i="25"/>
  <c r="F661" i="25"/>
  <c r="K660" i="25"/>
  <c r="F660" i="25"/>
  <c r="K659" i="25"/>
  <c r="F659" i="25"/>
  <c r="K658" i="25"/>
  <c r="F658" i="25"/>
  <c r="K657" i="25"/>
  <c r="F657" i="25"/>
  <c r="K656" i="25"/>
  <c r="F656" i="25"/>
  <c r="K655" i="25"/>
  <c r="F655" i="25"/>
  <c r="K654" i="25"/>
  <c r="F654" i="25"/>
  <c r="K653" i="25"/>
  <c r="F653" i="25"/>
  <c r="K652" i="25"/>
  <c r="F652" i="25"/>
  <c r="K651" i="25"/>
  <c r="F651" i="25"/>
  <c r="K650" i="25"/>
  <c r="F650" i="25"/>
  <c r="K649" i="25"/>
  <c r="F649" i="25"/>
  <c r="K648" i="25"/>
  <c r="F648" i="25"/>
  <c r="K647" i="25"/>
  <c r="F647" i="25"/>
  <c r="K646" i="25"/>
  <c r="F646" i="25"/>
  <c r="K645" i="25"/>
  <c r="F645" i="25"/>
  <c r="K644" i="25"/>
  <c r="F644" i="25"/>
  <c r="K643" i="25"/>
  <c r="F643" i="25"/>
  <c r="K642" i="25"/>
  <c r="F642" i="25"/>
  <c r="K641" i="25"/>
  <c r="F641" i="25"/>
  <c r="K640" i="25"/>
  <c r="F640" i="25"/>
  <c r="K639" i="25"/>
  <c r="F639" i="25"/>
  <c r="K638" i="25"/>
  <c r="F638" i="25"/>
  <c r="K637" i="25"/>
  <c r="F637" i="25"/>
  <c r="K636" i="25"/>
  <c r="F636" i="25"/>
  <c r="K635" i="25"/>
  <c r="F635" i="25"/>
  <c r="K634" i="25"/>
  <c r="F634" i="25"/>
  <c r="K633" i="25"/>
  <c r="F633" i="25"/>
  <c r="K632" i="25"/>
  <c r="F632" i="25"/>
  <c r="K631" i="25"/>
  <c r="F631" i="25"/>
  <c r="K630" i="25"/>
  <c r="F630" i="25"/>
  <c r="K86" i="45"/>
  <c r="F86" i="45"/>
  <c r="K85" i="45"/>
  <c r="F85" i="45"/>
  <c r="K84" i="45"/>
  <c r="F84" i="45"/>
  <c r="F55" i="58"/>
  <c r="G55" i="58"/>
  <c r="H55" i="58"/>
  <c r="G360" i="38"/>
  <c r="G361" i="38"/>
  <c r="G362" i="38"/>
  <c r="D361" i="38"/>
  <c r="D362" i="38"/>
  <c r="D363" i="38"/>
  <c r="E363" i="38"/>
  <c r="H363" i="38"/>
  <c r="K363" i="38"/>
  <c r="L363" i="38" s="1"/>
  <c r="M363" i="38"/>
  <c r="U363" i="38" s="1"/>
  <c r="S363" i="38"/>
  <c r="C64" i="71"/>
  <c r="H64" i="71"/>
  <c r="F53" i="71"/>
  <c r="F52" i="71"/>
  <c r="K51" i="71"/>
  <c r="F51" i="71"/>
  <c r="K50" i="71"/>
  <c r="F50" i="71"/>
  <c r="F892" i="25"/>
  <c r="H892" i="25"/>
  <c r="M892" i="25"/>
  <c r="K892" i="25"/>
  <c r="C892" i="25"/>
  <c r="O364" i="38" l="1"/>
  <c r="Z364" i="38"/>
  <c r="N363" i="38"/>
  <c r="F891" i="25"/>
  <c r="K891" i="25"/>
  <c r="P363" i="38"/>
  <c r="O363" i="38" l="1"/>
  <c r="Z363" i="38"/>
  <c r="M628" i="25"/>
  <c r="Q10" i="25" s="1"/>
  <c r="K363" i="25" s="1"/>
  <c r="E362" i="38"/>
  <c r="H362" i="38"/>
  <c r="K362" i="38"/>
  <c r="M362" i="38"/>
  <c r="U362" i="38" s="1"/>
  <c r="S362" i="38"/>
  <c r="K361" i="25" l="1"/>
  <c r="K362" i="25"/>
  <c r="K360" i="25"/>
  <c r="K359" i="25"/>
  <c r="K357" i="25"/>
  <c r="K358" i="25"/>
  <c r="K354" i="25"/>
  <c r="K355" i="25"/>
  <c r="K356" i="25"/>
  <c r="K352" i="25"/>
  <c r="K353" i="25"/>
  <c r="K350" i="25"/>
  <c r="K351" i="25"/>
  <c r="K348" i="25"/>
  <c r="K349" i="25"/>
  <c r="K346" i="25"/>
  <c r="K347" i="25"/>
  <c r="K344" i="25"/>
  <c r="K345" i="25"/>
  <c r="K342" i="25"/>
  <c r="K343" i="25"/>
  <c r="K341" i="25"/>
  <c r="K340" i="25"/>
  <c r="K339" i="25"/>
  <c r="K338" i="25"/>
  <c r="K336" i="25"/>
  <c r="K337" i="25"/>
  <c r="K334" i="25"/>
  <c r="K335" i="25"/>
  <c r="K332" i="25"/>
  <c r="K333" i="25"/>
  <c r="K330" i="25"/>
  <c r="K331" i="25"/>
  <c r="K328" i="25"/>
  <c r="K329" i="25"/>
  <c r="K326" i="25"/>
  <c r="K327" i="25"/>
  <c r="K324" i="25"/>
  <c r="K325" i="25"/>
  <c r="K322" i="25"/>
  <c r="K323" i="25"/>
  <c r="K320" i="25"/>
  <c r="K321" i="25"/>
  <c r="K318" i="25"/>
  <c r="K319" i="25"/>
  <c r="K316" i="25"/>
  <c r="K317" i="25"/>
  <c r="K314" i="25"/>
  <c r="K315" i="25"/>
  <c r="K312" i="25"/>
  <c r="K313" i="25"/>
  <c r="K310" i="25"/>
  <c r="K311" i="25"/>
  <c r="K308" i="25"/>
  <c r="K309" i="25"/>
  <c r="K306" i="25"/>
  <c r="K307" i="25"/>
  <c r="K304" i="25"/>
  <c r="K305" i="25"/>
  <c r="K303" i="25"/>
  <c r="K302" i="25"/>
  <c r="K301" i="25"/>
  <c r="K300" i="25"/>
  <c r="K281" i="25"/>
  <c r="K282" i="25"/>
  <c r="K280" i="25"/>
  <c r="K279" i="25"/>
  <c r="K277" i="25"/>
  <c r="K278" i="25"/>
  <c r="K276" i="25"/>
  <c r="K275" i="25"/>
  <c r="K274" i="25"/>
  <c r="K272" i="25"/>
  <c r="K273" i="25"/>
  <c r="K270" i="25"/>
  <c r="K271" i="25"/>
  <c r="K269" i="25"/>
  <c r="K268" i="25"/>
  <c r="K267" i="25"/>
  <c r="K266" i="25"/>
  <c r="K265" i="25"/>
  <c r="K263" i="25"/>
  <c r="K264" i="25"/>
  <c r="K262" i="25"/>
  <c r="K261" i="25"/>
  <c r="K260" i="25"/>
  <c r="K259" i="25"/>
  <c r="K258" i="25"/>
  <c r="K257" i="25"/>
  <c r="K256" i="25"/>
  <c r="K255" i="25"/>
  <c r="K254" i="25"/>
  <c r="K253" i="25"/>
  <c r="K252" i="25"/>
  <c r="K251" i="25"/>
  <c r="K250" i="25"/>
  <c r="K249" i="25"/>
  <c r="K247" i="25"/>
  <c r="K248" i="25"/>
  <c r="K246" i="25"/>
  <c r="K243" i="25"/>
  <c r="K245" i="25"/>
  <c r="K244" i="25"/>
  <c r="K242" i="25"/>
  <c r="K241" i="25"/>
  <c r="K240" i="25"/>
  <c r="K239" i="25"/>
  <c r="K238" i="25"/>
  <c r="K237" i="25"/>
  <c r="K236" i="25"/>
  <c r="K235" i="25"/>
  <c r="K234" i="25"/>
  <c r="K233" i="25"/>
  <c r="K232" i="25"/>
  <c r="K231" i="25"/>
  <c r="K230" i="25"/>
  <c r="K229" i="25"/>
  <c r="K228" i="25"/>
  <c r="K227" i="25"/>
  <c r="K225" i="25"/>
  <c r="K226" i="25"/>
  <c r="K224" i="25"/>
  <c r="K223" i="25"/>
  <c r="K222" i="25"/>
  <c r="K218" i="25"/>
  <c r="K219" i="25"/>
  <c r="K221" i="25"/>
  <c r="K220" i="25"/>
  <c r="K217" i="25"/>
  <c r="K216" i="25"/>
  <c r="K215" i="25"/>
  <c r="K214" i="25"/>
  <c r="K213" i="25"/>
  <c r="K212" i="25"/>
  <c r="K211" i="25"/>
  <c r="K210" i="25"/>
  <c r="K209" i="25"/>
  <c r="K208" i="25"/>
  <c r="K207" i="25"/>
  <c r="K206" i="25"/>
  <c r="K205" i="25"/>
  <c r="K204" i="25"/>
  <c r="K203" i="25"/>
  <c r="K202" i="25"/>
  <c r="K201" i="25"/>
  <c r="K200" i="25"/>
  <c r="K197" i="25"/>
  <c r="K198" i="25"/>
  <c r="K199"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162" i="25"/>
  <c r="K161" i="25"/>
  <c r="K160" i="25"/>
  <c r="K159" i="25"/>
  <c r="K158" i="25"/>
  <c r="K157" i="25"/>
  <c r="K156" i="25"/>
  <c r="K155" i="25"/>
  <c r="K154" i="25"/>
  <c r="K153" i="25"/>
  <c r="K152" i="25"/>
  <c r="K151" i="25"/>
  <c r="K150" i="25"/>
  <c r="K149" i="25"/>
  <c r="K148" i="25"/>
  <c r="K147" i="25"/>
  <c r="K146" i="25"/>
  <c r="K145" i="25"/>
  <c r="K144" i="25"/>
  <c r="K143" i="25"/>
  <c r="K142" i="25"/>
  <c r="K141" i="25"/>
  <c r="K140" i="25"/>
  <c r="K139" i="25"/>
  <c r="K138" i="25"/>
  <c r="K137" i="25"/>
  <c r="K136" i="25"/>
  <c r="K135" i="25"/>
  <c r="K134" i="25"/>
  <c r="K133" i="25"/>
  <c r="K132" i="25"/>
  <c r="K299" i="25"/>
  <c r="K297" i="25"/>
  <c r="K298" i="25"/>
  <c r="K296" i="25"/>
  <c r="K295" i="25"/>
  <c r="K294" i="25"/>
  <c r="K293" i="25"/>
  <c r="K292" i="25"/>
  <c r="K291" i="25"/>
  <c r="K290" i="25"/>
  <c r="K289" i="25"/>
  <c r="K288" i="25"/>
  <c r="K287" i="25"/>
  <c r="K286" i="25"/>
  <c r="K285" i="25"/>
  <c r="K284" i="25"/>
  <c r="K283"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H134" i="40"/>
  <c r="G134" i="40"/>
  <c r="F134" i="40"/>
  <c r="H133" i="40"/>
  <c r="G133" i="40"/>
  <c r="F133" i="40"/>
  <c r="H132" i="40"/>
  <c r="G132" i="40"/>
  <c r="F132" i="40"/>
  <c r="H131" i="40"/>
  <c r="G131" i="40"/>
  <c r="F131" i="40"/>
  <c r="H130" i="40"/>
  <c r="G130" i="40"/>
  <c r="F130" i="40"/>
  <c r="H129" i="40"/>
  <c r="G129" i="40"/>
  <c r="F129" i="40"/>
  <c r="H128" i="40"/>
  <c r="G128" i="40"/>
  <c r="F128" i="40"/>
  <c r="H127" i="40"/>
  <c r="G127" i="40"/>
  <c r="F127" i="40"/>
  <c r="H126" i="40"/>
  <c r="G126" i="40"/>
  <c r="F126" i="40"/>
  <c r="H125" i="40"/>
  <c r="G125" i="40"/>
  <c r="F125" i="40"/>
  <c r="H124" i="40"/>
  <c r="G124" i="40"/>
  <c r="F124" i="40"/>
  <c r="M120" i="40"/>
  <c r="H120" i="40"/>
  <c r="C120" i="40"/>
  <c r="K106" i="40"/>
  <c r="F106" i="40"/>
  <c r="K105" i="40"/>
  <c r="F105" i="40"/>
  <c r="K104" i="40"/>
  <c r="F104" i="40"/>
  <c r="P61" i="40"/>
  <c r="P60" i="40"/>
  <c r="P59" i="40"/>
  <c r="P58" i="40"/>
  <c r="P57" i="40"/>
  <c r="P56" i="40"/>
  <c r="P55" i="40"/>
  <c r="P54" i="40"/>
  <c r="H65" i="40"/>
  <c r="G65" i="40"/>
  <c r="F65" i="40"/>
  <c r="P53" i="40"/>
  <c r="H64" i="40"/>
  <c r="G64" i="40"/>
  <c r="F64" i="40"/>
  <c r="P52" i="40"/>
  <c r="H63" i="40"/>
  <c r="G63" i="40"/>
  <c r="F63" i="40"/>
  <c r="P51" i="40"/>
  <c r="H62" i="40"/>
  <c r="G62" i="40"/>
  <c r="F62" i="40"/>
  <c r="P50" i="40"/>
  <c r="H61" i="40"/>
  <c r="G61" i="40"/>
  <c r="F61" i="40"/>
  <c r="P49" i="40"/>
  <c r="H60" i="40"/>
  <c r="G60" i="40"/>
  <c r="F60" i="40"/>
  <c r="P48" i="40"/>
  <c r="H59" i="40"/>
  <c r="G59" i="40"/>
  <c r="F59" i="40"/>
  <c r="P47" i="40"/>
  <c r="H58" i="40"/>
  <c r="G58" i="40"/>
  <c r="F58" i="40"/>
  <c r="P46" i="40"/>
  <c r="H57" i="40"/>
  <c r="G57" i="40"/>
  <c r="F57" i="40"/>
  <c r="P45" i="40"/>
  <c r="H56" i="40"/>
  <c r="G56" i="40"/>
  <c r="F56" i="40"/>
  <c r="P44" i="40"/>
  <c r="H55" i="40"/>
  <c r="G55" i="40"/>
  <c r="F55" i="40"/>
  <c r="P43" i="40"/>
  <c r="H54" i="40"/>
  <c r="G54" i="40"/>
  <c r="F54" i="40"/>
  <c r="P42" i="40"/>
  <c r="H53" i="40"/>
  <c r="G53" i="40"/>
  <c r="F53" i="40"/>
  <c r="P41" i="40"/>
  <c r="H52" i="40"/>
  <c r="G52" i="40"/>
  <c r="F52" i="40"/>
  <c r="H51" i="40"/>
  <c r="G51" i="40"/>
  <c r="F51" i="40"/>
  <c r="H50" i="40"/>
  <c r="G50" i="40"/>
  <c r="F50" i="40"/>
  <c r="H49" i="40"/>
  <c r="G49" i="40"/>
  <c r="F49" i="40"/>
  <c r="H48" i="40"/>
  <c r="G48" i="40"/>
  <c r="F48" i="40"/>
  <c r="H47" i="40"/>
  <c r="G47" i="40"/>
  <c r="F47" i="40"/>
  <c r="H46" i="40"/>
  <c r="G46" i="40"/>
  <c r="F46" i="40"/>
  <c r="H45" i="40"/>
  <c r="G45" i="40"/>
  <c r="F45" i="40"/>
  <c r="H44" i="40"/>
  <c r="G44" i="40"/>
  <c r="F44" i="40"/>
  <c r="H43" i="40"/>
  <c r="G43" i="40"/>
  <c r="F43" i="40"/>
  <c r="H42" i="40"/>
  <c r="G42" i="40"/>
  <c r="F42" i="40"/>
  <c r="H41" i="40"/>
  <c r="G41" i="40"/>
  <c r="F41" i="40"/>
  <c r="H40" i="40"/>
  <c r="G40" i="40"/>
  <c r="F40" i="40"/>
  <c r="H39" i="40"/>
  <c r="G39" i="40"/>
  <c r="F39" i="40"/>
  <c r="H38" i="40"/>
  <c r="G38" i="40"/>
  <c r="F38" i="40"/>
  <c r="H37" i="40"/>
  <c r="G37" i="40"/>
  <c r="F37" i="40"/>
  <c r="H36" i="40"/>
  <c r="G36" i="40"/>
  <c r="F36" i="40"/>
  <c r="F12" i="40"/>
  <c r="F11" i="40"/>
  <c r="F10" i="40"/>
  <c r="F9" i="40"/>
  <c r="K8" i="40"/>
  <c r="F8" i="40"/>
  <c r="K7" i="40"/>
  <c r="F7" i="40"/>
  <c r="K6" i="40"/>
  <c r="F6" i="40"/>
  <c r="K5" i="40"/>
  <c r="F5" i="40"/>
  <c r="K4" i="40"/>
  <c r="F4" i="40"/>
  <c r="K3" i="40"/>
  <c r="F3" i="40"/>
  <c r="K2" i="40"/>
  <c r="F2" i="40"/>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82" i="74"/>
  <c r="H82" i="74"/>
  <c r="F82" i="74"/>
  <c r="C82"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38" i="46"/>
  <c r="H138" i="46"/>
  <c r="C138" i="46"/>
  <c r="P25" i="46"/>
  <c r="P24" i="46"/>
  <c r="P23" i="46"/>
  <c r="P22" i="46"/>
  <c r="P21" i="46"/>
  <c r="P20" i="46"/>
  <c r="P19" i="46"/>
  <c r="K128" i="46"/>
  <c r="K127" i="46"/>
  <c r="F127" i="46"/>
  <c r="K126" i="46"/>
  <c r="F126" i="46"/>
  <c r="H42" i="46"/>
  <c r="G42" i="46"/>
  <c r="F42" i="46"/>
  <c r="K38" i="46"/>
  <c r="H38" i="46"/>
  <c r="F38" i="46"/>
  <c r="C38"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10" i="45"/>
  <c r="H110" i="45"/>
  <c r="C110" i="45"/>
  <c r="K82" i="45"/>
  <c r="F82" i="45"/>
  <c r="K81" i="45"/>
  <c r="F81" i="45"/>
  <c r="K80" i="45"/>
  <c r="F80" i="45"/>
  <c r="F79" i="45"/>
  <c r="K78" i="45"/>
  <c r="F78" i="45"/>
  <c r="K77" i="45"/>
  <c r="F77" i="45"/>
  <c r="K76" i="45"/>
  <c r="F76" i="45"/>
  <c r="K75" i="45"/>
  <c r="F75" i="45"/>
  <c r="K74" i="45"/>
  <c r="F74" i="45"/>
  <c r="K73" i="45"/>
  <c r="F73" i="45"/>
  <c r="K72" i="45"/>
  <c r="F72" i="45"/>
  <c r="F71"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29" i="58"/>
  <c r="H229" i="58"/>
  <c r="C229" i="58"/>
  <c r="K220" i="58"/>
  <c r="F220" i="58"/>
  <c r="K219" i="58"/>
  <c r="F219" i="58"/>
  <c r="K213" i="58"/>
  <c r="F213" i="58"/>
  <c r="H203" i="58"/>
  <c r="G203" i="58"/>
  <c r="F203" i="58"/>
  <c r="H202" i="58"/>
  <c r="G202" i="58"/>
  <c r="F202" i="58"/>
  <c r="H201" i="58"/>
  <c r="G201" i="58"/>
  <c r="F201" i="58"/>
  <c r="H200" i="58"/>
  <c r="G200" i="58"/>
  <c r="F200" i="58"/>
  <c r="H199" i="58"/>
  <c r="G199" i="58"/>
  <c r="F199" i="58"/>
  <c r="H198" i="58"/>
  <c r="G198" i="58"/>
  <c r="F198" i="58"/>
  <c r="H197" i="58"/>
  <c r="G197" i="58"/>
  <c r="F197" i="58"/>
  <c r="H196" i="58"/>
  <c r="G196" i="58"/>
  <c r="F196" i="58"/>
  <c r="H195" i="58"/>
  <c r="G195" i="58"/>
  <c r="F195" i="58"/>
  <c r="H194" i="58"/>
  <c r="G194" i="58"/>
  <c r="F194" i="58"/>
  <c r="H193" i="58"/>
  <c r="G193" i="58"/>
  <c r="F193" i="58"/>
  <c r="H192" i="58"/>
  <c r="G192" i="58"/>
  <c r="F192" i="58"/>
  <c r="H191" i="58"/>
  <c r="G191" i="58"/>
  <c r="F191" i="58"/>
  <c r="H190" i="58"/>
  <c r="G190" i="58"/>
  <c r="F190" i="58"/>
  <c r="H189" i="58"/>
  <c r="G189" i="58"/>
  <c r="F189" i="58"/>
  <c r="P39" i="58"/>
  <c r="H188" i="58"/>
  <c r="G188" i="58"/>
  <c r="F188" i="58"/>
  <c r="P38" i="58"/>
  <c r="H187" i="58"/>
  <c r="G187" i="58"/>
  <c r="F187" i="58"/>
  <c r="P37" i="58"/>
  <c r="H186" i="58"/>
  <c r="G186" i="58"/>
  <c r="F186" i="58"/>
  <c r="P36" i="58"/>
  <c r="H185" i="58"/>
  <c r="G185" i="58"/>
  <c r="F185" i="58"/>
  <c r="P35" i="58"/>
  <c r="P34" i="58"/>
  <c r="P33" i="58"/>
  <c r="P32" i="58"/>
  <c r="H181" i="58"/>
  <c r="G181" i="58"/>
  <c r="F181" i="58"/>
  <c r="P31" i="58"/>
  <c r="H180" i="58"/>
  <c r="G180" i="58"/>
  <c r="F180" i="58"/>
  <c r="P30" i="58"/>
  <c r="H179" i="58"/>
  <c r="G179" i="58"/>
  <c r="F179" i="58"/>
  <c r="P29" i="58"/>
  <c r="H178" i="58"/>
  <c r="G178" i="58"/>
  <c r="F178" i="58"/>
  <c r="P28" i="58"/>
  <c r="H177" i="58"/>
  <c r="G177" i="58"/>
  <c r="F177" i="58"/>
  <c r="P27" i="58"/>
  <c r="H176" i="58"/>
  <c r="G176" i="58"/>
  <c r="F176" i="58"/>
  <c r="P26" i="58"/>
  <c r="H175" i="58"/>
  <c r="G175" i="58"/>
  <c r="F175" i="58"/>
  <c r="P25" i="58"/>
  <c r="H174" i="58"/>
  <c r="G174" i="58"/>
  <c r="F174" i="58"/>
  <c r="P24" i="58"/>
  <c r="H173" i="58"/>
  <c r="G173" i="58"/>
  <c r="F173" i="58"/>
  <c r="P23" i="58"/>
  <c r="H172" i="58"/>
  <c r="G172" i="58"/>
  <c r="F172" i="58"/>
  <c r="P22" i="58"/>
  <c r="H171" i="58"/>
  <c r="G171" i="58"/>
  <c r="F171" i="58"/>
  <c r="P21" i="58"/>
  <c r="H170" i="58"/>
  <c r="G170" i="58"/>
  <c r="F170" i="58"/>
  <c r="P20" i="58"/>
  <c r="H169" i="58"/>
  <c r="G169" i="58"/>
  <c r="F169" i="58"/>
  <c r="P19" i="58"/>
  <c r="H54" i="58"/>
  <c r="G54" i="58"/>
  <c r="F54" i="58"/>
  <c r="H53" i="58"/>
  <c r="G53" i="58"/>
  <c r="F53" i="58"/>
  <c r="H52" i="58"/>
  <c r="G52" i="58"/>
  <c r="F52" i="58"/>
  <c r="H51" i="58"/>
  <c r="G51" i="58"/>
  <c r="F51" i="58"/>
  <c r="M46" i="58"/>
  <c r="F2" i="58"/>
  <c r="F46"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H247" i="7"/>
  <c r="G247" i="7"/>
  <c r="F247" i="7"/>
  <c r="H246" i="7"/>
  <c r="G246" i="7"/>
  <c r="F246" i="7"/>
  <c r="H245" i="7"/>
  <c r="G245" i="7"/>
  <c r="F245" i="7"/>
  <c r="H244" i="7"/>
  <c r="G244" i="7"/>
  <c r="F244" i="7"/>
  <c r="H243" i="7"/>
  <c r="G243" i="7"/>
  <c r="F243" i="7"/>
  <c r="H242" i="7"/>
  <c r="G242" i="7"/>
  <c r="F242" i="7"/>
  <c r="H241" i="7"/>
  <c r="G241" i="7"/>
  <c r="F241" i="7"/>
  <c r="H240" i="7"/>
  <c r="G240" i="7"/>
  <c r="F240" i="7"/>
  <c r="H239" i="7"/>
  <c r="G239" i="7"/>
  <c r="F239" i="7"/>
  <c r="H238" i="7"/>
  <c r="G238" i="7"/>
  <c r="F238" i="7"/>
  <c r="H237" i="7"/>
  <c r="G237" i="7"/>
  <c r="F237" i="7"/>
  <c r="H236" i="7"/>
  <c r="G236" i="7"/>
  <c r="F236" i="7"/>
  <c r="H235" i="7"/>
  <c r="G235" i="7"/>
  <c r="F235" i="7"/>
  <c r="H234" i="7"/>
  <c r="G234" i="7"/>
  <c r="F234" i="7"/>
  <c r="H233" i="7"/>
  <c r="G233" i="7"/>
  <c r="F233" i="7"/>
  <c r="H232" i="7"/>
  <c r="G232" i="7"/>
  <c r="F232" i="7"/>
  <c r="H231" i="7"/>
  <c r="G231" i="7"/>
  <c r="F231" i="7"/>
  <c r="H230" i="7"/>
  <c r="G230" i="7"/>
  <c r="F230" i="7"/>
  <c r="H229" i="7"/>
  <c r="G229" i="7"/>
  <c r="F229" i="7"/>
  <c r="H228" i="7"/>
  <c r="G228" i="7"/>
  <c r="F228" i="7"/>
  <c r="H227" i="7"/>
  <c r="G227" i="7"/>
  <c r="F227" i="7"/>
  <c r="H226" i="7"/>
  <c r="G226" i="7"/>
  <c r="F226" i="7"/>
  <c r="H225" i="7"/>
  <c r="G225" i="7"/>
  <c r="F225" i="7"/>
  <c r="H224" i="7"/>
  <c r="G224" i="7"/>
  <c r="F224" i="7"/>
  <c r="H223" i="7"/>
  <c r="G223" i="7"/>
  <c r="F223" i="7"/>
  <c r="H222" i="7"/>
  <c r="G222" i="7"/>
  <c r="F222" i="7"/>
  <c r="H221" i="7"/>
  <c r="G221" i="7"/>
  <c r="F221" i="7"/>
  <c r="H220" i="7"/>
  <c r="G220" i="7"/>
  <c r="F220" i="7"/>
  <c r="H219" i="7"/>
  <c r="G219" i="7"/>
  <c r="F219" i="7"/>
  <c r="H218" i="7"/>
  <c r="G218" i="7"/>
  <c r="F218" i="7"/>
  <c r="H217" i="7"/>
  <c r="G217" i="7"/>
  <c r="F217" i="7"/>
  <c r="H216" i="7"/>
  <c r="G216" i="7"/>
  <c r="F216" i="7"/>
  <c r="H215" i="7"/>
  <c r="G215" i="7"/>
  <c r="F215" i="7"/>
  <c r="H214" i="7"/>
  <c r="G214" i="7"/>
  <c r="F214" i="7"/>
  <c r="H213" i="7"/>
  <c r="G213" i="7"/>
  <c r="F213" i="7"/>
  <c r="H212" i="7"/>
  <c r="G212" i="7"/>
  <c r="F212" i="7"/>
  <c r="H211" i="7"/>
  <c r="G211" i="7"/>
  <c r="F211" i="7"/>
  <c r="H210" i="7"/>
  <c r="G210" i="7"/>
  <c r="F210" i="7"/>
  <c r="H209" i="7"/>
  <c r="G209" i="7"/>
  <c r="F209" i="7"/>
  <c r="H208" i="7"/>
  <c r="G208" i="7"/>
  <c r="F208" i="7"/>
  <c r="H207" i="7"/>
  <c r="G207" i="7"/>
  <c r="F207" i="7"/>
  <c r="H206" i="7"/>
  <c r="G206" i="7"/>
  <c r="F206" i="7"/>
  <c r="H205" i="7"/>
  <c r="G205" i="7"/>
  <c r="F205" i="7"/>
  <c r="H204" i="7"/>
  <c r="G204" i="7"/>
  <c r="F204" i="7"/>
  <c r="H203" i="7"/>
  <c r="G203" i="7"/>
  <c r="F203" i="7"/>
  <c r="H202" i="7"/>
  <c r="G202" i="7"/>
  <c r="F202" i="7"/>
  <c r="H201" i="7"/>
  <c r="G201" i="7"/>
  <c r="F201" i="7"/>
  <c r="H200" i="7"/>
  <c r="G200" i="7"/>
  <c r="F200" i="7"/>
  <c r="H199" i="7"/>
  <c r="G199" i="7"/>
  <c r="F199" i="7"/>
  <c r="H198" i="7"/>
  <c r="G198" i="7"/>
  <c r="F198" i="7"/>
  <c r="H197" i="7"/>
  <c r="G197" i="7"/>
  <c r="F197" i="7"/>
  <c r="H196" i="7"/>
  <c r="G196" i="7"/>
  <c r="F196" i="7"/>
  <c r="H195" i="7"/>
  <c r="G195" i="7"/>
  <c r="F195" i="7"/>
  <c r="H194" i="7"/>
  <c r="G194" i="7"/>
  <c r="F194" i="7"/>
  <c r="H193" i="7"/>
  <c r="G193" i="7"/>
  <c r="F193" i="7"/>
  <c r="H192" i="7"/>
  <c r="G192" i="7"/>
  <c r="F192" i="7"/>
  <c r="H191" i="7"/>
  <c r="G191" i="7"/>
  <c r="F191" i="7"/>
  <c r="H190" i="7"/>
  <c r="G190" i="7"/>
  <c r="F190" i="7"/>
  <c r="H189" i="7"/>
  <c r="G189" i="7"/>
  <c r="F189" i="7"/>
  <c r="H188" i="7"/>
  <c r="G188" i="7"/>
  <c r="F188" i="7"/>
  <c r="H187" i="7"/>
  <c r="G187" i="7"/>
  <c r="F187" i="7"/>
  <c r="H186" i="7"/>
  <c r="G186" i="7"/>
  <c r="F186" i="7"/>
  <c r="H185" i="7"/>
  <c r="G185" i="7"/>
  <c r="F185" i="7"/>
  <c r="H184" i="7"/>
  <c r="G184" i="7"/>
  <c r="F184" i="7"/>
  <c r="H183" i="7"/>
  <c r="G183" i="7"/>
  <c r="F183" i="7"/>
  <c r="H182" i="7"/>
  <c r="G182" i="7"/>
  <c r="F182" i="7"/>
  <c r="H181" i="7"/>
  <c r="G181" i="7"/>
  <c r="F181" i="7"/>
  <c r="H180" i="7"/>
  <c r="G180" i="7"/>
  <c r="F180" i="7"/>
  <c r="H179" i="7"/>
  <c r="G179" i="7"/>
  <c r="F179" i="7"/>
  <c r="H178" i="7"/>
  <c r="G178" i="7"/>
  <c r="F178" i="7"/>
  <c r="H177" i="7"/>
  <c r="G177" i="7"/>
  <c r="F177" i="7"/>
  <c r="H176" i="7"/>
  <c r="G176" i="7"/>
  <c r="F176" i="7"/>
  <c r="H175" i="7"/>
  <c r="G175" i="7"/>
  <c r="F175" i="7"/>
  <c r="H174" i="7"/>
  <c r="G174" i="7"/>
  <c r="F174" i="7"/>
  <c r="H173" i="7"/>
  <c r="G173" i="7"/>
  <c r="F173" i="7"/>
  <c r="H172" i="7"/>
  <c r="G172" i="7"/>
  <c r="F172" i="7"/>
  <c r="H171" i="7"/>
  <c r="G171" i="7"/>
  <c r="F171" i="7"/>
  <c r="H170" i="7"/>
  <c r="G170" i="7"/>
  <c r="F170" i="7"/>
  <c r="H169" i="7"/>
  <c r="G169" i="7"/>
  <c r="F169" i="7"/>
  <c r="H168" i="7"/>
  <c r="G168" i="7"/>
  <c r="F168" i="7"/>
  <c r="H167" i="7"/>
  <c r="G167" i="7"/>
  <c r="F167" i="7"/>
  <c r="H166" i="7"/>
  <c r="G166" i="7"/>
  <c r="F166" i="7"/>
  <c r="H165" i="7"/>
  <c r="G165" i="7"/>
  <c r="F165" i="7"/>
  <c r="H164" i="7"/>
  <c r="G164" i="7"/>
  <c r="F164" i="7"/>
  <c r="H163" i="7"/>
  <c r="G163" i="7"/>
  <c r="F163" i="7"/>
  <c r="H162" i="7"/>
  <c r="G162" i="7"/>
  <c r="F162" i="7"/>
  <c r="H161" i="7"/>
  <c r="G161" i="7"/>
  <c r="F161" i="7"/>
  <c r="H160" i="7"/>
  <c r="G160" i="7"/>
  <c r="F160" i="7"/>
  <c r="H159" i="7"/>
  <c r="G159" i="7"/>
  <c r="F159" i="7"/>
  <c r="H158" i="7"/>
  <c r="G158" i="7"/>
  <c r="F158" i="7"/>
  <c r="H157" i="7"/>
  <c r="G157" i="7"/>
  <c r="F157" i="7"/>
  <c r="H156" i="7"/>
  <c r="G156" i="7"/>
  <c r="F156" i="7"/>
  <c r="H155" i="7"/>
  <c r="G155" i="7"/>
  <c r="F155" i="7"/>
  <c r="H154" i="7"/>
  <c r="G154" i="7"/>
  <c r="F154" i="7"/>
  <c r="H153" i="7"/>
  <c r="G153" i="7"/>
  <c r="F153" i="7"/>
  <c r="H152" i="7"/>
  <c r="G152" i="7"/>
  <c r="F152" i="7"/>
  <c r="H151" i="7"/>
  <c r="G151" i="7"/>
  <c r="F151" i="7"/>
  <c r="H150" i="7"/>
  <c r="G150" i="7"/>
  <c r="F150" i="7"/>
  <c r="H149" i="7"/>
  <c r="G149" i="7"/>
  <c r="F149" i="7"/>
  <c r="H148" i="7"/>
  <c r="G148" i="7"/>
  <c r="F148" i="7"/>
  <c r="H147" i="7"/>
  <c r="G147" i="7"/>
  <c r="F147" i="7"/>
  <c r="H146" i="7"/>
  <c r="G146" i="7"/>
  <c r="F146" i="7"/>
  <c r="H145" i="7"/>
  <c r="G145" i="7"/>
  <c r="F145" i="7"/>
  <c r="H144" i="7"/>
  <c r="G144" i="7"/>
  <c r="F144" i="7"/>
  <c r="H143" i="7"/>
  <c r="G143" i="7"/>
  <c r="F143" i="7"/>
  <c r="H142" i="7"/>
  <c r="G142" i="7"/>
  <c r="F142" i="7"/>
  <c r="H141" i="7"/>
  <c r="G141" i="7"/>
  <c r="F141" i="7"/>
  <c r="H140" i="7"/>
  <c r="G140" i="7"/>
  <c r="F140" i="7"/>
  <c r="H139" i="7"/>
  <c r="G139" i="7"/>
  <c r="F139" i="7"/>
  <c r="H138" i="7"/>
  <c r="G138" i="7"/>
  <c r="F138" i="7"/>
  <c r="H137" i="7"/>
  <c r="G137" i="7"/>
  <c r="F137" i="7"/>
  <c r="H136" i="7"/>
  <c r="G136" i="7"/>
  <c r="F136" i="7"/>
  <c r="H135" i="7"/>
  <c r="G135" i="7"/>
  <c r="F135" i="7"/>
  <c r="H134" i="7"/>
  <c r="G134" i="7"/>
  <c r="F134" i="7"/>
  <c r="H133" i="7"/>
  <c r="G133" i="7"/>
  <c r="F133" i="7"/>
  <c r="H132" i="7"/>
  <c r="G132" i="7"/>
  <c r="F132" i="7"/>
  <c r="H131" i="7"/>
  <c r="G131" i="7"/>
  <c r="F131" i="7"/>
  <c r="H130" i="7"/>
  <c r="G130" i="7"/>
  <c r="F130" i="7"/>
  <c r="H129" i="7"/>
  <c r="G129" i="7"/>
  <c r="F129" i="7"/>
  <c r="H128" i="7"/>
  <c r="G128" i="7"/>
  <c r="F128" i="7"/>
  <c r="H127" i="7"/>
  <c r="G127" i="7"/>
  <c r="F127" i="7"/>
  <c r="H126" i="7"/>
  <c r="G126" i="7"/>
  <c r="F126" i="7"/>
  <c r="H125" i="7"/>
  <c r="G125" i="7"/>
  <c r="F125" i="7"/>
  <c r="H124" i="7"/>
  <c r="G124" i="7"/>
  <c r="F124" i="7"/>
  <c r="H118" i="7"/>
  <c r="C118" i="7"/>
  <c r="F106" i="7"/>
  <c r="F105" i="7"/>
  <c r="F104" i="7"/>
  <c r="F103" i="7"/>
  <c r="F102" i="7"/>
  <c r="F101" i="7"/>
  <c r="F100" i="7"/>
  <c r="F99" i="7"/>
  <c r="F98" i="7"/>
  <c r="F97" i="7"/>
  <c r="F96" i="7"/>
  <c r="F95" i="7"/>
  <c r="F94" i="7"/>
  <c r="K93" i="7"/>
  <c r="F93" i="7"/>
  <c r="K92" i="7"/>
  <c r="F92" i="7"/>
  <c r="K91" i="7"/>
  <c r="F91" i="7"/>
  <c r="K90" i="7"/>
  <c r="F90" i="7"/>
  <c r="K89" i="7"/>
  <c r="F89" i="7"/>
  <c r="K88" i="7"/>
  <c r="F88" i="7"/>
  <c r="K87" i="7"/>
  <c r="F87" i="7"/>
  <c r="K86" i="7"/>
  <c r="F86" i="7"/>
  <c r="K85" i="7"/>
  <c r="F85" i="7"/>
  <c r="K84" i="7"/>
  <c r="F84" i="7"/>
  <c r="K83" i="7"/>
  <c r="F83" i="7"/>
  <c r="K82" i="7"/>
  <c r="F82" i="7"/>
  <c r="K81" i="7"/>
  <c r="F81" i="7"/>
  <c r="K80" i="7"/>
  <c r="F80" i="7"/>
  <c r="K79" i="7"/>
  <c r="F79" i="7"/>
  <c r="K78" i="7"/>
  <c r="F78" i="7"/>
  <c r="K77" i="7"/>
  <c r="F77" i="7"/>
  <c r="K76" i="7"/>
  <c r="F76" i="7"/>
  <c r="K75" i="7"/>
  <c r="F75" i="7"/>
  <c r="K74" i="7"/>
  <c r="F74" i="7"/>
  <c r="K73" i="7"/>
  <c r="F73" i="7"/>
  <c r="K72" i="7"/>
  <c r="F72" i="7"/>
  <c r="K71" i="7"/>
  <c r="F71" i="7"/>
  <c r="K70" i="7"/>
  <c r="F70" i="7"/>
  <c r="K69" i="7"/>
  <c r="F69" i="7"/>
  <c r="AE68" i="7"/>
  <c r="AD68" i="7"/>
  <c r="K68" i="7"/>
  <c r="F68" i="7"/>
  <c r="AE67" i="7"/>
  <c r="AD67" i="7"/>
  <c r="K67" i="7"/>
  <c r="F67" i="7"/>
  <c r="AE66" i="7"/>
  <c r="AD66" i="7"/>
  <c r="K66" i="7"/>
  <c r="F66" i="7"/>
  <c r="AE65" i="7"/>
  <c r="AD65" i="7"/>
  <c r="K65" i="7"/>
  <c r="F65" i="7"/>
  <c r="AE64" i="7"/>
  <c r="AD64" i="7"/>
  <c r="K64" i="7"/>
  <c r="F64" i="7"/>
  <c r="AE63" i="7"/>
  <c r="AD63" i="7"/>
  <c r="P63" i="7"/>
  <c r="K63" i="7"/>
  <c r="F63" i="7"/>
  <c r="AE62" i="7"/>
  <c r="AD62" i="7"/>
  <c r="P62" i="7"/>
  <c r="K62" i="7"/>
  <c r="F62" i="7"/>
  <c r="AE61" i="7"/>
  <c r="AD61" i="7"/>
  <c r="P61" i="7"/>
  <c r="K61" i="7"/>
  <c r="F61" i="7"/>
  <c r="AE60" i="7"/>
  <c r="AD60" i="7"/>
  <c r="P60" i="7"/>
  <c r="K60" i="7"/>
  <c r="F60" i="7"/>
  <c r="AE59" i="7"/>
  <c r="AD59" i="7"/>
  <c r="P59" i="7"/>
  <c r="F59" i="7"/>
  <c r="AE58" i="7"/>
  <c r="AD58" i="7"/>
  <c r="P58" i="7"/>
  <c r="K58" i="7"/>
  <c r="F58" i="7"/>
  <c r="AE57" i="7"/>
  <c r="AD57" i="7"/>
  <c r="P57" i="7"/>
  <c r="K57" i="7"/>
  <c r="F57" i="7"/>
  <c r="AE56" i="7"/>
  <c r="AD56" i="7"/>
  <c r="P56" i="7"/>
  <c r="K56" i="7"/>
  <c r="F56" i="7"/>
  <c r="AE55" i="7"/>
  <c r="AD55" i="7"/>
  <c r="P55" i="7"/>
  <c r="K55" i="7"/>
  <c r="F55" i="7"/>
  <c r="AE54" i="7"/>
  <c r="AD54" i="7"/>
  <c r="P54" i="7"/>
  <c r="K54" i="7"/>
  <c r="F54" i="7"/>
  <c r="AE53" i="7"/>
  <c r="AD53" i="7"/>
  <c r="P53" i="7"/>
  <c r="K53" i="7"/>
  <c r="F53" i="7"/>
  <c r="AE52" i="7"/>
  <c r="AD52" i="7"/>
  <c r="P52" i="7"/>
  <c r="K52" i="7"/>
  <c r="F52" i="7"/>
  <c r="AE51" i="7"/>
  <c r="AD51" i="7"/>
  <c r="P51" i="7"/>
  <c r="K51" i="7"/>
  <c r="F51" i="7"/>
  <c r="AE50" i="7"/>
  <c r="AD50" i="7"/>
  <c r="P50" i="7"/>
  <c r="K50" i="7"/>
  <c r="F50" i="7"/>
  <c r="AE49" i="7"/>
  <c r="AD49" i="7"/>
  <c r="P49" i="7"/>
  <c r="K49" i="7"/>
  <c r="F49" i="7"/>
  <c r="AE48" i="7"/>
  <c r="AD48" i="7"/>
  <c r="P48" i="7"/>
  <c r="K48" i="7"/>
  <c r="F48" i="7"/>
  <c r="AE47" i="7"/>
  <c r="AD47" i="7"/>
  <c r="P47" i="7"/>
  <c r="K47" i="7"/>
  <c r="F47" i="7"/>
  <c r="AE46" i="7"/>
  <c r="AD46" i="7"/>
  <c r="P46" i="7"/>
  <c r="F46" i="7"/>
  <c r="AE45" i="7"/>
  <c r="AD45" i="7"/>
  <c r="P45" i="7"/>
  <c r="K45" i="7"/>
  <c r="F45" i="7"/>
  <c r="AE44" i="7"/>
  <c r="AD44" i="7"/>
  <c r="P44" i="7"/>
  <c r="K44" i="7"/>
  <c r="F44" i="7"/>
  <c r="AE43" i="7"/>
  <c r="AD43" i="7"/>
  <c r="P43" i="7"/>
  <c r="K43" i="7"/>
  <c r="F43" i="7"/>
  <c r="AE42" i="7"/>
  <c r="AD42" i="7"/>
  <c r="K42" i="7"/>
  <c r="F42" i="7"/>
  <c r="AE41" i="7"/>
  <c r="AD41" i="7"/>
  <c r="K41" i="7"/>
  <c r="F41" i="7"/>
  <c r="AE40" i="7"/>
  <c r="AD40" i="7"/>
  <c r="K40" i="7"/>
  <c r="F40" i="7"/>
  <c r="AE39" i="7"/>
  <c r="AD39" i="7"/>
  <c r="K39" i="7"/>
  <c r="F39" i="7"/>
  <c r="AE38" i="7"/>
  <c r="AD38" i="7"/>
  <c r="K38" i="7"/>
  <c r="F38" i="7"/>
  <c r="AE37" i="7"/>
  <c r="AD37" i="7"/>
  <c r="K37" i="7"/>
  <c r="F37" i="7"/>
  <c r="AE36" i="7"/>
  <c r="AD36" i="7"/>
  <c r="K36" i="7"/>
  <c r="F36" i="7"/>
  <c r="AE35" i="7"/>
  <c r="AD35" i="7"/>
  <c r="K35" i="7"/>
  <c r="F35" i="7"/>
  <c r="AE34" i="7"/>
  <c r="AD34" i="7"/>
  <c r="K34" i="7"/>
  <c r="F34" i="7"/>
  <c r="AE33" i="7"/>
  <c r="AD33" i="7"/>
  <c r="K33" i="7"/>
  <c r="F33" i="7"/>
  <c r="AE32" i="7"/>
  <c r="AD32" i="7"/>
  <c r="K32" i="7"/>
  <c r="F32" i="7"/>
  <c r="AE31" i="7"/>
  <c r="AD31" i="7"/>
  <c r="K31" i="7"/>
  <c r="F31" i="7"/>
  <c r="AE30" i="7"/>
  <c r="AD30" i="7"/>
  <c r="K30" i="7"/>
  <c r="F30" i="7"/>
  <c r="AE29" i="7"/>
  <c r="AD29" i="7"/>
  <c r="F29" i="7"/>
  <c r="AE28" i="7"/>
  <c r="AD28" i="7"/>
  <c r="F28" i="7"/>
  <c r="AE27" i="7"/>
  <c r="AD27" i="7"/>
  <c r="F27" i="7"/>
  <c r="AE26" i="7"/>
  <c r="AD26" i="7"/>
  <c r="F26" i="7"/>
  <c r="AE25" i="7"/>
  <c r="AD25" i="7"/>
  <c r="F25" i="7"/>
  <c r="AE24" i="7"/>
  <c r="AD24" i="7"/>
  <c r="F24" i="7"/>
  <c r="AE23" i="7"/>
  <c r="AD23" i="7"/>
  <c r="F23" i="7"/>
  <c r="AE22" i="7"/>
  <c r="AD22" i="7"/>
  <c r="F22" i="7"/>
  <c r="AE21" i="7"/>
  <c r="AD21" i="7"/>
  <c r="F21" i="7"/>
  <c r="AE20" i="7"/>
  <c r="AD20" i="7"/>
  <c r="F20" i="7"/>
  <c r="AE19" i="7"/>
  <c r="AD19" i="7"/>
  <c r="F19" i="7"/>
  <c r="AE18" i="7"/>
  <c r="AD18" i="7"/>
  <c r="F18" i="7"/>
  <c r="AE17" i="7"/>
  <c r="AD17" i="7"/>
  <c r="F17" i="7"/>
  <c r="AE16" i="7"/>
  <c r="AD16" i="7"/>
  <c r="F16" i="7"/>
  <c r="AE15" i="7"/>
  <c r="AD15" i="7"/>
  <c r="F15" i="7"/>
  <c r="AE14" i="7"/>
  <c r="AD14" i="7"/>
  <c r="F14" i="7"/>
  <c r="AE13" i="7"/>
  <c r="AD13" i="7"/>
  <c r="F13" i="7"/>
  <c r="AE12" i="7"/>
  <c r="AD12" i="7"/>
  <c r="K12" i="7"/>
  <c r="F12" i="7"/>
  <c r="AE11" i="7"/>
  <c r="AD11" i="7"/>
  <c r="Q11" i="7"/>
  <c r="K11" i="7"/>
  <c r="F11" i="7"/>
  <c r="AE10" i="7"/>
  <c r="AD10" i="7"/>
  <c r="K10" i="7"/>
  <c r="F10" i="7"/>
  <c r="AE9" i="7"/>
  <c r="AD9" i="7"/>
  <c r="K9" i="7"/>
  <c r="F9" i="7"/>
  <c r="AE8" i="7"/>
  <c r="AD8" i="7"/>
  <c r="K8" i="7"/>
  <c r="F8" i="7"/>
  <c r="AE7" i="7"/>
  <c r="AD7" i="7"/>
  <c r="K7" i="7"/>
  <c r="F7" i="7"/>
  <c r="AE6" i="7"/>
  <c r="AD6" i="7"/>
  <c r="K6" i="7"/>
  <c r="F6" i="7"/>
  <c r="AE5" i="7"/>
  <c r="AD5" i="7"/>
  <c r="K5" i="7"/>
  <c r="F5" i="7"/>
  <c r="AE4" i="7"/>
  <c r="AD4" i="7"/>
  <c r="K4" i="7"/>
  <c r="F4" i="7"/>
  <c r="AE3" i="7"/>
  <c r="AD3" i="7"/>
  <c r="K3" i="7"/>
  <c r="F3" i="7"/>
  <c r="AE2" i="7"/>
  <c r="AD2" i="7"/>
  <c r="K2" i="7"/>
  <c r="F2" i="7"/>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305" i="51"/>
  <c r="H308" i="51"/>
  <c r="C308" i="51"/>
  <c r="F302" i="51"/>
  <c r="F301"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F283" i="51"/>
  <c r="K282" i="51"/>
  <c r="F282" i="51"/>
  <c r="H262" i="51"/>
  <c r="G262" i="51"/>
  <c r="F262" i="51"/>
  <c r="H261" i="51"/>
  <c r="G261" i="51"/>
  <c r="F261" i="51"/>
  <c r="H260" i="51"/>
  <c r="G260" i="51"/>
  <c r="F260" i="51"/>
  <c r="H259" i="51"/>
  <c r="G259" i="51"/>
  <c r="F259" i="51"/>
  <c r="H258" i="51"/>
  <c r="G258" i="51"/>
  <c r="F258" i="51"/>
  <c r="H257" i="51"/>
  <c r="G257" i="51"/>
  <c r="F257" i="51"/>
  <c r="H256" i="51"/>
  <c r="G256" i="51"/>
  <c r="F256" i="51"/>
  <c r="H255" i="51"/>
  <c r="G255" i="51"/>
  <c r="F255" i="51"/>
  <c r="H254" i="51"/>
  <c r="G254" i="51"/>
  <c r="F254" i="51"/>
  <c r="H253" i="51"/>
  <c r="G253" i="51"/>
  <c r="F253" i="51"/>
  <c r="H252" i="51"/>
  <c r="G252" i="51"/>
  <c r="F252" i="51"/>
  <c r="H251" i="51"/>
  <c r="G251" i="51"/>
  <c r="F251" i="51"/>
  <c r="H250" i="51"/>
  <c r="G250" i="51"/>
  <c r="F250" i="51"/>
  <c r="H249" i="51"/>
  <c r="G249" i="51"/>
  <c r="F249" i="51"/>
  <c r="H248" i="51"/>
  <c r="G248" i="51"/>
  <c r="F248" i="51"/>
  <c r="H247" i="51"/>
  <c r="G247" i="51"/>
  <c r="F247" i="51"/>
  <c r="H246" i="51"/>
  <c r="G246" i="51"/>
  <c r="F246" i="51"/>
  <c r="H245" i="51"/>
  <c r="G245" i="51"/>
  <c r="F245" i="51"/>
  <c r="H244" i="51"/>
  <c r="G244" i="51"/>
  <c r="F244" i="51"/>
  <c r="H243" i="51"/>
  <c r="G243" i="51"/>
  <c r="F243" i="51"/>
  <c r="H242" i="51"/>
  <c r="G242" i="51"/>
  <c r="F242" i="51"/>
  <c r="H241" i="51"/>
  <c r="G241" i="51"/>
  <c r="F241" i="51"/>
  <c r="H240" i="51"/>
  <c r="G240" i="51"/>
  <c r="F240" i="51"/>
  <c r="H239" i="51"/>
  <c r="G239" i="51"/>
  <c r="F239" i="51"/>
  <c r="H238" i="51"/>
  <c r="G238" i="51"/>
  <c r="F238" i="51"/>
  <c r="H237" i="51"/>
  <c r="G237" i="51"/>
  <c r="F237" i="51"/>
  <c r="H236" i="51"/>
  <c r="G236" i="51"/>
  <c r="F236" i="51"/>
  <c r="H235" i="51"/>
  <c r="G235" i="51"/>
  <c r="F235" i="51"/>
  <c r="H234" i="51"/>
  <c r="G234" i="51"/>
  <c r="F234" i="51"/>
  <c r="H233" i="51"/>
  <c r="G233" i="51"/>
  <c r="F233" i="51"/>
  <c r="H232" i="51"/>
  <c r="G232" i="51"/>
  <c r="F232" i="51"/>
  <c r="H231" i="51"/>
  <c r="G231" i="51"/>
  <c r="F231" i="51"/>
  <c r="H230" i="51"/>
  <c r="G230" i="51"/>
  <c r="F230" i="51"/>
  <c r="H229" i="51"/>
  <c r="G229" i="51"/>
  <c r="F229" i="51"/>
  <c r="H228" i="51"/>
  <c r="G228" i="51"/>
  <c r="F228" i="51"/>
  <c r="H227" i="51"/>
  <c r="G227" i="51"/>
  <c r="F227" i="51"/>
  <c r="H226" i="51"/>
  <c r="G226" i="51"/>
  <c r="F226" i="51"/>
  <c r="H225" i="51"/>
  <c r="G225" i="51"/>
  <c r="F225" i="51"/>
  <c r="H224" i="51"/>
  <c r="G224" i="51"/>
  <c r="F224" i="51"/>
  <c r="H223" i="51"/>
  <c r="G223" i="51"/>
  <c r="F223" i="51"/>
  <c r="H222" i="51"/>
  <c r="G222" i="51"/>
  <c r="F222" i="51"/>
  <c r="H221" i="51"/>
  <c r="G221" i="51"/>
  <c r="F221"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P43" i="51"/>
  <c r="H203" i="51"/>
  <c r="G203" i="51"/>
  <c r="F203" i="51"/>
  <c r="P42" i="51"/>
  <c r="H202" i="51"/>
  <c r="G202" i="51"/>
  <c r="F202" i="51"/>
  <c r="P41" i="51"/>
  <c r="H201" i="51"/>
  <c r="G201" i="51"/>
  <c r="F201" i="51"/>
  <c r="P40" i="51"/>
  <c r="H200" i="51"/>
  <c r="G200" i="51"/>
  <c r="F200" i="51"/>
  <c r="P39" i="51"/>
  <c r="H199" i="51"/>
  <c r="G199" i="51"/>
  <c r="F199" i="51"/>
  <c r="P38" i="51"/>
  <c r="H198" i="51"/>
  <c r="G198" i="51"/>
  <c r="F198" i="51"/>
  <c r="P37" i="51"/>
  <c r="H197" i="51"/>
  <c r="G197" i="51"/>
  <c r="F197" i="51"/>
  <c r="P36" i="51"/>
  <c r="H196" i="51"/>
  <c r="G196" i="51"/>
  <c r="F196" i="51"/>
  <c r="P35" i="51"/>
  <c r="H195" i="51"/>
  <c r="G195" i="51"/>
  <c r="F195" i="51"/>
  <c r="P34" i="51"/>
  <c r="H194" i="51"/>
  <c r="G194" i="51"/>
  <c r="F194" i="51"/>
  <c r="P33" i="51"/>
  <c r="H193" i="51"/>
  <c r="G193" i="51"/>
  <c r="F193" i="51"/>
  <c r="P32" i="51"/>
  <c r="H192" i="51"/>
  <c r="G192" i="51"/>
  <c r="F192" i="51"/>
  <c r="P31" i="51"/>
  <c r="H191" i="51"/>
  <c r="G191" i="51"/>
  <c r="F191" i="51"/>
  <c r="P30" i="51"/>
  <c r="H190" i="51"/>
  <c r="G190" i="51"/>
  <c r="F190" i="51"/>
  <c r="P29" i="51"/>
  <c r="H189" i="51"/>
  <c r="G189" i="51"/>
  <c r="F189" i="51"/>
  <c r="P28" i="51"/>
  <c r="P27" i="51"/>
  <c r="P26" i="51"/>
  <c r="P25" i="51"/>
  <c r="P24" i="51"/>
  <c r="P23" i="51"/>
  <c r="H72" i="51"/>
  <c r="G72" i="51"/>
  <c r="F72" i="51"/>
  <c r="H71" i="51"/>
  <c r="G71" i="51"/>
  <c r="F71" i="51"/>
  <c r="H70" i="51"/>
  <c r="G70" i="51"/>
  <c r="F70" i="51"/>
  <c r="H69" i="51"/>
  <c r="G69" i="51"/>
  <c r="F69" i="51"/>
  <c r="H68" i="51"/>
  <c r="G68" i="51"/>
  <c r="F68" i="51"/>
  <c r="H67" i="51"/>
  <c r="G67" i="51"/>
  <c r="F67" i="51"/>
  <c r="H66" i="51"/>
  <c r="G66" i="51"/>
  <c r="F66" i="51"/>
  <c r="M59" i="51"/>
  <c r="F6" i="51"/>
  <c r="F5" i="51"/>
  <c r="F4" i="51"/>
  <c r="F3" i="51"/>
  <c r="K2" i="51"/>
  <c r="F2" i="51"/>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F449" i="25"/>
  <c r="H448" i="25"/>
  <c r="G448" i="25"/>
  <c r="F448" i="25"/>
  <c r="H447" i="25"/>
  <c r="G447" i="25"/>
  <c r="F447" i="25"/>
  <c r="H446" i="25"/>
  <c r="G446" i="25"/>
  <c r="F446" i="25"/>
  <c r="H445" i="25"/>
  <c r="G445" i="25"/>
  <c r="F445" i="25"/>
  <c r="H444" i="25"/>
  <c r="G444" i="25"/>
  <c r="F444" i="25"/>
  <c r="H443" i="25"/>
  <c r="G443" i="25"/>
  <c r="F443" i="25"/>
  <c r="H442" i="25"/>
  <c r="G442" i="25"/>
  <c r="F442" i="25"/>
  <c r="H441" i="25"/>
  <c r="G441" i="25"/>
  <c r="F441" i="25"/>
  <c r="H440" i="25"/>
  <c r="G440" i="25"/>
  <c r="F440" i="25"/>
  <c r="H439" i="25"/>
  <c r="G439" i="25"/>
  <c r="F439" i="25"/>
  <c r="H438" i="25"/>
  <c r="G438" i="25"/>
  <c r="F438" i="25"/>
  <c r="H437" i="25"/>
  <c r="G437" i="25"/>
  <c r="F437" i="25"/>
  <c r="H436" i="25"/>
  <c r="G436" i="25"/>
  <c r="F436" i="25"/>
  <c r="H435" i="25"/>
  <c r="G435" i="25"/>
  <c r="F435" i="25"/>
  <c r="H434" i="25"/>
  <c r="G434" i="25"/>
  <c r="F434" i="25"/>
  <c r="H433" i="25"/>
  <c r="G433" i="25"/>
  <c r="F433" i="25"/>
  <c r="H432" i="25"/>
  <c r="G432" i="25"/>
  <c r="F432" i="25"/>
  <c r="H431" i="25"/>
  <c r="G431" i="25"/>
  <c r="F431" i="25"/>
  <c r="H430" i="25"/>
  <c r="G430" i="25"/>
  <c r="F430" i="25"/>
  <c r="H429" i="25"/>
  <c r="G429" i="25"/>
  <c r="F429" i="25"/>
  <c r="H428" i="25"/>
  <c r="G428" i="25"/>
  <c r="F428" i="25"/>
  <c r="H427" i="25"/>
  <c r="G427" i="25"/>
  <c r="F427" i="25"/>
  <c r="H426" i="25"/>
  <c r="G426" i="25"/>
  <c r="F426" i="25"/>
  <c r="H425" i="25"/>
  <c r="G425" i="25"/>
  <c r="F425" i="25"/>
  <c r="H424" i="25"/>
  <c r="G424" i="25"/>
  <c r="F424" i="25"/>
  <c r="H423" i="25"/>
  <c r="G423" i="25"/>
  <c r="F423" i="25"/>
  <c r="H422" i="25"/>
  <c r="G422" i="25"/>
  <c r="F422" i="25"/>
  <c r="H421" i="25"/>
  <c r="G421" i="25"/>
  <c r="F421" i="25"/>
  <c r="H420" i="25"/>
  <c r="G420" i="25"/>
  <c r="F420" i="25"/>
  <c r="H419" i="25"/>
  <c r="G419" i="25"/>
  <c r="F419" i="25"/>
  <c r="H418" i="25"/>
  <c r="G418" i="25"/>
  <c r="F418" i="25"/>
  <c r="H417" i="25"/>
  <c r="G417" i="25"/>
  <c r="F417" i="25"/>
  <c r="H416" i="25"/>
  <c r="G416" i="25"/>
  <c r="F416" i="25"/>
  <c r="H415" i="25"/>
  <c r="G415" i="25"/>
  <c r="F415" i="25"/>
  <c r="H414" i="25"/>
  <c r="G414" i="25"/>
  <c r="F414" i="25"/>
  <c r="H413" i="25"/>
  <c r="G413" i="25"/>
  <c r="F413" i="25"/>
  <c r="H412" i="25"/>
  <c r="G412" i="25"/>
  <c r="F412" i="25"/>
  <c r="H411" i="25"/>
  <c r="G411" i="25"/>
  <c r="F411" i="25"/>
  <c r="H410" i="25"/>
  <c r="G410" i="25"/>
  <c r="F410" i="25"/>
  <c r="H409" i="25"/>
  <c r="G409" i="25"/>
  <c r="F409" i="25"/>
  <c r="H408" i="25"/>
  <c r="G408" i="25"/>
  <c r="F408" i="25"/>
  <c r="H407" i="25"/>
  <c r="G407" i="25"/>
  <c r="F407" i="25"/>
  <c r="H406" i="25"/>
  <c r="G406" i="25"/>
  <c r="F406" i="25"/>
  <c r="H405" i="25"/>
  <c r="G405" i="25"/>
  <c r="F405" i="25"/>
  <c r="H404" i="25"/>
  <c r="G404" i="25"/>
  <c r="F404" i="25"/>
  <c r="H403" i="25"/>
  <c r="G403" i="25"/>
  <c r="F403" i="25"/>
  <c r="H402" i="25"/>
  <c r="G402" i="25"/>
  <c r="F402" i="25"/>
  <c r="H401" i="25"/>
  <c r="G401" i="25"/>
  <c r="F401" i="25"/>
  <c r="H400" i="25"/>
  <c r="G400" i="25"/>
  <c r="F400" i="25"/>
  <c r="H399" i="25"/>
  <c r="G399" i="25"/>
  <c r="F399" i="25"/>
  <c r="H398" i="25"/>
  <c r="G398" i="25"/>
  <c r="F398" i="25"/>
  <c r="H397" i="25"/>
  <c r="G397" i="25"/>
  <c r="F397" i="25"/>
  <c r="H396" i="25"/>
  <c r="G396" i="25"/>
  <c r="F396" i="25"/>
  <c r="H395" i="25"/>
  <c r="G395" i="25"/>
  <c r="F395" i="25"/>
  <c r="H394" i="25"/>
  <c r="G394" i="25"/>
  <c r="F394" i="25"/>
  <c r="H393" i="25"/>
  <c r="G393" i="25"/>
  <c r="F393" i="25"/>
  <c r="H392" i="25"/>
  <c r="G392" i="25"/>
  <c r="F392" i="25"/>
  <c r="H391" i="25"/>
  <c r="G391" i="25"/>
  <c r="F391" i="25"/>
  <c r="H390" i="25"/>
  <c r="G390" i="25"/>
  <c r="F390" i="25"/>
  <c r="H389" i="25"/>
  <c r="G389" i="25"/>
  <c r="F389" i="25"/>
  <c r="H388" i="25"/>
  <c r="G388" i="25"/>
  <c r="F388" i="25"/>
  <c r="H387" i="25"/>
  <c r="G387" i="25"/>
  <c r="F387" i="25"/>
  <c r="H386" i="25"/>
  <c r="G386" i="25"/>
  <c r="F386" i="25"/>
  <c r="H385" i="25"/>
  <c r="G385" i="25"/>
  <c r="F385" i="25"/>
  <c r="H384" i="25"/>
  <c r="G384" i="25"/>
  <c r="F384" i="25"/>
  <c r="H383" i="25"/>
  <c r="G383" i="25"/>
  <c r="F383" i="25"/>
  <c r="H382" i="25"/>
  <c r="G382" i="25"/>
  <c r="F382" i="25"/>
  <c r="H381" i="25"/>
  <c r="G381" i="25"/>
  <c r="F381" i="25"/>
  <c r="H380" i="25"/>
  <c r="G380" i="25"/>
  <c r="F380" i="25"/>
  <c r="H379" i="25"/>
  <c r="G379" i="25"/>
  <c r="F379" i="25"/>
  <c r="H378" i="25"/>
  <c r="G378" i="25"/>
  <c r="F378" i="25"/>
  <c r="H377" i="25"/>
  <c r="G377" i="25"/>
  <c r="F377" i="25"/>
  <c r="H376" i="25"/>
  <c r="G376" i="25"/>
  <c r="F376" i="25"/>
  <c r="H375" i="25"/>
  <c r="G375" i="25"/>
  <c r="H374" i="25"/>
  <c r="G374" i="25"/>
  <c r="H373" i="25"/>
  <c r="G373" i="25"/>
  <c r="H372" i="25"/>
  <c r="G372" i="25"/>
  <c r="H371" i="25"/>
  <c r="G371" i="25"/>
  <c r="H370" i="25"/>
  <c r="G370" i="25"/>
  <c r="H369" i="25"/>
  <c r="G369" i="25"/>
  <c r="H127"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M3" i="38"/>
  <c r="N3" i="38" s="1"/>
  <c r="K3" i="38"/>
  <c r="L3" i="38" s="1"/>
  <c r="H3" i="38"/>
  <c r="G3" i="38"/>
  <c r="P2" i="38"/>
  <c r="M2" i="38"/>
  <c r="N2" i="38" s="1"/>
  <c r="N266" i="1"/>
  <c r="H262" i="1"/>
  <c r="C262" i="1"/>
  <c r="K261" i="1"/>
  <c r="K262" i="1" s="1"/>
  <c r="F261" i="1"/>
  <c r="F262" i="1" s="1"/>
  <c r="H259" i="1"/>
  <c r="C259" i="1"/>
  <c r="F258" i="1"/>
  <c r="F257" i="1"/>
  <c r="K256" i="1"/>
  <c r="F256" i="1"/>
  <c r="K255" i="1"/>
  <c r="F255" i="1"/>
  <c r="K254" i="1"/>
  <c r="F254" i="1"/>
  <c r="H252" i="1"/>
  <c r="C252" i="1"/>
  <c r="F251" i="1"/>
  <c r="F250" i="1"/>
  <c r="F249" i="1"/>
  <c r="F248" i="1"/>
  <c r="F247" i="1"/>
  <c r="K246" i="1"/>
  <c r="F246" i="1"/>
  <c r="K245" i="1"/>
  <c r="F245" i="1"/>
  <c r="H243" i="1"/>
  <c r="C243" i="1"/>
  <c r="K242" i="1"/>
  <c r="K243" i="1" s="1"/>
  <c r="F242" i="1"/>
  <c r="F243" i="1" s="1"/>
  <c r="M240" i="1"/>
  <c r="H240" i="1"/>
  <c r="C240" i="1"/>
  <c r="K239" i="1"/>
  <c r="K240" i="1" s="1"/>
  <c r="F239" i="1"/>
  <c r="F240" i="1" s="1"/>
  <c r="M237" i="1"/>
  <c r="H237" i="1"/>
  <c r="C237" i="1"/>
  <c r="K236" i="1"/>
  <c r="F236" i="1"/>
  <c r="K235" i="1"/>
  <c r="F235" i="1"/>
  <c r="H233" i="1"/>
  <c r="C233" i="1"/>
  <c r="F232" i="1"/>
  <c r="K231" i="1"/>
  <c r="K233" i="1" s="1"/>
  <c r="F231" i="1"/>
  <c r="H229" i="1"/>
  <c r="C229" i="1"/>
  <c r="K228" i="1"/>
  <c r="K229" i="1" s="1"/>
  <c r="F228" i="1"/>
  <c r="F229" i="1" s="1"/>
  <c r="H226" i="1"/>
  <c r="C226" i="1"/>
  <c r="F225" i="1"/>
  <c r="F224"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K200" i="1"/>
  <c r="F200" i="1"/>
  <c r="K199" i="1"/>
  <c r="F199" i="1"/>
  <c r="H197" i="1"/>
  <c r="C197" i="1"/>
  <c r="K196" i="1"/>
  <c r="K197" i="1" s="1"/>
  <c r="F196" i="1"/>
  <c r="F197" i="1" s="1"/>
  <c r="F193" i="1"/>
  <c r="K192" i="1"/>
  <c r="D192" i="1"/>
  <c r="F192" i="1" s="1"/>
  <c r="K191" i="1"/>
  <c r="F191" i="1"/>
  <c r="K190" i="1"/>
  <c r="F190" i="1"/>
  <c r="M188" i="1"/>
  <c r="H188" i="1"/>
  <c r="C188" i="1"/>
  <c r="K187" i="1"/>
  <c r="F187" i="1"/>
  <c r="K186" i="1"/>
  <c r="F186" i="1"/>
  <c r="K185" i="1"/>
  <c r="F185" i="1"/>
  <c r="K184" i="1"/>
  <c r="F184" i="1"/>
  <c r="K182" i="1"/>
  <c r="N182" i="1" s="1"/>
  <c r="O182" i="1" s="1"/>
  <c r="M175" i="1"/>
  <c r="H175" i="1"/>
  <c r="C175" i="1"/>
  <c r="F174" i="1"/>
  <c r="F173" i="1"/>
  <c r="F172" i="1"/>
  <c r="F171" i="1"/>
  <c r="K170" i="1"/>
  <c r="K175" i="1" s="1"/>
  <c r="F170" i="1"/>
  <c r="M139" i="1"/>
  <c r="H139" i="1"/>
  <c r="C139" i="1"/>
  <c r="F138" i="1"/>
  <c r="F137" i="1"/>
  <c r="F136" i="1"/>
  <c r="F135" i="1"/>
  <c r="F134" i="1"/>
  <c r="F133" i="1"/>
  <c r="F132" i="1"/>
  <c r="F131" i="1"/>
  <c r="F130" i="1"/>
  <c r="F129" i="1"/>
  <c r="F128" i="1"/>
  <c r="F127" i="1"/>
  <c r="F126" i="1"/>
  <c r="F125" i="1"/>
  <c r="F124" i="1"/>
  <c r="F123" i="1"/>
  <c r="F122" i="1"/>
  <c r="F121" i="1"/>
  <c r="F120" i="1"/>
  <c r="F119" i="1"/>
  <c r="K118" i="1"/>
  <c r="F118" i="1"/>
  <c r="K117" i="1"/>
  <c r="F117" i="1"/>
  <c r="K116" i="1"/>
  <c r="F116" i="1"/>
  <c r="K115" i="1"/>
  <c r="F115" i="1"/>
  <c r="K114" i="1"/>
  <c r="F114" i="1"/>
  <c r="K113" i="1"/>
  <c r="F113" i="1"/>
  <c r="K112" i="1"/>
  <c r="F112" i="1"/>
  <c r="K111" i="1"/>
  <c r="F111" i="1"/>
  <c r="K110" i="1"/>
  <c r="F110" i="1"/>
  <c r="K109" i="1"/>
  <c r="F109" i="1"/>
  <c r="H107" i="1"/>
  <c r="C107" i="1"/>
  <c r="F106" i="1"/>
  <c r="F105" i="1"/>
  <c r="K104" i="1"/>
  <c r="F104" i="1"/>
  <c r="K103" i="1"/>
  <c r="F103" i="1"/>
  <c r="H101" i="1"/>
  <c r="C101" i="1"/>
  <c r="K100" i="1"/>
  <c r="K101" i="1" s="1"/>
  <c r="F100" i="1"/>
  <c r="F101" i="1" s="1"/>
  <c r="H98" i="1"/>
  <c r="C98" i="1"/>
  <c r="F97" i="1"/>
  <c r="K96" i="1"/>
  <c r="K98" i="1" s="1"/>
  <c r="F96" i="1"/>
  <c r="M94" i="1"/>
  <c r="F94" i="1"/>
  <c r="K91" i="1"/>
  <c r="K90"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H19" i="41"/>
  <c r="F156" i="49"/>
  <c r="K63" i="66"/>
  <c r="C19" i="50"/>
  <c r="C19" i="55"/>
  <c r="H81" i="61"/>
  <c r="C19" i="72"/>
  <c r="H19" i="54"/>
  <c r="C65" i="71"/>
  <c r="K81" i="61"/>
  <c r="M47" i="58"/>
  <c r="F19" i="59"/>
  <c r="K19" i="71"/>
  <c r="F60" i="51"/>
  <c r="H65" i="71"/>
  <c r="C86" i="53"/>
  <c r="K19" i="52"/>
  <c r="F19" i="55"/>
  <c r="H19" i="63"/>
  <c r="M67" i="60"/>
  <c r="M19" i="68"/>
  <c r="M111" i="45"/>
  <c r="C19" i="34"/>
  <c r="F19" i="69"/>
  <c r="H19" i="75"/>
  <c r="C51" i="54"/>
  <c r="C19" i="75"/>
  <c r="C30" i="40"/>
  <c r="K19" i="53"/>
  <c r="F30" i="40"/>
  <c r="K19" i="50"/>
  <c r="C119" i="7"/>
  <c r="C72" i="59"/>
  <c r="M19" i="3"/>
  <c r="M100" i="34"/>
  <c r="C19" i="69"/>
  <c r="H19" i="69"/>
  <c r="M23" i="57"/>
  <c r="F100" i="34"/>
  <c r="H230" i="58"/>
  <c r="M72" i="59"/>
  <c r="H72" i="59"/>
  <c r="F19" i="45"/>
  <c r="C63" i="66"/>
  <c r="C81" i="61"/>
  <c r="M77" i="70"/>
  <c r="M213" i="57"/>
  <c r="F19" i="52"/>
  <c r="F90" i="72"/>
  <c r="M19" i="72"/>
  <c r="H75" i="41"/>
  <c r="K86" i="53"/>
  <c r="M75" i="41"/>
  <c r="H90" i="72"/>
  <c r="C156" i="49"/>
  <c r="H19" i="34"/>
  <c r="M25" i="31"/>
  <c r="C100" i="34"/>
  <c r="C19" i="3"/>
  <c r="C85" i="64"/>
  <c r="C213" i="57"/>
  <c r="H119" i="7"/>
  <c r="C19" i="73"/>
  <c r="F18" i="74"/>
  <c r="M19" i="53"/>
  <c r="C23" i="57"/>
  <c r="K23" i="17"/>
  <c r="C19" i="66"/>
  <c r="H19" i="68"/>
  <c r="C23" i="17"/>
  <c r="F23" i="17"/>
  <c r="K47" i="58"/>
  <c r="F65" i="63"/>
  <c r="F19" i="75"/>
  <c r="F230" i="58"/>
  <c r="K119" i="7"/>
  <c r="M65" i="71"/>
  <c r="F19" i="34"/>
  <c r="H19" i="55"/>
  <c r="M60" i="51"/>
  <c r="H156" i="49"/>
  <c r="F19" i="60"/>
  <c r="F77" i="70"/>
  <c r="H65" i="63"/>
  <c r="F63" i="66"/>
  <c r="C65" i="63"/>
  <c r="H19" i="70"/>
  <c r="C77" i="70"/>
  <c r="F85" i="64"/>
  <c r="K111" i="45"/>
  <c r="K72" i="59"/>
  <c r="M19" i="73"/>
  <c r="F23" i="57"/>
  <c r="F65" i="71"/>
  <c r="F19" i="62"/>
  <c r="C19" i="64"/>
  <c r="C19" i="45"/>
  <c r="H19" i="53"/>
  <c r="M51" i="54"/>
  <c r="M90" i="72"/>
  <c r="K23" i="57"/>
  <c r="K19" i="68"/>
  <c r="M19" i="69"/>
  <c r="C94" i="52"/>
  <c r="H19" i="62"/>
  <c r="F128" i="25"/>
  <c r="H19" i="73"/>
  <c r="F19" i="70"/>
  <c r="C30" i="49"/>
  <c r="H19" i="50"/>
  <c r="M19" i="75"/>
  <c r="H23" i="17"/>
  <c r="H67" i="60"/>
  <c r="C451" i="17"/>
  <c r="F19" i="53"/>
  <c r="K19" i="70"/>
  <c r="F55" i="50"/>
  <c r="K19" i="73"/>
  <c r="H55" i="50"/>
  <c r="F86" i="53"/>
  <c r="H19" i="59"/>
  <c r="K451" i="17"/>
  <c r="H19" i="61"/>
  <c r="C230" i="58"/>
  <c r="F19" i="73"/>
  <c r="K60" i="51"/>
  <c r="H19" i="3"/>
  <c r="K19" i="75"/>
  <c r="K94" i="52"/>
  <c r="K213" i="57"/>
  <c r="K19" i="69"/>
  <c r="F30" i="49"/>
  <c r="C19" i="52"/>
  <c r="M63" i="66"/>
  <c r="H111" i="45"/>
  <c r="F19" i="3"/>
  <c r="H47" i="58"/>
  <c r="M19" i="62"/>
  <c r="F67" i="60"/>
  <c r="M19" i="61"/>
  <c r="F19" i="68"/>
  <c r="F119" i="7"/>
  <c r="H128" i="25"/>
  <c r="F75" i="41"/>
  <c r="M65" i="63"/>
  <c r="M19" i="63"/>
  <c r="M86" i="53"/>
  <c r="K90" i="72"/>
  <c r="M19" i="34"/>
  <c r="M55" i="50"/>
  <c r="K67" i="60"/>
  <c r="C19" i="53"/>
  <c r="M19" i="54"/>
  <c r="F19" i="71"/>
  <c r="K19" i="62"/>
  <c r="C19" i="62"/>
  <c r="M119" i="7"/>
  <c r="K100" i="34"/>
  <c r="F111" i="45"/>
  <c r="C67" i="60"/>
  <c r="C19" i="54"/>
  <c r="F19" i="61"/>
  <c r="H63" i="66"/>
  <c r="H19" i="71"/>
  <c r="K65" i="71"/>
  <c r="H213" i="57"/>
  <c r="H19" i="72"/>
  <c r="M451" i="17"/>
  <c r="C19" i="41"/>
  <c r="K51" i="54"/>
  <c r="F72" i="59"/>
  <c r="C25" i="31"/>
  <c r="C111" i="45"/>
  <c r="K19" i="41"/>
  <c r="K25" i="31"/>
  <c r="F19" i="64"/>
  <c r="F19" i="50"/>
  <c r="K156" i="49"/>
  <c r="K65" i="63"/>
  <c r="K75" i="41"/>
  <c r="C47" i="58"/>
  <c r="H19" i="52"/>
  <c r="M19" i="45"/>
  <c r="K19" i="54"/>
  <c r="C19" i="70"/>
  <c r="K18" i="74"/>
  <c r="F451" i="17"/>
  <c r="K19" i="63"/>
  <c r="H25" i="31"/>
  <c r="M19" i="52"/>
  <c r="F51" i="54"/>
  <c r="M230" i="58"/>
  <c r="C19" i="60"/>
  <c r="K19" i="60"/>
  <c r="K55" i="50"/>
  <c r="H77" i="70"/>
  <c r="C55" i="50"/>
  <c r="M30" i="40"/>
  <c r="M30" i="49"/>
  <c r="H30" i="40"/>
  <c r="F19" i="66"/>
  <c r="C19" i="59"/>
  <c r="K19" i="59"/>
  <c r="H51" i="54"/>
  <c r="C19" i="63"/>
  <c r="M19" i="60"/>
  <c r="K77" i="70"/>
  <c r="C90" i="72"/>
  <c r="M81" i="61"/>
  <c r="F81" i="61"/>
  <c r="K19" i="34"/>
  <c r="K230" i="58"/>
  <c r="K19" i="72"/>
  <c r="C19" i="68"/>
  <c r="K19" i="3"/>
  <c r="M19" i="71"/>
  <c r="M19" i="55"/>
  <c r="F19" i="63"/>
  <c r="K19" i="61"/>
  <c r="C19" i="71"/>
  <c r="H94" i="52"/>
  <c r="H100" i="34"/>
  <c r="F47" i="58"/>
  <c r="M19" i="50"/>
  <c r="K30" i="40"/>
  <c r="M23" i="17"/>
  <c r="M19" i="66"/>
  <c r="C19" i="61"/>
  <c r="F19" i="72"/>
  <c r="F94" i="52"/>
  <c r="H19" i="66"/>
  <c r="F19" i="54"/>
  <c r="M19" i="59"/>
  <c r="K19" i="55"/>
  <c r="M19" i="41"/>
  <c r="H86" i="53"/>
  <c r="M156" i="49"/>
  <c r="F213" i="57"/>
  <c r="F25" i="31"/>
  <c r="F19" i="41"/>
  <c r="F28" i="43"/>
  <c r="H19" i="60"/>
  <c r="M19" i="70"/>
  <c r="H451" i="17"/>
  <c r="M94" i="52"/>
  <c r="C75" i="41"/>
  <c r="K19" i="66"/>
  <c r="V870" i="38" l="1"/>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K59" i="5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27" i="25"/>
  <c r="Q9" i="50"/>
  <c r="Q3" i="50"/>
  <c r="V637" i="38"/>
  <c r="X637" i="38" s="1"/>
  <c r="V636" i="38"/>
  <c r="X636" i="38" s="1"/>
  <c r="V635" i="38"/>
  <c r="X635" i="38" s="1"/>
  <c r="V634" i="38"/>
  <c r="X634" i="38" s="1"/>
  <c r="V633" i="38"/>
  <c r="X633" i="38" s="1"/>
  <c r="V632" i="38"/>
  <c r="X632" i="38" s="1"/>
  <c r="V631" i="38"/>
  <c r="X631" i="38" s="1"/>
  <c r="F59" i="5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K29" i="40"/>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17" i="74"/>
  <c r="K84" i="64"/>
  <c r="V484" i="38"/>
  <c r="X484" i="38" s="1"/>
  <c r="V487" i="38"/>
  <c r="X487" i="38" s="1"/>
  <c r="V486" i="38"/>
  <c r="X486" i="38" s="1"/>
  <c r="V485" i="38"/>
  <c r="X485" i="38" s="1"/>
  <c r="F50" i="54"/>
  <c r="V483" i="38"/>
  <c r="X483" i="38" s="1"/>
  <c r="V482" i="38"/>
  <c r="X482" i="38" s="1"/>
  <c r="K50" i="54"/>
  <c r="K22" i="57"/>
  <c r="K17"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F29" i="40"/>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7"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59"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K120" i="40"/>
  <c r="AA2" i="38"/>
  <c r="N270"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88"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7"/>
  <c r="Q5" i="7" s="1"/>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7"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7"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63" i="74"/>
  <c r="Q10" i="74" s="1"/>
  <c r="J58" i="74" s="1"/>
  <c r="K99" i="34"/>
  <c r="Q2" i="49"/>
  <c r="F155" i="49"/>
  <c r="Q2" i="41"/>
  <c r="Q8" i="41" s="1"/>
  <c r="F229" i="58"/>
  <c r="K229" i="58"/>
  <c r="Q2" i="17"/>
  <c r="Q2" i="75"/>
  <c r="Q5" i="75" s="1"/>
  <c r="Q2" i="53"/>
  <c r="Q5" i="53" s="1"/>
  <c r="N101" i="1"/>
  <c r="O101" i="1" s="1"/>
  <c r="N243" i="38"/>
  <c r="U243" i="38"/>
  <c r="V357" i="38"/>
  <c r="X357" i="38" s="1"/>
  <c r="N19" i="1"/>
  <c r="O19" i="1" s="1"/>
  <c r="F259"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88" i="1"/>
  <c r="K252"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29" i="1"/>
  <c r="O229" i="1" s="1"/>
  <c r="U226" i="38"/>
  <c r="U277" i="38"/>
  <c r="N277" i="38"/>
  <c r="U342" i="38"/>
  <c r="N342" i="38"/>
  <c r="F16" i="1"/>
  <c r="P32" i="38"/>
  <c r="P44" i="38"/>
  <c r="P75" i="38"/>
  <c r="P84" i="38"/>
  <c r="K85" i="38"/>
  <c r="L85" i="38" s="1"/>
  <c r="W870" i="38" s="1"/>
  <c r="Y870"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7" i="1"/>
  <c r="O197" i="1" s="1"/>
  <c r="K67" i="47"/>
  <c r="F83" i="1"/>
  <c r="K194"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10" i="45"/>
  <c r="U247" i="38"/>
  <c r="N247" i="38"/>
  <c r="U344" i="38"/>
  <c r="N344" i="38"/>
  <c r="V289" i="38"/>
  <c r="X289" i="38" s="1"/>
  <c r="U199" i="38"/>
  <c r="N199" i="38"/>
  <c r="K88" i="1"/>
  <c r="K16" i="1"/>
  <c r="F226" i="1"/>
  <c r="P43" i="38"/>
  <c r="P52" i="38"/>
  <c r="K107" i="1"/>
  <c r="K139" i="1"/>
  <c r="F139" i="1"/>
  <c r="K226"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38"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5" i="1"/>
  <c r="N175" i="1" s="1"/>
  <c r="O175"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3" i="1"/>
  <c r="O243" i="1" s="1"/>
  <c r="N262" i="1"/>
  <c r="O262" i="1" s="1"/>
  <c r="V5" i="38"/>
  <c r="V6" i="38"/>
  <c r="V9" i="38"/>
  <c r="W23" i="38"/>
  <c r="V43" i="38"/>
  <c r="X43" i="38" s="1"/>
  <c r="V50" i="38"/>
  <c r="X50" i="38" s="1"/>
  <c r="W70" i="38"/>
  <c r="P161" i="38"/>
  <c r="V176" i="38"/>
  <c r="X176" i="38" s="1"/>
  <c r="V191" i="38"/>
  <c r="X191" i="38" s="1"/>
  <c r="V260" i="38"/>
  <c r="X260" i="38" s="1"/>
  <c r="K58" i="1"/>
  <c r="F88" i="1"/>
  <c r="F98" i="1"/>
  <c r="N98" i="1" s="1"/>
  <c r="O98" i="1" s="1"/>
  <c r="F194" i="1"/>
  <c r="F233" i="1"/>
  <c r="N233" i="1" s="1"/>
  <c r="O233" i="1" s="1"/>
  <c r="N264"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0" i="1"/>
  <c r="O240" i="1" s="1"/>
  <c r="P16" i="38"/>
  <c r="W30" i="38"/>
  <c r="V58" i="38"/>
  <c r="X58" i="38" s="1"/>
  <c r="V94" i="38"/>
  <c r="X94" i="38" s="1"/>
  <c r="V101" i="38"/>
  <c r="X101" i="38" s="1"/>
  <c r="P155" i="38"/>
  <c r="V197" i="38"/>
  <c r="X197" i="38" s="1"/>
  <c r="V213" i="38"/>
  <c r="X213" i="38" s="1"/>
  <c r="F252"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F118" i="7"/>
  <c r="U297" i="38"/>
  <c r="U305" i="38"/>
  <c r="U313" i="38"/>
  <c r="U349" i="38"/>
  <c r="N349" i="38"/>
  <c r="K450" i="17"/>
  <c r="F99" i="34"/>
  <c r="Q5" i="40"/>
  <c r="F110" i="45"/>
  <c r="F85" i="53"/>
  <c r="F57" i="33"/>
  <c r="Q2" i="56"/>
  <c r="F50" i="15"/>
  <c r="K64" i="71"/>
  <c r="K118" i="7"/>
  <c r="K85" i="3"/>
  <c r="F18" i="53"/>
  <c r="K155" i="49"/>
  <c r="M43" i="48"/>
  <c r="Q10" i="48" s="1"/>
  <c r="Q2" i="70"/>
  <c r="Q5" i="70" s="1"/>
  <c r="N352" i="38"/>
  <c r="P360" i="38"/>
  <c r="F56" i="13"/>
  <c r="F49" i="20"/>
  <c r="F138" i="46"/>
  <c r="F51" i="24"/>
  <c r="F120" i="40"/>
  <c r="M101" i="43"/>
  <c r="Q10" i="43" s="1"/>
  <c r="F308" i="51"/>
  <c r="K308" i="51"/>
  <c r="Q2" i="44"/>
  <c r="Q3" i="44" s="1"/>
  <c r="Q6" i="44" s="1"/>
  <c r="Q2" i="32"/>
  <c r="Q8" i="32" s="1"/>
  <c r="F44" i="26"/>
  <c r="K44" i="26"/>
  <c r="Q2" i="71"/>
  <c r="M104" i="49"/>
  <c r="Q2" i="25"/>
  <c r="W867" i="38" l="1"/>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57" i="74"/>
  <c r="J56" i="74"/>
  <c r="J55" i="74"/>
  <c r="J54"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53" i="74"/>
  <c r="W795" i="38"/>
  <c r="Y795" i="38" s="1"/>
  <c r="W796" i="38"/>
  <c r="Y796" i="38" s="1"/>
  <c r="W794" i="38"/>
  <c r="Y794" i="38" s="1"/>
  <c r="W793" i="38"/>
  <c r="Y793" i="38" s="1"/>
  <c r="W792" i="38"/>
  <c r="Y792" i="38" s="1"/>
  <c r="W791" i="38"/>
  <c r="Y791" i="38" s="1"/>
  <c r="J51" i="74"/>
  <c r="J52"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49" i="74"/>
  <c r="J50" i="74"/>
  <c r="W778" i="38"/>
  <c r="Y778" i="38" s="1"/>
  <c r="W779" i="38"/>
  <c r="Y779" i="38" s="1"/>
  <c r="W777" i="38"/>
  <c r="Y777" i="38" s="1"/>
  <c r="W775" i="38"/>
  <c r="Y775" i="38" s="1"/>
  <c r="W776" i="38"/>
  <c r="Y776" i="38" s="1"/>
  <c r="W774" i="38"/>
  <c r="Y774" i="38" s="1"/>
  <c r="W772" i="38"/>
  <c r="Y772" i="38" s="1"/>
  <c r="W773" i="38"/>
  <c r="Y773" i="38" s="1"/>
  <c r="W771" i="38"/>
  <c r="Y771" i="38" s="1"/>
  <c r="J47" i="74"/>
  <c r="J48" i="74"/>
  <c r="W769" i="38"/>
  <c r="Y769" i="38" s="1"/>
  <c r="W770" i="38"/>
  <c r="Y770" i="38" s="1"/>
  <c r="W768" i="38"/>
  <c r="Y768" i="38" s="1"/>
  <c r="W766" i="38"/>
  <c r="Y766" i="38" s="1"/>
  <c r="W767" i="38"/>
  <c r="Y767" i="38" s="1"/>
  <c r="J45" i="74"/>
  <c r="J46"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43" i="74"/>
  <c r="J44" i="74"/>
  <c r="W735" i="38"/>
  <c r="Y735" i="38" s="1"/>
  <c r="W734" i="38"/>
  <c r="Y734" i="38" s="1"/>
  <c r="W733" i="38"/>
  <c r="Y733" i="38" s="1"/>
  <c r="W731" i="38"/>
  <c r="Y731" i="38" s="1"/>
  <c r="W732" i="38"/>
  <c r="Y732" i="38" s="1"/>
  <c r="W729" i="38"/>
  <c r="Y729" i="38" s="1"/>
  <c r="W730" i="38"/>
  <c r="Y730" i="38" s="1"/>
  <c r="W727" i="38"/>
  <c r="Y727" i="38" s="1"/>
  <c r="W728" i="38"/>
  <c r="Y728" i="38" s="1"/>
  <c r="J41" i="74"/>
  <c r="J42"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40" i="74"/>
  <c r="J39" i="74"/>
  <c r="J38" i="74"/>
  <c r="J37" i="74"/>
  <c r="J36" i="74"/>
  <c r="J35" i="74"/>
  <c r="J34" i="74"/>
  <c r="J33" i="74"/>
  <c r="J32" i="74"/>
  <c r="J31" i="74"/>
  <c r="J30" i="74"/>
  <c r="J29" i="74"/>
  <c r="J28" i="74"/>
  <c r="J27" i="74"/>
  <c r="J26" i="74"/>
  <c r="J25" i="74"/>
  <c r="J24" i="74"/>
  <c r="J23" i="74"/>
  <c r="J22" i="74"/>
  <c r="J21"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Q3" i="40"/>
  <c r="Q6" i="40"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7" i="1"/>
  <c r="O237"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2" i="1"/>
  <c r="O252"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88" i="1"/>
  <c r="O188"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Q867" i="38" s="1"/>
  <c r="N107" i="1"/>
  <c r="O107" i="1" s="1"/>
  <c r="M37" i="67"/>
  <c r="Q10" i="67" s="1"/>
  <c r="Q7" i="67" s="1"/>
  <c r="M102" i="40"/>
  <c r="Q10" i="40" s="1"/>
  <c r="Q8" i="46"/>
  <c r="Q3" i="3"/>
  <c r="Q6" i="3" s="1"/>
  <c r="Q5" i="3"/>
  <c r="N258" i="38"/>
  <c r="N88" i="1"/>
  <c r="O88" i="1" s="1"/>
  <c r="Q14" i="38"/>
  <c r="Q8" i="29"/>
  <c r="Q5" i="67"/>
  <c r="Q8" i="20"/>
  <c r="Q7" i="65"/>
  <c r="N194" i="1"/>
  <c r="O194"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139" i="1"/>
  <c r="O139" i="1" s="1"/>
  <c r="N259" i="1"/>
  <c r="O259"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6" i="1"/>
  <c r="O226" i="1" s="1"/>
  <c r="M69" i="45"/>
  <c r="Q10" i="45" s="1"/>
  <c r="J61" i="45" s="1"/>
  <c r="Q8" i="24"/>
  <c r="Q3" i="34"/>
  <c r="Q6" i="34" s="1"/>
  <c r="Q8" i="44"/>
  <c r="Q7" i="44" s="1"/>
  <c r="M32" i="15"/>
  <c r="Q10" i="15" s="1"/>
  <c r="Q3" i="20"/>
  <c r="Q6" i="20" s="1"/>
  <c r="M46" i="71"/>
  <c r="Q10" i="71" s="1"/>
  <c r="Q3" i="24"/>
  <c r="Q6" i="24" s="1"/>
  <c r="Q8" i="58"/>
  <c r="W320" i="38"/>
  <c r="Q8" i="59"/>
  <c r="Q7" i="59" s="1"/>
  <c r="Q3" i="68"/>
  <c r="Q6" i="68" s="1"/>
  <c r="M211" i="58"/>
  <c r="Q10" i="58" s="1"/>
  <c r="K162"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24" i="46"/>
  <c r="Q10"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8" i="7"/>
  <c r="Q3" i="7"/>
  <c r="Q6" i="7" s="1"/>
  <c r="Q5" i="71"/>
  <c r="Q3" i="71"/>
  <c r="Q6" i="71" s="1"/>
  <c r="Q8" i="71"/>
  <c r="Q8" i="40"/>
  <c r="Q80" i="38"/>
  <c r="N227" i="38"/>
  <c r="U227" i="38"/>
  <c r="Q5" i="32"/>
  <c r="Q9" i="32"/>
  <c r="M277" i="51"/>
  <c r="Q10" i="51" s="1"/>
  <c r="K180" i="51" s="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870" i="38" l="1"/>
  <c r="Q869" i="38"/>
  <c r="Q868" i="38"/>
  <c r="Q863" i="38"/>
  <c r="Q866" i="38"/>
  <c r="Q865" i="38"/>
  <c r="Q864" i="38"/>
  <c r="Q858" i="38"/>
  <c r="Q862" i="38"/>
  <c r="Q861" i="38"/>
  <c r="Q860" i="38"/>
  <c r="K160" i="58"/>
  <c r="K161" i="58"/>
  <c r="K117" i="46"/>
  <c r="K118" i="46"/>
  <c r="Q859" i="38"/>
  <c r="Q855" i="38"/>
  <c r="Q857" i="38"/>
  <c r="Q856" i="38"/>
  <c r="Q853" i="38"/>
  <c r="Q854" i="38"/>
  <c r="Q843" i="38"/>
  <c r="Q852" i="38"/>
  <c r="K158" i="58"/>
  <c r="K159" i="58"/>
  <c r="K115" i="46"/>
  <c r="K116" i="46"/>
  <c r="Q851" i="38"/>
  <c r="Q850" i="38"/>
  <c r="Q849" i="38"/>
  <c r="Q848" i="38"/>
  <c r="Q847" i="38"/>
  <c r="Q846" i="38"/>
  <c r="Q845" i="38"/>
  <c r="Q844" i="38"/>
  <c r="K156" i="58"/>
  <c r="K157" i="58"/>
  <c r="Q841" i="38"/>
  <c r="Q842" i="38"/>
  <c r="Q840" i="38"/>
  <c r="K154" i="58"/>
  <c r="K155" i="58"/>
  <c r="Q837" i="38"/>
  <c r="Q839" i="38"/>
  <c r="Q838" i="38"/>
  <c r="Q830" i="38"/>
  <c r="Q836" i="38"/>
  <c r="Q835" i="38"/>
  <c r="Q834" i="38"/>
  <c r="Q833" i="38"/>
  <c r="Q832" i="38"/>
  <c r="Q831" i="38"/>
  <c r="Q827" i="38"/>
  <c r="Q829" i="38"/>
  <c r="Q828" i="38"/>
  <c r="Q822" i="38"/>
  <c r="Q826" i="38"/>
  <c r="Q825" i="38"/>
  <c r="Q824" i="38"/>
  <c r="Q823" i="38"/>
  <c r="J59" i="45"/>
  <c r="J60" i="45"/>
  <c r="K152" i="58"/>
  <c r="K153"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3" i="46"/>
  <c r="K114" i="46"/>
  <c r="K150" i="58"/>
  <c r="K151" i="58"/>
  <c r="Q793" i="38"/>
  <c r="Q792" i="38"/>
  <c r="Q791" i="38"/>
  <c r="Q786" i="38"/>
  <c r="Q789" i="38"/>
  <c r="K148" i="58"/>
  <c r="K149" i="58"/>
  <c r="Q788" i="38"/>
  <c r="Q787" i="38"/>
  <c r="Q784" i="38"/>
  <c r="Q785" i="38"/>
  <c r="Q780" i="38"/>
  <c r="Q783" i="38"/>
  <c r="Q782" i="38"/>
  <c r="Q781" i="38"/>
  <c r="Q778" i="38"/>
  <c r="Q779" i="38"/>
  <c r="Q777" i="38"/>
  <c r="K111" i="46"/>
  <c r="K112" i="46"/>
  <c r="K146" i="58"/>
  <c r="K147" i="58"/>
  <c r="Q774" i="38"/>
  <c r="Q776" i="38"/>
  <c r="Q775" i="38"/>
  <c r="Q772" i="38"/>
  <c r="K109" i="46"/>
  <c r="K110" i="46"/>
  <c r="Q773" i="38"/>
  <c r="Q771" i="38"/>
  <c r="Q769" i="38"/>
  <c r="Q770" i="38"/>
  <c r="K144" i="58"/>
  <c r="K145" i="58"/>
  <c r="Q766" i="38"/>
  <c r="Q768" i="38"/>
  <c r="K107" i="46"/>
  <c r="K108" i="46"/>
  <c r="Q767" i="38"/>
  <c r="Q764" i="38"/>
  <c r="Q765" i="38"/>
  <c r="Q763" i="38"/>
  <c r="K142" i="58"/>
  <c r="K143" i="58"/>
  <c r="K178" i="51"/>
  <c r="K179" i="51"/>
  <c r="Q762" i="38"/>
  <c r="Q760" i="38"/>
  <c r="Q761" i="38"/>
  <c r="Q758" i="38"/>
  <c r="Q759" i="38"/>
  <c r="Q753" i="38"/>
  <c r="Q757" i="38"/>
  <c r="Q756" i="38"/>
  <c r="Q755" i="38"/>
  <c r="Q754" i="38"/>
  <c r="K105" i="46"/>
  <c r="K106" i="46"/>
  <c r="K140" i="58"/>
  <c r="K141" i="58"/>
  <c r="Q751" i="38"/>
  <c r="Q752" i="38"/>
  <c r="J57" i="45"/>
  <c r="J58" i="45"/>
  <c r="Q748" i="38"/>
  <c r="Q750" i="38"/>
  <c r="K176" i="51"/>
  <c r="K177" i="51"/>
  <c r="Q749" i="38"/>
  <c r="K138" i="58"/>
  <c r="K139" i="58"/>
  <c r="K103" i="46"/>
  <c r="K104" i="46"/>
  <c r="Q746" i="38"/>
  <c r="Q747" i="38"/>
  <c r="Q744" i="38"/>
  <c r="Q745" i="38"/>
  <c r="Q743" i="38"/>
  <c r="Q741" i="38"/>
  <c r="Q742" i="38"/>
  <c r="Q739" i="38"/>
  <c r="Q740" i="38"/>
  <c r="Q738" i="38"/>
  <c r="K102" i="46"/>
  <c r="K101" i="46"/>
  <c r="J36" i="53"/>
  <c r="J37" i="53"/>
  <c r="Q737" i="38"/>
  <c r="K99" i="46"/>
  <c r="K100" i="46"/>
  <c r="K174" i="51"/>
  <c r="K175" i="51"/>
  <c r="Q736" i="38"/>
  <c r="Q727" i="38"/>
  <c r="Q735" i="38"/>
  <c r="Q734" i="38"/>
  <c r="K136" i="58"/>
  <c r="K137" i="58"/>
  <c r="K172" i="51"/>
  <c r="K173" i="51"/>
  <c r="Q733" i="38"/>
  <c r="Q732" i="38"/>
  <c r="K97" i="46"/>
  <c r="K98" i="46"/>
  <c r="K170" i="51"/>
  <c r="K171" i="51"/>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34" i="58"/>
  <c r="K135" i="58"/>
  <c r="Q730" i="38"/>
  <c r="Q729" i="38"/>
  <c r="Q728" i="38"/>
  <c r="Q724" i="38"/>
  <c r="K95" i="46"/>
  <c r="K96" i="46"/>
  <c r="K132" i="58"/>
  <c r="K133" i="58"/>
  <c r="Q726" i="38"/>
  <c r="Q725" i="38"/>
  <c r="K130" i="58"/>
  <c r="K131" i="58"/>
  <c r="K168" i="51"/>
  <c r="K169" i="51"/>
  <c r="K93" i="46"/>
  <c r="K94" i="46"/>
  <c r="Q723" i="38"/>
  <c r="Q721" i="38"/>
  <c r="Q719" i="38"/>
  <c r="Q722" i="38"/>
  <c r="K92" i="46"/>
  <c r="K91" i="46"/>
  <c r="K90" i="46"/>
  <c r="K89" i="46"/>
  <c r="K88" i="46"/>
  <c r="K87" i="46"/>
  <c r="K86" i="46"/>
  <c r="K84" i="46"/>
  <c r="K85" i="46"/>
  <c r="K83" i="46"/>
  <c r="K82" i="46"/>
  <c r="K81" i="46"/>
  <c r="K80" i="46"/>
  <c r="K79" i="46"/>
  <c r="K78" i="46"/>
  <c r="K77" i="46"/>
  <c r="K76" i="46"/>
  <c r="K75" i="46"/>
  <c r="Q720" i="38"/>
  <c r="K167" i="51"/>
  <c r="K166" i="51"/>
  <c r="K165" i="51"/>
  <c r="K164" i="51"/>
  <c r="K162" i="51"/>
  <c r="K161" i="51"/>
  <c r="K160" i="51"/>
  <c r="K159" i="51"/>
  <c r="K158" i="51"/>
  <c r="K157" i="51"/>
  <c r="K156" i="51"/>
  <c r="K155" i="51"/>
  <c r="K154" i="51"/>
  <c r="K153" i="51"/>
  <c r="K152" i="51"/>
  <c r="K151" i="51"/>
  <c r="K150" i="51"/>
  <c r="K149" i="51"/>
  <c r="K148" i="51"/>
  <c r="K147" i="51"/>
  <c r="K146" i="51"/>
  <c r="K145" i="51"/>
  <c r="K144" i="51"/>
  <c r="K143" i="51"/>
  <c r="K82" i="51"/>
  <c r="K142" i="51"/>
  <c r="K141" i="51"/>
  <c r="K140" i="51"/>
  <c r="K139" i="51"/>
  <c r="K138" i="51"/>
  <c r="K136" i="51"/>
  <c r="K137" i="51"/>
  <c r="K135" i="51"/>
  <c r="K134" i="51"/>
  <c r="K133" i="51"/>
  <c r="K132" i="51"/>
  <c r="K131" i="51"/>
  <c r="K130" i="51"/>
  <c r="K129" i="51"/>
  <c r="K128" i="51"/>
  <c r="K126" i="51"/>
  <c r="K127" i="51"/>
  <c r="K125" i="51"/>
  <c r="K124" i="51"/>
  <c r="K123" i="51"/>
  <c r="K122" i="51"/>
  <c r="K121" i="51"/>
  <c r="K120" i="51"/>
  <c r="K119" i="51"/>
  <c r="K118" i="51"/>
  <c r="K116" i="51"/>
  <c r="K117" i="51"/>
  <c r="K115" i="51"/>
  <c r="K114" i="51"/>
  <c r="K113" i="51"/>
  <c r="K112" i="51"/>
  <c r="K111" i="51"/>
  <c r="K110" i="51"/>
  <c r="K109" i="51"/>
  <c r="K108" i="51"/>
  <c r="K107" i="51"/>
  <c r="K106" i="51"/>
  <c r="K105" i="51"/>
  <c r="K104" i="51"/>
  <c r="K103" i="51"/>
  <c r="K102" i="51"/>
  <c r="K101" i="51"/>
  <c r="K100" i="51"/>
  <c r="K99" i="51"/>
  <c r="K97" i="51"/>
  <c r="K98" i="51"/>
  <c r="K96" i="51"/>
  <c r="K95" i="51"/>
  <c r="K94" i="51"/>
  <c r="K93" i="51"/>
  <c r="K92" i="51"/>
  <c r="K91" i="51"/>
  <c r="K90" i="51"/>
  <c r="K89" i="51"/>
  <c r="K88" i="51"/>
  <c r="K87" i="51"/>
  <c r="K86" i="51"/>
  <c r="K85" i="51"/>
  <c r="K84" i="51"/>
  <c r="K83" i="51"/>
  <c r="K81" i="51"/>
  <c r="K80" i="51"/>
  <c r="K79" i="51"/>
  <c r="K78" i="51"/>
  <c r="K77" i="51"/>
  <c r="K76" i="51"/>
  <c r="K75" i="51"/>
  <c r="K74" i="51"/>
  <c r="K73" i="51"/>
  <c r="K70" i="51"/>
  <c r="K66" i="51"/>
  <c r="K68" i="51"/>
  <c r="K71" i="51"/>
  <c r="K69" i="51"/>
  <c r="K72" i="51"/>
  <c r="K67" i="51"/>
  <c r="J35" i="53"/>
  <c r="J34" i="53"/>
  <c r="J33" i="53"/>
  <c r="J32" i="53"/>
  <c r="J31" i="53"/>
  <c r="J30" i="53"/>
  <c r="J29" i="53"/>
  <c r="J28" i="53"/>
  <c r="J27" i="53"/>
  <c r="J26" i="53"/>
  <c r="J25" i="53"/>
  <c r="K129" i="58"/>
  <c r="K128" i="58"/>
  <c r="K127" i="58"/>
  <c r="K126" i="58"/>
  <c r="K125" i="58"/>
  <c r="K124" i="58"/>
  <c r="K123" i="58"/>
  <c r="K121" i="58"/>
  <c r="K122" i="58"/>
  <c r="K120" i="58"/>
  <c r="K119" i="58"/>
  <c r="K118" i="58"/>
  <c r="K117" i="58"/>
  <c r="K116"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7" i="40"/>
  <c r="Q224" i="38"/>
  <c r="Q9" i="70"/>
  <c r="Q9" i="45"/>
  <c r="Q7" i="29"/>
  <c r="Q336" i="38"/>
  <c r="Q7" i="24"/>
  <c r="Q9" i="48"/>
  <c r="N265"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7" i="5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9" i="40"/>
  <c r="Q7" i="7"/>
  <c r="Q9" i="7"/>
  <c r="Q7" i="57"/>
  <c r="Q9" i="57"/>
  <c r="F18" i="87"/>
  <c r="Q8" i="87" s="1"/>
  <c r="Q7" i="87" l="1"/>
  <c r="Q3" i="87"/>
  <c r="Q6" i="87" s="1"/>
  <c r="Q9" i="87" s="1"/>
  <c r="N267" i="1"/>
  <c r="N269" i="1" s="1"/>
  <c r="N273"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3.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 type="4" refreshedVersion="5" saveData="1">
    <webPr sourceData="1" parsePre="1" consecutive="1" xl2000="1" url="http://finance.yahoo.com/q?s=CPN" htmlTables="1">
      <tables count="2">
        <s v="table1"/>
        <s v="table2"/>
      </tables>
    </webPr>
  </connection>
  <connection id="27" name="Connection42" type="4" refreshedVersion="5" saveData="1">
    <webPr sourceData="1" parsePre="1" consecutive="1" xl2000="1" url="http://finance.yahoo.com/q/hp?s=AXP+Historical+Prices" htmlTables="1">
      <tables count="1">
        <x v="15"/>
      </tables>
    </webPr>
  </connection>
  <connection id="28" name="Connection432" type="4" refreshedVersion="5" saveData="1">
    <webPr sourceData="1" parsePre="1" consecutive="1" xl2000="1" url="https://ca.finance.yahoo.com/q?s=CF" htmlTables="1">
      <tables count="2">
        <s v="table1"/>
        <s v="table2"/>
      </tables>
    </webPr>
  </connection>
  <connection id="29" name="Connection44" type="4" refreshedVersion="5" saveData="1">
    <webPr sourceData="1" parsePre="1" consecutive="1" xl2000="1" url="http://finance.yahoo.com/q?s=UNH" htmlTables="1">
      <tables count="2">
        <s v="table1"/>
        <s v="table2"/>
      </tables>
    </webPr>
  </connection>
  <connection id="30" name="Connection45" type="4" refreshedVersion="5" saveData="1">
    <webPr sourceData="1" parsePre="1" consecutive="1" xl2000="1" url="http://finance.yahoo.com/q/hp?s=UNH" htmlTables="1">
      <tables count="1">
        <x v="15"/>
      </tables>
    </webPr>
  </connection>
  <connection id="31" name="Connection46" type="4" refreshedVersion="5" saveData="1">
    <webPr sourceData="1" parsePre="1" consecutive="1" xl2000="1" url="http://finance.yahoo.com/q?s=UTX" htmlTables="1">
      <tables count="2">
        <s v="table1"/>
        <s v="table2"/>
      </tables>
    </webPr>
  </connection>
  <connection id="32" name="Connection47" type="4" refreshedVersion="5" saveData="1">
    <webPr sourceData="1" parsePre="1" consecutive="1" xl2000="1" url="http://finance.yahoo.com/q/hp?s=UTX" htmlTables="1">
      <tables count="1">
        <x v="15"/>
      </tables>
    </webPr>
  </connection>
  <connection id="33" name="Connection48" type="4" refreshedVersion="5" saveData="1">
    <webPr sourceData="1" parsePre="1" consecutive="1" xl2000="1" url="http://finance.yahoo.com/q?s=WWD" htmlTables="1">
      <tables count="2">
        <s v="table1"/>
        <s v="table2"/>
      </tables>
    </webPr>
  </connection>
  <connection id="34" name="Connection49" type="4" refreshedVersion="5" saveData="1">
    <webPr sourceData="1" parsePre="1" consecutive="1" xl2000="1" url="http://finance.yahoo.com/q/hp?s=WWD" htmlTables="1">
      <tables count="1">
        <x v="15"/>
      </tables>
    </webPr>
  </connection>
  <connection id="35" name="Connection5" type="4" refreshedVersion="5" saveData="1">
    <webPr sourceData="1" parsePre="1" consecutive="1" xl2000="1" url="http://finance.yahoo.com/q/hp?s=CPN+Historical+Prices" htmlTables="1">
      <tables count="1">
        <x v="15"/>
      </tables>
    </webPr>
  </connection>
  <connection id="36" name="Connection51" type="4" refreshedVersion="5" saveData="1">
    <webPr sourceData="1" parsePre="1" consecutive="1" xl2000="1" url="http://finance.yahoo.com/q?s=FTR" htmlTables="1">
      <tables count="2">
        <s v="table1"/>
        <s v="table2"/>
      </tables>
    </webPr>
  </connection>
  <connection id="37" name="Connection52" type="4" refreshedVersion="5" saveData="1">
    <webPr sourceData="1" parsePre="1" consecutive="1" xl2000="1" url="http://finance.yahoo.com/q?s=IP" htmlTables="1">
      <tables count="2">
        <s v="table1"/>
        <s v="table2"/>
      </tables>
    </webPr>
  </connection>
  <connection id="38" name="Connection53" type="4" refreshedVersion="5" saveData="1">
    <webPr sourceData="1" parsePre="1" consecutive="1" xl2000="1" url="http://finance.yahoo.com/q/hp?s=tmo" htmlTables="1">
      <tables count="1">
        <x v="15"/>
      </tables>
    </webPr>
  </connection>
  <connection id="39" name="Connection54" type="4" refreshedVersion="5" saveData="1">
    <webPr sourceData="1" parsePre="1" consecutive="1" xl2000="1" url="http://finance.yahoo.com/q?s=CNI" htmlTables="1">
      <tables count="2">
        <s v="table1"/>
        <s v="table2"/>
      </tables>
    </webPr>
  </connection>
  <connection id="40" name="Connection55" type="4" refreshedVersion="5" saveData="1">
    <webPr sourceData="1" parsePre="1" consecutive="1" xl2000="1" url="http://finance.yahoo.com/q/hp?s=CNI" htmlTables="1">
      <tables count="1">
        <x v="15"/>
      </tables>
    </webPr>
  </connection>
  <connection id="41" name="Connection56" type="4" refreshedVersion="5" saveData="1">
    <webPr sourceData="1" parsePre="1" consecutive="1" xl2000="1" url="http://finance.yahoo.com/q?s=tmo" htmlTables="1">
      <tables count="2">
        <s v="table1"/>
        <s v="table2"/>
      </tables>
    </webPr>
  </connection>
  <connection id="42" name="Connection58" type="4" refreshedVersion="5" saveData="1">
    <webPr sourceData="1" parsePre="1" consecutive="1" xl2000="1" url="http://finance.yahoo.com/q/hp?s=IP" htmlTables="1">
      <tables count="1">
        <x v="15"/>
      </tables>
    </webPr>
  </connection>
  <connection id="43" name="Connection6" type="4" refreshedVersion="5" saveData="1">
    <webPr sourceData="1" parsePre="1" consecutive="1" xl2000="1" url="http://finance.yahoo.com/q?s=ALL" htmlTables="1">
      <tables count="2">
        <s v="table1"/>
        <s v="table2"/>
      </tables>
    </webPr>
  </connection>
  <connection id="44" name="Connection61" type="4" refreshedVersion="5" saveData="1">
    <webPr sourceData="1" parsePre="1" consecutive="1" xl2000="1" url="http://finance.yahoo.com/q/hp?s=SWKS" htmlTables="1">
      <tables count="1">
        <x v="15"/>
      </tables>
    </webPr>
  </connection>
  <connection id="45" name="Connection62" type="4" refreshedVersion="5" saveData="1">
    <webPr sourceData="1" parsePre="1" consecutive="1" xl2000="1" url="http://finance.yahoo.com/q?s=SWKS" htmlTables="1">
      <tables count="2">
        <s v="table1"/>
        <s v="table2"/>
      </tables>
    </webPr>
  </connection>
  <connection id="46" name="Connection67" type="4" refreshedVersion="5" saveData="1">
    <webPr sourceData="1" parsePre="1" consecutive="1" xl2000="1" url="http://finance.yahoo.com/q?s=F" htmlTables="1">
      <tables count="2">
        <s v="table1"/>
        <s v="table2"/>
      </tables>
    </webPr>
  </connection>
  <connection id="47" name="Connection7" type="4" refreshedVersion="5" saveData="1">
    <webPr sourceData="1" parsePre="1" consecutive="1" xl2000="1" url="http://finance.yahoo.com/q/hp?s=ALL+Historical+Prices" htmlTables="1">
      <tables count="1">
        <x v="15"/>
      </tables>
    </webPr>
  </connection>
  <connection id="48" name="Connection71" type="4" refreshedVersion="5" saveData="1">
    <webPr sourceData="1" parsePre="1" consecutive="1" xl2000="1" url="http://finance.yahoo.com/q?s=AXP" htmlTables="1">
      <tables count="2">
        <s v="table1"/>
        <s v="table2"/>
      </tables>
    </webPr>
  </connection>
  <connection id="49" name="Connection75" type="4" refreshedVersion="5" saveData="1">
    <webPr sourceData="1" parsePre="1" consecutive="1" xl2000="1" url="http://finance.yahoo.com/q/hp?s=MYL" htmlTables="1">
      <tables count="1">
        <x v="15"/>
      </tables>
    </webPr>
  </connection>
  <connection id="50" name="Connection76" type="4" refreshedVersion="5" saveData="1">
    <webPr sourceData="1" parsePre="1" consecutive="1" xl2000="1" url="http://finance.yahoo.com/q?s=MYL" htmlTables="1">
      <tables count="2">
        <s v="table1"/>
        <s v="table2"/>
      </tables>
    </webPr>
  </connection>
  <connection id="51" name="Connection78" type="4" refreshedVersion="5" saveData="1">
    <webPr sourceData="1" parsePre="1" consecutive="1" xl2000="1" url="http://finance.yahoo.com/q/hp?s=vgk" htmlTables="1">
      <tables count="1">
        <x v="15"/>
      </tables>
    </webPr>
  </connection>
  <connection id="52" name="Connection79" type="4" refreshedVersion="5" saveData="1">
    <webPr sourceData="1" parsePre="1" consecutive="1" xl2000="1" url="http://finance.yahoo.com/q?s=vgk" htmlTables="1">
      <tables count="2">
        <s v="table1"/>
        <s v="table2"/>
      </tables>
    </webPr>
  </connection>
  <connection id="53" name="Connection8" type="4" refreshedVersion="5" saveData="1">
    <webPr sourceData="1" parsePre="1" consecutive="1" xl2000="1" url="http://finance.yahoo.com/q?s=HES" htmlTables="1">
      <tables count="2">
        <s v="table1"/>
        <s v="table2"/>
      </tables>
    </webPr>
  </connection>
  <connection id="54" name="Connection831" type="4" refreshedVersion="5" saveData="1">
    <webPr sourceData="1" parsePre="1" consecutive="1" xl2000="1" url="http://finance.yahoo.com/q/hp?s=BMY+Historical+Prices" htmlTables="1">
      <tables count="1">
        <x v="15"/>
      </tables>
    </webPr>
  </connection>
  <connection id="55" name="Connection84" type="4" refreshedVersion="5" saveData="1">
    <webPr sourceData="1" parsePre="1" consecutive="1" xl2000="1" url="http://finance.yahoo.com/q?s=AKAM" htmlTables="1">
      <tables count="2">
        <s v="table1"/>
        <s v="table2"/>
      </tables>
    </webPr>
  </connection>
  <connection id="56" name="Connection87" type="4" refreshedVersion="5" saveData="1">
    <webPr sourceData="1" parsePre="1" consecutive="1" xl2000="1" url="http://finance.yahoo.com/q?s=dg" htmlTables="1">
      <tables count="2">
        <s v="table1"/>
        <s v="table2"/>
      </tables>
    </webPr>
  </connection>
  <connection id="57" name="Connection89" type="4" refreshedVersion="5" saveData="1">
    <webPr sourceData="1" parsePre="1" consecutive="1" xl2000="1" url="http://finance.yahoo.com/q/hp?s=foxa" htmlTables="1">
      <tables count="1">
        <x v="15"/>
      </tables>
    </webPr>
  </connection>
  <connection id="58" name="Connection9" type="4" refreshedVersion="5" saveData="1">
    <webPr sourceData="1" parsePre="1" consecutive="1" xl2000="1" url="http://finance.yahoo.com/q/hp?s=HES" htmlTables="1">
      <tables count="1">
        <x v="15"/>
      </tables>
    </webPr>
  </connection>
  <connection id="59" name="Connection90" type="4" refreshedVersion="5" saveData="1">
    <webPr sourceData="1" parsePre="1" consecutive="1" xl2000="1" url="http://finance.yahoo.com/q?s=foxa" htmlTables="1">
      <tables count="2">
        <s v="table1"/>
        <s v="table2"/>
      </tables>
    </webPr>
  </connection>
  <connection id="60" name="Connection91" type="4" refreshedVersion="5" saveData="1">
    <webPr sourceData="1" parsePre="1" consecutive="1" xl2000="1" url="http://finance.yahoo.com/q/hp?s=pinc" htmlTables="1">
      <tables count="1">
        <x v="15"/>
      </tables>
    </webPr>
  </connection>
  <connection id="61" name="Connection92" type="4" refreshedVersion="5" saveData="1">
    <webPr sourceData="1" parsePre="1" consecutive="1" xl2000="1" url="http://finance.yahoo.com/q?s=pinc" htmlTables="1">
      <tables count="2">
        <s v="table1"/>
        <s v="table2"/>
      </tables>
    </webPr>
  </connection>
  <connection id="62" name="Connection93" type="4" refreshedVersion="5" saveData="1">
    <webPr sourceData="1" parsePre="1" consecutive="1" xl2000="1" url="http://finance.yahoo.com/q/hp?s=nclh" htmlTables="1">
      <tables count="1">
        <x v="15"/>
      </tables>
    </webPr>
  </connection>
  <connection id="63" name="Connection94" type="4" refreshedVersion="5" saveData="1">
    <webPr sourceData="1" parsePre="1" consecutive="1" xl2000="1" url="http://finance.yahoo.com/q?s=nclh" htmlTables="1">
      <tables count="2">
        <s v="table1"/>
        <s v="table2"/>
      </tables>
    </webPr>
  </connection>
  <connection id="64"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<sst xmlns="http://schemas.openxmlformats.org/spreadsheetml/2006/main" count="9534" uniqueCount="1394">
  <si>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</si>
  <si>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</si>
  <si>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</si>
  <si>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</si>
  <si>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</si>
  <si>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</si>
  <si>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</si>
  <si>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</si>
  <si>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</si>
  <si>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</si>
  <si>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</si>
  <si>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</si>
  <si>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</si>
  <si>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</si>
  <si>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</si>
  <si>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</si>
  <si>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</si>
  <si>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</si>
  <si>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</si>
  <si>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</si>
  <si>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</si>
  <si>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</si>
  <si>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</si>
  <si>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</si>
  <si>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</si>
  <si>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</si>
  <si>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</si>
  <si>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</si>
  <si>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</si>
  <si>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</si>
  <si>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</si>
  <si>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</si>
  <si>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</si>
  <si>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</si>
  <si>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</si>
  <si>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</si>
  <si>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</si>
  <si>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</si>
  <si>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</si>
  <si>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</si>
  <si>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</si>
  <si>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</si>
  <si>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</si>
  <si>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</si>
  <si>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</si>
  <si>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</si>
  <si>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</si>
  <si>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</si>
  <si>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</si>
  <si>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</si>
  <si>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</si>
  <si>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</si>
  <si>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</si>
  <si>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</si>
  <si>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</si>
  <si>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</si>
  <si>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</si>
  <si>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</si>
  <si>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</si>
  <si>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</si>
  <si>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</si>
  <si>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</si>
  <si>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</si>
  <si>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</si>
  <si>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</si>
  <si>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</si>
  <si>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</si>
  <si>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</si>
  <si>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</si>
  <si>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</si>
  <si>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</si>
  <si>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</si>
  <si>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</si>
  <si>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</si>
  <si>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</si>
  <si>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</si>
  <si>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</si>
  <si>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</si>
  <si>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</si>
  <si>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</si>
  <si>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</si>
  <si>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</si>
  <si>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</si>
  <si>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</si>
  <si>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</si>
  <si>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</si>
  <si>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</si>
  <si>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</si>
  <si>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</si>
  <si>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</si>
  <si>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</si>
  <si>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</si>
  <si>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</si>
  <si>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</si>
  <si>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</si>
  <si>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</si>
  <si>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</si>
  <si>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</si>
  <si>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</si>
  <si>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</si>
  <si>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</si>
  <si>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</si>
  <si>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</si>
  <si>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</si>
  <si>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</si>
  <si>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</si>
  <si>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</si>
  <si>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</si>
  <si>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</si>
  <si>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</si>
  <si>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</si>
  <si>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</si>
  <si>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</si>
  <si>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</si>
  <si>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</si>
  <si>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</si>
  <si>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</si>
  <si>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</si>
  <si>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</si>
  <si>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</si>
  <si>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</si>
  <si>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</si>
  <si>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</si>
  <si>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</si>
  <si>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</si>
  <si>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</si>
  <si>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</si>
  <si>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</si>
  <si>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</si>
  <si>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</si>
  <si>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</si>
  <si>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</si>
  <si>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Verified</t>
  </si>
  <si>
    <t>ü</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</si>
  <si>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</si>
  <si>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</si>
  <si>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</si>
  <si>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</si>
  <si>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</si>
  <si>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</si>
  <si>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</si>
  <si>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</si>
  <si>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</si>
  <si>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</si>
  <si>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</si>
  <si>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</si>
  <si>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</si>
  <si>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</si>
  <si>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</si>
  <si>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</si>
  <si>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</si>
  <si>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</si>
  <si>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</si>
  <si>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</si>
  <si>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</si>
  <si>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</si>
  <si>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</si>
  <si>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</si>
  <si>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</si>
  <si>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</si>
  <si>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</si>
  <si>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</si>
  <si>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</si>
  <si>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</si>
  <si>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</si>
  <si>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</si>
  <si>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</si>
  <si>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</si>
  <si>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</si>
  <si>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</si>
  <si>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</si>
  <si>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</si>
  <si>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</si>
  <si>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</si>
  <si>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</si>
  <si>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</si>
  <si>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</si>
  <si>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</si>
  <si>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</si>
  <si>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</si>
  <si>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</si>
  <si>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</si>
  <si>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</si>
  <si>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</si>
  <si>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</si>
  <si>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</si>
  <si>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</si>
  <si>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</si>
  <si>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</si>
  <si>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</si>
  <si>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</si>
  <si>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</si>
  <si>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</si>
  <si>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</si>
  <si>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</si>
  <si>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</si>
  <si>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</si>
  <si>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</si>
  <si>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</si>
  <si>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</si>
  <si>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</si>
  <si>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</si>
  <si>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</si>
  <si>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</si>
  <si>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</si>
  <si>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</si>
  <si>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</si>
  <si>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</si>
  <si>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</si>
  <si>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</si>
  <si>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</si>
  <si>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</si>
  <si>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</si>
  <si>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</si>
  <si>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</si>
  <si>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</si>
  <si>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</si>
  <si>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</si>
  <si>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</si>
  <si>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</si>
  <si>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</si>
  <si>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</si>
  <si>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</si>
  <si>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</si>
  <si>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</si>
  <si>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</si>
  <si>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</si>
  <si>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</si>
  <si>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</si>
  <si>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</si>
  <si>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</si>
  <si>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</si>
  <si>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</si>
  <si>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</si>
  <si>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</si>
  <si>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</si>
  <si>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</si>
  <si>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</si>
  <si>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</si>
  <si>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</si>
  <si>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</si>
  <si>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</si>
  <si>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</si>
  <si>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</si>
  <si>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</si>
  <si>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</si>
  <si>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</si>
  <si>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</si>
  <si>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</si>
  <si>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</si>
  <si>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</si>
  <si>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</si>
  <si>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</si>
  <si>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</si>
  <si>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</si>
  <si>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</si>
  <si>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</si>
  <si>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</si>
  <si>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</si>
  <si>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</si>
  <si>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</si>
  <si>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</si>
  <si>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</si>
  <si>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</si>
  <si>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</si>
  <si>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</si>
  <si>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</si>
  <si>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</si>
  <si>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</si>
  <si>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</si>
  <si>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</si>
  <si>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19.75 --&gt; 19.50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</si>
  <si>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</si>
  <si>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</si>
  <si>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</si>
  <si>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</si>
  <si>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</si>
  <si>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</si>
  <si>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</si>
  <si>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</si>
  <si>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</si>
  <si>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</si>
  <si>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</si>
  <si>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</si>
  <si>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</si>
  <si>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</si>
  <si>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</si>
  <si>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&gt;$200, 4.00</t>
  </si>
  <si>
    <t>19.50  ---&gt; 19.25</t>
  </si>
  <si>
    <t>7/29, 22.39</t>
  </si>
  <si>
    <t>18.00  ---&gt; 17.75</t>
  </si>
  <si>
    <t>9/28, 20.207</t>
  </si>
  <si>
    <t>BMY</t>
  </si>
  <si>
    <t>16.80 ---&gt; 16.48</t>
  </si>
  <si>
    <t>4.00 --&gt; 3.90</t>
  </si>
  <si>
    <t>15.70 ---&gt; 15.25</t>
  </si>
  <si>
    <t>83.00 ---&gt; 82.00</t>
  </si>
  <si>
    <t>19.25 ---&gt; 19.00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</si>
  <si>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</si>
  <si>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</si>
  <si>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</si>
  <si>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</si>
  <si>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</si>
  <si>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</si>
  <si>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</si>
  <si>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</si>
  <si>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</si>
  <si>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</si>
  <si>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</si>
  <si>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</si>
  <si>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</si>
  <si>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</si>
  <si>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</si>
  <si>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</si>
  <si>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</si>
  <si>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</si>
  <si>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</si>
  <si>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</si>
  <si>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</si>
  <si>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</si>
  <si>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</si>
  <si>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</si>
  <si>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</si>
  <si>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</si>
  <si>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2000, 2000</t>
  </si>
  <si>
    <t>25,  0</t>
  </si>
  <si>
    <t>20,  20</t>
  </si>
  <si>
    <t>?</t>
  </si>
  <si>
    <t>400,  200</t>
  </si>
  <si>
    <t>600,   200</t>
  </si>
  <si>
    <t>100,   0</t>
  </si>
  <si>
    <t>300,  150</t>
  </si>
  <si>
    <t>TGT</t>
  </si>
  <si>
    <t>Apr 18 - Apr 24 (Est.)</t>
  </si>
  <si>
    <t>50,    0</t>
  </si>
  <si>
    <t>1550,   1200</t>
  </si>
  <si>
    <t>100,  20</t>
  </si>
  <si>
    <t>50,   50</t>
  </si>
  <si>
    <t>1500,  1100</t>
  </si>
  <si>
    <t>https://fred.stlouisfed.org/series/CPIFABSL</t>
  </si>
  <si>
    <t>100,  0</t>
  </si>
  <si>
    <t>80,   0</t>
  </si>
  <si>
    <t>1350,  1000</t>
  </si>
  <si>
    <t>1550, 1000</t>
  </si>
  <si>
    <t>1550,   400</t>
  </si>
  <si>
    <t>1800,  1100</t>
  </si>
  <si>
    <t>1400,  700</t>
  </si>
  <si>
    <t>18-Apr-17JNJ Earnings announcement</t>
  </si>
  <si>
    <t>Apr 17 - Apr 21 (Est.)</t>
  </si>
  <si>
    <t>2000,  2000</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</si>
  <si>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</si>
  <si>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</si>
  <si>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</si>
  <si>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</si>
  <si>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</si>
  <si>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</si>
  <si>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</si>
  <si>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</si>
  <si>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</si>
  <si>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</si>
  <si>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</si>
  <si>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</si>
  <si>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</si>
  <si>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</si>
  <si>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</si>
  <si>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</si>
  <si>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2200,  2000</t>
  </si>
  <si>
    <t>6900,   4000</t>
  </si>
  <si>
    <t>6900,  3700</t>
  </si>
  <si>
    <t>400,  100</t>
  </si>
  <si>
    <t>2000,  1800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</si>
  <si>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</si>
  <si>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</si>
  <si>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</si>
  <si>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</si>
  <si>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</si>
  <si>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</si>
  <si>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</si>
  <si>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</si>
  <si>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</si>
  <si>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</si>
  <si>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</si>
  <si>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</si>
  <si>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</si>
  <si>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</si>
  <si>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2000, 1500</t>
  </si>
  <si>
    <t>250,   150</t>
  </si>
  <si>
    <t>1400,   700</t>
  </si>
  <si>
    <t>50,   25</t>
  </si>
  <si>
    <t>30,  15</t>
  </si>
  <si>
    <t>2000,  700</t>
  </si>
  <si>
    <t>6000,    700</t>
  </si>
  <si>
    <t>2500,  1500</t>
  </si>
  <si>
    <t>25,   0</t>
  </si>
  <si>
    <t>125,   0</t>
  </si>
  <si>
    <t>3000,   1500</t>
  </si>
  <si>
    <t>6600,   700</t>
  </si>
  <si>
    <t>600,   100</t>
  </si>
  <si>
    <t>600,  300</t>
  </si>
  <si>
    <t>350,   150</t>
  </si>
  <si>
    <t>2000,  500</t>
  </si>
  <si>
    <t>2500,  500</t>
  </si>
  <si>
    <t>3000,  500</t>
  </si>
  <si>
    <t>33.60 - 50.40</t>
  </si>
  <si>
    <t>65.38 - 103.10</t>
  </si>
  <si>
    <t>1550,   250</t>
  </si>
  <si>
    <t>15,   0</t>
  </si>
  <si>
    <t>2500,   0</t>
  </si>
  <si>
    <t>47.80 - 71.64</t>
  </si>
  <si>
    <t>81.12 - 121.75</t>
  </si>
  <si>
    <t>1650,   250</t>
  </si>
  <si>
    <t>100,    0</t>
  </si>
  <si>
    <t>May 8 - May 12 (Est.)</t>
  </si>
  <si>
    <t>May 2 - May 8 (Est.)</t>
  </si>
  <si>
    <t>May 1 - May 5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</si>
  <si>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</si>
  <si>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</si>
  <si>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</si>
  <si>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</si>
  <si>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</si>
  <si>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</si>
  <si>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</si>
  <si>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</si>
  <si>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</si>
  <si>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</si>
  <si>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</si>
  <si>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</si>
  <si>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</si>
  <si>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</si>
  <si>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</si>
  <si>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</si>
  <si>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</si>
  <si>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</si>
  <si>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</si>
  <si>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</si>
  <si>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</si>
  <si>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2000,  1100</t>
  </si>
  <si>
    <t>250, 100</t>
  </si>
  <si>
    <t>28.72 - 46.45</t>
  </si>
  <si>
    <t>1300,   400</t>
  </si>
  <si>
    <t>30,   30</t>
  </si>
  <si>
    <t>1550,   350</t>
  </si>
  <si>
    <t>0.37 Dividend</t>
  </si>
  <si>
    <t>RGR, VSTO, OLN, CAB</t>
  </si>
  <si>
    <t>20,    20</t>
  </si>
  <si>
    <t>UREH7</t>
  </si>
  <si>
    <t>Nola Urea, correlates more</t>
  </si>
  <si>
    <t>Anthracite coal price</t>
  </si>
  <si>
    <t>insider bought at 11.08</t>
  </si>
  <si>
    <t>NRG, DYN</t>
  </si>
  <si>
    <t>CPSFFODY</t>
  </si>
  <si>
    <t>2000,   700</t>
  </si>
  <si>
    <t>ah to 3.05</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</si>
  <si>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</si>
  <si>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</si>
  <si>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</si>
  <si>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</si>
  <si>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</si>
  <si>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</si>
  <si>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</si>
  <si>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</si>
  <si>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</si>
  <si>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</si>
  <si>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</si>
  <si>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</si>
  <si>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</si>
  <si>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</si>
  <si>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</si>
  <si>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</si>
  <si>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</si>
  <si>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</si>
  <si>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</si>
  <si>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</si>
  <si>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</si>
  <si>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</si>
  <si>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</si>
  <si>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</si>
  <si>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</si>
  <si>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</si>
  <si>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</si>
  <si>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</si>
  <si>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</si>
  <si>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</si>
  <si>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</si>
  <si>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NRG</t>
  </si>
  <si>
    <t>DYN</t>
  </si>
  <si>
    <t>139.18 - 227.75</t>
  </si>
  <si>
    <t>RSI</t>
  </si>
  <si>
    <t>15.88B</t>
  </si>
  <si>
    <t>39.24 - 58.86</t>
  </si>
  <si>
    <t>34.92 - 58.63</t>
  </si>
  <si>
    <t>78.15 - 125.00</t>
  </si>
  <si>
    <t>96.89 - 114.44</t>
  </si>
  <si>
    <t>total PL</t>
  </si>
  <si>
    <t>May 24 - May 30 (Est.)</t>
  </si>
  <si>
    <t>1.07 (3.42%)</t>
  </si>
  <si>
    <t>10.39 - 16.07</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</si>
  <si>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</si>
  <si>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</si>
  <si>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</si>
  <si>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</si>
  <si>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</si>
  <si>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</si>
  <si>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</si>
  <si>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</si>
  <si>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</si>
  <si>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</si>
  <si>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</si>
  <si>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</si>
  <si>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1.92 - 5.75</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</si>
  <si>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</si>
  <si>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</si>
  <si>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</si>
  <si>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</si>
  <si>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</si>
  <si>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</si>
  <si>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</si>
  <si>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</si>
  <si>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</si>
  <si>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</si>
  <si>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</si>
  <si>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</si>
  <si>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</si>
  <si>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</si>
  <si>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</si>
  <si>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</si>
  <si>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</si>
  <si>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</si>
  <si>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</si>
  <si>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</si>
  <si>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</si>
  <si>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</si>
  <si>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</si>
  <si>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</si>
  <si>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</si>
  <si>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</si>
  <si>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</si>
  <si>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0.42 (19.63%)</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</si>
  <si>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</si>
  <si>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</si>
  <si>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</si>
  <si>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</si>
  <si>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</si>
  <si>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</si>
  <si>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</si>
  <si>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</si>
  <si>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</si>
  <si>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</si>
  <si>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</si>
  <si>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</si>
  <si>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</si>
  <si>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</si>
  <si>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</si>
  <si>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</si>
  <si>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</si>
  <si>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</si>
  <si>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</si>
  <si>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</si>
  <si>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</si>
  <si>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</si>
  <si>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</si>
  <si>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</si>
  <si>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</si>
  <si>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</si>
  <si>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</si>
  <si>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</si>
  <si>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</si>
  <si>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</si>
  <si>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</si>
  <si>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</si>
  <si>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</si>
  <si>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</si>
  <si>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28-Apr-17CPN Earnings announcement</t>
  </si>
  <si>
    <t>10.95 - 11.15</t>
  </si>
  <si>
    <t>3.98B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</si>
  <si>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</si>
  <si>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</si>
  <si>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</si>
  <si>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</si>
  <si>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</si>
  <si>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</si>
  <si>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</si>
  <si>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</si>
  <si>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</si>
  <si>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</si>
  <si>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</si>
  <si>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</si>
  <si>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</si>
  <si>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</si>
  <si>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</si>
  <si>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</si>
  <si>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</si>
  <si>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</si>
  <si>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</si>
  <si>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</si>
  <si>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</si>
  <si>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</si>
  <si>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</si>
  <si>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</si>
  <si>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</si>
  <si>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</si>
  <si>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</si>
  <si>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</si>
  <si>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</si>
  <si>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</si>
  <si>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</si>
  <si>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</si>
  <si>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</si>
  <si>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</si>
  <si>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</si>
  <si>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</si>
  <si>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</si>
  <si>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</si>
  <si>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</si>
  <si>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</si>
  <si>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</si>
  <si>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</si>
  <si>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</si>
  <si>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</si>
  <si>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</si>
  <si>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</si>
  <si>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</si>
  <si>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2.15 x 100</t>
  </si>
  <si>
    <t>2.18 x 500</t>
  </si>
  <si>
    <t>2.09 - 2.19</t>
  </si>
  <si>
    <t>2.48B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</si>
  <si>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</si>
  <si>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</si>
  <si>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</si>
  <si>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</si>
  <si>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</si>
  <si>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</si>
  <si>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</si>
  <si>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</si>
  <si>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</si>
  <si>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</si>
  <si>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</si>
  <si>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</si>
  <si>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</si>
  <si>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</si>
  <si>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</si>
  <si>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</si>
  <si>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</si>
  <si>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</si>
  <si>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</si>
  <si>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</si>
  <si>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</si>
  <si>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</si>
  <si>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</si>
  <si>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</si>
  <si>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</si>
  <si>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</si>
  <si>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</si>
  <si>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</si>
  <si>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</si>
  <si>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</si>
  <si>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</si>
  <si>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split</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</si>
  <si>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</si>
  <si>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</si>
  <si>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</si>
  <si>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</si>
  <si>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</si>
  <si>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</si>
  <si>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</si>
  <si>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</si>
  <si>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</si>
  <si>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</si>
  <si>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</si>
  <si>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</si>
  <si>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</si>
  <si>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</si>
  <si>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</si>
  <si>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</si>
  <si>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</si>
  <si>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</si>
  <si>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</si>
  <si>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</si>
  <si>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</si>
  <si>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</si>
  <si>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</si>
  <si>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</si>
  <si>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</si>
  <si>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</si>
  <si>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</si>
  <si>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</si>
  <si>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</si>
  <si>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</si>
  <si>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</si>
  <si>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</si>
  <si>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</si>
  <si>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</si>
  <si>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</si>
  <si>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</si>
  <si>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</si>
  <si>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</si>
  <si>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</si>
  <si>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</si>
  <si>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</si>
  <si>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</si>
  <si>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</si>
  <si>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</si>
  <si>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</si>
  <si>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</si>
  <si>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</si>
  <si>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</si>
  <si>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</si>
  <si>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</si>
  <si>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</si>
  <si>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</si>
  <si>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</si>
  <si>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</si>
  <si>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</si>
  <si>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</si>
  <si>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</si>
  <si>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</si>
  <si>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</si>
  <si>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</si>
  <si>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</si>
  <si>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</si>
  <si>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</si>
  <si>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</si>
  <si>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</si>
  <si>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</si>
  <si>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</si>
  <si>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</si>
  <si>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</si>
  <si>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</si>
  <si>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</si>
  <si>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</si>
  <si>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</si>
  <si>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</si>
  <si>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</si>
  <si>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</si>
  <si>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</si>
  <si>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</si>
  <si>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</si>
  <si>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</si>
  <si>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</si>
  <si>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</si>
  <si>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</si>
  <si>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</si>
  <si>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</si>
  <si>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</si>
  <si>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</si>
  <si>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</si>
  <si>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</si>
  <si>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</si>
  <si>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</si>
  <si>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</si>
  <si>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</si>
  <si>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</si>
  <si>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</si>
  <si>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</si>
  <si>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</si>
  <si>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</si>
  <si>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</si>
  <si>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</si>
  <si>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</si>
  <si>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</si>
  <si>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</si>
  <si>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</si>
  <si>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</si>
  <si>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</si>
  <si>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</si>
  <si>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</si>
  <si>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</si>
  <si>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</si>
  <si>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</si>
  <si>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</si>
  <si>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</si>
  <si>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</si>
  <si>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</si>
  <si>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</si>
  <si>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</si>
  <si>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</si>
  <si>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</si>
  <si>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</si>
  <si>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</si>
  <si>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</si>
  <si>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</si>
  <si>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</si>
  <si>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</si>
  <si>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</si>
  <si>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</si>
  <si>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</si>
  <si>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</si>
  <si>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</si>
  <si>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</si>
  <si>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</si>
  <si>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</si>
  <si>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</si>
  <si>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</si>
  <si>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</si>
  <si>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</si>
  <si>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</si>
  <si>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</si>
  <si>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</si>
  <si>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</si>
  <si>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</si>
  <si>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</si>
  <si>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</si>
  <si>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</si>
  <si>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</si>
  <si>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</si>
  <si>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</si>
  <si>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</si>
  <si>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</si>
  <si>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</si>
  <si>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</si>
  <si>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</si>
  <si>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</si>
  <si>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</si>
  <si>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</si>
  <si>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</si>
  <si>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</si>
  <si>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</si>
  <si>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</si>
  <si>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</si>
  <si>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</si>
  <si>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</si>
  <si>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</si>
  <si>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</si>
  <si>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</si>
  <si>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</si>
  <si>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</si>
  <si>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</si>
  <si>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</si>
  <si>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</si>
  <si>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</si>
  <si>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</si>
  <si>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</si>
  <si>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</si>
  <si>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</si>
  <si>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</si>
  <si>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</si>
  <si>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</si>
  <si>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</si>
  <si>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</si>
  <si>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</si>
  <si>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</si>
  <si>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</si>
  <si>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</si>
  <si>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</si>
  <si>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</si>
  <si>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</si>
  <si>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</si>
  <si>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</si>
  <si>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</si>
  <si>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</si>
  <si>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</si>
  <si>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</si>
  <si>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</si>
  <si>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</si>
  <si>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</si>
  <si>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</si>
  <si>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</si>
  <si>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</si>
  <si>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</si>
  <si>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</si>
  <si>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</si>
  <si>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</si>
  <si>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</si>
  <si>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</si>
  <si>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</si>
  <si>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</si>
  <si>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</si>
  <si>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</si>
  <si>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</si>
  <si>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</si>
  <si>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</si>
  <si>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</si>
  <si>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</si>
  <si>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</si>
  <si>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</si>
  <si>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</si>
  <si>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</si>
  <si>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</si>
  <si>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</si>
  <si>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</si>
  <si>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</si>
  <si>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</si>
  <si>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</si>
  <si>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</si>
  <si>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</si>
  <si>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</si>
  <si>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</si>
  <si>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</si>
  <si>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</si>
  <si>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</si>
  <si>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</si>
  <si>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</si>
  <si>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</si>
  <si>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</si>
  <si>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</si>
  <si>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</si>
  <si>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</si>
  <si>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</si>
  <si>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</si>
  <si>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</si>
  <si>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</si>
  <si>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</si>
  <si>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</si>
  <si>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</si>
  <si>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</si>
  <si>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</si>
  <si>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</si>
  <si>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</si>
  <si>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</si>
  <si>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</si>
  <si>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</si>
  <si>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</si>
  <si>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</si>
  <si>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</si>
  <si>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</si>
  <si>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</si>
  <si>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</si>
  <si>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</si>
  <si>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</si>
  <si>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</si>
  <si>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</si>
  <si>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</si>
  <si>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</si>
  <si>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</si>
  <si>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</si>
  <si>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</si>
  <si>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</si>
  <si>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</si>
  <si>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</si>
  <si>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</si>
  <si>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</si>
  <si>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</si>
  <si>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</si>
  <si>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</si>
  <si>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</si>
  <si>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</si>
  <si>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</si>
  <si>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</si>
  <si>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</si>
  <si>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</si>
  <si>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</si>
  <si>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</si>
  <si>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</si>
  <si>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</si>
  <si>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</si>
  <si>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</si>
  <si>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</si>
  <si>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</si>
  <si>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</si>
  <si>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</si>
  <si>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</si>
  <si>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</si>
  <si>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</si>
  <si>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</si>
  <si>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</si>
  <si>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</si>
  <si>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</si>
  <si>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</si>
  <si>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</si>
  <si>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</si>
  <si>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</si>
  <si>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</si>
  <si>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</si>
  <si>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</si>
  <si>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</si>
  <si>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</si>
  <si>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</si>
  <si>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</si>
  <si>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</si>
  <si>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</si>
  <si>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</si>
  <si>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</si>
  <si>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</si>
  <si>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</si>
  <si>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</si>
  <si>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</si>
  <si>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</si>
  <si>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</si>
  <si>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</si>
  <si>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</si>
  <si>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</si>
  <si>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</si>
  <si>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</si>
  <si>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</si>
  <si>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</si>
  <si>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</si>
  <si>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</si>
  <si>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</si>
  <si>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</si>
  <si>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</si>
  <si>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</si>
  <si>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</si>
  <si>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</si>
  <si>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</si>
  <si>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</si>
  <si>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</si>
  <si>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</si>
  <si>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</si>
  <si>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</si>
  <si>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</si>
  <si>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</si>
  <si>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</si>
  <si>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</si>
  <si>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</si>
  <si>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</si>
  <si>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</si>
  <si>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</si>
  <si>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</si>
  <si>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</si>
  <si>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</si>
  <si>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</si>
  <si>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</si>
  <si>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</si>
  <si>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</si>
  <si>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</si>
  <si>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</si>
  <si>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</si>
  <si>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</si>
  <si>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</si>
  <si>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</si>
  <si>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</si>
  <si>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</si>
  <si>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</si>
  <si>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</si>
  <si>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</si>
  <si>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</si>
  <si>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</si>
  <si>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</si>
  <si>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</si>
  <si>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</si>
  <si>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</si>
  <si>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</si>
  <si>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</si>
  <si>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</si>
  <si>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</si>
  <si>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</si>
  <si>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</si>
  <si>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</si>
  <si>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</si>
  <si>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</si>
  <si>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</si>
  <si>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</si>
  <si>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</si>
  <si>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</si>
  <si>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</si>
  <si>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</si>
  <si>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</si>
  <si>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</si>
  <si>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</si>
  <si>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</si>
  <si>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</si>
  <si>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</si>
  <si>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</si>
  <si>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</si>
  <si>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</si>
  <si>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</si>
  <si>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</si>
  <si>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</si>
  <si>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</si>
  <si>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</si>
  <si>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</si>
  <si>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</si>
  <si>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</si>
  <si>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</si>
  <si>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</si>
  <si>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</si>
  <si>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</si>
  <si>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</si>
  <si>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</si>
  <si>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</si>
  <si>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</si>
  <si>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</si>
  <si>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</si>
  <si>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</si>
  <si>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</si>
  <si>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</si>
  <si>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</si>
  <si>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</si>
  <si>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</si>
  <si>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</si>
  <si>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</si>
  <si>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</si>
  <si>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</si>
  <si>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</si>
  <si>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</si>
  <si>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</si>
  <si>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</si>
  <si>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</si>
  <si>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</si>
  <si>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</si>
  <si>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</si>
  <si>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</si>
  <si>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</si>
  <si>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</si>
  <si>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</si>
  <si>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</si>
  <si>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</si>
  <si>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</si>
  <si>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</si>
  <si>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</si>
  <si>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</si>
  <si>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</si>
  <si>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</si>
  <si>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</si>
  <si>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</si>
  <si>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</si>
  <si>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</si>
  <si>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</si>
  <si>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</si>
  <si>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</si>
  <si>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</si>
  <si>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</si>
  <si>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</si>
  <si>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</si>
  <si>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</si>
  <si>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</si>
  <si>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</si>
  <si>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</si>
  <si>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</si>
  <si>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</si>
  <si>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</si>
  <si>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</si>
  <si>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</si>
  <si>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</si>
  <si>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</si>
  <si>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</si>
  <si>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</si>
  <si>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</si>
  <si>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</si>
  <si>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</si>
  <si>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</si>
  <si>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</si>
  <si>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</si>
  <si>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</si>
  <si>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</si>
  <si>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</si>
  <si>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</si>
  <si>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</si>
  <si>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</si>
  <si>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</si>
  <si>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</si>
  <si>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</si>
  <si>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</si>
  <si>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</si>
  <si>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</si>
  <si>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</si>
  <si>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</si>
  <si>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</si>
  <si>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</si>
  <si>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</si>
  <si>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</si>
  <si>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</si>
  <si>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</si>
  <si>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</si>
  <si>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</si>
  <si>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</si>
  <si>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</si>
  <si>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</si>
  <si>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</si>
  <si>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</si>
  <si>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</si>
  <si>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</si>
  <si>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</si>
  <si>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</si>
  <si>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</si>
  <si>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</si>
  <si>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</si>
  <si>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</si>
  <si>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</si>
  <si>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</si>
  <si>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</si>
  <si>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</si>
  <si>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</si>
  <si>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</si>
  <si>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</si>
  <si>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</si>
  <si>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</si>
  <si>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</si>
  <si>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</si>
  <si>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</si>
  <si>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</si>
  <si>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</si>
  <si>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8/6/2018 PM</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</si>
  <si>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</si>
  <si>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</si>
  <si>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</si>
  <si>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</si>
  <si>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</si>
  <si>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</si>
  <si>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</si>
  <si>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</si>
  <si>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</si>
  <si>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</si>
  <si>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</si>
  <si>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</si>
  <si>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</si>
  <si>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</si>
  <si>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</si>
  <si>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</si>
  <si>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</si>
  <si>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</si>
  <si>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</si>
  <si>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</si>
  <si>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</si>
  <si>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</si>
  <si>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</si>
  <si>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</si>
  <si>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</si>
  <si>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</si>
  <si>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</si>
  <si>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</si>
  <si>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</si>
  <si>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</si>
  <si>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</si>
  <si>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</si>
  <si>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</si>
  <si>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</si>
  <si>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</si>
  <si>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</si>
  <si>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</si>
  <si>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</si>
  <si>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</si>
  <si>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</si>
  <si>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</si>
  <si>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</si>
  <si>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</si>
  <si>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</si>
  <si>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</si>
  <si>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</si>
  <si>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</si>
  <si>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</si>
  <si>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</si>
  <si>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</si>
  <si>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</si>
  <si>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</si>
  <si>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</si>
  <si>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</si>
  <si>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</si>
  <si>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</si>
  <si>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</si>
  <si>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</si>
  <si>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</si>
  <si>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</si>
  <si>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</si>
  <si>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</si>
  <si>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</si>
  <si>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</si>
  <si>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</si>
  <si>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</si>
  <si>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</si>
  <si>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</si>
  <si>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</si>
  <si>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</si>
  <si>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</si>
  <si>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</si>
  <si>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</si>
  <si>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</si>
  <si>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</si>
  <si>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</si>
  <si>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</si>
  <si>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</si>
  <si>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</si>
  <si>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</si>
  <si>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</si>
  <si>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</si>
  <si>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</si>
  <si>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</si>
  <si>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</si>
  <si>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</si>
  <si>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</si>
  <si>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</si>
  <si>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</si>
  <si>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</si>
  <si>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</si>
  <si>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</si>
  <si>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</si>
  <si>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</si>
  <si>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</si>
  <si>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</si>
  <si>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</si>
  <si>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</si>
  <si>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</si>
  <si>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</si>
  <si>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</si>
  <si>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</si>
  <si>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12/6/2018 PM</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</si>
  <si>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</si>
  <si>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</si>
  <si>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</si>
  <si>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</si>
  <si>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</si>
  <si>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</si>
  <si>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</si>
  <si>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</si>
  <si>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</si>
  <si>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</si>
  <si>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</si>
  <si>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</si>
  <si>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</si>
  <si>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</si>
  <si>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</si>
  <si>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</si>
  <si>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</si>
  <si>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</si>
  <si>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</si>
  <si>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</si>
  <si>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</si>
  <si>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</si>
  <si>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</si>
  <si>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</si>
  <si>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</si>
  <si>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</si>
  <si>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</si>
  <si>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</si>
  <si>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</si>
  <si>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</si>
  <si>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</si>
  <si>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</si>
  <si>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</si>
  <si>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</si>
  <si>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</si>
  <si>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</si>
  <si>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</si>
  <si>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</si>
  <si>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</si>
  <si>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</si>
  <si>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</si>
  <si>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</si>
  <si>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</si>
  <si>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</si>
  <si>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</si>
  <si>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</si>
  <si>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</si>
  <si>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</si>
  <si>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</si>
  <si>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</si>
  <si>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</si>
  <si>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</si>
  <si>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</si>
  <si>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</si>
  <si>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</si>
  <si>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</si>
  <si>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</si>
  <si>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</si>
  <si>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</si>
  <si>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2/20/2019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</si>
  <si>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</si>
  <si>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</si>
  <si>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</si>
  <si>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</si>
  <si>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</si>
  <si>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</si>
  <si>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</si>
  <si>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</si>
  <si>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</si>
  <si>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</si>
  <si>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</si>
  <si>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</si>
  <si>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</si>
  <si>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</si>
  <si>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2/13/2019 PM</t>
  </si>
  <si>
    <t>2/28/2019 est</t>
  </si>
  <si>
    <t>HUBB, CREE, VECO, Osram, Eaton, SFFYF</t>
  </si>
  <si>
    <t xml:space="preserve">CEO:  Jim Fitterling </t>
  </si>
  <si>
    <t>4/25/2019 est</t>
  </si>
  <si>
    <t>02/25/2019 AH</t>
  </si>
  <si>
    <t>4/23/2019 est</t>
  </si>
  <si>
    <t>49.00-&gt;46.00</t>
  </si>
  <si>
    <t>4/30/2018 est</t>
  </si>
  <si>
    <t>4/31/2019 est</t>
  </si>
  <si>
    <t>DFL1 Cmdty, GCFPPONO</t>
  </si>
  <si>
    <t>split animal business</t>
  </si>
  <si>
    <t>2/15/2019 PM</t>
  </si>
  <si>
    <t>ATVI</t>
  </si>
  <si>
    <t>5/12/2019 est</t>
  </si>
  <si>
    <t>5/7/2019 est</t>
  </si>
  <si>
    <t>05/12/2019 est</t>
  </si>
  <si>
    <t>05/08/2019 est</t>
  </si>
  <si>
    <t>05/13/2019 est</t>
  </si>
  <si>
    <t>CPRI</t>
  </si>
  <si>
    <t>02/19/2019 PM</t>
  </si>
  <si>
    <t>05/20/2019 est</t>
  </si>
  <si>
    <t>02/28/2019 PM</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</si>
  <si>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</si>
  <si>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</si>
  <si>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</si>
  <si>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</si>
  <si>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</si>
  <si>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</si>
  <si>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4/30/2019 PM</t>
  </si>
  <si>
    <t>05/01/2019 est</t>
  </si>
  <si>
    <t>analyst day</t>
  </si>
  <si>
    <t>04/03/2019 PM</t>
  </si>
  <si>
    <t>DOW</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</si>
</sst>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7"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b/>
      <sz val="11"/>
      <color theme="0"/>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6" fillId="0" borderId="0" applyNumberFormat="0" applyFill="0" applyBorder="0" applyAlignment="0" applyProtection="0"/>
  </cellStyleXfs>
  <cellXfs count="897">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0" fontId="10" fillId="0" borderId="0" xfId="0" applyFont="1"/>
    <xf numFmtId="2" fontId="0" fillId="2" borderId="0" xfId="0" applyNumberFormat="1" applyFill="1" applyAlignment="1">
      <alignment wrapText="1"/>
    </xf>
    <xf numFmtId="2" fontId="0" fillId="5" borderId="0" xfId="0" applyNumberFormat="1" applyFill="1" applyAlignment="1">
      <alignment wrapText="1"/>
    </xf>
    <xf numFmtId="0" fontId="13" fillId="8" borderId="0" xfId="0" applyFont="1" applyFill="1" applyAlignment="1">
      <alignment horizontal="center" vertical="center"/>
    </xf>
    <xf numFmtId="2" fontId="13" fillId="8" borderId="0" xfId="0" applyNumberFormat="1"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66" fontId="4" fillId="3" borderId="0" xfId="0" applyNumberFormat="1" applyFont="1" applyFill="1"/>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10" fontId="13" fillId="8" borderId="0" xfId="3" applyNumberFormat="1" applyFont="1" applyFill="1" applyAlignment="1">
      <alignment horizontal="center" vertical="center"/>
    </xf>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2" fontId="13" fillId="8" borderId="0" xfId="3" applyNumberFormat="1" applyFont="1" applyFill="1" applyAlignment="1">
      <alignment horizontal="center" vertical="center"/>
    </xf>
    <xf numFmtId="2" fontId="0" fillId="0" borderId="0" xfId="3" applyNumberFormat="1" applyFont="1"/>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0" fontId="0" fillId="4" borderId="0" xfId="0"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6" fontId="0" fillId="16" borderId="0" xfId="0" applyNumberFormat="1" applyFill="1"/>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0" borderId="0" xfId="0" applyFill="1" applyAlignment="1">
      <alignment vertical="center" wrapText="1"/>
    </xf>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23" borderId="0" xfId="0" applyNumberFormat="1" applyFill="1" applyAlignment="1">
      <alignment horizontal="right"/>
    </xf>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166" fontId="4" fillId="10" borderId="0" xfId="0" applyNumberFormat="1" applyFont="1" applyFill="1"/>
    <xf numFmtId="0" fontId="15" fillId="7" borderId="4" xfId="2" applyFill="1" applyAlignment="1">
      <alignment horizontal="center"/>
    </xf>
    <xf numFmtId="0" fontId="4" fillId="0" borderId="0" xfId="0" applyFont="1" applyFill="1" applyAlignment="1">
      <alignment vertical="center" wrapText="1"/>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14" fontId="12"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66" fontId="13" fillId="8" borderId="0" xfId="0" applyNumberFormat="1" applyFont="1" applyFill="1" applyAlignment="1">
      <alignment horizontal="center" vertical="center"/>
    </xf>
    <xf numFmtId="166" fontId="12" fillId="0" borderId="0" xfId="0" applyNumberFormat="1" applyFont="1"/>
    <xf numFmtId="10" fontId="12" fillId="0" borderId="0" xfId="0" applyNumberFormat="1" applyFont="1"/>
    <xf numFmtId="2" fontId="12" fillId="0" borderId="0" xfId="3" applyNumberFormat="1" applyFont="1" applyAlignment="1">
      <alignment horizontal="center"/>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32" fillId="8" borderId="0" xfId="3" applyNumberFormat="1" applyFont="1" applyFill="1" applyAlignment="1">
      <alignment horizontal="center" vertical="center"/>
    </xf>
    <xf numFmtId="14" fontId="16" fillId="0" borderId="0" xfId="0" applyNumberFormat="1" applyFont="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8" fontId="0" fillId="0" borderId="0" xfId="0" applyNumberFormat="1"/>
    <xf numFmtId="8" fontId="12" fillId="0" borderId="0" xfId="0" applyNumberFormat="1" applyFont="1"/>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3" fillId="2" borderId="7" xfId="0" applyNumberFormat="1" applyFont="1" applyFill="1" applyBorder="1" applyAlignment="1"/>
    <xf numFmtId="10" fontId="33" fillId="2" borderId="7" xfId="3" applyNumberFormat="1" applyFont="1" applyFill="1" applyBorder="1" applyAlignment="1"/>
    <xf numFmtId="2" fontId="33"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4" fillId="0" borderId="0" xfId="1" applyFont="1" applyFill="1" applyAlignment="1">
      <alignment horizontal="center"/>
    </xf>
    <xf numFmtId="2" fontId="33"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3" fillId="2" borderId="7" xfId="3" applyNumberFormat="1" applyFont="1" applyFill="1" applyBorder="1" applyAlignment="1">
      <alignment horizontal="right"/>
    </xf>
    <xf numFmtId="2" fontId="33"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3" fillId="0" borderId="7" xfId="0" applyNumberFormat="1" applyFont="1" applyFill="1" applyBorder="1" applyAlignment="1">
      <alignment horizontal="right"/>
    </xf>
    <xf numFmtId="10" fontId="33" fillId="0" borderId="7" xfId="3" applyNumberFormat="1" applyFont="1" applyFill="1" applyBorder="1" applyAlignment="1">
      <alignment horizontal="right"/>
    </xf>
    <xf numFmtId="2" fontId="33"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5"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3" fillId="2" borderId="7" xfId="0" applyFont="1" applyFill="1" applyBorder="1" applyAlignment="1"/>
    <xf numFmtId="14" fontId="25" fillId="0" borderId="7" xfId="0" applyNumberFormat="1" applyFont="1" applyBorder="1" applyAlignment="1">
      <alignment horizontal="center"/>
    </xf>
    <xf numFmtId="0" fontId="33" fillId="0" borderId="7" xfId="0" applyFont="1" applyBorder="1" applyAlignment="1"/>
    <xf numFmtId="10" fontId="33" fillId="0" borderId="7" xfId="3" applyNumberFormat="1" applyFont="1" applyBorder="1" applyAlignment="1"/>
    <xf numFmtId="2" fontId="33" fillId="0" borderId="7" xfId="3" applyNumberFormat="1" applyFont="1" applyFill="1" applyBorder="1" applyAlignment="1"/>
    <xf numFmtId="2" fontId="25" fillId="0" borderId="7" xfId="0" applyNumberFormat="1" applyFont="1" applyFill="1" applyBorder="1" applyAlignment="1"/>
    <xf numFmtId="0" fontId="33" fillId="0" borderId="7" xfId="0" applyFont="1" applyFill="1" applyBorder="1" applyAlignment="1"/>
    <xf numFmtId="10" fontId="33" fillId="0" borderId="7" xfId="3" applyNumberFormat="1" applyFont="1" applyFill="1" applyBorder="1" applyAlignment="1"/>
    <xf numFmtId="2" fontId="33"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3" fillId="12" borderId="7" xfId="0" applyFont="1" applyFill="1" applyBorder="1" applyAlignment="1"/>
    <xf numFmtId="10" fontId="33" fillId="12" borderId="7" xfId="3" applyNumberFormat="1" applyFont="1" applyFill="1" applyBorder="1" applyAlignment="1"/>
    <xf numFmtId="2" fontId="33" fillId="12" borderId="7" xfId="3" applyNumberFormat="1" applyFont="1" applyFill="1" applyBorder="1" applyAlignment="1"/>
    <xf numFmtId="10" fontId="33"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3"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10" fontId="32" fillId="8" borderId="0" xfId="3" applyNumberFormat="1" applyFont="1" applyFill="1" applyAlignment="1">
      <alignment horizontal="center" vertical="center"/>
    </xf>
    <xf numFmtId="10" fontId="16" fillId="0" borderId="0" xfId="0" applyNumberFormat="1" applyFont="1"/>
    <xf numFmtId="2" fontId="16" fillId="0" borderId="0" xfId="0" applyNumberFormat="1" applyFont="1"/>
    <xf numFmtId="0" fontId="36" fillId="0" borderId="0" xfId="5"/>
    <xf numFmtId="0" fontId="13" fillId="8" borderId="0" xfId="0" applyNumberFormat="1" applyFont="1" applyFill="1" applyAlignment="1">
      <alignment horizontal="left" vertical="center"/>
    </xf>
    <xf numFmtId="0" fontId="12" fillId="0" borderId="0" xfId="3" applyNumberFormat="1" applyFont="1" applyAlignment="1">
      <alignment horizontal="center"/>
    </xf>
    <xf numFmtId="0" fontId="0" fillId="7" borderId="0" xfId="0" applyNumberFormat="1" applyFill="1"/>
    <xf numFmtId="0" fontId="15" fillId="7" borderId="4" xfId="2" applyFill="1" applyAlignment="1">
      <alignment horizontal="center"/>
    </xf>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0" fontId="0" fillId="35" borderId="0" xfId="0" applyFill="1" applyAlignment="1">
      <alignment horizontal="center" vertical="center" wrapText="1"/>
    </xf>
    <xf numFmtId="16" fontId="0" fillId="4" borderId="0" xfId="0" applyNumberFormat="1" applyFill="1" applyAlignment="1">
      <alignment horizontal="right" vertical="center"/>
    </xf>
    <xf numFmtId="0" fontId="0" fillId="0" borderId="0" xfId="0" applyFill="1" applyAlignment="1">
      <alignment horizontal="center"/>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066">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color theme="0" tint="-0.24994659260841701"/>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color theme="0" tint="-0.1499679555650502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color theme="0" tint="-0.1499679555650502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14996795556505021"/>
      </font>
    </dxf>
    <dxf>
      <font>
        <color theme="0" tint="-0.34998626667073579"/>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b/>
        <i val="0"/>
        <color rgb="FFFF0000"/>
      </font>
    </dxf>
    <dxf>
      <font>
        <color theme="0" tint="-0.14996795556505021"/>
      </font>
    </dxf>
    <dxf>
      <font>
        <color theme="0" tint="-0.24994659260841701"/>
      </font>
    </dxf>
    <dxf>
      <font>
        <color theme="0" tint="-0.34998626667073579"/>
      </font>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065"/>
      <tableStyleElement type="headerRow" dxfId="4064"/>
    </tableStyle>
  </tableStyles>
  <colors>
    <mruColors>
      <color rgb="FFFF3300"/>
      <color rgb="FFFF7C5D"/>
      <color rgb="FFE7271D"/>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microsoft.com/office/2006/relationships/vbaProject" Target="vbaProject.bin"/><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theme" Target="theme/theme1.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worksheet" Target="worksheets/sheet87.xml"/><Relationship Id="rId102" Type="http://schemas.openxmlformats.org/officeDocument/2006/relationships/worksheet" Target="worksheets/sheet102.xml"/><Relationship Id="rId110" Type="http://schemas.openxmlformats.org/officeDocument/2006/relationships/worksheet" Target="worksheets/sheet110.xml"/><Relationship Id="rId115" Type="http://schemas.openxmlformats.org/officeDocument/2006/relationships/sharedStrings" Target="sharedStrings.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connections" Target="connection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styles" Target="style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numCache>
            </c:numRef>
          </c:yVal>
          <c:smooth val="1"/>
        </c:ser>
        <c:dLbls>
          <c:showLegendKey val="0"/>
          <c:showVal val="0"/>
          <c:showCatName val="0"/>
          <c:showSerName val="0"/>
          <c:showPercent val="0"/>
          <c:showBubbleSize val="0"/>
        </c:dLbls>
        <c:axId val="405203528"/>
        <c:axId val="407512248"/>
      </c:scatterChart>
      <c:valAx>
        <c:axId val="40520352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7512248"/>
        <c:crosses val="autoZero"/>
        <c:crossBetween val="midCat"/>
      </c:valAx>
      <c:valAx>
        <c:axId val="407512248"/>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520352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Balance!$B$2:$B$939</c:f>
              <c:numCache>
                <c:formatCode>m/d/yyyy</c:formatCode>
                <c:ptCount val="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numCache>
            </c:numRef>
          </c:xVal>
          <c:yVal>
            <c:numRef>
              <c:f>Balance!$M$2:$M$989</c:f>
              <c:numCache>
                <c:formatCode>0.00</c:formatCode>
                <c:ptCount val="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numCache>
            </c:numRef>
          </c:yVal>
          <c:smooth val="1"/>
        </c:ser>
        <c:dLbls>
          <c:showLegendKey val="0"/>
          <c:showVal val="0"/>
          <c:showCatName val="0"/>
          <c:showSerName val="0"/>
          <c:showPercent val="0"/>
          <c:showBubbleSize val="0"/>
        </c:dLbls>
        <c:axId val="451195224"/>
        <c:axId val="451196400"/>
      </c:scatterChart>
      <c:valAx>
        <c:axId val="45119522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1196400"/>
        <c:crosses val="autoZero"/>
        <c:crossBetween val="midCat"/>
      </c:valAx>
      <c:valAx>
        <c:axId val="451196400"/>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1195224"/>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numCache>
            </c:numRef>
          </c:yVal>
          <c:smooth val="1"/>
        </c:ser>
        <c:dLbls>
          <c:showLegendKey val="0"/>
          <c:showVal val="0"/>
          <c:showCatName val="0"/>
          <c:showSerName val="0"/>
          <c:showPercent val="0"/>
          <c:showBubbleSize val="0"/>
        </c:dLbls>
        <c:axId val="451194048"/>
        <c:axId val="451192480"/>
      </c:scatterChart>
      <c:valAx>
        <c:axId val="45119404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1192480"/>
        <c:crosses val="autoZero"/>
        <c:crossBetween val="midCat"/>
      </c:valAx>
      <c:valAx>
        <c:axId val="451192480"/>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119404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Balance!$B$2:$B$989</c:f>
              <c:numCache>
                <c:formatCode>m/d/yyyy</c:formatCode>
                <c:ptCount val="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numCache>
            </c:numRef>
          </c:xVal>
          <c:yVal>
            <c:numRef>
              <c:f>Balance!$Q$2:$Q$992</c:f>
              <c:numCache>
                <c:formatCode>0.00%</c:formatCode>
                <c:ptCount val="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numCache>
            </c:numRef>
          </c:yVal>
          <c:smooth val="1"/>
        </c:ser>
        <c:dLbls>
          <c:showLegendKey val="0"/>
          <c:showVal val="0"/>
          <c:showCatName val="0"/>
          <c:showSerName val="0"/>
          <c:showPercent val="0"/>
          <c:showBubbleSize val="0"/>
        </c:dLbls>
        <c:axId val="451197184"/>
        <c:axId val="451197576"/>
      </c:scatterChart>
      <c:valAx>
        <c:axId val="45119718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1197576"/>
        <c:crosses val="autoZero"/>
        <c:crossBetween val="midCat"/>
      </c:valAx>
      <c:valAx>
        <c:axId val="451197576"/>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119718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Balance!$B$2:$B$986</c:f>
              <c:numCache>
                <c:formatCode>m/d/yyyy</c:formatCode>
                <c:ptCount val="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numCache>
            </c:numRef>
          </c:xVal>
          <c:yVal>
            <c:numRef>
              <c:f>Balance!$V$2:$V$893</c:f>
              <c:numCache>
                <c:formatCode>0.00%</c:formatCode>
                <c:ptCount val="8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numCache>
            </c:numRef>
          </c:yVal>
          <c:smooth val="1"/>
        </c:ser>
        <c:dLbls>
          <c:showLegendKey val="0"/>
          <c:showVal val="0"/>
          <c:showCatName val="0"/>
          <c:showSerName val="0"/>
          <c:showPercent val="0"/>
          <c:showBubbleSize val="0"/>
        </c:dLbls>
        <c:axId val="404659656"/>
        <c:axId val="404660440"/>
      </c:scatterChart>
      <c:valAx>
        <c:axId val="40465965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4660440"/>
        <c:crosses val="autoZero"/>
        <c:crossBetween val="midCat"/>
      </c:valAx>
      <c:valAx>
        <c:axId val="404660440"/>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465965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numCache>
            </c:numRef>
          </c:yVal>
          <c:smooth val="1"/>
        </c:ser>
        <c:dLbls>
          <c:showLegendKey val="0"/>
          <c:showVal val="0"/>
          <c:showCatName val="0"/>
          <c:showSerName val="0"/>
          <c:showPercent val="0"/>
          <c:showBubbleSize val="0"/>
        </c:dLbls>
        <c:axId val="466124752"/>
        <c:axId val="466123184"/>
      </c:scatterChart>
      <c:valAx>
        <c:axId val="46612475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6123184"/>
        <c:crosses val="autoZero"/>
        <c:crossBetween val="midCat"/>
      </c:valAx>
      <c:valAx>
        <c:axId val="466123184"/>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612475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numCache>
            </c:numRef>
          </c:xVal>
          <c:yVal>
            <c:numRef>
              <c:f>Balance!$S$2:$S$993</c:f>
              <c:numCache>
                <c:formatCode>0.00%</c:formatCode>
                <c:ptCount val="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numCache>
            </c:numRef>
          </c:yVal>
          <c:smooth val="1"/>
        </c:ser>
        <c:dLbls>
          <c:showLegendKey val="0"/>
          <c:showVal val="0"/>
          <c:showCatName val="0"/>
          <c:showSerName val="0"/>
          <c:showPercent val="0"/>
          <c:showBubbleSize val="0"/>
        </c:dLbls>
        <c:axId val="466118480"/>
        <c:axId val="466124360"/>
      </c:scatterChart>
      <c:valAx>
        <c:axId val="46611848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6124360"/>
        <c:crosses val="autoZero"/>
        <c:crossBetween val="midCat"/>
      </c:valAx>
      <c:valAx>
        <c:axId val="466124360"/>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6118480"/>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numCache>
            </c:numRef>
          </c:yVal>
          <c:smooth val="1"/>
        </c:ser>
        <c:dLbls>
          <c:showLegendKey val="0"/>
          <c:showVal val="0"/>
          <c:showCatName val="0"/>
          <c:showSerName val="0"/>
          <c:showPercent val="0"/>
          <c:showBubbleSize val="0"/>
        </c:dLbls>
        <c:axId val="466119264"/>
        <c:axId val="466125144"/>
      </c:scatterChart>
      <c:valAx>
        <c:axId val="46611926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6125144"/>
        <c:crosses val="autoZero"/>
        <c:crossBetween val="midCat"/>
      </c:valAx>
      <c:valAx>
        <c:axId val="466125144"/>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611926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51198360"/>
        <c:axId val="451190912"/>
      </c:lineChart>
      <c:dateAx>
        <c:axId val="45119836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51190912"/>
        <c:crosses val="autoZero"/>
        <c:auto val="1"/>
        <c:lblOffset val="100"/>
        <c:baseTimeUnit val="days"/>
      </c:dateAx>
      <c:valAx>
        <c:axId val="451190912"/>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5119836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67514712"/>
        <c:axId val="467512360"/>
      </c:lineChart>
      <c:dateAx>
        <c:axId val="467514712"/>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512360"/>
        <c:crosses val="autoZero"/>
        <c:auto val="1"/>
        <c:lblOffset val="100"/>
        <c:baseTimeUnit val="days"/>
      </c:dateAx>
      <c:valAx>
        <c:axId val="46751236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5147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DWDP!$E$24</c:f>
              <c:strCache>
                <c:ptCount val="1"/>
                <c:pt idx="0">
                  <c:v>price</c:v>
                </c:pt>
              </c:strCache>
            </c:strRef>
          </c:tx>
          <c:spPr>
            <a:ln w="28575" cap="rnd">
              <a:solidFill>
                <a:schemeClr val="accent1"/>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numCache>
            </c:numRef>
          </c:cat>
          <c:val>
            <c:numRef>
              <c:f>DWDP!$E$25:$E$55</c:f>
              <c:numCache>
                <c:formatCode>0.00</c:formatCode>
                <c:ptCount val="31"/>
                <c:pt idx="0">
                  <c:v>63.5</c:v>
                </c:pt>
                <c:pt idx="1">
                  <c:v>59.32</c:v>
                </c:pt>
                <c:pt idx="2">
                  <c:v>57.49</c:v>
                </c:pt>
                <c:pt idx="3">
                  <c:v>57.85</c:v>
                </c:pt>
                <c:pt idx="4">
                  <c:v>55.92</c:v>
                </c:pt>
                <c:pt idx="5">
                  <c:v>53.75</c:v>
                </c:pt>
                <c:pt idx="6">
                  <c:v>52.78</c:v>
                </c:pt>
                <c:pt idx="7">
                  <c:v>58.06</c:v>
                </c:pt>
                <c:pt idx="8">
                  <c:v>55.58</c:v>
                </c:pt>
                <c:pt idx="9">
                  <c:v>55.69</c:v>
                </c:pt>
              </c:numCache>
            </c:numRef>
          </c:val>
          <c:smooth val="0"/>
        </c:ser>
        <c:ser>
          <c:idx val="1"/>
          <c:order val="1"/>
          <c:tx>
            <c:strRef>
              <c:f>DWDP!$D$24</c:f>
              <c:strCache>
                <c:ptCount val="1"/>
                <c:pt idx="0">
                  <c:v>mean cost</c:v>
                </c:pt>
              </c:strCache>
            </c:strRef>
          </c:tx>
          <c:spPr>
            <a:ln w="28575" cap="rnd">
              <a:solidFill>
                <a:schemeClr val="accent2"/>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numCache>
            </c:numRef>
          </c:cat>
          <c:val>
            <c:numRef>
              <c:f>DWDP!$D$25:$D$55</c:f>
              <c:numCache>
                <c:formatCode>0.00</c:formatCode>
                <c:ptCount val="31"/>
                <c:pt idx="0">
                  <c:v>63.5</c:v>
                </c:pt>
                <c:pt idx="1">
                  <c:v>63.5</c:v>
                </c:pt>
                <c:pt idx="2">
                  <c:v>63.5</c:v>
                </c:pt>
                <c:pt idx="3">
                  <c:v>63.5</c:v>
                </c:pt>
                <c:pt idx="4">
                  <c:v>58.65</c:v>
                </c:pt>
                <c:pt idx="5">
                  <c:v>58.65</c:v>
                </c:pt>
                <c:pt idx="6">
                  <c:v>58.46</c:v>
                </c:pt>
                <c:pt idx="7">
                  <c:v>58.46</c:v>
                </c:pt>
                <c:pt idx="8">
                  <c:v>58.46</c:v>
                </c:pt>
                <c:pt idx="9">
                  <c:v>58.08</c:v>
                </c:pt>
              </c:numCache>
            </c:numRef>
          </c:val>
          <c:smooth val="0"/>
        </c:ser>
        <c:dLbls>
          <c:showLegendKey val="0"/>
          <c:showVal val="0"/>
          <c:showCatName val="0"/>
          <c:showSerName val="0"/>
          <c:showPercent val="0"/>
          <c:showBubbleSize val="0"/>
        </c:dLbls>
        <c:smooth val="0"/>
        <c:axId val="467513928"/>
        <c:axId val="467508832"/>
      </c:lineChart>
      <c:dateAx>
        <c:axId val="4675139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508832"/>
        <c:crosses val="autoZero"/>
        <c:auto val="1"/>
        <c:lblOffset val="100"/>
        <c:baseTimeUnit val="days"/>
      </c:dateAx>
      <c:valAx>
        <c:axId val="4675088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51392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DWDP!$F$24</c:f>
              <c:strCache>
                <c:ptCount val="1"/>
                <c:pt idx="0">
                  <c:v>P/L</c:v>
                </c:pt>
              </c:strCache>
            </c:strRef>
          </c:tx>
          <c:spPr>
            <a:ln w="28575" cap="rnd">
              <a:solidFill>
                <a:schemeClr val="accent1"/>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numCache>
            </c:numRef>
          </c:cat>
          <c:val>
            <c:numRef>
              <c:f>DWDP!$F$25:$F$55</c:f>
              <c:numCache>
                <c:formatCode>0.00</c:formatCode>
                <c:ptCount val="31"/>
                <c:pt idx="0">
                  <c:v>0</c:v>
                </c:pt>
                <c:pt idx="1">
                  <c:v>-418</c:v>
                </c:pt>
                <c:pt idx="2">
                  <c:v>-600.99999999999977</c:v>
                </c:pt>
                <c:pt idx="3">
                  <c:v>-564.99999999999989</c:v>
                </c:pt>
                <c:pt idx="4">
                  <c:v>-545.99999999999932</c:v>
                </c:pt>
                <c:pt idx="5">
                  <c:v>-979.99999999999977</c:v>
                </c:pt>
                <c:pt idx="6">
                  <c:v>-1136</c:v>
                </c:pt>
                <c:pt idx="7">
                  <c:v>-79.999999999999716</c:v>
                </c:pt>
                <c:pt idx="8">
                  <c:v>-576.00000000000045</c:v>
                </c:pt>
                <c:pt idx="9">
                  <c:v>-478.00000000000011</c:v>
                </c:pt>
              </c:numCache>
            </c:numRef>
          </c:val>
          <c:smooth val="0"/>
        </c:ser>
        <c:dLbls>
          <c:showLegendKey val="0"/>
          <c:showVal val="0"/>
          <c:showCatName val="0"/>
          <c:showSerName val="0"/>
          <c:showPercent val="0"/>
          <c:showBubbleSize val="0"/>
        </c:dLbls>
        <c:smooth val="0"/>
        <c:axId val="467514320"/>
        <c:axId val="467508048"/>
      </c:lineChart>
      <c:dateAx>
        <c:axId val="4675143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508048"/>
        <c:crosses val="autoZero"/>
        <c:auto val="1"/>
        <c:lblOffset val="100"/>
        <c:baseTimeUnit val="days"/>
      </c:dateAx>
      <c:valAx>
        <c:axId val="4675080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51432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IEMG!$B$25:$B$60</c:f>
              <c:numCache>
                <c:formatCode>d\-mmm</c:formatCode>
                <c:ptCount val="36"/>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numCache>
            </c:numRef>
          </c:cat>
          <c:val>
            <c:numRef>
              <c:f>IEMG!$E$25:$E$63</c:f>
              <c:numCache>
                <c:formatCode>0.00</c:formatCode>
                <c:ptCount val="39"/>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IEMG!$B$25:$B$60</c:f>
              <c:numCache>
                <c:formatCode>d\-mmm</c:formatCode>
                <c:ptCount val="36"/>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numCache>
            </c:numRef>
          </c:cat>
          <c:val>
            <c:numRef>
              <c:f>IEMG!$D$25:$D$58</c:f>
              <c:numCache>
                <c:formatCode>0.00</c:formatCode>
                <c:ptCount val="34"/>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numCache>
            </c:numRef>
          </c:val>
          <c:smooth val="0"/>
        </c:ser>
        <c:dLbls>
          <c:showLegendKey val="0"/>
          <c:showVal val="0"/>
          <c:showCatName val="0"/>
          <c:showSerName val="0"/>
          <c:showPercent val="0"/>
          <c:showBubbleSize val="0"/>
        </c:dLbls>
        <c:marker val="1"/>
        <c:smooth val="0"/>
        <c:axId val="467510008"/>
        <c:axId val="467510400"/>
      </c:lineChart>
      <c:dateAx>
        <c:axId val="4675100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510400"/>
        <c:crosses val="autoZero"/>
        <c:auto val="1"/>
        <c:lblOffset val="100"/>
        <c:baseTimeUnit val="days"/>
      </c:dateAx>
      <c:valAx>
        <c:axId val="467510400"/>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51000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IEMG!$B$25:$B$62</c:f>
              <c:numCache>
                <c:formatCode>d\-mmm</c:formatCode>
                <c:ptCount val="38"/>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numCache>
            </c:numRef>
          </c:cat>
          <c:val>
            <c:numRef>
              <c:f>IEMG!$F$25:$F$62</c:f>
              <c:numCache>
                <c:formatCode>0.00</c:formatCode>
                <c:ptCount val="38"/>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numCache>
            </c:numRef>
          </c:val>
          <c:smooth val="0"/>
        </c:ser>
        <c:dLbls>
          <c:showLegendKey val="0"/>
          <c:showVal val="0"/>
          <c:showCatName val="0"/>
          <c:showSerName val="0"/>
          <c:showPercent val="0"/>
          <c:showBubbleSize val="0"/>
        </c:dLbls>
        <c:marker val="1"/>
        <c:smooth val="0"/>
        <c:axId val="469616536"/>
        <c:axId val="469619280"/>
      </c:lineChart>
      <c:dateAx>
        <c:axId val="4696165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619280"/>
        <c:crosses val="autoZero"/>
        <c:auto val="1"/>
        <c:lblOffset val="100"/>
        <c:baseTimeUnit val="days"/>
      </c:dateAx>
      <c:valAx>
        <c:axId val="4696192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61653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numCache>
            </c:numRef>
          </c:cat>
          <c:val>
            <c:numRef>
              <c:f>CVS!$E$25:$E$57</c:f>
              <c:numCache>
                <c:formatCode>0.00</c:formatCode>
                <c:ptCount val="33"/>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numCache>
            </c:numRef>
          </c:cat>
          <c:val>
            <c:numRef>
              <c:f>CVS!$D$25:$D$57</c:f>
              <c:numCache>
                <c:formatCode>0.00</c:formatCode>
                <c:ptCount val="33"/>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numCache>
            </c:numRef>
          </c:val>
          <c:smooth val="0"/>
        </c:ser>
        <c:dLbls>
          <c:showLegendKey val="0"/>
          <c:showVal val="0"/>
          <c:showCatName val="0"/>
          <c:showSerName val="0"/>
          <c:showPercent val="0"/>
          <c:showBubbleSize val="0"/>
        </c:dLbls>
        <c:smooth val="0"/>
        <c:axId val="469618496"/>
        <c:axId val="469618104"/>
      </c:lineChart>
      <c:dateAx>
        <c:axId val="4696184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618104"/>
        <c:crosses val="autoZero"/>
        <c:auto val="1"/>
        <c:lblOffset val="100"/>
        <c:baseTimeUnit val="days"/>
      </c:dateAx>
      <c:valAx>
        <c:axId val="469618104"/>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61849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numCache>
            </c:numRef>
          </c:cat>
          <c:val>
            <c:numRef>
              <c:f>CVS!$K$25:$K$57</c:f>
              <c:numCache>
                <c:formatCode>0.00</c:formatCode>
                <c:ptCount val="33"/>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numCache>
            </c:numRef>
          </c:val>
          <c:smooth val="0"/>
        </c:ser>
        <c:dLbls>
          <c:showLegendKey val="0"/>
          <c:showVal val="0"/>
          <c:showCatName val="0"/>
          <c:showSerName val="0"/>
          <c:showPercent val="0"/>
          <c:showBubbleSize val="0"/>
        </c:dLbls>
        <c:smooth val="0"/>
        <c:axId val="469622024"/>
        <c:axId val="469618888"/>
      </c:lineChart>
      <c:dateAx>
        <c:axId val="4696220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618888"/>
        <c:crosses val="autoZero"/>
        <c:auto val="1"/>
        <c:lblOffset val="100"/>
        <c:baseTimeUnit val="days"/>
      </c:dateAx>
      <c:valAx>
        <c:axId val="4696188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62202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numCache>
            </c:numRef>
          </c:cat>
          <c:val>
            <c:numRef>
              <c:f>DOW!$E$25:$E$55</c:f>
              <c:numCache>
                <c:formatCode>0.00</c:formatCode>
                <c:ptCount val="31"/>
                <c:pt idx="0">
                  <c:v>56.88</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numCache>
            </c:numRef>
          </c:cat>
          <c:val>
            <c:numRef>
              <c:f>DOW!$D$25:$D$55</c:f>
              <c:numCache>
                <c:formatCode>0.00</c:formatCode>
                <c:ptCount val="31"/>
                <c:pt idx="0">
                  <c:v>57.13</c:v>
                </c:pt>
              </c:numCache>
            </c:numRef>
          </c:val>
          <c:smooth val="0"/>
        </c:ser>
        <c:dLbls>
          <c:showLegendKey val="0"/>
          <c:showVal val="0"/>
          <c:showCatName val="0"/>
          <c:showSerName val="0"/>
          <c:showPercent val="0"/>
          <c:showBubbleSize val="0"/>
        </c:dLbls>
        <c:smooth val="0"/>
        <c:axId val="469620848"/>
        <c:axId val="469621240"/>
      </c:lineChart>
      <c:dateAx>
        <c:axId val="4696208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621240"/>
        <c:crosses val="autoZero"/>
        <c:auto val="1"/>
        <c:lblOffset val="100"/>
        <c:baseTimeUnit val="days"/>
      </c:dateAx>
      <c:valAx>
        <c:axId val="4696212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62084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numCache>
            </c:numRef>
          </c:cat>
          <c:val>
            <c:numRef>
              <c:f>DOW!$F$25:$F$55</c:f>
              <c:numCache>
                <c:formatCode>0.00</c:formatCode>
                <c:ptCount val="31"/>
                <c:pt idx="0">
                  <c:v>-16.5</c:v>
                </c:pt>
              </c:numCache>
            </c:numRef>
          </c:val>
          <c:smooth val="0"/>
        </c:ser>
        <c:dLbls>
          <c:showLegendKey val="0"/>
          <c:showVal val="0"/>
          <c:showCatName val="0"/>
          <c:showSerName val="0"/>
          <c:showPercent val="0"/>
          <c:showBubbleSize val="0"/>
        </c:dLbls>
        <c:smooth val="0"/>
        <c:axId val="469616144"/>
        <c:axId val="469617712"/>
      </c:lineChart>
      <c:dateAx>
        <c:axId val="4696161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617712"/>
        <c:crosses val="autoZero"/>
        <c:auto val="1"/>
        <c:lblOffset val="100"/>
        <c:baseTimeUnit val="days"/>
      </c:dateAx>
      <c:valAx>
        <c:axId val="4696177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6161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MRO!$D$131</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MRO!$B$132:$B$366</c:f>
              <c:numCache>
                <c:formatCode>m/d/yyyy</c:formatCode>
                <c:ptCount val="235"/>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numCache>
            </c:numRef>
          </c:cat>
          <c:val>
            <c:numRef>
              <c:f>MRO!$D$132:$D$366</c:f>
              <c:numCache>
                <c:formatCode>0.000</c:formatCode>
                <c:ptCount val="235"/>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numCache>
            </c:numRef>
          </c:val>
          <c:smooth val="0"/>
        </c:ser>
        <c:ser>
          <c:idx val="2"/>
          <c:order val="1"/>
          <c:tx>
            <c:strRef>
              <c:f>MRO!$E$131</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MRO!$B$132:$B$366</c:f>
              <c:numCache>
                <c:formatCode>m/d/yyyy</c:formatCode>
                <c:ptCount val="235"/>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numCache>
            </c:numRef>
          </c:cat>
          <c:val>
            <c:numRef>
              <c:f>MRO!$E$132:$E$366</c:f>
              <c:numCache>
                <c:formatCode>0.00</c:formatCode>
                <c:ptCount val="235"/>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numCache>
            </c:numRef>
          </c:val>
          <c:smooth val="0"/>
        </c:ser>
        <c:dLbls>
          <c:showLegendKey val="0"/>
          <c:showVal val="0"/>
          <c:showCatName val="0"/>
          <c:showSerName val="0"/>
          <c:showPercent val="0"/>
          <c:showBubbleSize val="0"/>
        </c:dLbls>
        <c:marker val="1"/>
        <c:smooth val="0"/>
        <c:axId val="469621632"/>
        <c:axId val="469620456"/>
      </c:lineChart>
      <c:dateAx>
        <c:axId val="46962163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620456"/>
        <c:crosses val="autoZero"/>
        <c:auto val="1"/>
        <c:lblOffset val="100"/>
        <c:baseTimeUnit val="days"/>
      </c:dateAx>
      <c:valAx>
        <c:axId val="469620456"/>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62163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MRO!$K$131</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MRO!$B$132:$B$366</c:f>
              <c:numCache>
                <c:formatCode>m/d/yyyy</c:formatCode>
                <c:ptCount val="235"/>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numCache>
            </c:numRef>
          </c:cat>
          <c:val>
            <c:numRef>
              <c:f>MRO!$K$132:$K$366</c:f>
              <c:numCache>
                <c:formatCode>0.00</c:formatCode>
                <c:ptCount val="235"/>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numCache>
            </c:numRef>
          </c:val>
          <c:smooth val="0"/>
        </c:ser>
        <c:dLbls>
          <c:showLegendKey val="0"/>
          <c:showVal val="0"/>
          <c:showCatName val="0"/>
          <c:showSerName val="0"/>
          <c:showPercent val="0"/>
          <c:showBubbleSize val="0"/>
        </c:dLbls>
        <c:marker val="1"/>
        <c:smooth val="0"/>
        <c:axId val="483803984"/>
        <c:axId val="483807512"/>
      </c:lineChart>
      <c:dateAx>
        <c:axId val="48380398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807512"/>
        <c:crosses val="autoZero"/>
        <c:auto val="1"/>
        <c:lblOffset val="100"/>
        <c:baseTimeUnit val="days"/>
      </c:dateAx>
      <c:valAx>
        <c:axId val="4838075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8039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GE!$E$25:$E$65</c:f>
              <c:numCache>
                <c:formatCode>0.00</c:formatCode>
                <c:ptCount val="41"/>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numCache>
            </c:numRef>
          </c:val>
          <c:smooth val="0"/>
        </c:ser>
        <c:ser>
          <c:idx val="1"/>
          <c:order val="1"/>
          <c:tx>
            <c:strRef>
              <c:f>GE!$D$24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GE!$D$25:$D$65</c:f>
              <c:numCache>
                <c:formatCode>0.00</c:formatCode>
                <c:ptCount val="41"/>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numCache>
            </c:numRef>
          </c:val>
          <c:smooth val="0"/>
        </c:ser>
        <c:dLbls>
          <c:showLegendKey val="0"/>
          <c:showVal val="0"/>
          <c:showCatName val="0"/>
          <c:showSerName val="0"/>
          <c:showPercent val="0"/>
          <c:showBubbleSize val="0"/>
        </c:dLbls>
        <c:marker val="1"/>
        <c:smooth val="0"/>
        <c:axId val="483805944"/>
        <c:axId val="483805552"/>
      </c:lineChart>
      <c:dateAx>
        <c:axId val="4838059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805552"/>
        <c:crosses val="autoZero"/>
        <c:auto val="1"/>
        <c:lblOffset val="100"/>
        <c:baseTimeUnit val="days"/>
      </c:dateAx>
      <c:valAx>
        <c:axId val="4838055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8059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GE!$F$24</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GE!$J$25:$J$65</c:f>
              <c:numCache>
                <c:formatCode>0.00</c:formatCode>
                <c:ptCount val="41"/>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-1141.81</c:v>
                </c:pt>
                <c:pt idx="37">
                  <c:v>-1133.81</c:v>
                </c:pt>
              </c:numCache>
            </c:numRef>
          </c:val>
          <c:smooth val="0"/>
        </c:ser>
        <c:dLbls>
          <c:showLegendKey val="0"/>
          <c:showVal val="0"/>
          <c:showCatName val="0"/>
          <c:showSerName val="0"/>
          <c:showPercent val="0"/>
          <c:showBubbleSize val="0"/>
        </c:dLbls>
        <c:marker val="1"/>
        <c:smooth val="0"/>
        <c:axId val="483804376"/>
        <c:axId val="483807904"/>
      </c:lineChart>
      <c:dateAx>
        <c:axId val="4838043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807904"/>
        <c:crosses val="autoZero"/>
        <c:auto val="1"/>
        <c:lblOffset val="100"/>
        <c:baseTimeUnit val="days"/>
      </c:dateAx>
      <c:valAx>
        <c:axId val="4838079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8043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83808296"/>
        <c:axId val="483806728"/>
      </c:lineChart>
      <c:dateAx>
        <c:axId val="4838082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806728"/>
        <c:crosses val="autoZero"/>
        <c:auto val="1"/>
        <c:lblOffset val="100"/>
        <c:baseTimeUnit val="days"/>
      </c:dateAx>
      <c:valAx>
        <c:axId val="483806728"/>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8082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83810256"/>
        <c:axId val="483803592"/>
      </c:lineChart>
      <c:dateAx>
        <c:axId val="4838102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803592"/>
        <c:crosses val="autoZero"/>
        <c:auto val="1"/>
        <c:lblOffset val="100"/>
        <c:baseTimeUnit val="days"/>
      </c:dateAx>
      <c:valAx>
        <c:axId val="4838035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8102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KR!$E$65</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KR!$E$66:$E$188</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numCache>
            </c:numRef>
          </c:val>
          <c:smooth val="0"/>
        </c:ser>
        <c:ser>
          <c:idx val="1"/>
          <c:order val="1"/>
          <c:tx>
            <c:strRef>
              <c:f>KR!$D$65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KR!$D$66:$D$188</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numCache>
            </c:numRef>
          </c:val>
          <c:smooth val="0"/>
        </c:ser>
        <c:dLbls>
          <c:showLegendKey val="0"/>
          <c:showVal val="0"/>
          <c:showCatName val="0"/>
          <c:showSerName val="0"/>
          <c:showPercent val="0"/>
          <c:showBubbleSize val="0"/>
        </c:dLbls>
        <c:marker val="1"/>
        <c:smooth val="0"/>
        <c:axId val="483809864"/>
        <c:axId val="483803200"/>
      </c:lineChart>
      <c:dateAx>
        <c:axId val="4838098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803200"/>
        <c:crosses val="autoZero"/>
        <c:auto val="1"/>
        <c:lblOffset val="100"/>
        <c:baseTimeUnit val="days"/>
      </c:dateAx>
      <c:valAx>
        <c:axId val="483803200"/>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809864"/>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KR!$K$65</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KR!$K$66:$K$188</c:f>
              <c:numCache>
                <c:formatCode>0.00</c:formatCode>
                <c:ptCount val="123"/>
                <c:pt idx="0">
                  <c:v>1690.9699999999916</c:v>
                </c:pt>
                <c:pt idx="1">
                  <c:v>1374.9699999999921</c:v>
                </c:pt>
                <c:pt idx="2">
                  <c:v>1356.9699999999921</c:v>
                </c:pt>
                <c:pt idx="3">
                  <c:v>1686.9699999999939</c:v>
                </c:pt>
                <c:pt idx="4">
                  <c:v>1216.9699999999907</c:v>
                </c:pt>
                <c:pt idx="5">
                  <c:v>1456.96999999999</c:v>
                </c:pt>
                <c:pt idx="6">
                  <c:v>1784.8099999999918</c:v>
                </c:pt>
                <c:pt idx="7">
                  <c:v>1530.8179999999909</c:v>
                </c:pt>
                <c:pt idx="8">
                  <c:v>932.84999999999218</c:v>
                </c:pt>
                <c:pt idx="9">
                  <c:v>-241.150000000006</c:v>
                </c:pt>
                <c:pt idx="10">
                  <c:v>-1739.5300000000052</c:v>
                </c:pt>
                <c:pt idx="11">
                  <c:v>-3057.9300000000094</c:v>
                </c:pt>
                <c:pt idx="12">
                  <c:v>-2785.0300000000034</c:v>
                </c:pt>
                <c:pt idx="13">
                  <c:v>-2395.0300000000016</c:v>
                </c:pt>
                <c:pt idx="14">
                  <c:v>-2017.0300000000029</c:v>
                </c:pt>
                <c:pt idx="15">
                  <c:v>-2197.0300000000047</c:v>
                </c:pt>
                <c:pt idx="16">
                  <c:v>-9910.9900000000052</c:v>
                </c:pt>
                <c:pt idx="17">
                  <c:v>-13174.910000000005</c:v>
                </c:pt>
                <c:pt idx="18">
                  <c:v>-11234.91</c:v>
                </c:pt>
                <c:pt idx="19">
                  <c:v>-9195.9730000000036</c:v>
                </c:pt>
                <c:pt idx="20">
                  <c:v>-7092.0300000000025</c:v>
                </c:pt>
                <c:pt idx="21">
                  <c:v>-12578.029999999999</c:v>
                </c:pt>
                <c:pt idx="22">
                  <c:v>-14974.510000000009</c:v>
                </c:pt>
                <c:pt idx="23">
                  <c:v>-14876.030000000002</c:v>
                </c:pt>
                <c:pt idx="24">
                  <c:v>-14266.030000000002</c:v>
                </c:pt>
                <c:pt idx="25">
                  <c:v>-16712.670000000009</c:v>
                </c:pt>
                <c:pt idx="26">
                  <c:v>-15956.030000000006</c:v>
                </c:pt>
                <c:pt idx="27">
                  <c:v>-14476.030000000002</c:v>
                </c:pt>
                <c:pt idx="28">
                  <c:v>-14376.03</c:v>
                </c:pt>
                <c:pt idx="29">
                  <c:v>-12916.030000000008</c:v>
                </c:pt>
                <c:pt idx="30">
                  <c:v>-10423.630000000006</c:v>
                </c:pt>
                <c:pt idx="31">
                  <c:v>-4968.7300000000014</c:v>
                </c:pt>
                <c:pt idx="32">
                  <c:v>-3880.8300000000072</c:v>
                </c:pt>
                <c:pt idx="33">
                  <c:v>-5887.0700000000043</c:v>
                </c:pt>
                <c:pt idx="34">
                  <c:v>-4271.070000000007</c:v>
                </c:pt>
                <c:pt idx="35">
                  <c:v>-3679.0300000000043</c:v>
                </c:pt>
                <c:pt idx="36">
                  <c:v>-3273.8300000000054</c:v>
                </c:pt>
                <c:pt idx="37">
                  <c:v>-1976.5300000000043</c:v>
                </c:pt>
                <c:pt idx="38">
                  <c:v>-2543.0300000000025</c:v>
                </c:pt>
                <c:pt idx="39">
                  <c:v>-1864.7300000000059</c:v>
                </c:pt>
                <c:pt idx="40">
                  <c:v>-2449.730000000005</c:v>
                </c:pt>
                <c:pt idx="41">
                  <c:v>-3410.5300000000061</c:v>
                </c:pt>
                <c:pt idx="42">
                  <c:v>-3981.0300000000079</c:v>
                </c:pt>
                <c:pt idx="43">
                  <c:v>-2938.530000000007</c:v>
                </c:pt>
                <c:pt idx="44">
                  <c:v>-2093.5300000000084</c:v>
                </c:pt>
                <c:pt idx="45">
                  <c:v>-1830.9300000000062</c:v>
                </c:pt>
                <c:pt idx="46">
                  <c:v>-1141.9300000000048</c:v>
                </c:pt>
                <c:pt idx="47">
                  <c:v>247.96999999999389</c:v>
                </c:pt>
                <c:pt idx="48">
                  <c:v>262.32999999999242</c:v>
                </c:pt>
                <c:pt idx="49">
                  <c:v>-153.67000000000803</c:v>
                </c:pt>
                <c:pt idx="50">
                  <c:v>1152.969999999995</c:v>
                </c:pt>
                <c:pt idx="51">
                  <c:v>1757.0259999999921</c:v>
                </c:pt>
                <c:pt idx="52">
                  <c:v>1396.9699999999943</c:v>
                </c:pt>
                <c:pt idx="53">
                  <c:v>78.46999999999457</c:v>
                </c:pt>
                <c:pt idx="54">
                  <c:v>145.96999999999298</c:v>
                </c:pt>
                <c:pt idx="55">
                  <c:v>-2554.030000000007</c:v>
                </c:pt>
                <c:pt idx="56">
                  <c:v>-358.0300000000093</c:v>
                </c:pt>
                <c:pt idx="57">
                  <c:v>-2698.0300000000107</c:v>
                </c:pt>
                <c:pt idx="58">
                  <c:v>-1538.8300000000008</c:v>
                </c:pt>
                <c:pt idx="59">
                  <c:v>-4032.030000000007</c:v>
                </c:pt>
                <c:pt idx="60">
                  <c:v>-11596.630000000005</c:v>
                </c:pt>
                <c:pt idx="61">
                  <c:v>-11617.030000000006</c:v>
                </c:pt>
                <c:pt idx="62">
                  <c:v>-11602.030000000004</c:v>
                </c:pt>
                <c:pt idx="63">
                  <c:v>-8302.0300000000097</c:v>
                </c:pt>
                <c:pt idx="64">
                  <c:v>-9871.0299999999988</c:v>
                </c:pt>
                <c:pt idx="65">
                  <c:v>-7898.0300000000061</c:v>
                </c:pt>
                <c:pt idx="66">
                  <c:v>-7502.0300000000134</c:v>
                </c:pt>
                <c:pt idx="67">
                  <c:v>-8277.0300000000097</c:v>
                </c:pt>
                <c:pt idx="68">
                  <c:v>-6206.030000000007</c:v>
                </c:pt>
                <c:pt idx="69">
                  <c:v>-7007.0300000000025</c:v>
                </c:pt>
                <c:pt idx="70">
                  <c:v>-5257.2300000000087</c:v>
                </c:pt>
                <c:pt idx="71">
                  <c:v>-6457.0300000000061</c:v>
                </c:pt>
                <c:pt idx="72">
                  <c:v>-5182.0300000000107</c:v>
                </c:pt>
                <c:pt idx="73">
                  <c:v>-3930.0300000000061</c:v>
                </c:pt>
                <c:pt idx="74">
                  <c:v>-4120.0300000000043</c:v>
                </c:pt>
                <c:pt idx="75">
                  <c:v>-4161.230000000005</c:v>
                </c:pt>
                <c:pt idx="76">
                  <c:v>-4860.0300000000034</c:v>
                </c:pt>
                <c:pt idx="77">
                  <c:v>-6092.0300000000025</c:v>
                </c:pt>
                <c:pt idx="78">
                  <c:v>-5232.0300000000034</c:v>
                </c:pt>
                <c:pt idx="79">
                  <c:v>-3636.0300000000061</c:v>
                </c:pt>
                <c:pt idx="80">
                  <c:v>-4456.030000000007</c:v>
                </c:pt>
                <c:pt idx="81">
                  <c:v>-4696.0300000000088</c:v>
                </c:pt>
                <c:pt idx="82">
                  <c:v>-5094.0300000000052</c:v>
                </c:pt>
                <c:pt idx="83">
                  <c:v>-5175.430000000003</c:v>
                </c:pt>
                <c:pt idx="84">
                  <c:v>-3108.0300000000079</c:v>
                </c:pt>
                <c:pt idx="85">
                  <c:v>-1723.0300000000061</c:v>
                </c:pt>
                <c:pt idx="86">
                  <c:v>-1896.1940000000068</c:v>
                </c:pt>
                <c:pt idx="87">
                  <c:v>-1635.430000000008</c:v>
                </c:pt>
                <c:pt idx="88">
                  <c:v>2749.0699999999952</c:v>
                </c:pt>
                <c:pt idx="89">
                  <c:v>4709.2249999999949</c:v>
                </c:pt>
                <c:pt idx="90">
                  <c:v>3682.969999999998</c:v>
                </c:pt>
                <c:pt idx="91">
                  <c:v>3217.9699999999948</c:v>
                </c:pt>
                <c:pt idx="92">
                  <c:v>3817.9699999999975</c:v>
                </c:pt>
                <c:pt idx="93">
                  <c:v>2242.9699999999966</c:v>
                </c:pt>
                <c:pt idx="94">
                  <c:v>3217.9699999999948</c:v>
                </c:pt>
                <c:pt idx="95">
                  <c:v>3667.9699999999957</c:v>
                </c:pt>
                <c:pt idx="96">
                  <c:v>5062.9699999999957</c:v>
                </c:pt>
                <c:pt idx="97">
                  <c:v>5063</c:v>
                </c:pt>
                <c:pt idx="98">
                  <c:v>5872.9699999999939</c:v>
                </c:pt>
                <c:pt idx="99">
                  <c:v>6085.9699999999939</c:v>
                </c:pt>
                <c:pt idx="100">
                  <c:v>6331.9699999999939</c:v>
                </c:pt>
                <c:pt idx="101">
                  <c:v>6130.9699999999939</c:v>
                </c:pt>
                <c:pt idx="102">
                  <c:v>6376.9699999999939</c:v>
                </c:pt>
                <c:pt idx="103">
                  <c:v>6538.6699999999937</c:v>
                </c:pt>
                <c:pt idx="104">
                  <c:v>6487.6699999999946</c:v>
                </c:pt>
                <c:pt idx="105">
                  <c:v>5558.6199999999935</c:v>
                </c:pt>
                <c:pt idx="106">
                  <c:v>5163.769999999995</c:v>
                </c:pt>
                <c:pt idx="107">
                  <c:v>5793.4699999999939</c:v>
                </c:pt>
                <c:pt idx="108">
                  <c:v>6017.5699999999933</c:v>
                </c:pt>
                <c:pt idx="109">
                  <c:v>6278.5099999999939</c:v>
                </c:pt>
                <c:pt idx="110">
                  <c:v>5957.5699999999924</c:v>
                </c:pt>
                <c:pt idx="111">
                  <c:v>5593.4699999999957</c:v>
                </c:pt>
                <c:pt idx="112">
                  <c:v>5002.3699999999935</c:v>
                </c:pt>
                <c:pt idx="113">
                  <c:v>6061.3699999999935</c:v>
                </c:pt>
                <c:pt idx="114">
                  <c:v>6843.3499999999931</c:v>
                </c:pt>
                <c:pt idx="115">
                  <c:v>7073.27</c:v>
                </c:pt>
              </c:numCache>
            </c:numRef>
          </c:val>
          <c:smooth val="0"/>
        </c:ser>
        <c:dLbls>
          <c:showLegendKey val="0"/>
          <c:showVal val="0"/>
          <c:showCatName val="0"/>
          <c:showSerName val="0"/>
          <c:showPercent val="0"/>
          <c:showBubbleSize val="0"/>
        </c:dLbls>
        <c:marker val="1"/>
        <c:smooth val="0"/>
        <c:axId val="469614576"/>
        <c:axId val="484604720"/>
      </c:lineChart>
      <c:dateAx>
        <c:axId val="4696145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604720"/>
        <c:crosses val="autoZero"/>
        <c:auto val="1"/>
        <c:lblOffset val="100"/>
        <c:baseTimeUnit val="days"/>
      </c:dateAx>
      <c:valAx>
        <c:axId val="484604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614576"/>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484604328"/>
        <c:axId val="484608640"/>
      </c:lineChart>
      <c:dateAx>
        <c:axId val="4846043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608640"/>
        <c:crosses val="autoZero"/>
        <c:auto val="1"/>
        <c:lblOffset val="100"/>
        <c:baseTimeUnit val="days"/>
      </c:dateAx>
      <c:valAx>
        <c:axId val="4846086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6043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484607856"/>
        <c:axId val="484606680"/>
      </c:lineChart>
      <c:dateAx>
        <c:axId val="4846078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606680"/>
        <c:crosses val="autoZero"/>
        <c:auto val="1"/>
        <c:lblOffset val="100"/>
        <c:baseTimeUnit val="days"/>
      </c:dateAx>
      <c:valAx>
        <c:axId val="4846066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6078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84605896"/>
        <c:axId val="484608248"/>
      </c:lineChart>
      <c:dateAx>
        <c:axId val="4846058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608248"/>
        <c:crosses val="autoZero"/>
        <c:auto val="1"/>
        <c:lblOffset val="100"/>
        <c:baseTimeUnit val="days"/>
      </c:dateAx>
      <c:valAx>
        <c:axId val="4846082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6058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84601976"/>
        <c:axId val="484603152"/>
      </c:lineChart>
      <c:dateAx>
        <c:axId val="4846019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603152"/>
        <c:crosses val="autoZero"/>
        <c:auto val="1"/>
        <c:lblOffset val="100"/>
        <c:baseTimeUnit val="days"/>
      </c:dateAx>
      <c:valAx>
        <c:axId val="4846031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6019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numCache>
            </c:numRef>
          </c:cat>
          <c:val>
            <c:numRef>
              <c:f>WRK!$D$25:$D$61</c:f>
              <c:numCache>
                <c:formatCode>0.00</c:formatCode>
                <c:ptCount val="37"/>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numCache>
            </c:numRef>
          </c:val>
          <c:smooth val="0"/>
        </c:ser>
        <c:ser>
          <c:idx val="2"/>
          <c:order val="1"/>
          <c:tx>
            <c:strRef>
              <c:f>WRK!$E$24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numCache>
            </c:numRef>
          </c:cat>
          <c:val>
            <c:numRef>
              <c:f>WRK!$E$25:$E$61</c:f>
              <c:numCache>
                <c:formatCode>0.00</c:formatCode>
                <c:ptCount val="37"/>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numCache>
            </c:numRef>
          </c:val>
          <c:smooth val="0"/>
        </c:ser>
        <c:dLbls>
          <c:showLegendKey val="0"/>
          <c:showVal val="0"/>
          <c:showCatName val="0"/>
          <c:showSerName val="0"/>
          <c:showPercent val="0"/>
          <c:showBubbleSize val="0"/>
        </c:dLbls>
        <c:marker val="1"/>
        <c:smooth val="0"/>
        <c:axId val="484603936"/>
        <c:axId val="484602760"/>
      </c:lineChart>
      <c:dateAx>
        <c:axId val="4846039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602760"/>
        <c:crosses val="autoZero"/>
        <c:auto val="1"/>
        <c:lblOffset val="100"/>
        <c:baseTimeUnit val="days"/>
      </c:dateAx>
      <c:valAx>
        <c:axId val="4846027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60393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WRK!$F$24</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numCache>
            </c:numRef>
          </c:cat>
          <c:val>
            <c:numRef>
              <c:f>WRK!$F$25:$F$61</c:f>
              <c:numCache>
                <c:formatCode>0.00</c:formatCode>
                <c:ptCount val="37"/>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numCache>
            </c:numRef>
          </c:val>
          <c:smooth val="0"/>
        </c:ser>
        <c:dLbls>
          <c:showLegendKey val="0"/>
          <c:showVal val="0"/>
          <c:showCatName val="0"/>
          <c:showSerName val="0"/>
          <c:showPercent val="0"/>
          <c:showBubbleSize val="0"/>
        </c:dLbls>
        <c:marker val="1"/>
        <c:smooth val="0"/>
        <c:axId val="483809472"/>
        <c:axId val="485200032"/>
      </c:lineChart>
      <c:dateAx>
        <c:axId val="4838094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200032"/>
        <c:crosses val="autoZero"/>
        <c:auto val="1"/>
        <c:lblOffset val="100"/>
        <c:baseTimeUnit val="days"/>
      </c:dateAx>
      <c:valAx>
        <c:axId val="4852000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80947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MO!$D$25:$D$61</c:f>
              <c:numCache>
                <c:formatCode>0.00</c:formatCode>
                <c:ptCount val="37"/>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MO!$E$25:$E$61</c:f>
              <c:numCache>
                <c:formatCode>0.00</c:formatCode>
                <c:ptCount val="37"/>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numCache>
            </c:numRef>
          </c:val>
          <c:smooth val="0"/>
        </c:ser>
        <c:dLbls>
          <c:showLegendKey val="0"/>
          <c:showVal val="0"/>
          <c:showCatName val="0"/>
          <c:showSerName val="0"/>
          <c:showPercent val="0"/>
          <c:showBubbleSize val="0"/>
        </c:dLbls>
        <c:marker val="1"/>
        <c:smooth val="0"/>
        <c:axId val="485205128"/>
        <c:axId val="485202384"/>
      </c:lineChart>
      <c:dateAx>
        <c:axId val="4852051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202384"/>
        <c:crosses val="autoZero"/>
        <c:auto val="1"/>
        <c:lblOffset val="100"/>
        <c:baseTimeUnit val="days"/>
      </c:dateAx>
      <c:valAx>
        <c:axId val="485202384"/>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20512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MO!$J$25:$J$61</c:f>
              <c:numCache>
                <c:formatCode>0.00</c:formatCode>
                <c:ptCount val="37"/>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numCache>
            </c:numRef>
          </c:val>
          <c:smooth val="0"/>
        </c:ser>
        <c:dLbls>
          <c:showLegendKey val="0"/>
          <c:showVal val="0"/>
          <c:showCatName val="0"/>
          <c:showSerName val="0"/>
          <c:showPercent val="0"/>
          <c:showBubbleSize val="0"/>
        </c:dLbls>
        <c:marker val="1"/>
        <c:smooth val="0"/>
        <c:axId val="485206696"/>
        <c:axId val="485205520"/>
      </c:lineChart>
      <c:dateAx>
        <c:axId val="4852066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205520"/>
        <c:crosses val="autoZero"/>
        <c:auto val="1"/>
        <c:lblOffset val="100"/>
        <c:baseTimeUnit val="days"/>
      </c:dateAx>
      <c:valAx>
        <c:axId val="4852055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2066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485201600"/>
        <c:axId val="485204344"/>
      </c:lineChart>
      <c:dateAx>
        <c:axId val="4852016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204344"/>
        <c:crosses val="autoZero"/>
        <c:auto val="1"/>
        <c:lblOffset val="100"/>
        <c:baseTimeUnit val="days"/>
      </c:dateAx>
      <c:valAx>
        <c:axId val="485204344"/>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2016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485199640"/>
        <c:axId val="485202776"/>
      </c:lineChart>
      <c:dateAx>
        <c:axId val="4851996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202776"/>
        <c:crosses val="autoZero"/>
        <c:auto val="1"/>
        <c:lblOffset val="100"/>
        <c:baseTimeUnit val="days"/>
      </c:dateAx>
      <c:valAx>
        <c:axId val="4852027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1996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86524064"/>
        <c:axId val="486528768"/>
      </c:lineChart>
      <c:dateAx>
        <c:axId val="486524064"/>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528768"/>
        <c:crosses val="autoZero"/>
        <c:auto val="1"/>
        <c:lblOffset val="100"/>
        <c:baseTimeUnit val="days"/>
      </c:dateAx>
      <c:valAx>
        <c:axId val="486528768"/>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5240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486522496"/>
        <c:axId val="486527200"/>
      </c:lineChart>
      <c:dateAx>
        <c:axId val="4865224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527200"/>
        <c:crosses val="autoZero"/>
        <c:auto val="1"/>
        <c:lblOffset val="100"/>
        <c:baseTimeUnit val="days"/>
      </c:dateAx>
      <c:valAx>
        <c:axId val="4865272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5224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486524456"/>
        <c:axId val="486529552"/>
      </c:lineChart>
      <c:dateAx>
        <c:axId val="4865244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529552"/>
        <c:crosses val="autoZero"/>
        <c:auto val="1"/>
        <c:lblOffset val="100"/>
        <c:baseTimeUnit val="days"/>
      </c:dateAx>
      <c:valAx>
        <c:axId val="4865295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5244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KHC!$B$25:$B$72</c:f>
              <c:numCache>
                <c:formatCode>d\-mmm</c:formatCode>
                <c:ptCount val="48"/>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numCache>
            </c:numRef>
          </c:cat>
          <c:val>
            <c:numRef>
              <c:f>KHC!$D$25:$D$72</c:f>
              <c:numCache>
                <c:formatCode>0.00</c:formatCode>
                <c:ptCount val="48"/>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KHC!$B$25:$B$72</c:f>
              <c:numCache>
                <c:formatCode>d\-mmm</c:formatCode>
                <c:ptCount val="48"/>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numCache>
            </c:numRef>
          </c:cat>
          <c:val>
            <c:numRef>
              <c:f>KHC!$E$25:$E$72</c:f>
              <c:numCache>
                <c:formatCode>0.00</c:formatCode>
                <c:ptCount val="48"/>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numCache>
            </c:numRef>
          </c:val>
          <c:smooth val="0"/>
        </c:ser>
        <c:dLbls>
          <c:showLegendKey val="0"/>
          <c:showVal val="0"/>
          <c:showCatName val="0"/>
          <c:showSerName val="0"/>
          <c:showPercent val="0"/>
          <c:showBubbleSize val="0"/>
        </c:dLbls>
        <c:marker val="1"/>
        <c:smooth val="0"/>
        <c:axId val="486526416"/>
        <c:axId val="486526808"/>
      </c:lineChart>
      <c:dateAx>
        <c:axId val="4865264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526808"/>
        <c:crosses val="autoZero"/>
        <c:auto val="1"/>
        <c:lblOffset val="100"/>
        <c:baseTimeUnit val="days"/>
      </c:dateAx>
      <c:valAx>
        <c:axId val="4865268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5264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KHC!$B$25:$B$73</c:f>
              <c:numCache>
                <c:formatCode>d\-mmm</c:formatCode>
                <c:ptCount val="49"/>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numCache>
            </c:numRef>
          </c:cat>
          <c:val>
            <c:numRef>
              <c:f>KHC!$F$25:$F$73</c:f>
              <c:numCache>
                <c:formatCode>0.00</c:formatCode>
                <c:ptCount val="49"/>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numCache>
            </c:numRef>
          </c:val>
          <c:smooth val="0"/>
        </c:ser>
        <c:dLbls>
          <c:showLegendKey val="0"/>
          <c:showVal val="0"/>
          <c:showCatName val="0"/>
          <c:showSerName val="0"/>
          <c:showPercent val="0"/>
          <c:showBubbleSize val="0"/>
        </c:dLbls>
        <c:marker val="1"/>
        <c:smooth val="0"/>
        <c:axId val="486527984"/>
        <c:axId val="486528376"/>
      </c:lineChart>
      <c:dateAx>
        <c:axId val="4865279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528376"/>
        <c:crosses val="autoZero"/>
        <c:auto val="1"/>
        <c:lblOffset val="100"/>
        <c:baseTimeUnit val="days"/>
      </c:dateAx>
      <c:valAx>
        <c:axId val="4865283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5279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AYI!$B$36:$B$98</c:f>
              <c:numCache>
                <c:formatCode>d\-mmm</c:formatCode>
                <c:ptCount val="63"/>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pt idx="58">
                  <c:v>43556</c:v>
                </c:pt>
              </c:numCache>
            </c:numRef>
          </c:cat>
          <c:val>
            <c:numRef>
              <c:f>AYI!$E$36:$E$98</c:f>
              <c:numCache>
                <c:formatCode>0.00</c:formatCode>
                <c:ptCount val="63"/>
                <c:pt idx="0">
                  <c:v>149.94999999999999</c:v>
                </c:pt>
                <c:pt idx="1">
                  <c:v>146.80000000000001</c:v>
                </c:pt>
                <c:pt idx="2">
                  <c:v>151.56</c:v>
                </c:pt>
                <c:pt idx="3">
                  <c:v>134.66</c:v>
                </c:pt>
                <c:pt idx="4">
                  <c:v>132.4</c:v>
                </c:pt>
                <c:pt idx="5">
                  <c:v>137.66999999999999</c:v>
                </c:pt>
                <c:pt idx="6">
                  <c:v>129.47999999999999</c:v>
                </c:pt>
                <c:pt idx="7">
                  <c:v>131.83000000000001</c:v>
                </c:pt>
                <c:pt idx="8">
                  <c:v>124.68</c:v>
                </c:pt>
                <c:pt idx="9">
                  <c:v>122.66</c:v>
                </c:pt>
                <c:pt idx="10">
                  <c:v>113.02</c:v>
                </c:pt>
                <c:pt idx="11">
                  <c:v>121.84</c:v>
                </c:pt>
                <c:pt idx="12">
                  <c:v>119.85</c:v>
                </c:pt>
                <c:pt idx="13">
                  <c:v>115.39</c:v>
                </c:pt>
                <c:pt idx="14">
                  <c:v>117.12</c:v>
                </c:pt>
                <c:pt idx="15">
                  <c:v>135</c:v>
                </c:pt>
                <c:pt idx="16">
                  <c:v>132.19999999999999</c:v>
                </c:pt>
                <c:pt idx="17">
                  <c:v>127.58</c:v>
                </c:pt>
                <c:pt idx="18">
                  <c:v>126.28</c:v>
                </c:pt>
                <c:pt idx="19">
                  <c:v>130.68</c:v>
                </c:pt>
                <c:pt idx="20">
                  <c:v>136.09</c:v>
                </c:pt>
                <c:pt idx="21">
                  <c:v>139.03</c:v>
                </c:pt>
                <c:pt idx="22">
                  <c:v>135.66999999999999</c:v>
                </c:pt>
                <c:pt idx="23">
                  <c:v>136.47999999999999</c:v>
                </c:pt>
                <c:pt idx="24">
                  <c:v>135.87</c:v>
                </c:pt>
                <c:pt idx="25">
                  <c:v>137.5</c:v>
                </c:pt>
                <c:pt idx="26">
                  <c:v>143.69</c:v>
                </c:pt>
                <c:pt idx="27">
                  <c:v>148.38999999999999</c:v>
                </c:pt>
                <c:pt idx="28">
                  <c:v>149.03</c:v>
                </c:pt>
                <c:pt idx="29">
                  <c:v>156.41</c:v>
                </c:pt>
                <c:pt idx="30">
                  <c:v>154.94999999999999</c:v>
                </c:pt>
                <c:pt idx="31">
                  <c:v>159.1</c:v>
                </c:pt>
                <c:pt idx="32">
                  <c:v>165.06</c:v>
                </c:pt>
                <c:pt idx="33">
                  <c:v>135.01</c:v>
                </c:pt>
                <c:pt idx="34">
                  <c:v>130.99</c:v>
                </c:pt>
                <c:pt idx="35">
                  <c:v>121.26</c:v>
                </c:pt>
                <c:pt idx="36">
                  <c:v>121.01</c:v>
                </c:pt>
                <c:pt idx="37">
                  <c:v>123.38</c:v>
                </c:pt>
                <c:pt idx="38">
                  <c:v>124.18</c:v>
                </c:pt>
                <c:pt idx="39">
                  <c:v>131.51</c:v>
                </c:pt>
                <c:pt idx="40">
                  <c:v>121.12</c:v>
                </c:pt>
                <c:pt idx="41">
                  <c:v>126.82</c:v>
                </c:pt>
                <c:pt idx="42">
                  <c:v>120</c:v>
                </c:pt>
                <c:pt idx="43">
                  <c:v>120.44</c:v>
                </c:pt>
                <c:pt idx="44">
                  <c:v>117.9</c:v>
                </c:pt>
                <c:pt idx="45">
                  <c:v>115.71</c:v>
                </c:pt>
                <c:pt idx="46">
                  <c:v>110.89</c:v>
                </c:pt>
                <c:pt idx="47">
                  <c:v>112</c:v>
                </c:pt>
                <c:pt idx="48">
                  <c:v>118.41</c:v>
                </c:pt>
                <c:pt idx="49">
                  <c:v>120.54</c:v>
                </c:pt>
                <c:pt idx="50">
                  <c:v>116.14</c:v>
                </c:pt>
                <c:pt idx="51">
                  <c:v>121.28</c:v>
                </c:pt>
                <c:pt idx="52">
                  <c:v>121.95</c:v>
                </c:pt>
                <c:pt idx="53">
                  <c:v>126.81</c:v>
                </c:pt>
                <c:pt idx="54">
                  <c:v>133.79</c:v>
                </c:pt>
                <c:pt idx="55">
                  <c:v>130.44999999999999</c:v>
                </c:pt>
                <c:pt idx="56">
                  <c:v>123.88</c:v>
                </c:pt>
                <c:pt idx="57">
                  <c:v>118.95</c:v>
                </c:pt>
                <c:pt idx="58">
                  <c:v>123.66</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AYI!$B$36:$B$98</c:f>
              <c:numCache>
                <c:formatCode>d\-mmm</c:formatCode>
                <c:ptCount val="63"/>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pt idx="58">
                  <c:v>43556</c:v>
                </c:pt>
              </c:numCache>
            </c:numRef>
          </c:cat>
          <c:val>
            <c:numRef>
              <c:f>AYI!$D$36:$D$100</c:f>
              <c:numCache>
                <c:formatCode>0.00</c:formatCode>
                <c:ptCount val="65"/>
                <c:pt idx="0">
                  <c:v>150</c:v>
                </c:pt>
                <c:pt idx="1">
                  <c:v>148.13999999999999</c:v>
                </c:pt>
                <c:pt idx="2">
                  <c:v>144.7235</c:v>
                </c:pt>
                <c:pt idx="3">
                  <c:v>140.6174</c:v>
                </c:pt>
                <c:pt idx="4">
                  <c:v>140.6174</c:v>
                </c:pt>
                <c:pt idx="5">
                  <c:v>140.6174</c:v>
                </c:pt>
                <c:pt idx="6">
                  <c:v>140.6174</c:v>
                </c:pt>
                <c:pt idx="7">
                  <c:v>140.6174</c:v>
                </c:pt>
                <c:pt idx="8">
                  <c:v>140.62</c:v>
                </c:pt>
                <c:pt idx="9">
                  <c:v>131.64869999999999</c:v>
                </c:pt>
                <c:pt idx="10">
                  <c:v>131.58369999999999</c:v>
                </c:pt>
                <c:pt idx="11">
                  <c:v>131.58000000000001</c:v>
                </c:pt>
                <c:pt idx="12">
                  <c:v>131.58000000000001</c:v>
                </c:pt>
                <c:pt idx="13">
                  <c:v>128.6498</c:v>
                </c:pt>
                <c:pt idx="14">
                  <c:v>128.6498</c:v>
                </c:pt>
                <c:pt idx="15">
                  <c:v>124.38</c:v>
                </c:pt>
                <c:pt idx="16">
                  <c:v>126.758</c:v>
                </c:pt>
                <c:pt idx="17">
                  <c:v>126.94</c:v>
                </c:pt>
                <c:pt idx="18">
                  <c:v>126.875</c:v>
                </c:pt>
                <c:pt idx="19">
                  <c:v>125.2449</c:v>
                </c:pt>
                <c:pt idx="20">
                  <c:v>120.14360000000001</c:v>
                </c:pt>
                <c:pt idx="21">
                  <c:v>120.14</c:v>
                </c:pt>
                <c:pt idx="22">
                  <c:v>124.4983</c:v>
                </c:pt>
                <c:pt idx="23">
                  <c:v>124.4983</c:v>
                </c:pt>
                <c:pt idx="24">
                  <c:v>124.5</c:v>
                </c:pt>
                <c:pt idx="25">
                  <c:v>90.548500000000004</c:v>
                </c:pt>
                <c:pt idx="26">
                  <c:v>90.548500000000004</c:v>
                </c:pt>
                <c:pt idx="27">
                  <c:v>90.548500000000004</c:v>
                </c:pt>
                <c:pt idx="28">
                  <c:v>90.55</c:v>
                </c:pt>
                <c:pt idx="29">
                  <c:v>90.55</c:v>
                </c:pt>
                <c:pt idx="30">
                  <c:v>85.540499999999994</c:v>
                </c:pt>
                <c:pt idx="31">
                  <c:v>85.540499999999994</c:v>
                </c:pt>
                <c:pt idx="32">
                  <c:v>85.540499999999994</c:v>
                </c:pt>
                <c:pt idx="33">
                  <c:v>85.54</c:v>
                </c:pt>
                <c:pt idx="34">
                  <c:v>108.02</c:v>
                </c:pt>
                <c:pt idx="35">
                  <c:v>113.3068</c:v>
                </c:pt>
                <c:pt idx="36">
                  <c:v>114.4276</c:v>
                </c:pt>
                <c:pt idx="37">
                  <c:v>111.444</c:v>
                </c:pt>
                <c:pt idx="38">
                  <c:v>108.9</c:v>
                </c:pt>
                <c:pt idx="39">
                  <c:v>108.74120000000001</c:v>
                </c:pt>
                <c:pt idx="40">
                  <c:v>112.1009</c:v>
                </c:pt>
                <c:pt idx="41">
                  <c:v>101.68</c:v>
                </c:pt>
                <c:pt idx="42">
                  <c:v>110.37869999999999</c:v>
                </c:pt>
                <c:pt idx="43">
                  <c:v>111.7051</c:v>
                </c:pt>
                <c:pt idx="44">
                  <c:v>108.9618</c:v>
                </c:pt>
                <c:pt idx="45">
                  <c:v>110.309</c:v>
                </c:pt>
                <c:pt idx="46">
                  <c:v>110.3045</c:v>
                </c:pt>
                <c:pt idx="47">
                  <c:v>109.96599999999999</c:v>
                </c:pt>
                <c:pt idx="48">
                  <c:v>109.97</c:v>
                </c:pt>
                <c:pt idx="49">
                  <c:v>107.3875</c:v>
                </c:pt>
                <c:pt idx="50">
                  <c:v>109.19</c:v>
                </c:pt>
                <c:pt idx="51">
                  <c:v>106.17</c:v>
                </c:pt>
                <c:pt idx="52">
                  <c:v>106.038</c:v>
                </c:pt>
                <c:pt idx="53">
                  <c:v>94.073599999999999</c:v>
                </c:pt>
                <c:pt idx="54">
                  <c:v>40.186500000000002</c:v>
                </c:pt>
                <c:pt idx="55">
                  <c:v>40.19</c:v>
                </c:pt>
                <c:pt idx="56">
                  <c:v>90.2</c:v>
                </c:pt>
                <c:pt idx="57">
                  <c:v>101.36660000000001</c:v>
                </c:pt>
                <c:pt idx="58">
                  <c:v>94.105999999999995</c:v>
                </c:pt>
              </c:numCache>
            </c:numRef>
          </c:val>
          <c:smooth val="0"/>
        </c:ser>
        <c:dLbls>
          <c:showLegendKey val="0"/>
          <c:showVal val="0"/>
          <c:showCatName val="0"/>
          <c:showSerName val="0"/>
          <c:showPercent val="0"/>
          <c:showBubbleSize val="0"/>
        </c:dLbls>
        <c:smooth val="0"/>
        <c:axId val="486601360"/>
        <c:axId val="486600968"/>
      </c:lineChart>
      <c:dateAx>
        <c:axId val="4866013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600968"/>
        <c:crosses val="autoZero"/>
        <c:auto val="1"/>
        <c:lblOffset val="100"/>
        <c:baseTimeUnit val="days"/>
      </c:dateAx>
      <c:valAx>
        <c:axId val="4866009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6013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AYI!$F$35</c:f>
              <c:strCache>
                <c:ptCount val="1"/>
                <c:pt idx="0">
                  <c:v>P/L</c:v>
                </c:pt>
              </c:strCache>
            </c:strRef>
          </c:tx>
          <c:spPr>
            <a:ln w="28575" cap="rnd">
              <a:solidFill>
                <a:srgbClr val="00B050"/>
              </a:solidFill>
              <a:round/>
            </a:ln>
            <a:effectLst/>
          </c:spPr>
          <c:marker>
            <c:symbol val="none"/>
          </c:marker>
          <c:cat>
            <c:numRef>
              <c:f>AYI!$B$36:$B$98</c:f>
              <c:numCache>
                <c:formatCode>d\-mmm</c:formatCode>
                <c:ptCount val="63"/>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pt idx="58">
                  <c:v>43556</c:v>
                </c:pt>
              </c:numCache>
            </c:numRef>
          </c:cat>
          <c:val>
            <c:numRef>
              <c:f>AYI!$F$36:$F$98</c:f>
              <c:numCache>
                <c:formatCode>0.00</c:formatCode>
                <c:ptCount val="63"/>
                <c:pt idx="0">
                  <c:v>-1.0000000000002274</c:v>
                </c:pt>
                <c:pt idx="1">
                  <c:v>-53.599999999999</c:v>
                </c:pt>
                <c:pt idx="2">
                  <c:v>136.73000000000002</c:v>
                </c:pt>
                <c:pt idx="3">
                  <c:v>-297.87000000000035</c:v>
                </c:pt>
                <c:pt idx="4">
                  <c:v>-410.86999999999989</c:v>
                </c:pt>
                <c:pt idx="5">
                  <c:v>-147.3700000000008</c:v>
                </c:pt>
                <c:pt idx="6">
                  <c:v>-556.87000000000069</c:v>
                </c:pt>
                <c:pt idx="7">
                  <c:v>-439.36999999999955</c:v>
                </c:pt>
                <c:pt idx="8">
                  <c:v>-796.99999999999989</c:v>
                </c:pt>
                <c:pt idx="9">
                  <c:v>-898.86999999999944</c:v>
                </c:pt>
                <c:pt idx="10">
                  <c:v>-1856.3699999999997</c:v>
                </c:pt>
                <c:pt idx="11">
                  <c:v>-974.00000000000091</c:v>
                </c:pt>
                <c:pt idx="12">
                  <c:v>-1173.0000000000018</c:v>
                </c:pt>
                <c:pt idx="13">
                  <c:v>-1591.1759999999999</c:v>
                </c:pt>
                <c:pt idx="14">
                  <c:v>-1383.5759999999993</c:v>
                </c:pt>
                <c:pt idx="15">
                  <c:v>531.00000000000023</c:v>
                </c:pt>
                <c:pt idx="16">
                  <c:v>380.93999999999949</c:v>
                </c:pt>
                <c:pt idx="17">
                  <c:v>57.600000000000051</c:v>
                </c:pt>
                <c:pt idx="18">
                  <c:v>-59.499999999999886</c:v>
                </c:pt>
                <c:pt idx="19">
                  <c:v>380.45700000000039</c:v>
                </c:pt>
                <c:pt idx="20">
                  <c:v>797.31999999999982</c:v>
                </c:pt>
                <c:pt idx="21">
                  <c:v>944.5</c:v>
                </c:pt>
                <c:pt idx="22">
                  <c:v>782.0189999999991</c:v>
                </c:pt>
                <c:pt idx="23">
                  <c:v>838.71899999999926</c:v>
                </c:pt>
                <c:pt idx="24">
                  <c:v>795.90000000000032</c:v>
                </c:pt>
                <c:pt idx="25">
                  <c:v>939.03</c:v>
                </c:pt>
                <c:pt idx="26">
                  <c:v>1062.83</c:v>
                </c:pt>
                <c:pt idx="27">
                  <c:v>1156.8299999999997</c:v>
                </c:pt>
                <c:pt idx="28">
                  <c:v>1169.6000000000001</c:v>
                </c:pt>
                <c:pt idx="29">
                  <c:v>1349.19</c:v>
                </c:pt>
                <c:pt idx="30">
                  <c:v>1388.1899999999998</c:v>
                </c:pt>
                <c:pt idx="31">
                  <c:v>1471.19</c:v>
                </c:pt>
                <c:pt idx="32">
                  <c:v>1590.39</c:v>
                </c:pt>
                <c:pt idx="33">
                  <c:v>989.39999999999964</c:v>
                </c:pt>
                <c:pt idx="34">
                  <c:v>918.80000000000052</c:v>
                </c:pt>
                <c:pt idx="35">
                  <c:v>477.19200000000058</c:v>
                </c:pt>
                <c:pt idx="36">
                  <c:v>526.59200000000055</c:v>
                </c:pt>
                <c:pt idx="37">
                  <c:v>716.15999999999963</c:v>
                </c:pt>
                <c:pt idx="38">
                  <c:v>764</c:v>
                </c:pt>
                <c:pt idx="39">
                  <c:v>1138.4399999999991</c:v>
                </c:pt>
                <c:pt idx="40">
                  <c:v>631.33700000000067</c:v>
                </c:pt>
                <c:pt idx="41">
                  <c:v>1005.5999999999995</c:v>
                </c:pt>
                <c:pt idx="42">
                  <c:v>673.49100000000033</c:v>
                </c:pt>
                <c:pt idx="43">
                  <c:v>873.48999999999955</c:v>
                </c:pt>
                <c:pt idx="44">
                  <c:v>715.05600000000072</c:v>
                </c:pt>
                <c:pt idx="45">
                  <c:v>540.09999999999968</c:v>
                </c:pt>
                <c:pt idx="46">
                  <c:v>70.259999999999536</c:v>
                </c:pt>
                <c:pt idx="47">
                  <c:v>203.4000000000006</c:v>
                </c:pt>
                <c:pt idx="48">
                  <c:v>843.99999999999977</c:v>
                </c:pt>
                <c:pt idx="49">
                  <c:v>1052.2000000000003</c:v>
                </c:pt>
                <c:pt idx="50">
                  <c:v>695.00000000000023</c:v>
                </c:pt>
                <c:pt idx="51">
                  <c:v>1208.8</c:v>
                </c:pt>
                <c:pt idx="52">
                  <c:v>1272.9600000000005</c:v>
                </c:pt>
                <c:pt idx="53">
                  <c:v>1636.8200000000002</c:v>
                </c:pt>
                <c:pt idx="54">
                  <c:v>1872.07</c:v>
                </c:pt>
                <c:pt idx="55">
                  <c:v>1805.1999999999998</c:v>
                </c:pt>
                <c:pt idx="56">
                  <c:v>1683.9999999999995</c:v>
                </c:pt>
                <c:pt idx="57">
                  <c:v>1406.6719999999998</c:v>
                </c:pt>
                <c:pt idx="58">
                  <c:v>1773.2400000000002</c:v>
                </c:pt>
              </c:numCache>
            </c:numRef>
          </c:val>
          <c:smooth val="0"/>
        </c:ser>
        <c:dLbls>
          <c:showLegendKey val="0"/>
          <c:showVal val="0"/>
          <c:showCatName val="0"/>
          <c:showSerName val="0"/>
          <c:showPercent val="0"/>
          <c:showBubbleSize val="0"/>
        </c:dLbls>
        <c:smooth val="0"/>
        <c:axId val="486603320"/>
        <c:axId val="486596264"/>
      </c:lineChart>
      <c:dateAx>
        <c:axId val="4866033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596264"/>
        <c:crosses val="autoZero"/>
        <c:auto val="1"/>
        <c:lblOffset val="100"/>
        <c:baseTimeUnit val="days"/>
      </c:dateAx>
      <c:valAx>
        <c:axId val="4865962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6033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MOS!$E$50</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MOS!$B$51:$B$166</c:f>
              <c:numCache>
                <c:formatCode>d\-mmm</c:formatCode>
                <c:ptCount val="11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numCache>
            </c:numRef>
          </c:cat>
          <c:val>
            <c:numRef>
              <c:f>MOS!$E$51:$E$166</c:f>
              <c:numCache>
                <c:formatCode>0.00</c:formatCode>
                <c:ptCount val="116"/>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numCache>
            </c:numRef>
          </c:val>
          <c:smooth val="0"/>
        </c:ser>
        <c:ser>
          <c:idx val="1"/>
          <c:order val="1"/>
          <c:tx>
            <c:strRef>
              <c:f>MOS!$D$50</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MOS!$B$51:$B$166</c:f>
              <c:numCache>
                <c:formatCode>d\-mmm</c:formatCode>
                <c:ptCount val="11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numCache>
            </c:numRef>
          </c:cat>
          <c:val>
            <c:numRef>
              <c:f>MOS!$D$51:$D$166</c:f>
              <c:numCache>
                <c:formatCode>0.00</c:formatCode>
                <c:ptCount val="116"/>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numCache>
            </c:numRef>
          </c:val>
          <c:smooth val="0"/>
        </c:ser>
        <c:dLbls>
          <c:showLegendKey val="0"/>
          <c:showVal val="0"/>
          <c:showCatName val="0"/>
          <c:showSerName val="0"/>
          <c:showPercent val="0"/>
          <c:showBubbleSize val="0"/>
        </c:dLbls>
        <c:marker val="1"/>
        <c:smooth val="0"/>
        <c:axId val="486600576"/>
        <c:axId val="486601752"/>
      </c:lineChart>
      <c:dateAx>
        <c:axId val="4866005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601752"/>
        <c:crosses val="autoZero"/>
        <c:auto val="1"/>
        <c:lblOffset val="100"/>
        <c:baseTimeUnit val="days"/>
      </c:dateAx>
      <c:valAx>
        <c:axId val="4866017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60057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MOS!$K$50</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MOS!$B$51:$B$166</c:f>
              <c:numCache>
                <c:formatCode>d\-mmm</c:formatCode>
                <c:ptCount val="11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numCache>
            </c:numRef>
          </c:cat>
          <c:val>
            <c:numRef>
              <c:f>MOS!$K$51:$K$166</c:f>
              <c:numCache>
                <c:formatCode>0.00</c:formatCode>
                <c:ptCount val="116"/>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numCache>
            </c:numRef>
          </c:val>
          <c:smooth val="0"/>
        </c:ser>
        <c:dLbls>
          <c:showLegendKey val="0"/>
          <c:showVal val="0"/>
          <c:showCatName val="0"/>
          <c:showSerName val="0"/>
          <c:showPercent val="0"/>
          <c:showBubbleSize val="0"/>
        </c:dLbls>
        <c:marker val="1"/>
        <c:smooth val="0"/>
        <c:axId val="486602144"/>
        <c:axId val="486599400"/>
      </c:lineChart>
      <c:dateAx>
        <c:axId val="4866021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599400"/>
        <c:crosses val="autoZero"/>
        <c:auto val="1"/>
        <c:lblOffset val="100"/>
        <c:baseTimeUnit val="days"/>
      </c:dateAx>
      <c:valAx>
        <c:axId val="4865994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60214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PDCO!$E$30</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numCache>
            </c:numRef>
          </c:xVal>
          <c:yVal>
            <c:numRef>
              <c:f>PDCO!$E$31:$E$85</c:f>
              <c:numCache>
                <c:formatCode>0.00</c:formatCode>
                <c:ptCount val="55"/>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numCache>
            </c:numRef>
          </c:yVal>
          <c:smooth val="0"/>
        </c:ser>
        <c:ser>
          <c:idx val="1"/>
          <c:order val="1"/>
          <c:tx>
            <c:strRef>
              <c:f>PDCO!$D$30</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numCache>
            </c:numRef>
          </c:xVal>
          <c:yVal>
            <c:numRef>
              <c:f>PDCO!$D$31:$D$85</c:f>
              <c:numCache>
                <c:formatCode>0.00</c:formatCode>
                <c:ptCount val="55"/>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numCache>
            </c:numRef>
          </c:yVal>
          <c:smooth val="0"/>
        </c:ser>
        <c:dLbls>
          <c:showLegendKey val="0"/>
          <c:showVal val="0"/>
          <c:showCatName val="0"/>
          <c:showSerName val="0"/>
          <c:showPercent val="0"/>
          <c:showBubbleSize val="0"/>
        </c:dLbls>
        <c:axId val="486595872"/>
        <c:axId val="500487032"/>
      </c:scatterChart>
      <c:valAx>
        <c:axId val="486595872"/>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0487032"/>
        <c:crosses val="autoZero"/>
        <c:crossBetween val="midCat"/>
      </c:valAx>
      <c:valAx>
        <c:axId val="500487032"/>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595872"/>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PDCO!$F$30</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numCache>
            </c:numRef>
          </c:xVal>
          <c:yVal>
            <c:numRef>
              <c:f>PDCO!$F$31:$F$85</c:f>
              <c:numCache>
                <c:formatCode>0.00</c:formatCode>
                <c:ptCount val="55"/>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numCache>
            </c:numRef>
          </c:yVal>
          <c:smooth val="0"/>
        </c:ser>
        <c:dLbls>
          <c:showLegendKey val="0"/>
          <c:showVal val="0"/>
          <c:showCatName val="0"/>
          <c:showSerName val="0"/>
          <c:showPercent val="0"/>
          <c:showBubbleSize val="0"/>
        </c:dLbls>
        <c:axId val="500492912"/>
        <c:axId val="500484680"/>
      </c:scatterChart>
      <c:valAx>
        <c:axId val="500492912"/>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0484680"/>
        <c:crosses val="autoZero"/>
        <c:crossBetween val="midCat"/>
      </c:valAx>
      <c:valAx>
        <c:axId val="5004846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0492912"/>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500496832"/>
        <c:axId val="500488208"/>
      </c:lineChart>
      <c:catAx>
        <c:axId val="50049683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0488208"/>
        <c:crosses val="autoZero"/>
        <c:auto val="1"/>
        <c:lblAlgn val="ctr"/>
        <c:lblOffset val="100"/>
        <c:noMultiLvlLbl val="0"/>
      </c:catAx>
      <c:valAx>
        <c:axId val="500488208"/>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049683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500489776"/>
        <c:axId val="500493304"/>
      </c:lineChart>
      <c:dateAx>
        <c:axId val="50048977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0493304"/>
        <c:crosses val="autoZero"/>
        <c:auto val="1"/>
        <c:lblOffset val="100"/>
        <c:baseTimeUnit val="days"/>
      </c:dateAx>
      <c:valAx>
        <c:axId val="500493304"/>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048977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500485464"/>
        <c:axId val="500485856"/>
      </c:lineChart>
      <c:dateAx>
        <c:axId val="50048546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0485856"/>
        <c:crosses val="autoZero"/>
        <c:auto val="1"/>
        <c:lblOffset val="100"/>
        <c:baseTimeUnit val="days"/>
      </c:dateAx>
      <c:valAx>
        <c:axId val="500485856"/>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048546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500489384"/>
        <c:axId val="500498008"/>
      </c:lineChart>
      <c:dateAx>
        <c:axId val="50048938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0498008"/>
        <c:crosses val="autoZero"/>
        <c:auto val="1"/>
        <c:lblOffset val="100"/>
        <c:baseTimeUnit val="days"/>
      </c:dateAx>
      <c:valAx>
        <c:axId val="500498008"/>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048938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NWL!$E$41</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NWL!$B$42:$B$124</c:f>
              <c:numCache>
                <c:formatCode>d\-mmm</c:formatCode>
                <c:ptCount val="83"/>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numCache>
            </c:numRef>
          </c:cat>
          <c:val>
            <c:numRef>
              <c:f>NWL!$E$42:$E$124</c:f>
              <c:numCache>
                <c:formatCode>0.00</c:formatCode>
                <c:ptCount val="83"/>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numCache>
            </c:numRef>
          </c:val>
          <c:smooth val="0"/>
        </c:ser>
        <c:ser>
          <c:idx val="1"/>
          <c:order val="1"/>
          <c:tx>
            <c:strRef>
              <c:f>NWL!$D$41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NWL!$B$42:$B$124</c:f>
              <c:numCache>
                <c:formatCode>d\-mmm</c:formatCode>
                <c:ptCount val="83"/>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numCache>
            </c:numRef>
          </c:cat>
          <c:val>
            <c:numRef>
              <c:f>NWL!$D$42:$D$124</c:f>
              <c:numCache>
                <c:formatCode>0.00</c:formatCode>
                <c:ptCount val="83"/>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numCache>
            </c:numRef>
          </c:val>
          <c:smooth val="0"/>
        </c:ser>
        <c:dLbls>
          <c:showLegendKey val="0"/>
          <c:showVal val="0"/>
          <c:showCatName val="0"/>
          <c:showSerName val="0"/>
          <c:showPercent val="0"/>
          <c:showBubbleSize val="0"/>
        </c:dLbls>
        <c:marker val="1"/>
        <c:smooth val="0"/>
        <c:axId val="566062584"/>
        <c:axId val="566064152"/>
      </c:lineChart>
      <c:dateAx>
        <c:axId val="5660625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064152"/>
        <c:crosses val="autoZero"/>
        <c:auto val="1"/>
        <c:lblOffset val="100"/>
        <c:baseTimeUnit val="days"/>
      </c:dateAx>
      <c:valAx>
        <c:axId val="566064152"/>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0625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NWL!$F$41</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NWL!$B$42:$B$124</c:f>
              <c:numCache>
                <c:formatCode>d\-mmm</c:formatCode>
                <c:ptCount val="83"/>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numCache>
            </c:numRef>
          </c:cat>
          <c:val>
            <c:numRef>
              <c:f>NWL!$F$42:$F$124</c:f>
              <c:numCache>
                <c:formatCode>0.00</c:formatCode>
                <c:ptCount val="83"/>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numCache>
            </c:numRef>
          </c:val>
          <c:smooth val="0"/>
        </c:ser>
        <c:dLbls>
          <c:showLegendKey val="0"/>
          <c:showVal val="0"/>
          <c:showCatName val="0"/>
          <c:showSerName val="0"/>
          <c:showPercent val="0"/>
          <c:showBubbleSize val="0"/>
        </c:dLbls>
        <c:marker val="1"/>
        <c:smooth val="0"/>
        <c:axId val="566061408"/>
        <c:axId val="566064544"/>
      </c:lineChart>
      <c:dateAx>
        <c:axId val="5660614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064544"/>
        <c:crosses val="autoZero"/>
        <c:auto val="1"/>
        <c:lblOffset val="100"/>
        <c:baseTimeUnit val="days"/>
      </c:dateAx>
      <c:valAx>
        <c:axId val="5660645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0614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566059840"/>
        <c:axId val="566059056"/>
      </c:lineChart>
      <c:dateAx>
        <c:axId val="566059840"/>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6059056"/>
        <c:crosses val="autoZero"/>
        <c:auto val="1"/>
        <c:lblOffset val="100"/>
        <c:baseTimeUnit val="days"/>
      </c:dateAx>
      <c:valAx>
        <c:axId val="566059056"/>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605984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566060624"/>
        <c:axId val="566061016"/>
      </c:lineChart>
      <c:catAx>
        <c:axId val="56606062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6061016"/>
        <c:crosses val="autoZero"/>
        <c:auto val="1"/>
        <c:lblAlgn val="ctr"/>
        <c:lblOffset val="100"/>
        <c:noMultiLvlLbl val="0"/>
      </c:catAx>
      <c:valAx>
        <c:axId val="566061016"/>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606062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565131840"/>
        <c:axId val="565135760"/>
      </c:lineChart>
      <c:catAx>
        <c:axId val="565131840"/>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5135760"/>
        <c:crosses val="autoZero"/>
        <c:auto val="1"/>
        <c:lblAlgn val="ctr"/>
        <c:lblOffset val="100"/>
        <c:noMultiLvlLbl val="0"/>
      </c:catAx>
      <c:valAx>
        <c:axId val="565135760"/>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513184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565133408"/>
        <c:axId val="565132232"/>
      </c:lineChart>
      <c:dateAx>
        <c:axId val="5651334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132232"/>
        <c:crosses val="autoZero"/>
        <c:auto val="1"/>
        <c:lblOffset val="100"/>
        <c:baseTimeUnit val="days"/>
      </c:dateAx>
      <c:valAx>
        <c:axId val="5651322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1334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565131056"/>
        <c:axId val="565127136"/>
      </c:lineChart>
      <c:dateAx>
        <c:axId val="5651310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127136"/>
        <c:crosses val="autoZero"/>
        <c:auto val="1"/>
        <c:lblOffset val="100"/>
        <c:baseTimeUnit val="days"/>
      </c:dateAx>
      <c:valAx>
        <c:axId val="5651271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1310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TEVA!$E$20</c:f>
              <c:strCache>
                <c:ptCount val="1"/>
                <c:pt idx="0">
                  <c:v>price</c:v>
                </c:pt>
              </c:strCache>
            </c:strRef>
          </c:tx>
          <c:spPr>
            <a:ln w="28575" cap="rnd">
              <a:solidFill>
                <a:schemeClr val="accent1"/>
              </a:solidFill>
              <a:round/>
            </a:ln>
            <a:effectLst/>
          </c:spPr>
          <c:marker>
            <c:symbol val="none"/>
          </c:marker>
          <c:cat>
            <c:numRef>
              <c:f>TEVA!$B$21:$B$63</c:f>
              <c:numCache>
                <c:formatCode>d\-mmm</c:formatCode>
                <c:ptCount val="43"/>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numCache>
            </c:numRef>
          </c:cat>
          <c:val>
            <c:numRef>
              <c:f>TEVA!$E$21:$E$63</c:f>
              <c:numCache>
                <c:formatCode>0.00</c:formatCode>
                <c:ptCount val="43"/>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23.73</c:v>
                </c:pt>
                <c:pt idx="28">
                  <c:v>22</c:v>
                </c:pt>
                <c:pt idx="29">
                  <c:v>22.22</c:v>
                </c:pt>
                <c:pt idx="30">
                  <c:v>21.54</c:v>
                </c:pt>
                <c:pt idx="31">
                  <c:v>18.440000000000001</c:v>
                </c:pt>
                <c:pt idx="32">
                  <c:v>18.989999999999998</c:v>
                </c:pt>
                <c:pt idx="33">
                  <c:v>17.010000000000002</c:v>
                </c:pt>
                <c:pt idx="34">
                  <c:v>17.670000000000002</c:v>
                </c:pt>
                <c:pt idx="35">
                  <c:v>18.45</c:v>
                </c:pt>
                <c:pt idx="36">
                  <c:v>19.559999999999999</c:v>
                </c:pt>
                <c:pt idx="37">
                  <c:v>15.78</c:v>
                </c:pt>
              </c:numCache>
            </c:numRef>
          </c:val>
          <c:smooth val="0"/>
        </c:ser>
        <c:ser>
          <c:idx val="3"/>
          <c:order val="1"/>
          <c:tx>
            <c:strRef>
              <c:f>TEVA!$D$20</c:f>
              <c:strCache>
                <c:ptCount val="1"/>
                <c:pt idx="0">
                  <c:v>mean cost</c:v>
                </c:pt>
              </c:strCache>
            </c:strRef>
          </c:tx>
          <c:spPr>
            <a:ln w="28575" cap="rnd">
              <a:solidFill>
                <a:srgbClr val="FF0000"/>
              </a:solidFill>
              <a:round/>
            </a:ln>
            <a:effectLst/>
          </c:spPr>
          <c:marker>
            <c:symbol val="none"/>
          </c:marker>
          <c:cat>
            <c:numRef>
              <c:f>TEVA!$B$21:$B$63</c:f>
              <c:numCache>
                <c:formatCode>d\-mmm</c:formatCode>
                <c:ptCount val="43"/>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numCache>
            </c:numRef>
          </c:cat>
          <c:val>
            <c:numRef>
              <c:f>TEVA!$D$21:$D$63</c:f>
              <c:numCache>
                <c:formatCode>0.00</c:formatCode>
                <c:ptCount val="43"/>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-17.163399999999999</c:v>
                </c:pt>
                <c:pt idx="28">
                  <c:v>15.0718</c:v>
                </c:pt>
                <c:pt idx="29">
                  <c:v>13.6065</c:v>
                </c:pt>
                <c:pt idx="30">
                  <c:v>17.5732</c:v>
                </c:pt>
                <c:pt idx="31">
                  <c:v>17.848800000000001</c:v>
                </c:pt>
                <c:pt idx="32">
                  <c:v>17.2334</c:v>
                </c:pt>
                <c:pt idx="33">
                  <c:v>17.222200000000001</c:v>
                </c:pt>
                <c:pt idx="34">
                  <c:v>16.808499999999999</c:v>
                </c:pt>
                <c:pt idx="35">
                  <c:v>16.809999999999999</c:v>
                </c:pt>
                <c:pt idx="36">
                  <c:v>16.809999999999999</c:v>
                </c:pt>
                <c:pt idx="37">
                  <c:v>16.809999999999999</c:v>
                </c:pt>
              </c:numCache>
            </c:numRef>
          </c:val>
          <c:smooth val="0"/>
        </c:ser>
        <c:dLbls>
          <c:showLegendKey val="0"/>
          <c:showVal val="0"/>
          <c:showCatName val="0"/>
          <c:showSerName val="0"/>
          <c:showPercent val="0"/>
          <c:showBubbleSize val="0"/>
        </c:dLbls>
        <c:smooth val="0"/>
        <c:axId val="565132624"/>
        <c:axId val="565135368"/>
      </c:lineChart>
      <c:dateAx>
        <c:axId val="5651326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135368"/>
        <c:crosses val="autoZero"/>
        <c:auto val="1"/>
        <c:lblOffset val="100"/>
        <c:baseTimeUnit val="days"/>
      </c:dateAx>
      <c:valAx>
        <c:axId val="5651353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13262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TEVA!$J$20</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TEVA!$B$21:$B$63</c:f>
              <c:numCache>
                <c:formatCode>d\-mmm</c:formatCode>
                <c:ptCount val="43"/>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numCache>
            </c:numRef>
          </c:cat>
          <c:val>
            <c:numRef>
              <c:f>TEVA!$J$21:$J$63</c:f>
              <c:numCache>
                <c:formatCode>0.00</c:formatCode>
                <c:ptCount val="43"/>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1961.5994000000048</c:v>
                </c:pt>
                <c:pt idx="28">
                  <c:v>1954.6662000000049</c:v>
                </c:pt>
                <c:pt idx="29">
                  <c:v>2007.6700000000044</c:v>
                </c:pt>
                <c:pt idx="30">
                  <c:v>1871.6900000000046</c:v>
                </c:pt>
                <c:pt idx="31">
                  <c:v>639.69000000000517</c:v>
                </c:pt>
                <c:pt idx="32">
                  <c:v>987.61000000000433</c:v>
                </c:pt>
                <c:pt idx="33">
                  <c:v>157.65000000000524</c:v>
                </c:pt>
                <c:pt idx="34">
                  <c:v>629.57000000000608</c:v>
                </c:pt>
                <c:pt idx="35">
                  <c:v>940.97000000000503</c:v>
                </c:pt>
                <c:pt idx="36">
                  <c:v>1384.9700000000048</c:v>
                </c:pt>
                <c:pt idx="37">
                  <c:v>-127.02999999999497</c:v>
                </c:pt>
              </c:numCache>
            </c:numRef>
          </c:val>
          <c:smooth val="0"/>
        </c:ser>
        <c:dLbls>
          <c:showLegendKey val="0"/>
          <c:showVal val="0"/>
          <c:showCatName val="0"/>
          <c:showSerName val="0"/>
          <c:showPercent val="0"/>
          <c:showBubbleSize val="0"/>
        </c:dLbls>
        <c:marker val="1"/>
        <c:smooth val="0"/>
        <c:axId val="565136936"/>
        <c:axId val="565131448"/>
      </c:lineChart>
      <c:dateAx>
        <c:axId val="5651369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131448"/>
        <c:crosses val="autoZero"/>
        <c:auto val="1"/>
        <c:lblOffset val="100"/>
        <c:baseTimeUnit val="days"/>
      </c:dateAx>
      <c:valAx>
        <c:axId val="5651314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13693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565125568"/>
        <c:axId val="565133016"/>
      </c:lineChart>
      <c:dateAx>
        <c:axId val="56512556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5133016"/>
        <c:crosses val="autoZero"/>
        <c:auto val="1"/>
        <c:lblOffset val="100"/>
        <c:baseTimeUnit val="days"/>
      </c:dateAx>
      <c:valAx>
        <c:axId val="565133016"/>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512556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65130664"/>
        <c:axId val="565138504"/>
      </c:lineChart>
      <c:dateAx>
        <c:axId val="56513066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5138504"/>
        <c:crosses val="autoZero"/>
        <c:auto val="1"/>
        <c:lblOffset val="100"/>
        <c:baseTimeUnit val="days"/>
      </c:dateAx>
      <c:valAx>
        <c:axId val="565138504"/>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513066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65140856"/>
        <c:axId val="565137720"/>
      </c:lineChart>
      <c:dateAx>
        <c:axId val="5651408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137720"/>
        <c:crosses val="autoZero"/>
        <c:auto val="1"/>
        <c:lblOffset val="100"/>
        <c:baseTimeUnit val="days"/>
      </c:dateAx>
      <c:valAx>
        <c:axId val="565137720"/>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1408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65139288"/>
        <c:axId val="565140464"/>
      </c:lineChart>
      <c:dateAx>
        <c:axId val="5651392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140464"/>
        <c:crosses val="autoZero"/>
        <c:auto val="1"/>
        <c:lblOffset val="100"/>
        <c:baseTimeUnit val="days"/>
      </c:dateAx>
      <c:valAx>
        <c:axId val="5651404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1392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54051944"/>
        <c:axId val="554057824"/>
      </c:lineChart>
      <c:catAx>
        <c:axId val="55405194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4057824"/>
        <c:crosses val="autoZero"/>
        <c:auto val="1"/>
        <c:lblAlgn val="ctr"/>
        <c:lblOffset val="100"/>
        <c:noMultiLvlLbl val="0"/>
      </c:catAx>
      <c:valAx>
        <c:axId val="554057824"/>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405194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54051160"/>
        <c:axId val="554053904"/>
      </c:lineChart>
      <c:dateAx>
        <c:axId val="554051160"/>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4053904"/>
        <c:crosses val="autoZero"/>
        <c:auto val="1"/>
        <c:lblOffset val="100"/>
        <c:baseTimeUnit val="days"/>
      </c:dateAx>
      <c:valAx>
        <c:axId val="554053904"/>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40511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5.xml.rels><?xml version="1.0" encoding="UTF-8" standalone="yes"?>
<Relationships xmlns="http://schemas.openxmlformats.org/package/2006/relationships"><Relationship Id="rId1" Type="http://schemas.openxmlformats.org/officeDocument/2006/relationships/image" Target="../media/image5.gif"/></Relationships>
</file>

<file path=xl/drawings/_rels/drawing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9.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11.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14.xml"/><Relationship Id="rId1" Type="http://schemas.openxmlformats.org/officeDocument/2006/relationships/chart" Target="../charts/chart13.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4.xml.rels><?xml version="1.0" encoding="UTF-8" standalone="yes"?>
<Relationships xmlns="http://schemas.openxmlformats.org/package/2006/relationships"><Relationship Id="rId1" Type="http://schemas.openxmlformats.org/officeDocument/2006/relationships/image" Target="../media/image7.png"/></Relationships>
</file>

<file path=xl/drawings/_rels/drawing15.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chart" Target="../charts/chart19.xml"/><Relationship Id="rId1" Type="http://schemas.openxmlformats.org/officeDocument/2006/relationships/image" Target="../media/image5.gif"/><Relationship Id="rId5" Type="http://schemas.openxmlformats.org/officeDocument/2006/relationships/image" Target="../media/image9.png"/><Relationship Id="rId4" Type="http://schemas.openxmlformats.org/officeDocument/2006/relationships/chart" Target="../charts/chart20.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2.xml"/><Relationship Id="rId1" Type="http://schemas.openxmlformats.org/officeDocument/2006/relationships/chart" Target="../charts/chart21.xml"/></Relationships>
</file>

<file path=xl/drawings/_rels/drawing17.xml.rels><?xml version="1.0" encoding="UTF-8" standalone="yes"?>
<Relationships xmlns="http://schemas.openxmlformats.org/package/2006/relationships"><Relationship Id="rId2" Type="http://schemas.openxmlformats.org/officeDocument/2006/relationships/chart" Target="../charts/chart24.xml"/><Relationship Id="rId1" Type="http://schemas.openxmlformats.org/officeDocument/2006/relationships/chart" Target="../charts/chart23.xml"/></Relationships>
</file>

<file path=xl/drawings/_rels/drawing18.xml.rels><?xml version="1.0" encoding="UTF-8" standalone="yes"?>
<Relationships xmlns="http://schemas.openxmlformats.org/package/2006/relationships"><Relationship Id="rId1" Type="http://schemas.openxmlformats.org/officeDocument/2006/relationships/image" Target="../media/image10.png"/></Relationships>
</file>

<file path=xl/drawings/_rels/drawing19.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image" Target="../media/image11.png"/></Relationships>
</file>

<file path=xl/drawings/_rels/drawing20.xml.rels><?xml version="1.0" encoding="UTF-8" standalone="yes"?>
<Relationships xmlns="http://schemas.openxmlformats.org/package/2006/relationships"><Relationship Id="rId8" Type="http://schemas.openxmlformats.org/officeDocument/2006/relationships/image" Target="../media/image19.gif"/><Relationship Id="rId3" Type="http://schemas.openxmlformats.org/officeDocument/2006/relationships/image" Target="../media/image14.gif"/><Relationship Id="rId7" Type="http://schemas.openxmlformats.org/officeDocument/2006/relationships/image" Target="../media/image18.gif"/><Relationship Id="rId2" Type="http://schemas.openxmlformats.org/officeDocument/2006/relationships/image" Target="../media/image13.gif"/><Relationship Id="rId1" Type="http://schemas.openxmlformats.org/officeDocument/2006/relationships/image" Target="../media/image5.gif"/><Relationship Id="rId6" Type="http://schemas.openxmlformats.org/officeDocument/2006/relationships/image" Target="../media/image17.gif"/><Relationship Id="rId5" Type="http://schemas.openxmlformats.org/officeDocument/2006/relationships/image" Target="../media/image16.gif"/><Relationship Id="rId10" Type="http://schemas.openxmlformats.org/officeDocument/2006/relationships/chart" Target="../charts/chart26.xml"/><Relationship Id="rId4" Type="http://schemas.openxmlformats.org/officeDocument/2006/relationships/image" Target="../media/image15.gif"/><Relationship Id="rId9" Type="http://schemas.openxmlformats.org/officeDocument/2006/relationships/chart" Target="../charts/chart25.xml"/></Relationships>
</file>

<file path=xl/drawings/_rels/drawing21.xml.rels><?xml version="1.0" encoding="UTF-8" standalone="yes"?>
<Relationships xmlns="http://schemas.openxmlformats.org/package/2006/relationships"><Relationship Id="rId2" Type="http://schemas.openxmlformats.org/officeDocument/2006/relationships/chart" Target="../charts/chart28.xml"/><Relationship Id="rId1" Type="http://schemas.openxmlformats.org/officeDocument/2006/relationships/chart" Target="../charts/chart27.xml"/></Relationships>
</file>

<file path=xl/drawings/_rels/drawing22.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3.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32.xml"/><Relationship Id="rId1" Type="http://schemas.openxmlformats.org/officeDocument/2006/relationships/chart" Target="../charts/chart31.xml"/></Relationships>
</file>

<file path=xl/drawings/_rels/drawing24.xml.rels><?xml version="1.0" encoding="UTF-8" standalone="yes"?>
<Relationships xmlns="http://schemas.openxmlformats.org/package/2006/relationships"><Relationship Id="rId2" Type="http://schemas.openxmlformats.org/officeDocument/2006/relationships/chart" Target="../charts/chart34.xml"/><Relationship Id="rId1" Type="http://schemas.openxmlformats.org/officeDocument/2006/relationships/chart" Target="../charts/chart33.xml"/></Relationships>
</file>

<file path=xl/drawings/_rels/drawing25.xml.rels><?xml version="1.0" encoding="UTF-8" standalone="yes"?>
<Relationships xmlns="http://schemas.openxmlformats.org/package/2006/relationships"><Relationship Id="rId2" Type="http://schemas.openxmlformats.org/officeDocument/2006/relationships/chart" Target="../charts/chart36.xml"/><Relationship Id="rId1" Type="http://schemas.openxmlformats.org/officeDocument/2006/relationships/chart" Target="../charts/chart35.xml"/></Relationships>
</file>

<file path=xl/drawings/_rels/drawing26.xml.rels><?xml version="1.0" encoding="UTF-8" standalone="yes"?>
<Relationships xmlns="http://schemas.openxmlformats.org/package/2006/relationships"><Relationship Id="rId1" Type="http://schemas.openxmlformats.org/officeDocument/2006/relationships/chart" Target="../charts/chart37.xml"/></Relationships>
</file>

<file path=xl/drawings/_rels/drawing27.xml.rels><?xml version="1.0" encoding="UTF-8" standalone="yes"?>
<Relationships xmlns="http://schemas.openxmlformats.org/package/2006/relationships"><Relationship Id="rId2" Type="http://schemas.openxmlformats.org/officeDocument/2006/relationships/chart" Target="../charts/chart39.xml"/><Relationship Id="rId1" Type="http://schemas.openxmlformats.org/officeDocument/2006/relationships/chart" Target="../charts/chart38.xml"/></Relationships>
</file>

<file path=xl/drawings/_rels/drawing28.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chart" Target="../charts/chart41.xml"/><Relationship Id="rId1" Type="http://schemas.openxmlformats.org/officeDocument/2006/relationships/chart" Target="../charts/chart40.xml"/></Relationships>
</file>

<file path=xl/drawings/_rels/drawing29.xml.rels><?xml version="1.0" encoding="UTF-8" standalone="yes"?>
<Relationships xmlns="http://schemas.openxmlformats.org/package/2006/relationships"><Relationship Id="rId2" Type="http://schemas.openxmlformats.org/officeDocument/2006/relationships/chart" Target="../charts/chart43.xml"/><Relationship Id="rId1" Type="http://schemas.openxmlformats.org/officeDocument/2006/relationships/chart" Target="../charts/chart42.xml"/></Relationships>
</file>

<file path=xl/drawings/_rels/drawing30.xml.rels><?xml version="1.0" encoding="UTF-8" standalone="yes"?>
<Relationships xmlns="http://schemas.openxmlformats.org/package/2006/relationships"><Relationship Id="rId1" Type="http://schemas.openxmlformats.org/officeDocument/2006/relationships/image" Target="../media/image5.gif"/></Relationships>
</file>

<file path=xl/drawings/_rels/drawing31.xml.rels><?xml version="1.0" encoding="UTF-8" standalone="yes"?>
<Relationships xmlns="http://schemas.openxmlformats.org/package/2006/relationships"><Relationship Id="rId2" Type="http://schemas.openxmlformats.org/officeDocument/2006/relationships/chart" Target="../charts/chart45.xml"/><Relationship Id="rId1" Type="http://schemas.openxmlformats.org/officeDocument/2006/relationships/chart" Target="../charts/chart44.xml"/></Relationships>
</file>

<file path=xl/drawings/_rels/drawing32.xml.rels><?xml version="1.0" encoding="UTF-8" standalone="yes"?>
<Relationships xmlns="http://schemas.openxmlformats.org/package/2006/relationships"><Relationship Id="rId2" Type="http://schemas.openxmlformats.org/officeDocument/2006/relationships/chart" Target="../charts/chart47.xml"/><Relationship Id="rId1" Type="http://schemas.openxmlformats.org/officeDocument/2006/relationships/chart" Target="../charts/chart46.xml"/></Relationships>
</file>

<file path=xl/drawings/_rels/drawing33.xml.rels><?xml version="1.0" encoding="UTF-8" standalone="yes"?>
<Relationships xmlns="http://schemas.openxmlformats.org/package/2006/relationships"><Relationship Id="rId1" Type="http://schemas.openxmlformats.org/officeDocument/2006/relationships/image" Target="../media/image5.gif"/></Relationships>
</file>

<file path=xl/drawings/_rels/drawing34.xml.rels><?xml version="1.0" encoding="UTF-8" standalone="yes"?>
<Relationships xmlns="http://schemas.openxmlformats.org/package/2006/relationships"><Relationship Id="rId1" Type="http://schemas.openxmlformats.org/officeDocument/2006/relationships/chart" Target="../charts/chart48.xml"/></Relationships>
</file>

<file path=xl/drawings/_rels/drawing35.xml.rels><?xml version="1.0" encoding="UTF-8" standalone="yes"?>
<Relationships xmlns="http://schemas.openxmlformats.org/package/2006/relationships"><Relationship Id="rId1" Type="http://schemas.openxmlformats.org/officeDocument/2006/relationships/chart" Target="../charts/chart49.xml"/></Relationships>
</file>

<file path=xl/drawings/_rels/drawing36.xml.rels><?xml version="1.0" encoding="UTF-8" standalone="yes"?>
<Relationships xmlns="http://schemas.openxmlformats.org/package/2006/relationships"><Relationship Id="rId1" Type="http://schemas.openxmlformats.org/officeDocument/2006/relationships/image" Target="../media/image5.gif"/></Relationships>
</file>

<file path=xl/drawings/_rels/drawing37.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50.xml"/></Relationships>
</file>

<file path=xl/drawings/_rels/drawing38.xml.rels><?xml version="1.0" encoding="UTF-8" standalone="yes"?>
<Relationships xmlns="http://schemas.openxmlformats.org/package/2006/relationships"><Relationship Id="rId1" Type="http://schemas.openxmlformats.org/officeDocument/2006/relationships/image" Target="../media/image5.gif"/></Relationships>
</file>

<file path=xl/drawings/_rels/drawing39.xml.rels><?xml version="1.0" encoding="UTF-8" standalone="yes"?>
<Relationships xmlns="http://schemas.openxmlformats.org/package/2006/relationships"><Relationship Id="rId1" Type="http://schemas.openxmlformats.org/officeDocument/2006/relationships/chart" Target="../charts/chart51.xml"/></Relationships>
</file>

<file path=xl/drawings/_rels/drawing40.xml.rels><?xml version="1.0" encoding="UTF-8" standalone="yes"?>
<Relationships xmlns="http://schemas.openxmlformats.org/package/2006/relationships"><Relationship Id="rId1" Type="http://schemas.openxmlformats.org/officeDocument/2006/relationships/image" Target="../media/image5.gif"/></Relationships>
</file>

<file path=xl/drawings/_rels/drawing41.xml.rels><?xml version="1.0" encoding="UTF-8" standalone="yes"?>
<Relationships xmlns="http://schemas.openxmlformats.org/package/2006/relationships"><Relationship Id="rId3" Type="http://schemas.openxmlformats.org/officeDocument/2006/relationships/chart" Target="../charts/chart53.xml"/><Relationship Id="rId2" Type="http://schemas.openxmlformats.org/officeDocument/2006/relationships/chart" Target="../charts/chart52.xml"/><Relationship Id="rId1" Type="http://schemas.openxmlformats.org/officeDocument/2006/relationships/image" Target="../media/image5.gif"/></Relationships>
</file>

<file path=xl/drawings/_rels/drawing42.xml.rels><?xml version="1.0" encoding="UTF-8" standalone="yes"?>
<Relationships xmlns="http://schemas.openxmlformats.org/package/2006/relationships"><Relationship Id="rId1" Type="http://schemas.openxmlformats.org/officeDocument/2006/relationships/chart" Target="../charts/chart54.xml"/></Relationships>
</file>

<file path=xl/drawings/_rels/drawing43.xml.rels><?xml version="1.0" encoding="UTF-8" standalone="yes"?>
<Relationships xmlns="http://schemas.openxmlformats.org/package/2006/relationships"><Relationship Id="rId1" Type="http://schemas.openxmlformats.org/officeDocument/2006/relationships/chart" Target="../charts/chart55.xml"/></Relationships>
</file>

<file path=xl/drawings/_rels/drawing44.xml.rels><?xml version="1.0" encoding="UTF-8" standalone="yes"?>
<Relationships xmlns="http://schemas.openxmlformats.org/package/2006/relationships"><Relationship Id="rId1" Type="http://schemas.openxmlformats.org/officeDocument/2006/relationships/image" Target="../media/image5.gif"/></Relationships>
</file>

<file path=xl/drawings/_rels/drawing45.xml.rels><?xml version="1.0" encoding="UTF-8" standalone="yes"?>
<Relationships xmlns="http://schemas.openxmlformats.org/package/2006/relationships"><Relationship Id="rId1" Type="http://schemas.openxmlformats.org/officeDocument/2006/relationships/chart" Target="../charts/chart56.xml"/></Relationships>
</file>

<file path=xl/drawings/_rels/drawing46.xml.rels><?xml version="1.0" encoding="UTF-8" standalone="yes"?>
<Relationships xmlns="http://schemas.openxmlformats.org/package/2006/relationships"><Relationship Id="rId2" Type="http://schemas.openxmlformats.org/officeDocument/2006/relationships/chart" Target="../charts/chart58.xml"/><Relationship Id="rId1" Type="http://schemas.openxmlformats.org/officeDocument/2006/relationships/chart" Target="../charts/chart57.xml"/></Relationships>
</file>

<file path=xl/drawings/_rels/drawing47.xml.rels><?xml version="1.0" encoding="UTF-8" standalone="yes"?>
<Relationships xmlns="http://schemas.openxmlformats.org/package/2006/relationships"><Relationship Id="rId3" Type="http://schemas.openxmlformats.org/officeDocument/2006/relationships/chart" Target="../charts/chart60.xml"/><Relationship Id="rId2" Type="http://schemas.openxmlformats.org/officeDocument/2006/relationships/chart" Target="../charts/chart59.xml"/><Relationship Id="rId1" Type="http://schemas.openxmlformats.org/officeDocument/2006/relationships/image" Target="../media/image5.gif"/></Relationships>
</file>

<file path=xl/drawings/_rels/drawing48.xml.rels><?xml version="1.0" encoding="UTF-8" standalone="yes"?>
<Relationships xmlns="http://schemas.openxmlformats.org/package/2006/relationships"><Relationship Id="rId1" Type="http://schemas.openxmlformats.org/officeDocument/2006/relationships/chart" Target="../charts/chart61.xml"/></Relationships>
</file>

<file path=xl/drawings/_rels/drawing49.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2.xml"/></Relationships>
</file>

<file path=xl/drawings/_rels/drawing50.xml.rels><?xml version="1.0" encoding="UTF-8" standalone="yes"?>
<Relationships xmlns="http://schemas.openxmlformats.org/package/2006/relationships"><Relationship Id="rId2" Type="http://schemas.openxmlformats.org/officeDocument/2006/relationships/chart" Target="../charts/chart64.xml"/><Relationship Id="rId1" Type="http://schemas.openxmlformats.org/officeDocument/2006/relationships/chart" Target="../charts/chart63.xml"/></Relationships>
</file>

<file path=xl/drawings/_rels/drawing51.xml.rels><?xml version="1.0" encoding="UTF-8" standalone="yes"?>
<Relationships xmlns="http://schemas.openxmlformats.org/package/2006/relationships"><Relationship Id="rId1" Type="http://schemas.openxmlformats.org/officeDocument/2006/relationships/chart" Target="../charts/chart65.xml"/></Relationships>
</file>

<file path=xl/drawings/_rels/drawing52.xml.rels><?xml version="1.0" encoding="UTF-8" standalone="yes"?>
<Relationships xmlns="http://schemas.openxmlformats.org/package/2006/relationships"><Relationship Id="rId1" Type="http://schemas.openxmlformats.org/officeDocument/2006/relationships/image" Target="../media/image5.gif"/></Relationships>
</file>

<file path=xl/drawings/_rels/drawing53.xml.rels><?xml version="1.0" encoding="UTF-8" standalone="yes"?>
<Relationships xmlns="http://schemas.openxmlformats.org/package/2006/relationships"><Relationship Id="rId1" Type="http://schemas.openxmlformats.org/officeDocument/2006/relationships/image" Target="../media/image5.gif"/></Relationships>
</file>

<file path=xl/drawings/_rels/drawing54.xml.rels><?xml version="1.0" encoding="UTF-8" standalone="yes"?>
<Relationships xmlns="http://schemas.openxmlformats.org/package/2006/relationships"><Relationship Id="rId1" Type="http://schemas.openxmlformats.org/officeDocument/2006/relationships/image" Target="../media/image5.gif"/></Relationships>
</file>

<file path=xl/drawings/_rels/drawing55.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6.xml"/></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187</xdr:row>
      <xdr:rowOff>0</xdr:rowOff>
    </xdr:from>
    <xdr:to>
      <xdr:col>14</xdr:col>
      <xdr:colOff>9525</xdr:colOff>
      <xdr:row>187</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9.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12</xdr:col>
      <xdr:colOff>47625</xdr:colOff>
      <xdr:row>41</xdr:row>
      <xdr:rowOff>90487</xdr:rowOff>
    </xdr:from>
    <xdr:to>
      <xdr:col>18</xdr:col>
      <xdr:colOff>590550</xdr:colOff>
      <xdr:row>55</xdr:row>
      <xdr:rowOff>166687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57150</xdr:colOff>
      <xdr:row>56</xdr:row>
      <xdr:rowOff>57150</xdr:rowOff>
    </xdr:from>
    <xdr:to>
      <xdr:col>18</xdr:col>
      <xdr:colOff>600075</xdr:colOff>
      <xdr:row>68</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13</xdr:col>
      <xdr:colOff>95250</xdr:colOff>
      <xdr:row>44</xdr:row>
      <xdr:rowOff>123825</xdr:rowOff>
    </xdr:from>
    <xdr:to>
      <xdr:col>18</xdr:col>
      <xdr:colOff>1847850</xdr:colOff>
      <xdr:row>60</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85725</xdr:colOff>
      <xdr:row>61</xdr:row>
      <xdr:rowOff>38099</xdr:rowOff>
    </xdr:from>
    <xdr:to>
      <xdr:col>18</xdr:col>
      <xdr:colOff>1876425</xdr:colOff>
      <xdr:row>77</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9.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1.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2.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4.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5.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7.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9.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2.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5.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9.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0.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1.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5.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MYL" backgroundRefresh="0" connectionId="50"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MYL" backgroundRefresh="0" adjustColumnWidth="0" connectionId="49"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hp?s=AXP+Historical+Prices" backgroundRefresh="0" adjustColumnWidth="0" connectionId="27"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AXP" backgroundRefresh="0" connectionId="48"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dg" backgroundRefresh="0" connectionId="56"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hp?s=pinc" backgroundRefresh="0" adjustColumnWidth="0" connectionId="60"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q?s=pinc" backgroundRefresh="0" connectionId="61"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foxa" backgroundRefresh="0" connectionId="59"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hp?s=foxa" backgroundRefresh="0" adjustColumnWidth="0" connectionId="57"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hp?s=AKAM+Historical+Prices" backgroundRefresh="0" adjustColumnWidth="0" connectionId="54"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AKAM" backgroundRefresh="0" connectionId="55"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 backgroundRefresh="0" adjustColumnWidth="0" connectionId="4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JNJ" backgroundRefresh="0" connectionId="6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CPN" backgroundRefresh="0" connectionId="26"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hp?s=CPN+Historical+Prices" backgroundRefresh="0" adjustColumnWidth="0" connectionId="35"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hp?s=vgk" backgroundRefresh="0" connectionId="51"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vgk" backgroundRefresh="0" connectionId="52"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hp?s=IP" backgroundRefresh="0" adjustColumnWidth="0" connectionId="42"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IP" backgroundRefresh="0" connectionId="37"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hp?s=HES" backgroundRefresh="0" adjustColumnWidth="0" connectionId="58"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HES" backgroundRefresh="0" connectionId="53"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q?s=nclh" backgroundRefresh="0" connectionId="63"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hp?s=nclh" backgroundRefresh="0" adjustColumnWidth="0" connectionId="62"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hp?s=SWKS" backgroundRefresh="0" adjustColumnWidth="0" connectionId="44"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SWKS" backgroundRefresh="0" connectionId="45"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hp?s=CNI" backgroundRefresh="0" adjustColumnWidth="0" connectionId="40"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CNI" backgroundRefresh="0" adjustColumnWidth="0" connectionId="39"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CF" backgroundRefresh="0" connectionId="28"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hp?s=ALL+Historical+Prices" backgroundRefresh="0" adjustColumnWidth="0" connectionId="47"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q?s=ALL" backgroundRefresh="0" connectionId="43"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FTR" backgroundRefresh="0" adjustColumnWidth="0" connectionId="36"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WWD" backgroundRefresh="0" adjustColumnWidth="0" connectionId="33"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hp?s=WWD" backgroundRefresh="0" adjustColumnWidth="0" connectionId="34"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hp?s=tmo" backgroundRefresh="0" adjustColumnWidth="0" connectionId="38"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q?s=tmo" backgroundRefresh="0" adjustColumnWidth="0" connectionId="41"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hp?s=UTX" backgroundRefresh="0" adjustColumnWidth="0" connectionId="32"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q?s=UTX" backgroundRefresh="0" adjustColumnWidth="0" connectionId="31"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UNH" backgroundRefresh="0" adjustColumnWidth="0" connectionId="29"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hp?s=UNH" backgroundRefresh="0" adjustColumnWidth="0" connectionId="30"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552" dataDxfId="551">
  <autoFilter ref="O15:W26"/>
  <tableColumns count="9">
    <tableColumn id="1" name="Date" dataDxfId="550"/>
    <tableColumn id="2" name="Quarter" dataDxfId="549"/>
    <tableColumn id="3" name="Time" dataDxfId="548"/>
    <tableColumn id="4" name="EPS estimate" dataDxfId="547"/>
    <tableColumn id="5" name="EPS Actual" dataDxfId="546"/>
    <tableColumn id="6" name="Sales Estiamte (B)" dataDxfId="545"/>
    <tableColumn id="7" name="Sales Actual (B)" dataDxfId="544"/>
    <tableColumn id="8" name="Guidance" dataDxfId="543"/>
    <tableColumn id="9" name="Reaction" dataDxfId="542"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queryTable" Target="../queryTables/queryTable1.x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queryTable" Target="../queryTables/query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https://www.census.gov/construction/nrc/index.html"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queryTable" Target="../queryTables/queryTable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6.x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queryTable" Target="../queryTables/queryTable7.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9.xml"/><Relationship Id="rId4"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queryTable" Target="../queryTables/queryTable11.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13.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3" Type="http://schemas.openxmlformats.org/officeDocument/2006/relationships/drawing" Target="../drawings/drawing19.xml"/><Relationship Id="rId2" Type="http://schemas.openxmlformats.org/officeDocument/2006/relationships/printerSettings" Target="../printerSettings/printerSettings47.bin"/><Relationship Id="rId1" Type="http://schemas.openxmlformats.org/officeDocument/2006/relationships/hyperlink" Target="http://portfolios.morningstar.com/fund/holdings?t=XLP&amp;region=usa&amp;culture=en-US" TargetMode="External"/></Relationships>
</file>

<file path=xl/worksheets/_rels/sheet48.xml.rels><?xml version="1.0" encoding="UTF-8" standalone="yes"?>
<Relationships xmlns="http://schemas.openxmlformats.org/package/2006/relationships"><Relationship Id="rId3" Type="http://schemas.openxmlformats.org/officeDocument/2006/relationships/printerSettings" Target="../printerSettings/printerSettings48.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0.xml"/></Relationships>
</file>

<file path=xl/worksheets/_rels/sheet49.xml.rels><?xml version="1.0" encoding="UTF-8" standalone="yes"?>
<Relationships xmlns="http://schemas.openxmlformats.org/package/2006/relationships"><Relationship Id="rId2" Type="http://schemas.openxmlformats.org/officeDocument/2006/relationships/queryTable" Target="../queryTables/queryTable14.xml"/><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2" Type="http://schemas.openxmlformats.org/officeDocument/2006/relationships/queryTable" Target="../queryTables/queryTable15.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3" Type="http://schemas.openxmlformats.org/officeDocument/2006/relationships/queryTable" Target="../queryTables/queryTable17.xml"/><Relationship Id="rId2" Type="http://schemas.openxmlformats.org/officeDocument/2006/relationships/queryTable" Target="../queryTables/queryTable16.xml"/><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6.xml"/><Relationship Id="rId1" Type="http://schemas.openxmlformats.org/officeDocument/2006/relationships/printerSettings" Target="../printerSettings/printerSettings61.bin"/><Relationship Id="rId4" Type="http://schemas.openxmlformats.org/officeDocument/2006/relationships/queryTable" Target="../queryTables/queryTable19.xml"/></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2" Type="http://schemas.openxmlformats.org/officeDocument/2006/relationships/printerSettings" Target="../printerSettings/printerSettings63.bin"/><Relationship Id="rId1" Type="http://schemas.openxmlformats.org/officeDocument/2006/relationships/hyperlink" Target="https://www.fa-mag.com/news/the--powershares--name-is-no-more-39023.html" TargetMode="External"/></Relationships>
</file>

<file path=xl/worksheets/_rels/sheet64.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66.bin"/></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2" Type="http://schemas.openxmlformats.org/officeDocument/2006/relationships/printerSettings" Target="../printerSettings/printerSettings71.bin"/><Relationship Id="rId1" Type="http://schemas.openxmlformats.org/officeDocument/2006/relationships/hyperlink" Target="http://www.wsj.com/mdc/public/page/2_3021-peyield.html" TargetMode="External"/></Relationships>
</file>

<file path=xl/worksheets/_rels/sheet72.xml.rels><?xml version="1.0" encoding="UTF-8" standalone="yes"?>
<Relationships xmlns="http://schemas.openxmlformats.org/package/2006/relationships"><Relationship Id="rId1" Type="http://schemas.openxmlformats.org/officeDocument/2006/relationships/printerSettings" Target="../printerSettings/printerSettings72.bin"/></Relationships>
</file>

<file path=xl/worksheets/_rels/sheet73.xml.rels><?xml version="1.0" encoding="UTF-8" standalone="yes"?>
<Relationships xmlns="http://schemas.openxmlformats.org/package/2006/relationships"><Relationship Id="rId3" Type="http://schemas.openxmlformats.org/officeDocument/2006/relationships/queryTable" Target="../queryTables/queryTable20.xml"/><Relationship Id="rId2" Type="http://schemas.openxmlformats.org/officeDocument/2006/relationships/drawing" Target="../drawings/drawing30.xml"/><Relationship Id="rId1" Type="http://schemas.openxmlformats.org/officeDocument/2006/relationships/printerSettings" Target="../printerSettings/printerSettings73.bin"/><Relationship Id="rId4" Type="http://schemas.openxmlformats.org/officeDocument/2006/relationships/queryTable" Target="../queryTables/queryTable21.xml"/></Relationships>
</file>

<file path=xl/worksheets/_rels/sheet74.xml.rels><?xml version="1.0" encoding="UTF-8" standalone="yes"?>
<Relationships xmlns="http://schemas.openxmlformats.org/package/2006/relationships"><Relationship Id="rId3" Type="http://schemas.openxmlformats.org/officeDocument/2006/relationships/drawing" Target="../drawings/drawing31.xml"/><Relationship Id="rId2" Type="http://schemas.openxmlformats.org/officeDocument/2006/relationships/printerSettings" Target="../printerSettings/printerSettings74.bin"/><Relationship Id="rId1" Type="http://schemas.openxmlformats.org/officeDocument/2006/relationships/hyperlink" Target="http://www.nasdaq.com/markets/corn.aspx?timeframe=2y" TargetMode="External"/></Relationships>
</file>

<file path=xl/worksheets/_rels/sheet75.xml.rels><?xml version="1.0" encoding="UTF-8" standalone="yes"?>
<Relationships xmlns="http://schemas.openxmlformats.org/package/2006/relationships"><Relationship Id="rId3" Type="http://schemas.openxmlformats.org/officeDocument/2006/relationships/queryTable" Target="../queryTables/queryTable23.xml"/><Relationship Id="rId2" Type="http://schemas.openxmlformats.org/officeDocument/2006/relationships/queryTable" Target="../queryTables/queryTable22.xml"/><Relationship Id="rId1" Type="http://schemas.openxmlformats.org/officeDocument/2006/relationships/printerSettings" Target="../printerSettings/printerSettings75.bin"/></Relationships>
</file>

<file path=xl/worksheets/_rels/sheet76.xml.rels><?xml version="1.0" encoding="UTF-8" standalone="yes"?>
<Relationships xmlns="http://schemas.openxmlformats.org/package/2006/relationships"><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79.bin"/></Relationships>
</file>

<file path=xl/worksheets/_rels/sheet80.xml.rels><?xml version="1.0" encoding="UTF-8" standalone="yes"?>
<Relationships xmlns="http://schemas.openxmlformats.org/package/2006/relationships"><Relationship Id="rId3" Type="http://schemas.openxmlformats.org/officeDocument/2006/relationships/drawing" Target="../drawings/drawing33.xml"/><Relationship Id="rId2" Type="http://schemas.openxmlformats.org/officeDocument/2006/relationships/printerSettings" Target="../printerSettings/printerSettings80.bin"/><Relationship Id="rId1" Type="http://schemas.openxmlformats.org/officeDocument/2006/relationships/hyperlink" Target="http://www.trendforce.com/price" TargetMode="External"/></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queryTable" Target="../queryTables/queryTable24.xml"/><Relationship Id="rId1" Type="http://schemas.openxmlformats.org/officeDocument/2006/relationships/printerSettings" Target="../printerSettings/printerSettings81.bin"/></Relationships>
</file>

<file path=xl/worksheets/_rels/sheet82.xml.rels><?xml version="1.0" encoding="UTF-8" standalone="yes"?>
<Relationships xmlns="http://schemas.openxmlformats.org/package/2006/relationships"><Relationship Id="rId3" Type="http://schemas.openxmlformats.org/officeDocument/2006/relationships/queryTable" Target="../queryTables/queryTable26.xml"/><Relationship Id="rId2" Type="http://schemas.openxmlformats.org/officeDocument/2006/relationships/drawing" Target="../drawings/drawing34.xml"/><Relationship Id="rId1" Type="http://schemas.openxmlformats.org/officeDocument/2006/relationships/printerSettings" Target="../printerSettings/printerSettings82.bin"/><Relationship Id="rId4" Type="http://schemas.openxmlformats.org/officeDocument/2006/relationships/queryTable" Target="../queryTables/queryTable27.xml"/></Relationships>
</file>

<file path=xl/worksheets/_rels/sheet8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5.xml"/><Relationship Id="rId1" Type="http://schemas.openxmlformats.org/officeDocument/2006/relationships/printerSettings" Target="../printerSettings/printerSettings83.bin"/><Relationship Id="rId6" Type="http://schemas.openxmlformats.org/officeDocument/2006/relationships/comments" Target="../comments2.xml"/><Relationship Id="rId5" Type="http://schemas.openxmlformats.org/officeDocument/2006/relationships/queryTable" Target="../queryTables/queryTable29.xml"/><Relationship Id="rId4" Type="http://schemas.openxmlformats.org/officeDocument/2006/relationships/queryTable" Target="../queryTables/queryTable28.xml"/></Relationships>
</file>

<file path=xl/worksheets/_rels/sheet84.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drawing" Target="../drawings/drawing36.xml"/><Relationship Id="rId1" Type="http://schemas.openxmlformats.org/officeDocument/2006/relationships/printerSettings" Target="../printerSettings/printerSettings84.bin"/></Relationships>
</file>

<file path=xl/worksheets/_rels/sheet85.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7.xml"/><Relationship Id="rId1" Type="http://schemas.openxmlformats.org/officeDocument/2006/relationships/printerSettings" Target="../printerSettings/printerSettings85.bin"/><Relationship Id="rId4" Type="http://schemas.openxmlformats.org/officeDocument/2006/relationships/queryTable" Target="../queryTables/queryTable32.xml"/></Relationships>
</file>

<file path=xl/worksheets/_rels/sheet86.xml.rels><?xml version="1.0" encoding="UTF-8" standalone="yes"?>
<Relationships xmlns="http://schemas.openxmlformats.org/package/2006/relationships"><Relationship Id="rId3" Type="http://schemas.openxmlformats.org/officeDocument/2006/relationships/drawing" Target="../drawings/drawing38.xml"/><Relationship Id="rId2" Type="http://schemas.openxmlformats.org/officeDocument/2006/relationships/printerSettings" Target="../printerSettings/printerSettings86.bin"/><Relationship Id="rId1" Type="http://schemas.openxmlformats.org/officeDocument/2006/relationships/hyperlink" Target="http://www.wsj.com/mdc/public/page/2_3021-peyield.html" TargetMode="External"/></Relationships>
</file>

<file path=xl/worksheets/_rels/sheet87.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39.xml"/><Relationship Id="rId1" Type="http://schemas.openxmlformats.org/officeDocument/2006/relationships/printerSettings" Target="../printerSettings/printerSettings87.bin"/><Relationship Id="rId4" Type="http://schemas.openxmlformats.org/officeDocument/2006/relationships/queryTable" Target="../queryTables/queryTable34.xml"/></Relationships>
</file>

<file path=xl/worksheets/_rels/sheet88.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queryTable" Target="../queryTables/queryTable35.xml"/><Relationship Id="rId1" Type="http://schemas.openxmlformats.org/officeDocument/2006/relationships/printerSettings" Target="../printerSettings/printerSettings88.bin"/></Relationships>
</file>

<file path=xl/worksheets/_rels/sheet89.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89.bin"/></Relationships>
</file>

<file path=xl/worksheets/_rels/sheet90.xml.rels><?xml version="1.0" encoding="UTF-8" standalone="yes"?>
<Relationships xmlns="http://schemas.openxmlformats.org/package/2006/relationships"><Relationship Id="rId3" Type="http://schemas.openxmlformats.org/officeDocument/2006/relationships/queryTable" Target="../queryTables/queryTable37.xml"/><Relationship Id="rId2" Type="http://schemas.openxmlformats.org/officeDocument/2006/relationships/vmlDrawing" Target="../drawings/vmlDrawing3.vml"/><Relationship Id="rId1" Type="http://schemas.openxmlformats.org/officeDocument/2006/relationships/printerSettings" Target="../printerSettings/printerSettings90.bin"/><Relationship Id="rId5" Type="http://schemas.openxmlformats.org/officeDocument/2006/relationships/comments" Target="../comments3.xml"/><Relationship Id="rId4" Type="http://schemas.openxmlformats.org/officeDocument/2006/relationships/queryTable" Target="../queryTables/queryTable38.xml"/></Relationships>
</file>

<file path=xl/worksheets/_rels/sheet91.xml.rels><?xml version="1.0" encoding="UTF-8" standalone="yes"?>
<Relationships xmlns="http://schemas.openxmlformats.org/package/2006/relationships"><Relationship Id="rId2" Type="http://schemas.openxmlformats.org/officeDocument/2006/relationships/queryTable" Target="../queryTables/queryTable39.xml"/><Relationship Id="rId1" Type="http://schemas.openxmlformats.org/officeDocument/2006/relationships/printerSettings" Target="../printerSettings/printerSettings91.bin"/></Relationships>
</file>

<file path=xl/worksheets/_rels/sheet92.xml.rels><?xml version="1.0" encoding="UTF-8" standalone="yes"?>
<Relationships xmlns="http://schemas.openxmlformats.org/package/2006/relationships"><Relationship Id="rId3" Type="http://schemas.openxmlformats.org/officeDocument/2006/relationships/queryTable" Target="../queryTables/queryTable40.xml"/><Relationship Id="rId2" Type="http://schemas.openxmlformats.org/officeDocument/2006/relationships/table" Target="../tables/table1.xml"/><Relationship Id="rId1" Type="http://schemas.openxmlformats.org/officeDocument/2006/relationships/printerSettings" Target="../printerSettings/printerSettings92.bin"/></Relationships>
</file>

<file path=xl/worksheets/_rels/sheet93.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93.bin"/></Relationships>
</file>

<file path=xl/worksheets/_rels/sheet94.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drawing" Target="../drawings/drawing42.xml"/><Relationship Id="rId1" Type="http://schemas.openxmlformats.org/officeDocument/2006/relationships/printerSettings" Target="../printerSettings/printerSettings94.bin"/><Relationship Id="rId4" Type="http://schemas.openxmlformats.org/officeDocument/2006/relationships/queryTable" Target="../queryTables/queryTable42.xml"/></Relationships>
</file>

<file path=xl/worksheets/_rels/sheet95.xml.rels><?xml version="1.0" encoding="UTF-8" standalone="yes"?>
<Relationships xmlns="http://schemas.openxmlformats.org/package/2006/relationships"><Relationship Id="rId3" Type="http://schemas.openxmlformats.org/officeDocument/2006/relationships/queryTable" Target="../queryTables/queryTable43.xml"/><Relationship Id="rId2" Type="http://schemas.openxmlformats.org/officeDocument/2006/relationships/vmlDrawing" Target="../drawings/vmlDrawing4.vml"/><Relationship Id="rId1" Type="http://schemas.openxmlformats.org/officeDocument/2006/relationships/drawing" Target="../drawings/drawing43.xml"/><Relationship Id="rId5" Type="http://schemas.openxmlformats.org/officeDocument/2006/relationships/comments" Target="../comments4.xml"/><Relationship Id="rId4" Type="http://schemas.openxmlformats.org/officeDocument/2006/relationships/queryTable" Target="../queryTables/queryTable44.xml"/></Relationships>
</file>

<file path=xl/worksheets/_rels/sheet96.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95.bin"/></Relationships>
</file>

<file path=xl/worksheets/_rels/sheet97.xml.rels><?xml version="1.0" encoding="UTF-8" standalone="yes"?>
<Relationships xmlns="http://schemas.openxmlformats.org/package/2006/relationships"><Relationship Id="rId3" Type="http://schemas.openxmlformats.org/officeDocument/2006/relationships/queryTable" Target="../queryTables/queryTable45.xml"/><Relationship Id="rId2" Type="http://schemas.openxmlformats.org/officeDocument/2006/relationships/drawing" Target="../drawings/drawing45.xml"/><Relationship Id="rId1" Type="http://schemas.openxmlformats.org/officeDocument/2006/relationships/printerSettings" Target="../printerSettings/printerSettings96.bin"/><Relationship Id="rId4" Type="http://schemas.openxmlformats.org/officeDocument/2006/relationships/queryTable" Target="../queryTables/queryTable46.xml"/></Relationships>
</file>

<file path=xl/worksheets/_rels/sheet98.xml.rels><?xml version="1.0" encoding="UTF-8" standalone="yes"?>
<Relationships xmlns="http://schemas.openxmlformats.org/package/2006/relationships"><Relationship Id="rId3" Type="http://schemas.openxmlformats.org/officeDocument/2006/relationships/queryTable" Target="../queryTables/queryTable48.xml"/><Relationship Id="rId2" Type="http://schemas.openxmlformats.org/officeDocument/2006/relationships/queryTable" Target="../queryTables/queryTable47.xml"/><Relationship Id="rId1" Type="http://schemas.openxmlformats.org/officeDocument/2006/relationships/printerSettings" Target="../printerSettings/printerSettings97.bin"/></Relationships>
</file>

<file path=xl/worksheets/_rels/sheet99.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8.bin"/></Relationships>
</file>

<file path=xl/worksheets/_rels/sheet100.xml.rels><?xml version="1.0" encoding="UTF-8" standalone="yes"?>
<Relationships xmlns="http://schemas.openxmlformats.org/package/2006/relationships"><Relationship Id="rId1" Type="http://schemas.openxmlformats.org/officeDocument/2006/relationships/printerSettings" Target="../printerSettings/printerSettings99.bin"/></Relationships>
</file>

<file path=xl/worksheets/_rels/sheet101.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100.bin"/></Relationships>
</file>

<file path=xl/worksheets/_rels/sheet102.xml.rels><?xml version="1.0" encoding="UTF-8" standalone="yes"?>
<Relationships xmlns="http://schemas.openxmlformats.org/package/2006/relationships"><Relationship Id="rId3" Type="http://schemas.openxmlformats.org/officeDocument/2006/relationships/queryTable" Target="../queryTables/queryTable50.xml"/><Relationship Id="rId2" Type="http://schemas.openxmlformats.org/officeDocument/2006/relationships/queryTable" Target="../queryTables/queryTable49.xml"/><Relationship Id="rId1" Type="http://schemas.openxmlformats.org/officeDocument/2006/relationships/drawing" Target="../drawings/drawing48.xml"/></Relationships>
</file>

<file path=xl/worksheets/_rels/sheet103.xml.rels><?xml version="1.0" encoding="UTF-8" standalone="yes"?>
<Relationships xmlns="http://schemas.openxmlformats.org/package/2006/relationships"><Relationship Id="rId2" Type="http://schemas.openxmlformats.org/officeDocument/2006/relationships/queryTable" Target="../queryTables/queryTable51.xml"/><Relationship Id="rId1" Type="http://schemas.openxmlformats.org/officeDocument/2006/relationships/printerSettings" Target="../printerSettings/printerSettings101.bin"/></Relationships>
</file>

<file path=xl/worksheets/_rels/sheet104.xml.rels><?xml version="1.0" encoding="UTF-8" standalone="yes"?>
<Relationships xmlns="http://schemas.openxmlformats.org/package/2006/relationships"><Relationship Id="rId2" Type="http://schemas.openxmlformats.org/officeDocument/2006/relationships/queryTable" Target="../queryTables/queryTable52.xml"/><Relationship Id="rId1" Type="http://schemas.openxmlformats.org/officeDocument/2006/relationships/printerSettings" Target="../printerSettings/printerSettings102.bin"/></Relationships>
</file>

<file path=xl/worksheets/_rels/sheet105.xml.rels><?xml version="1.0" encoding="UTF-8" standalone="yes"?>
<Relationships xmlns="http://schemas.openxmlformats.org/package/2006/relationships"><Relationship Id="rId3" Type="http://schemas.openxmlformats.org/officeDocument/2006/relationships/queryTable" Target="../queryTables/queryTable54.xml"/><Relationship Id="rId2" Type="http://schemas.openxmlformats.org/officeDocument/2006/relationships/queryTable" Target="../queryTables/queryTable53.xml"/><Relationship Id="rId1" Type="http://schemas.openxmlformats.org/officeDocument/2006/relationships/drawing" Target="../drawings/drawing49.xml"/></Relationships>
</file>

<file path=xl/worksheets/_rels/sheet106.xml.rels><?xml version="1.0" encoding="UTF-8" standalone="yes"?>
<Relationships xmlns="http://schemas.openxmlformats.org/package/2006/relationships"><Relationship Id="rId1" Type="http://schemas.openxmlformats.org/officeDocument/2006/relationships/drawing" Target="../drawings/drawing50.xml"/></Relationships>
</file>

<file path=xl/worksheets/_rels/sheet107.xml.rels><?xml version="1.0" encoding="UTF-8" standalone="yes"?>
<Relationships xmlns="http://schemas.openxmlformats.org/package/2006/relationships"><Relationship Id="rId3" Type="http://schemas.openxmlformats.org/officeDocument/2006/relationships/queryTable" Target="../queryTables/queryTable56.xml"/><Relationship Id="rId2" Type="http://schemas.openxmlformats.org/officeDocument/2006/relationships/queryTable" Target="../queryTables/queryTable55.xml"/><Relationship Id="rId1" Type="http://schemas.openxmlformats.org/officeDocument/2006/relationships/drawing" Target="../drawings/drawing51.xml"/></Relationships>
</file>

<file path=xl/worksheets/_rels/sheet108.xml.rels><?xml version="1.0" encoding="UTF-8" standalone="yes"?>
<Relationships xmlns="http://schemas.openxmlformats.org/package/2006/relationships"><Relationship Id="rId3" Type="http://schemas.openxmlformats.org/officeDocument/2006/relationships/queryTable" Target="../queryTables/queryTable57.xml"/><Relationship Id="rId2" Type="http://schemas.openxmlformats.org/officeDocument/2006/relationships/drawing" Target="../drawings/drawing52.xml"/><Relationship Id="rId1" Type="http://schemas.openxmlformats.org/officeDocument/2006/relationships/printerSettings" Target="../printerSettings/printerSettings103.bin"/><Relationship Id="rId4" Type="http://schemas.openxmlformats.org/officeDocument/2006/relationships/queryTable" Target="../queryTables/queryTable58.xml"/></Relationships>
</file>

<file path=xl/worksheets/_rels/sheet109.xml.rels><?xml version="1.0" encoding="UTF-8" standalone="yes"?>
<Relationships xmlns="http://schemas.openxmlformats.org/package/2006/relationships"><Relationship Id="rId3" Type="http://schemas.openxmlformats.org/officeDocument/2006/relationships/queryTable" Target="../queryTables/queryTable59.xml"/><Relationship Id="rId2" Type="http://schemas.openxmlformats.org/officeDocument/2006/relationships/drawing" Target="../drawings/drawing53.xml"/><Relationship Id="rId1" Type="http://schemas.openxmlformats.org/officeDocument/2006/relationships/printerSettings" Target="../printerSettings/printerSettings104.bin"/><Relationship Id="rId4" Type="http://schemas.openxmlformats.org/officeDocument/2006/relationships/queryTable" Target="../queryTables/queryTable60.xml"/></Relationships>
</file>

<file path=xl/worksheets/_rels/sheet110.xml.rels><?xml version="1.0" encoding="UTF-8" standalone="yes"?>
<Relationships xmlns="http://schemas.openxmlformats.org/package/2006/relationships"><Relationship Id="rId3" Type="http://schemas.openxmlformats.org/officeDocument/2006/relationships/queryTable" Target="../queryTables/queryTable61.xml"/><Relationship Id="rId2" Type="http://schemas.openxmlformats.org/officeDocument/2006/relationships/drawing" Target="../drawings/drawing54.xml"/><Relationship Id="rId1" Type="http://schemas.openxmlformats.org/officeDocument/2006/relationships/printerSettings" Target="../printerSettings/printerSettings105.bin"/><Relationship Id="rId4" Type="http://schemas.openxmlformats.org/officeDocument/2006/relationships/queryTable" Target="../queryTables/queryTable62.xml"/></Relationships>
</file>

<file path=xl/worksheets/_rels/sheet111.xml.rels><?xml version="1.0" encoding="UTF-8" standalone="yes"?>
<Relationships xmlns="http://schemas.openxmlformats.org/package/2006/relationships"><Relationship Id="rId3" Type="http://schemas.openxmlformats.org/officeDocument/2006/relationships/queryTable" Target="../queryTables/queryTable64.xml"/><Relationship Id="rId2" Type="http://schemas.openxmlformats.org/officeDocument/2006/relationships/queryTable" Target="../queryTables/queryTable63.xml"/><Relationship Id="rId1" Type="http://schemas.openxmlformats.org/officeDocument/2006/relationships/drawing" Target="../drawings/drawing5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116"/>
  <sheetViews>
    <sheetView zoomScaleNormal="100" workbookViewId="0">
      <pane ySplit="1" topLeftCell="A2" activePane="bottomLeft" state="frozen"/>
      <selection pane="bottomLeft" activeCell="E2" sqref="E2"/>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style="53" bestFit="1" customWidth="1"/>
    <col min="6" max="6" width="10.85546875" style="48" bestFit="1" customWidth="1"/>
    <col min="7" max="7" width="10.7109375" style="759" bestFit="1" customWidth="1"/>
    <col min="8" max="8" width="7.42578125" style="49" bestFit="1" customWidth="1"/>
    <col min="9" max="9" width="11.42578125" style="48" bestFit="1" customWidth="1"/>
    <col min="10" max="10" width="12" style="48" bestFit="1" customWidth="1"/>
    <col min="11" max="11" width="10.140625" style="294" bestFit="1" customWidth="1"/>
    <col min="12" max="12" width="11.5703125" style="134" bestFit="1" customWidth="1"/>
    <col min="13" max="13" width="9.85546875" style="294" bestFit="1" customWidth="1"/>
    <col min="14" max="14" width="11.5703125" style="753" bestFit="1" customWidth="1"/>
    <col min="15" max="15" width="14.140625" style="880" bestFit="1" customWidth="1"/>
    <col min="16" max="16" width="9.140625" style="134" bestFit="1" customWidth="1"/>
    <col min="17" max="17" width="13.5703125" style="876" bestFit="1" customWidth="1"/>
    <col min="18" max="18" width="8" style="761" bestFit="1" customWidth="1"/>
    <col min="19" max="19" width="15" style="780" bestFit="1" customWidth="1"/>
    <col min="20" max="20" width="10.7109375" style="49" bestFit="1" customWidth="1"/>
    <col min="21" max="21" width="13.42578125" style="49" bestFit="1" customWidth="1"/>
    <col min="22" max="22" width="25.140625" style="49" customWidth="1"/>
    <col min="23" max="23" width="13.42578125" style="49" bestFit="1" customWidth="1"/>
    <col min="24" max="24" width="14.28515625" style="49" bestFit="1" customWidth="1"/>
    <col min="25" max="25" width="14.85546875" style="49" customWidth="1"/>
    <col min="26" max="26" width="15" style="49" bestFit="1" customWidth="1"/>
    <col min="27" max="16384" width="9.140625" style="49"/>
  </cols>
  <sheetData>
    <row r="1" spans="1:33" s="58" customFormat="1" ht="21.95" customHeight="1" x14ac:dyDescent="0.25">
      <c r="A1" s="59"/>
      <c r="B1" s="59" t="s">
        <v>91</v>
      </c>
      <c r="C1" s="59"/>
      <c r="D1" s="56"/>
      <c r="E1" s="56" t="s">
        <v>72</v>
      </c>
      <c r="F1" s="57" t="s">
        <v>141</v>
      </c>
      <c r="G1" s="758" t="s">
        <v>73</v>
      </c>
      <c r="H1" s="56" t="s">
        <v>57</v>
      </c>
      <c r="I1" s="57" t="s">
        <v>1137</v>
      </c>
      <c r="J1" s="57" t="s">
        <v>74</v>
      </c>
      <c r="K1" s="293" t="s">
        <v>1136</v>
      </c>
      <c r="L1" s="282" t="s">
        <v>1138</v>
      </c>
      <c r="M1" s="293" t="s">
        <v>177</v>
      </c>
      <c r="N1" s="57" t="s">
        <v>224</v>
      </c>
      <c r="O1" s="879" t="s">
        <v>921</v>
      </c>
      <c r="P1" s="282" t="s">
        <v>202</v>
      </c>
      <c r="Q1" s="875" t="s">
        <v>273</v>
      </c>
      <c r="R1" s="293" t="s">
        <v>947</v>
      </c>
      <c r="S1" s="779" t="s">
        <v>1034</v>
      </c>
      <c r="U1" s="11"/>
      <c r="V1" s="11"/>
      <c r="W1" s="11"/>
      <c r="X1" s="11"/>
      <c r="Y1" s="11"/>
      <c r="Z1" s="11"/>
      <c r="AA1" s="11"/>
      <c r="AB1" s="11"/>
      <c r="AC1" s="11"/>
      <c r="AD1" s="11"/>
      <c r="AE1" s="11"/>
      <c r="AF1" s="11"/>
    </row>
    <row r="2" spans="1:33" ht="21.95" customHeight="1" x14ac:dyDescent="0.25">
      <c r="A2" s="51"/>
      <c r="B2" s="51"/>
      <c r="C2" s="51"/>
      <c r="D2" s="708"/>
      <c r="E2" s="22" t="s">
        <v>50</v>
      </c>
      <c r="F2" s="2">
        <v>17.7</v>
      </c>
      <c r="G2" s="78">
        <v>2.7204000000000303</v>
      </c>
      <c r="H2">
        <v>1700</v>
      </c>
      <c r="I2" s="2">
        <v>30090</v>
      </c>
      <c r="J2" s="2">
        <v>4624.6800000000512</v>
      </c>
      <c r="K2" s="2">
        <v>25465.319999999949</v>
      </c>
      <c r="L2" s="660">
        <v>5.506396118217836</v>
      </c>
      <c r="M2" s="2">
        <v>40080.891000001575</v>
      </c>
      <c r="N2">
        <v>1100</v>
      </c>
      <c r="O2" s="30" t="s">
        <v>1378</v>
      </c>
      <c r="P2" s="660">
        <v>1.1299435028248589E-2</v>
      </c>
      <c r="Q2" s="876">
        <v>3.27E-2</v>
      </c>
      <c r="R2" s="2">
        <v>28.095238095238095</v>
      </c>
      <c r="S2" s="780">
        <v>43471</v>
      </c>
      <c r="T2" s="48"/>
      <c r="V2" s="48"/>
      <c r="W2" s="788"/>
      <c r="X2" s="760"/>
      <c r="Y2" s="788"/>
      <c r="Z2" s="760"/>
    </row>
    <row r="3" spans="1:33" ht="21.95" customHeight="1" x14ac:dyDescent="0.25">
      <c r="A3" s="50"/>
      <c r="B3" s="51"/>
      <c r="C3" s="51"/>
      <c r="E3" s="22" t="s">
        <v>916</v>
      </c>
      <c r="F3" s="2">
        <v>33.17</v>
      </c>
      <c r="G3" s="78">
        <v>50.613442857142864</v>
      </c>
      <c r="H3">
        <v>700</v>
      </c>
      <c r="I3" s="2">
        <v>23219</v>
      </c>
      <c r="J3" s="2">
        <v>35429.410000000003</v>
      </c>
      <c r="K3" s="2">
        <v>-12210.410000000003</v>
      </c>
      <c r="L3" s="660">
        <v>-0.34464051193626993</v>
      </c>
      <c r="M3" s="2">
        <v>-12210.410000000003</v>
      </c>
      <c r="N3">
        <v>700</v>
      </c>
      <c r="O3" s="30" t="s">
        <v>1390</v>
      </c>
      <c r="P3" s="660">
        <v>7.5369309617123903E-2</v>
      </c>
      <c r="Q3" s="876">
        <v>1.47E-2</v>
      </c>
      <c r="R3" s="2">
        <v>11.804270462633452</v>
      </c>
      <c r="S3" s="780">
        <v>43471</v>
      </c>
      <c r="V3" s="760"/>
      <c r="W3" s="788"/>
      <c r="X3" s="760"/>
      <c r="Y3" s="788"/>
      <c r="Z3" s="760"/>
      <c r="AA3" s="2"/>
    </row>
    <row r="4" spans="1:33" ht="21.95" customHeight="1" x14ac:dyDescent="0.25">
      <c r="A4" s="50"/>
      <c r="B4" s="50"/>
      <c r="C4" s="51"/>
      <c r="D4" s="708"/>
      <c r="E4" s="22" t="s">
        <v>1237</v>
      </c>
      <c r="F4" s="2">
        <v>39.89</v>
      </c>
      <c r="G4" s="78">
        <v>48.429700000000011</v>
      </c>
      <c r="H4">
        <v>300</v>
      </c>
      <c r="I4" s="2">
        <v>11967</v>
      </c>
      <c r="J4" s="2">
        <v>14528.910000000003</v>
      </c>
      <c r="K4" s="2">
        <v>-2561.9100000000035</v>
      </c>
      <c r="L4" s="660">
        <v>-0.17633187899161071</v>
      </c>
      <c r="M4" s="2">
        <v>-2561.9100000000035</v>
      </c>
      <c r="N4">
        <v>100</v>
      </c>
      <c r="O4" s="30" t="s">
        <v>1389</v>
      </c>
      <c r="P4" s="660">
        <v>4.5625470042617196E-2</v>
      </c>
      <c r="Q4" s="876">
        <v>1.8100000000000002E-2</v>
      </c>
      <c r="R4" s="2">
        <v>8.6717391304347835</v>
      </c>
      <c r="S4" s="780">
        <v>43423</v>
      </c>
      <c r="W4" s="788"/>
      <c r="X4" s="760"/>
      <c r="Y4" s="788"/>
      <c r="Z4" s="788"/>
      <c r="AA4" s="2"/>
    </row>
    <row r="5" spans="1:33" ht="21.95" customHeight="1" x14ac:dyDescent="0.25">
      <c r="A5" s="51"/>
      <c r="B5" s="50"/>
      <c r="C5" s="51"/>
      <c r="D5" s="708"/>
      <c r="E5" s="22" t="s">
        <v>1196</v>
      </c>
      <c r="F5" s="2">
        <v>77.27</v>
      </c>
      <c r="G5" s="78">
        <v>69.999000000000009</v>
      </c>
      <c r="H5">
        <v>150</v>
      </c>
      <c r="I5" s="2">
        <v>11590.5</v>
      </c>
      <c r="J5" s="2">
        <v>10499.850000000002</v>
      </c>
      <c r="K5" s="2">
        <v>1090.6499999999978</v>
      </c>
      <c r="L5" s="660">
        <v>0.10387291247017794</v>
      </c>
      <c r="M5" s="2">
        <v>1090.6499999999978</v>
      </c>
      <c r="N5">
        <v>100</v>
      </c>
      <c r="O5" s="30" t="s">
        <v>1369</v>
      </c>
      <c r="P5" s="660">
        <v>1.9671282515853501E-2</v>
      </c>
      <c r="Q5" s="876">
        <v>1.7100000000000001E-2</v>
      </c>
      <c r="R5" s="2">
        <v>11.906009244992294</v>
      </c>
      <c r="S5" s="780">
        <v>43359</v>
      </c>
      <c r="T5" s="48"/>
      <c r="V5" s="760"/>
      <c r="W5" s="788"/>
      <c r="X5" s="760"/>
      <c r="Y5" s="788"/>
      <c r="Z5" s="760"/>
    </row>
    <row r="6" spans="1:33" ht="21.95" customHeight="1" x14ac:dyDescent="0.25">
      <c r="A6" s="50"/>
      <c r="B6" s="50"/>
      <c r="C6" s="51"/>
      <c r="D6" s="708"/>
      <c r="E6" s="22" t="s">
        <v>221</v>
      </c>
      <c r="F6" s="2">
        <v>27.92</v>
      </c>
      <c r="G6" s="78">
        <v>9.9368249999999527</v>
      </c>
      <c r="H6">
        <v>400</v>
      </c>
      <c r="I6" s="2">
        <v>11168</v>
      </c>
      <c r="J6" s="2">
        <v>3974.7299999999809</v>
      </c>
      <c r="K6" s="2">
        <v>7193.2700000000186</v>
      </c>
      <c r="L6" s="660">
        <v>1.8097505994117975</v>
      </c>
      <c r="M6" s="2">
        <v>8645.530000000017</v>
      </c>
      <c r="N6">
        <v>200</v>
      </c>
      <c r="O6" s="30" t="s">
        <v>1365</v>
      </c>
      <c r="P6" s="660">
        <v>3.5816618911174783E-3</v>
      </c>
      <c r="Q6" s="876">
        <v>7.1999999999999998E-3</v>
      </c>
      <c r="R6" s="2">
        <v>14.694736842105264</v>
      </c>
      <c r="S6" s="780">
        <v>43421</v>
      </c>
      <c r="W6" s="2"/>
      <c r="X6" s="660"/>
      <c r="Y6" s="787"/>
      <c r="Z6" s="2"/>
      <c r="AA6" s="2"/>
      <c r="AB6"/>
      <c r="AC6"/>
      <c r="AD6"/>
      <c r="AE6"/>
      <c r="AF6"/>
      <c r="AG6"/>
    </row>
    <row r="7" spans="1:33" ht="21.95" customHeight="1" x14ac:dyDescent="0.25">
      <c r="A7" s="152"/>
      <c r="B7" s="50"/>
      <c r="C7" s="51"/>
      <c r="D7" s="708"/>
      <c r="E7" s="22" t="s">
        <v>173</v>
      </c>
      <c r="F7" s="2">
        <v>15.85</v>
      </c>
      <c r="G7" s="78">
        <v>22.962099999999992</v>
      </c>
      <c r="H7">
        <v>700</v>
      </c>
      <c r="I7" s="2">
        <v>11095</v>
      </c>
      <c r="J7" s="2">
        <v>16073.469999999994</v>
      </c>
      <c r="K7" s="2">
        <v>-4978.4700000000012</v>
      </c>
      <c r="L7" s="660">
        <v>-0.30973212380400728</v>
      </c>
      <c r="M7" s="2">
        <v>-4903.4500000000007</v>
      </c>
      <c r="N7">
        <v>500</v>
      </c>
      <c r="O7" s="30" t="s">
        <v>1372</v>
      </c>
      <c r="P7" s="660">
        <v>5.8044164037854895E-2</v>
      </c>
      <c r="Q7" s="876">
        <v>1.7999999999999999E-2</v>
      </c>
      <c r="R7" s="2">
        <v>10.225806451612902</v>
      </c>
      <c r="S7" s="780">
        <v>43417</v>
      </c>
      <c r="V7" s="48"/>
      <c r="W7" s="788"/>
      <c r="X7" s="760"/>
      <c r="Y7" s="788"/>
      <c r="Z7" s="760"/>
    </row>
    <row r="8" spans="1:33" ht="21.95" customHeight="1" x14ac:dyDescent="0.25">
      <c r="A8" s="50"/>
      <c r="B8" s="50"/>
      <c r="C8" s="51"/>
      <c r="D8" s="708"/>
      <c r="E8" s="22" t="s">
        <v>14</v>
      </c>
      <c r="F8" s="2">
        <v>54.77</v>
      </c>
      <c r="G8" s="78">
        <v>47.935299999999991</v>
      </c>
      <c r="H8">
        <v>200</v>
      </c>
      <c r="I8" s="2">
        <v>10954</v>
      </c>
      <c r="J8" s="2">
        <v>9587.0599999999977</v>
      </c>
      <c r="K8" s="2">
        <v>1366.9400000000023</v>
      </c>
      <c r="L8" s="660">
        <v>0.14258177167974359</v>
      </c>
      <c r="M8" s="2">
        <v>1366.9400000000023</v>
      </c>
      <c r="N8">
        <v>200</v>
      </c>
      <c r="O8" s="30" t="s">
        <v>1369</v>
      </c>
      <c r="P8" s="660">
        <v>5.112287748767573E-2</v>
      </c>
      <c r="Q8" s="876">
        <v>3.0999999999999999E-3</v>
      </c>
      <c r="R8" s="2">
        <v>13.744040150564617</v>
      </c>
      <c r="S8" s="780">
        <v>43426</v>
      </c>
      <c r="T8" s="48"/>
      <c r="W8" s="788"/>
      <c r="X8" s="760"/>
      <c r="Y8" s="788"/>
      <c r="Z8" s="760"/>
    </row>
    <row r="9" spans="1:33" ht="21.95" customHeight="1" x14ac:dyDescent="0.25">
      <c r="A9" s="51"/>
      <c r="B9" s="50"/>
      <c r="C9" s="51"/>
      <c r="D9" s="708"/>
      <c r="E9" s="22" t="s">
        <v>269</v>
      </c>
      <c r="F9" s="2">
        <v>54.06</v>
      </c>
      <c r="G9" s="78">
        <v>50.099299999999999</v>
      </c>
      <c r="H9">
        <v>200</v>
      </c>
      <c r="I9" s="2">
        <v>10812</v>
      </c>
      <c r="J9" s="2">
        <v>10019.86</v>
      </c>
      <c r="K9" s="2">
        <v>792.13999999999942</v>
      </c>
      <c r="L9" s="660">
        <v>7.9056992812274879E-2</v>
      </c>
      <c r="M9" s="2">
        <v>989.34999999999491</v>
      </c>
      <c r="N9">
        <v>200</v>
      </c>
      <c r="O9" s="30" t="s">
        <v>1345</v>
      </c>
      <c r="P9" s="660">
        <v>3.699593044765076E-2</v>
      </c>
      <c r="Q9" s="876">
        <v>1.24E-2</v>
      </c>
      <c r="R9" s="2">
        <v>7.9734513274336285</v>
      </c>
      <c r="S9" s="780">
        <v>43324</v>
      </c>
      <c r="W9" s="788"/>
      <c r="X9" s="760"/>
      <c r="Y9" s="788"/>
      <c r="Z9" s="760"/>
    </row>
    <row r="10" spans="1:33" ht="21.95" customHeight="1" x14ac:dyDescent="0.25">
      <c r="A10" s="50"/>
      <c r="B10" s="50"/>
      <c r="C10" s="51"/>
      <c r="D10" s="708"/>
      <c r="E10" s="22" t="s">
        <v>1114</v>
      </c>
      <c r="F10" s="2">
        <v>53.38</v>
      </c>
      <c r="G10" s="78">
        <v>45.344200000000001</v>
      </c>
      <c r="H10">
        <v>200</v>
      </c>
      <c r="I10" s="2">
        <v>10676</v>
      </c>
      <c r="J10" s="2">
        <v>9068.84</v>
      </c>
      <c r="K10" s="2">
        <v>1607.1599999999999</v>
      </c>
      <c r="L10" s="660">
        <v>0.17721781396518191</v>
      </c>
      <c r="M10" s="2">
        <v>1607.1599999999999</v>
      </c>
      <c r="N10">
        <v>100</v>
      </c>
      <c r="O10" s="30"/>
      <c r="P10" s="660">
        <v>2.4353690520794304E-2</v>
      </c>
      <c r="Q10" s="876">
        <v>7.0000000000000001E-3</v>
      </c>
      <c r="R10" s="2"/>
      <c r="S10" s="780">
        <v>43421</v>
      </c>
      <c r="T10" s="48"/>
      <c r="W10" s="788"/>
      <c r="X10" s="760"/>
      <c r="Y10" s="788"/>
      <c r="AA10" s="660"/>
    </row>
    <row r="11" spans="1:33" ht="21.95" customHeight="1" x14ac:dyDescent="0.25">
      <c r="A11" s="50"/>
      <c r="B11" s="50"/>
      <c r="C11" s="51"/>
      <c r="D11" s="708"/>
      <c r="E11" s="22" t="s">
        <v>893</v>
      </c>
      <c r="F11" s="2">
        <v>138.99</v>
      </c>
      <c r="G11" s="78">
        <v>94.106000000000179</v>
      </c>
      <c r="H11">
        <v>60</v>
      </c>
      <c r="I11" s="2">
        <v>8339.4000000000015</v>
      </c>
      <c r="J11" s="2">
        <v>5646.3600000000106</v>
      </c>
      <c r="K11" s="2">
        <v>2693.0399999999936</v>
      </c>
      <c r="L11" s="660">
        <v>0.47695152275093772</v>
      </c>
      <c r="M11" s="2">
        <v>2693.0399999999936</v>
      </c>
      <c r="N11" s="29">
        <v>43574</v>
      </c>
      <c r="O11" s="30" t="s">
        <v>1392</v>
      </c>
      <c r="P11" s="660">
        <v>3.7412763508166053E-3</v>
      </c>
      <c r="Q11" s="876">
        <v>1.5599999999999999E-2</v>
      </c>
      <c r="R11" s="2">
        <v>16.124129930394435</v>
      </c>
      <c r="S11" s="780">
        <v>43324</v>
      </c>
      <c r="T11" s="48"/>
      <c r="V11" s="48"/>
      <c r="W11" s="788"/>
      <c r="X11" s="760"/>
      <c r="Y11" s="788"/>
      <c r="Z11" s="760"/>
      <c r="AA11" s="760"/>
    </row>
    <row r="12" spans="1:33" ht="21.95" customHeight="1" x14ac:dyDescent="0.25">
      <c r="A12" s="50"/>
      <c r="B12" s="50"/>
      <c r="C12" s="51"/>
      <c r="D12" s="708"/>
      <c r="E12" s="22" t="s">
        <v>1274</v>
      </c>
      <c r="F12" s="2">
        <v>37.9</v>
      </c>
      <c r="G12" s="78">
        <v>39.2271</v>
      </c>
      <c r="H12">
        <v>200</v>
      </c>
      <c r="I12" s="2">
        <v>7580</v>
      </c>
      <c r="J12" s="2">
        <v>7845.42</v>
      </c>
      <c r="K12" s="2">
        <v>-265.42000000000007</v>
      </c>
      <c r="L12" s="660">
        <v>-3.3831203428242251E-2</v>
      </c>
      <c r="M12" s="2">
        <v>-265.42000000000007</v>
      </c>
      <c r="N12">
        <v>200</v>
      </c>
      <c r="O12" s="30" t="s">
        <v>1369</v>
      </c>
      <c r="P12" s="660">
        <v>4.2216358839050137E-2</v>
      </c>
      <c r="Q12" s="876">
        <v>3.2000000000000002E-3</v>
      </c>
      <c r="R12" s="2">
        <v>9.1105769230769216</v>
      </c>
      <c r="S12" s="780">
        <v>43436</v>
      </c>
      <c r="V12" s="788"/>
      <c r="W12" s="2"/>
      <c r="X12" s="660"/>
      <c r="Y12" s="787"/>
      <c r="Z12" s="2"/>
      <c r="AA12" s="2"/>
    </row>
    <row r="13" spans="1:33" ht="21.95" customHeight="1" x14ac:dyDescent="0.25">
      <c r="A13" s="50"/>
      <c r="B13" s="51"/>
      <c r="C13" s="51"/>
      <c r="D13" s="708"/>
      <c r="E13" s="22" t="s">
        <v>799</v>
      </c>
      <c r="F13" s="2">
        <v>22.46</v>
      </c>
      <c r="G13" s="78">
        <v>29.412966666666641</v>
      </c>
      <c r="H13">
        <v>300</v>
      </c>
      <c r="I13" s="2">
        <v>6738</v>
      </c>
      <c r="J13" s="2">
        <v>8823.8899999999921</v>
      </c>
      <c r="K13" s="2">
        <v>-2085.8899999999921</v>
      </c>
      <c r="L13" s="660">
        <v>-0.23639120614604148</v>
      </c>
      <c r="M13" s="2">
        <v>-2085.8899999999921</v>
      </c>
      <c r="N13">
        <v>300</v>
      </c>
      <c r="O13" s="30" t="s">
        <v>1382</v>
      </c>
      <c r="P13" s="660">
        <v>4.6304541406945683E-2</v>
      </c>
      <c r="Q13" s="876">
        <v>1.26E-2</v>
      </c>
      <c r="R13" s="2">
        <v>13.211764705882354</v>
      </c>
      <c r="S13" s="780">
        <v>43324</v>
      </c>
      <c r="T13" s="48"/>
      <c r="V13" s="760"/>
      <c r="W13" s="788"/>
      <c r="X13" s="760"/>
      <c r="Y13" s="788"/>
      <c r="Z13" s="760"/>
      <c r="AA13" s="760"/>
    </row>
    <row r="14" spans="1:33" ht="21.95" customHeight="1" x14ac:dyDescent="0.25">
      <c r="A14" s="50"/>
      <c r="B14" s="50"/>
      <c r="C14" s="51"/>
      <c r="D14" s="708"/>
      <c r="E14" s="22" t="s">
        <v>709</v>
      </c>
      <c r="F14" s="2">
        <v>62.73</v>
      </c>
      <c r="G14" s="78">
        <v>57.960799999999999</v>
      </c>
      <c r="H14">
        <v>100</v>
      </c>
      <c r="I14" s="2">
        <v>6273</v>
      </c>
      <c r="J14" s="2">
        <v>5796.08</v>
      </c>
      <c r="K14" s="2">
        <v>476.92000000000007</v>
      </c>
      <c r="L14" s="660">
        <v>8.2283198299540339E-2</v>
      </c>
      <c r="M14" s="2">
        <v>1517.639999999994</v>
      </c>
      <c r="N14" s="29">
        <v>43577</v>
      </c>
      <c r="O14" s="30" t="s">
        <v>1182</v>
      </c>
      <c r="P14" s="660">
        <v>0</v>
      </c>
      <c r="Q14" s="876">
        <v>2.23E-2</v>
      </c>
      <c r="R14" s="2">
        <v>18.342105263157894</v>
      </c>
      <c r="U14" s="48"/>
      <c r="W14" s="788"/>
      <c r="X14" s="760"/>
      <c r="Y14" s="788"/>
      <c r="Z14" s="760"/>
      <c r="AB14"/>
      <c r="AC14"/>
      <c r="AD14"/>
      <c r="AE14"/>
      <c r="AF14"/>
      <c r="AG14"/>
    </row>
    <row r="15" spans="1:33" ht="21.95" customHeight="1" x14ac:dyDescent="0.25">
      <c r="A15" s="51"/>
      <c r="B15" s="51"/>
      <c r="C15" s="51"/>
      <c r="D15" s="708"/>
      <c r="E15" s="22" t="s">
        <v>321</v>
      </c>
      <c r="F15" s="2">
        <v>15.24</v>
      </c>
      <c r="G15" s="78">
        <v>16.808475000000016</v>
      </c>
      <c r="H15">
        <v>400</v>
      </c>
      <c r="I15" s="2">
        <v>6096</v>
      </c>
      <c r="J15" s="2">
        <v>6723.3900000000067</v>
      </c>
      <c r="K15" s="2">
        <v>-627.39000000000669</v>
      </c>
      <c r="L15" s="660">
        <v>-9.331453329347332E-2</v>
      </c>
      <c r="M15" s="2">
        <v>-342.42000000000189</v>
      </c>
      <c r="N15">
        <v>400</v>
      </c>
      <c r="O15" s="30" t="s">
        <v>1360</v>
      </c>
      <c r="P15" s="660">
        <v>0</v>
      </c>
      <c r="Q15" s="876">
        <v>3.3E-3</v>
      </c>
      <c r="R15" s="2">
        <v>6.2204081632653061</v>
      </c>
      <c r="S15" s="780">
        <v>43345</v>
      </c>
      <c r="W15" s="788"/>
      <c r="X15" s="760"/>
      <c r="Y15" s="788"/>
      <c r="Z15" s="760"/>
      <c r="AB15"/>
      <c r="AC15"/>
      <c r="AD15"/>
      <c r="AE15"/>
      <c r="AF15"/>
      <c r="AG15"/>
    </row>
    <row r="16" spans="1:33" ht="21.95" customHeight="1" x14ac:dyDescent="0.25">
      <c r="A16" s="50"/>
      <c r="B16" s="51"/>
      <c r="C16" s="51"/>
      <c r="D16" s="708"/>
      <c r="E16" s="22" t="s">
        <v>172</v>
      </c>
      <c r="F16" s="2">
        <v>48.78</v>
      </c>
      <c r="G16" s="78">
        <v>44.439000000000043</v>
      </c>
      <c r="H16">
        <v>120</v>
      </c>
      <c r="I16" s="2">
        <v>5853.6</v>
      </c>
      <c r="J16" s="2">
        <v>5332.6800000000048</v>
      </c>
      <c r="K16" s="2">
        <v>520.91999999999643</v>
      </c>
      <c r="L16" s="660">
        <v>9.7684466347126492E-2</v>
      </c>
      <c r="M16" s="2">
        <v>2125.4999999999982</v>
      </c>
      <c r="N16">
        <v>120</v>
      </c>
      <c r="O16" s="30" t="s">
        <v>1355</v>
      </c>
      <c r="P16" s="660">
        <v>3.5260352603526036E-2</v>
      </c>
      <c r="Q16" s="876">
        <v>-7.9000000000000008E-3</v>
      </c>
      <c r="R16" s="2">
        <v>10.792035398230089</v>
      </c>
      <c r="V16"/>
      <c r="W16" s="788"/>
      <c r="X16" s="760"/>
      <c r="Y16" s="788"/>
      <c r="Z16" s="788"/>
    </row>
    <row r="17" spans="1:33" ht="21.95" customHeight="1" x14ac:dyDescent="0.25">
      <c r="A17" s="50"/>
      <c r="B17" s="50"/>
      <c r="C17" s="51"/>
      <c r="E17" s="22" t="s">
        <v>1282</v>
      </c>
      <c r="F17" s="2">
        <v>189.9</v>
      </c>
      <c r="G17" s="78">
        <v>192.66733333333335</v>
      </c>
      <c r="H17">
        <v>30</v>
      </c>
      <c r="I17" s="2">
        <v>5697</v>
      </c>
      <c r="J17" s="2">
        <v>5780.02</v>
      </c>
      <c r="K17" s="2">
        <v>-83.020000000000437</v>
      </c>
      <c r="L17" s="660">
        <v>-1.4363272099404535E-2</v>
      </c>
      <c r="M17" s="2">
        <v>-83.020000000000437</v>
      </c>
      <c r="N17">
        <v>30</v>
      </c>
      <c r="O17" s="30" t="s">
        <v>1346</v>
      </c>
      <c r="P17" s="660">
        <v>0</v>
      </c>
      <c r="Q17" s="876">
        <v>1.1900000000000001E-2</v>
      </c>
      <c r="R17" s="2"/>
      <c r="W17" s="788"/>
      <c r="X17" s="760"/>
      <c r="Y17" s="788"/>
      <c r="Z17" s="760"/>
    </row>
    <row r="18" spans="1:33" ht="21.95" customHeight="1" x14ac:dyDescent="0.25">
      <c r="A18" s="50"/>
      <c r="B18" s="50"/>
      <c r="C18" s="51"/>
      <c r="D18" s="708"/>
      <c r="E18" s="22" t="s">
        <v>1317</v>
      </c>
      <c r="F18" s="2">
        <v>98.63</v>
      </c>
      <c r="G18" s="78">
        <v>97.656200000000013</v>
      </c>
      <c r="H18">
        <v>50</v>
      </c>
      <c r="I18" s="2">
        <v>4931.5</v>
      </c>
      <c r="J18" s="2">
        <v>4882.8100000000004</v>
      </c>
      <c r="K18" s="2">
        <v>48.6899999999996</v>
      </c>
      <c r="L18" s="660">
        <v>9.9717171055189822E-3</v>
      </c>
      <c r="M18" s="2">
        <v>48.6899999999996</v>
      </c>
      <c r="N18">
        <v>50</v>
      </c>
      <c r="O18" s="30" t="s">
        <v>1353</v>
      </c>
      <c r="P18" s="660">
        <v>8.9222346142147427E-3</v>
      </c>
      <c r="Q18" s="876">
        <v>5.2999999999999999E-2</v>
      </c>
      <c r="R18" s="2">
        <v>22.415909090909089</v>
      </c>
      <c r="S18" s="780">
        <v>43436</v>
      </c>
      <c r="W18" s="788"/>
      <c r="X18" s="760"/>
      <c r="Y18" s="788"/>
      <c r="Z18" s="760"/>
    </row>
    <row r="19" spans="1:33" ht="21.95" customHeight="1" x14ac:dyDescent="0.25">
      <c r="A19" s="51"/>
      <c r="B19" s="51"/>
      <c r="C19" s="51"/>
      <c r="D19" s="708"/>
      <c r="E19" s="22" t="s">
        <v>1393</v>
      </c>
      <c r="F19" s="2">
        <v>57.24</v>
      </c>
      <c r="G19" s="78">
        <v>57.13</v>
      </c>
      <c r="H19">
        <v>66</v>
      </c>
      <c r="I19" s="2">
        <v>3777.84</v>
      </c>
      <c r="J19" s="2">
        <v>3770.5800000000004</v>
      </c>
      <c r="K19" s="2">
        <v>7.2599999999997635</v>
      </c>
      <c r="L19" s="660">
        <v>1.9254332224750469E-3</v>
      </c>
      <c r="M19" s="2">
        <v>7.2599999999997635</v>
      </c>
      <c r="N19" s="29">
        <v>43588</v>
      </c>
      <c r="O19" s="30"/>
      <c r="P19" s="660"/>
      <c r="Q19" s="876">
        <v>-4.1399999999999999E-2</v>
      </c>
      <c r="R19" s="2"/>
      <c r="T19" s="48"/>
      <c r="W19" s="788"/>
      <c r="X19" s="760"/>
      <c r="Y19" s="788"/>
      <c r="Z19" s="660"/>
      <c r="AB19"/>
      <c r="AC19"/>
      <c r="AD19"/>
      <c r="AE19"/>
      <c r="AF19"/>
      <c r="AG19"/>
    </row>
    <row r="20" spans="1:33" ht="21.95" customHeight="1" x14ac:dyDescent="0.25">
      <c r="A20" s="50"/>
      <c r="B20" s="51"/>
      <c r="C20" s="51"/>
      <c r="D20" s="708"/>
      <c r="E20" s="22" t="s">
        <v>824</v>
      </c>
      <c r="F20" s="2">
        <v>86.56</v>
      </c>
      <c r="G20" s="78">
        <v>66.57325000000003</v>
      </c>
      <c r="H20">
        <v>40</v>
      </c>
      <c r="I20" s="2">
        <v>3462.4</v>
      </c>
      <c r="J20" s="2">
        <v>2662.9300000000012</v>
      </c>
      <c r="K20" s="2">
        <v>799.4699999999998</v>
      </c>
      <c r="L20" s="660">
        <v>0.30022193598780234</v>
      </c>
      <c r="M20" s="2">
        <v>799.4699999999998</v>
      </c>
      <c r="N20">
        <v>40</v>
      </c>
      <c r="O20" s="30" t="s">
        <v>1377</v>
      </c>
      <c r="P20" s="660">
        <v>2.6340110905730126E-2</v>
      </c>
      <c r="Q20" s="876">
        <v>6.1999999999999998E-3</v>
      </c>
      <c r="R20" s="2">
        <v>18.184873949579835</v>
      </c>
      <c r="T20" s="48"/>
      <c r="V20" s="788"/>
      <c r="W20" s="788"/>
      <c r="X20" s="760"/>
      <c r="Y20" s="788"/>
      <c r="Z20" s="760"/>
    </row>
    <row r="21" spans="1:33" ht="21.95" customHeight="1" x14ac:dyDescent="0.25">
      <c r="A21" s="50"/>
      <c r="B21" s="50"/>
      <c r="C21" s="51"/>
      <c r="D21" s="708"/>
      <c r="E21" s="22" t="s">
        <v>62</v>
      </c>
      <c r="F21" s="2">
        <v>327.86</v>
      </c>
      <c r="G21" s="78">
        <v>327.86</v>
      </c>
      <c r="H21">
        <v>0</v>
      </c>
      <c r="I21" s="2">
        <v>0</v>
      </c>
      <c r="J21" s="2">
        <v>0</v>
      </c>
      <c r="K21" s="2">
        <v>0</v>
      </c>
      <c r="L21" s="660">
        <v>0</v>
      </c>
      <c r="M21" s="2">
        <v>1659.3600000000079</v>
      </c>
      <c r="N21">
        <v>0</v>
      </c>
      <c r="O21" s="30"/>
      <c r="P21" s="660">
        <v>0</v>
      </c>
      <c r="R21" s="2"/>
      <c r="U21" s="788"/>
      <c r="V21" s="788"/>
      <c r="W21" s="788"/>
      <c r="X21" s="760"/>
      <c r="Y21" s="788"/>
      <c r="Z21" s="660"/>
    </row>
    <row r="22" spans="1:33" ht="21.95" customHeight="1" x14ac:dyDescent="0.25">
      <c r="A22" s="51"/>
      <c r="B22" s="152"/>
      <c r="C22" s="272"/>
      <c r="D22" s="708"/>
      <c r="E22" s="22" t="s">
        <v>200</v>
      </c>
      <c r="F22" s="2">
        <v>30.82</v>
      </c>
      <c r="G22" s="78">
        <v>30.82</v>
      </c>
      <c r="H22">
        <v>0</v>
      </c>
      <c r="I22" s="2">
        <v>0</v>
      </c>
      <c r="J22" s="2">
        <v>0</v>
      </c>
      <c r="K22" s="2">
        <v>0</v>
      </c>
      <c r="L22" s="660">
        <v>0</v>
      </c>
      <c r="M22" s="2">
        <v>555.54</v>
      </c>
      <c r="N22">
        <v>0</v>
      </c>
      <c r="O22" s="30"/>
      <c r="P22" s="660">
        <v>0</v>
      </c>
      <c r="Q22" s="876">
        <v>4.7999999999999996E-3</v>
      </c>
      <c r="R22" s="2"/>
      <c r="V22" s="788"/>
      <c r="W22" s="788"/>
      <c r="X22" s="760"/>
      <c r="Y22" s="788"/>
      <c r="Z22" s="788"/>
      <c r="AA22" s="2"/>
      <c r="AB22"/>
      <c r="AC22"/>
      <c r="AD22"/>
      <c r="AE22"/>
      <c r="AF22"/>
      <c r="AG22"/>
    </row>
    <row r="23" spans="1:33" ht="21.95" customHeight="1" x14ac:dyDescent="0.25">
      <c r="A23" s="51"/>
      <c r="B23" s="51"/>
      <c r="C23" s="51"/>
      <c r="D23" s="708"/>
      <c r="E23" s="22" t="s">
        <v>209</v>
      </c>
      <c r="F23" s="2">
        <v>24.3</v>
      </c>
      <c r="G23" s="78">
        <v>24.3</v>
      </c>
      <c r="H23">
        <v>0</v>
      </c>
      <c r="I23" s="2">
        <v>0</v>
      </c>
      <c r="J23" s="2">
        <v>0</v>
      </c>
      <c r="K23" s="2">
        <v>973.83000000000175</v>
      </c>
      <c r="L23" s="660">
        <v>0</v>
      </c>
      <c r="M23" s="2">
        <v>2131.6999999999971</v>
      </c>
      <c r="N23">
        <v>0</v>
      </c>
      <c r="O23" s="30"/>
      <c r="P23" s="660">
        <v>6.0905349794238679E-2</v>
      </c>
      <c r="Q23" s="876">
        <v>1.47E-2</v>
      </c>
      <c r="R23" s="2">
        <v>6.0750000000000002</v>
      </c>
      <c r="W23" s="788"/>
      <c r="X23" s="760"/>
      <c r="Y23" s="788"/>
      <c r="Z23" s="760"/>
    </row>
    <row r="24" spans="1:33" ht="21.95" customHeight="1" x14ac:dyDescent="0.25">
      <c r="A24" s="50"/>
      <c r="B24" s="50"/>
      <c r="C24" s="51"/>
      <c r="E24" s="22" t="s">
        <v>1184</v>
      </c>
      <c r="F24" s="2">
        <v>2751.7206999999999</v>
      </c>
      <c r="G24" s="78">
        <v>2751.7206999999999</v>
      </c>
      <c r="H24">
        <v>0</v>
      </c>
      <c r="I24" s="2">
        <v>0</v>
      </c>
      <c r="J24" s="2">
        <v>0</v>
      </c>
      <c r="K24" s="2">
        <v>1153.9500000000007</v>
      </c>
      <c r="L24" s="660">
        <v>0</v>
      </c>
      <c r="M24" s="2">
        <v>1153.9500000000007</v>
      </c>
      <c r="N24">
        <v>0</v>
      </c>
      <c r="O24" s="30" t="s">
        <v>1364</v>
      </c>
      <c r="P24" s="660">
        <v>0</v>
      </c>
      <c r="Q24" s="876">
        <v>2.2100000000000002E-2</v>
      </c>
      <c r="R24" s="2">
        <v>14.184127319587628</v>
      </c>
      <c r="S24" s="780">
        <v>43422</v>
      </c>
      <c r="W24" s="788"/>
      <c r="X24" s="760"/>
      <c r="Y24" s="788"/>
    </row>
    <row r="25" spans="1:33" ht="21.95" customHeight="1" x14ac:dyDescent="0.25">
      <c r="A25" s="50"/>
      <c r="B25" s="50"/>
      <c r="C25" s="51"/>
      <c r="D25" s="708"/>
      <c r="E25" s="22" t="s">
        <v>199</v>
      </c>
      <c r="F25" s="2">
        <v>165.25</v>
      </c>
      <c r="G25" s="78">
        <v>165.25</v>
      </c>
      <c r="H25">
        <v>0</v>
      </c>
      <c r="I25" s="2">
        <v>0</v>
      </c>
      <c r="J25" s="2">
        <v>0</v>
      </c>
      <c r="K25" s="2">
        <v>0</v>
      </c>
      <c r="L25" s="660">
        <v>0</v>
      </c>
      <c r="M25" s="2">
        <v>363.09999999999945</v>
      </c>
      <c r="N25">
        <v>0</v>
      </c>
      <c r="O25" s="30"/>
      <c r="P25" s="660">
        <v>0</v>
      </c>
      <c r="Q25" s="876">
        <v>9.7000000000000003E-3</v>
      </c>
      <c r="R25" s="2"/>
      <c r="T25" s="48"/>
      <c r="W25" s="788"/>
      <c r="X25" s="760"/>
      <c r="Y25" s="788"/>
      <c r="Z25" s="760"/>
      <c r="AA25" s="660"/>
    </row>
    <row r="26" spans="1:33" ht="21.95" customHeight="1" x14ac:dyDescent="0.25">
      <c r="A26" s="50"/>
      <c r="B26" s="50"/>
      <c r="C26" s="51"/>
      <c r="D26" s="708"/>
      <c r="E26" s="22" t="s">
        <v>220</v>
      </c>
      <c r="F26" s="2">
        <v>102.67</v>
      </c>
      <c r="G26" s="78">
        <v>102.67</v>
      </c>
      <c r="H26">
        <v>0</v>
      </c>
      <c r="I26" s="2">
        <v>0</v>
      </c>
      <c r="J26" s="2">
        <v>0</v>
      </c>
      <c r="K26" s="2">
        <v>0</v>
      </c>
      <c r="L26" s="660">
        <v>0</v>
      </c>
      <c r="M26" s="2">
        <v>231.53999999999996</v>
      </c>
      <c r="N26">
        <v>0</v>
      </c>
      <c r="O26" s="30"/>
      <c r="P26" s="660">
        <v>1.6199999999999999E-2</v>
      </c>
      <c r="Q26" s="876">
        <v>9.4999999999999998E-3</v>
      </c>
      <c r="R26" s="2"/>
    </row>
    <row r="27" spans="1:33" ht="21.95" customHeight="1" x14ac:dyDescent="0.25">
      <c r="A27" s="152"/>
      <c r="B27" s="50"/>
      <c r="C27" s="51"/>
      <c r="D27" s="708"/>
      <c r="E27" s="22" t="s">
        <v>260</v>
      </c>
      <c r="F27" s="2">
        <v>115.28</v>
      </c>
      <c r="G27" s="78">
        <v>115.28</v>
      </c>
      <c r="H27">
        <v>0</v>
      </c>
      <c r="I27" s="2">
        <v>0</v>
      </c>
      <c r="J27" s="2">
        <v>0</v>
      </c>
      <c r="K27" s="2">
        <v>0</v>
      </c>
      <c r="L27" s="660">
        <v>0</v>
      </c>
      <c r="M27" s="2">
        <v>1857.7799999999988</v>
      </c>
      <c r="N27">
        <v>0</v>
      </c>
      <c r="O27" s="30"/>
      <c r="P27" s="660">
        <v>1.49E-2</v>
      </c>
      <c r="Q27" s="876">
        <v>9.4000000000000004E-3</v>
      </c>
      <c r="R27" s="2"/>
      <c r="W27" s="788"/>
      <c r="X27" s="760"/>
      <c r="Y27" s="788"/>
      <c r="Z27" s="760"/>
      <c r="AA27" s="760"/>
      <c r="AC27"/>
      <c r="AD27"/>
      <c r="AE27"/>
      <c r="AF27"/>
      <c r="AG27"/>
    </row>
    <row r="28" spans="1:33" ht="21.95" customHeight="1" x14ac:dyDescent="0.25">
      <c r="A28" s="50"/>
      <c r="B28" s="51"/>
      <c r="C28" s="51"/>
      <c r="D28" s="708"/>
      <c r="E28" s="22" t="s">
        <v>23</v>
      </c>
      <c r="F28" s="2">
        <v>39.51</v>
      </c>
      <c r="G28" s="78">
        <v>39.51</v>
      </c>
      <c r="H28">
        <v>0</v>
      </c>
      <c r="I28" s="2">
        <v>0</v>
      </c>
      <c r="J28" s="2">
        <v>0</v>
      </c>
      <c r="K28" s="2">
        <v>0</v>
      </c>
      <c r="L28" s="660">
        <v>0</v>
      </c>
      <c r="M28" s="2">
        <v>171.89999999999964</v>
      </c>
      <c r="N28">
        <v>0</v>
      </c>
      <c r="O28" s="30"/>
      <c r="P28" s="660">
        <v>0</v>
      </c>
      <c r="Q28" s="876">
        <v>1.14E-2</v>
      </c>
      <c r="R28" s="2"/>
      <c r="T28" s="48"/>
      <c r="V28" s="788"/>
      <c r="W28" s="788"/>
      <c r="X28" s="760"/>
      <c r="Y28" s="788"/>
    </row>
    <row r="29" spans="1:33" ht="21.95" customHeight="1" x14ac:dyDescent="0.25">
      <c r="A29" s="50"/>
      <c r="B29" s="51"/>
      <c r="C29" s="51"/>
      <c r="D29" s="708"/>
      <c r="E29" s="22" t="s">
        <v>261</v>
      </c>
      <c r="F29" s="2">
        <v>49.04</v>
      </c>
      <c r="G29" s="78">
        <v>49.04</v>
      </c>
      <c r="H29">
        <v>0</v>
      </c>
      <c r="I29" s="2">
        <v>0</v>
      </c>
      <c r="J29" s="2">
        <v>0</v>
      </c>
      <c r="K29" s="2">
        <v>0</v>
      </c>
      <c r="L29" s="660">
        <v>0</v>
      </c>
      <c r="M29" s="2">
        <v>98.449999999999818</v>
      </c>
      <c r="N29">
        <v>0</v>
      </c>
      <c r="O29" s="30"/>
      <c r="P29" s="660">
        <v>1.11E-2</v>
      </c>
      <c r="Q29" s="876">
        <v>3.0999999999999999E-3</v>
      </c>
      <c r="R29" s="2"/>
      <c r="T29" s="48"/>
      <c r="U29" s="788"/>
      <c r="V29" s="788"/>
      <c r="W29" s="788"/>
      <c r="X29" s="760"/>
      <c r="Y29" s="788"/>
      <c r="AA29" s="2"/>
    </row>
    <row r="30" spans="1:33" ht="21.95" customHeight="1" x14ac:dyDescent="0.25">
      <c r="A30" s="50"/>
      <c r="B30" s="51"/>
      <c r="C30" s="51"/>
      <c r="D30" s="708"/>
      <c r="E30" s="22" t="s">
        <v>318</v>
      </c>
      <c r="F30" s="2">
        <v>12</v>
      </c>
      <c r="G30" s="78">
        <v>12</v>
      </c>
      <c r="H30">
        <v>0</v>
      </c>
      <c r="I30" s="2">
        <v>0</v>
      </c>
      <c r="J30" s="2">
        <v>0</v>
      </c>
      <c r="K30" s="2">
        <v>-1184.9399999999987</v>
      </c>
      <c r="L30" s="660">
        <v>0</v>
      </c>
      <c r="M30" s="2">
        <v>98.479999999995925</v>
      </c>
      <c r="N30">
        <v>0</v>
      </c>
      <c r="O30" s="30"/>
      <c r="P30" s="660">
        <v>0</v>
      </c>
      <c r="Q30" s="876">
        <v>2.06E-2</v>
      </c>
      <c r="R30" s="2">
        <v>37.5</v>
      </c>
      <c r="T30" s="48"/>
      <c r="W30" s="48"/>
      <c r="X30" s="760"/>
      <c r="Y30" s="788"/>
      <c r="Z30" s="788"/>
    </row>
    <row r="31" spans="1:33" ht="21.95" customHeight="1" x14ac:dyDescent="0.25">
      <c r="A31" s="50"/>
      <c r="B31" s="51"/>
      <c r="C31" s="51"/>
      <c r="D31" s="708"/>
      <c r="E31" s="22" t="s">
        <v>36</v>
      </c>
      <c r="F31" s="2">
        <v>57.49</v>
      </c>
      <c r="G31" s="78">
        <v>57.49</v>
      </c>
      <c r="H31">
        <v>0</v>
      </c>
      <c r="I31" s="2">
        <v>0</v>
      </c>
      <c r="J31" s="2">
        <v>0</v>
      </c>
      <c r="K31" s="2">
        <v>0</v>
      </c>
      <c r="L31" s="660">
        <v>0</v>
      </c>
      <c r="M31" s="2">
        <v>117.73999999999978</v>
      </c>
      <c r="N31">
        <v>0</v>
      </c>
      <c r="O31" s="30"/>
      <c r="P31" s="660">
        <v>0</v>
      </c>
      <c r="Q31" s="876">
        <v>-6.7999999999999996E-3</v>
      </c>
      <c r="R31" s="2"/>
      <c r="U31" s="787"/>
      <c r="V31" s="2"/>
      <c r="W31" s="787"/>
      <c r="X31" s="660"/>
      <c r="Y31" s="2"/>
      <c r="Z31" s="760"/>
    </row>
    <row r="32" spans="1:33" ht="21.95" customHeight="1" x14ac:dyDescent="0.25">
      <c r="A32" s="50"/>
      <c r="B32" s="50"/>
      <c r="C32" s="50"/>
      <c r="D32" s="708"/>
      <c r="E32" s="22" t="s">
        <v>1349</v>
      </c>
      <c r="F32" s="2">
        <v>46.16</v>
      </c>
      <c r="G32" s="78">
        <v>46.16</v>
      </c>
      <c r="H32">
        <v>0</v>
      </c>
      <c r="I32" s="2">
        <v>0</v>
      </c>
      <c r="J32" s="2">
        <v>0</v>
      </c>
      <c r="K32" s="2">
        <v>0</v>
      </c>
      <c r="L32" s="660">
        <v>0</v>
      </c>
      <c r="M32" s="2">
        <v>264.92000000000007</v>
      </c>
      <c r="N32">
        <v>0</v>
      </c>
      <c r="O32" s="30"/>
      <c r="P32" s="660">
        <v>3.4200000000000001E-2</v>
      </c>
      <c r="Q32" s="876">
        <v>0</v>
      </c>
      <c r="R32" s="2"/>
      <c r="T32" s="48"/>
      <c r="W32" s="788"/>
      <c r="X32" s="760"/>
      <c r="Y32" s="788"/>
      <c r="Z32" s="660"/>
      <c r="AA32" s="760"/>
    </row>
    <row r="33" spans="1:33" ht="21.95" customHeight="1" x14ac:dyDescent="0.25">
      <c r="A33" s="50"/>
      <c r="B33" s="51"/>
      <c r="C33" s="51"/>
      <c r="D33" s="708"/>
      <c r="E33" s="22" t="s">
        <v>292</v>
      </c>
      <c r="F33" s="2">
        <v>48.86</v>
      </c>
      <c r="G33" s="78">
        <v>48.86</v>
      </c>
      <c r="H33">
        <v>0</v>
      </c>
      <c r="I33" s="2">
        <v>0</v>
      </c>
      <c r="J33" s="2">
        <v>0</v>
      </c>
      <c r="K33" s="2">
        <v>0</v>
      </c>
      <c r="L33" s="660">
        <v>0</v>
      </c>
      <c r="M33" s="2">
        <v>910.79999999999927</v>
      </c>
      <c r="N33">
        <v>0</v>
      </c>
      <c r="O33" s="30"/>
      <c r="P33" s="660">
        <v>2.87E-2</v>
      </c>
      <c r="Q33" s="876">
        <v>2.0400000000000001E-2</v>
      </c>
      <c r="R33" s="2"/>
      <c r="T33" s="48"/>
      <c r="W33" s="788"/>
      <c r="X33" s="760"/>
      <c r="Y33" s="788"/>
      <c r="Z33" s="788"/>
      <c r="AA33" s="2"/>
    </row>
    <row r="34" spans="1:33" ht="21.95" customHeight="1" x14ac:dyDescent="0.25">
      <c r="A34" s="50"/>
      <c r="B34" s="50"/>
      <c r="C34" s="51"/>
      <c r="D34" s="708"/>
      <c r="E34" s="22" t="s">
        <v>1321</v>
      </c>
      <c r="F34" s="2">
        <v>90.38</v>
      </c>
      <c r="G34" s="78">
        <v>90.38</v>
      </c>
      <c r="H34">
        <v>0</v>
      </c>
      <c r="I34" s="2">
        <v>0</v>
      </c>
      <c r="J34" s="2">
        <v>0</v>
      </c>
      <c r="K34" s="2">
        <v>149.8799999999992</v>
      </c>
      <c r="L34" s="660">
        <v>0</v>
      </c>
      <c r="M34" s="2">
        <v>149.8799999999992</v>
      </c>
      <c r="N34">
        <v>0</v>
      </c>
      <c r="O34" s="30" t="s">
        <v>1383</v>
      </c>
      <c r="P34" s="660">
        <v>1.2781588847090065E-2</v>
      </c>
      <c r="Q34" s="876">
        <v>-5.0000000000000001E-3</v>
      </c>
      <c r="R34" s="2"/>
      <c r="W34" s="788"/>
      <c r="X34" s="760"/>
      <c r="Y34" s="788"/>
      <c r="Z34" s="660"/>
    </row>
    <row r="35" spans="1:33" ht="21.95" customHeight="1" x14ac:dyDescent="0.25">
      <c r="A35" s="50"/>
      <c r="B35" s="50"/>
      <c r="C35" s="51"/>
      <c r="E35" s="22" t="s">
        <v>670</v>
      </c>
      <c r="F35" s="2">
        <v>25.25</v>
      </c>
      <c r="G35" s="78">
        <v>25.25</v>
      </c>
      <c r="H35">
        <v>0</v>
      </c>
      <c r="I35" s="2">
        <v>0</v>
      </c>
      <c r="J35" s="2">
        <v>0</v>
      </c>
      <c r="K35" s="2">
        <v>0</v>
      </c>
      <c r="L35" s="660">
        <v>0</v>
      </c>
      <c r="M35" s="2">
        <v>557.94000000000005</v>
      </c>
      <c r="N35">
        <v>0</v>
      </c>
      <c r="O35" s="30"/>
      <c r="P35" s="660">
        <v>4.0599999999999997E-2</v>
      </c>
      <c r="Q35" s="876">
        <v>5.4999999999999997E-3</v>
      </c>
      <c r="R35" s="2"/>
      <c r="U35"/>
      <c r="V35" s="760"/>
      <c r="W35" s="788"/>
      <c r="X35" s="760"/>
      <c r="Y35" s="788"/>
      <c r="Z35" s="788"/>
      <c r="AA35" s="2"/>
    </row>
    <row r="36" spans="1:33" ht="21.95" customHeight="1" x14ac:dyDescent="0.25">
      <c r="A36" s="51"/>
      <c r="B36" s="152"/>
      <c r="C36" s="272"/>
      <c r="D36" s="708"/>
      <c r="E36" s="22" t="s">
        <v>242</v>
      </c>
      <c r="F36" s="2">
        <v>64.69</v>
      </c>
      <c r="G36" s="78">
        <v>64.69</v>
      </c>
      <c r="H36">
        <v>0</v>
      </c>
      <c r="I36" s="2">
        <v>0</v>
      </c>
      <c r="J36" s="2">
        <v>0</v>
      </c>
      <c r="K36" s="2">
        <v>0</v>
      </c>
      <c r="L36" s="660">
        <v>0</v>
      </c>
      <c r="M36" s="2">
        <v>329.74000000000069</v>
      </c>
      <c r="N36">
        <v>0</v>
      </c>
      <c r="O36" s="30"/>
      <c r="P36" s="660">
        <v>0</v>
      </c>
      <c r="Q36" s="876">
        <v>5.0000000000000001E-4</v>
      </c>
      <c r="R36" s="2"/>
      <c r="T36" s="48"/>
      <c r="W36" s="788"/>
      <c r="X36" s="788"/>
      <c r="Y36" s="760"/>
      <c r="Z36" s="760"/>
      <c r="AB36"/>
      <c r="AC36"/>
      <c r="AD36"/>
      <c r="AE36" s="2"/>
      <c r="AF36"/>
      <c r="AG36"/>
    </row>
    <row r="37" spans="1:33" ht="21.95" customHeight="1" x14ac:dyDescent="0.25">
      <c r="A37" s="50"/>
      <c r="B37" s="51"/>
      <c r="C37" s="51"/>
      <c r="D37" s="708"/>
      <c r="E37" s="22" t="s">
        <v>649</v>
      </c>
      <c r="F37" s="2">
        <v>18.71</v>
      </c>
      <c r="G37" s="78">
        <v>18.71</v>
      </c>
      <c r="H37">
        <v>0</v>
      </c>
      <c r="I37" s="2">
        <v>0</v>
      </c>
      <c r="J37" s="2">
        <v>0</v>
      </c>
      <c r="K37" s="2">
        <v>0</v>
      </c>
      <c r="L37" s="660">
        <v>0</v>
      </c>
      <c r="M37" s="2">
        <v>309.26000000000022</v>
      </c>
      <c r="N37">
        <v>0</v>
      </c>
      <c r="O37" s="30"/>
      <c r="P37" s="660">
        <v>8.8000000000000005E-3</v>
      </c>
      <c r="Q37" s="876">
        <v>6.0000000000000001E-3</v>
      </c>
      <c r="R37" s="2"/>
      <c r="T37" s="48"/>
      <c r="W37" s="788"/>
      <c r="X37" s="760"/>
      <c r="Y37" s="788"/>
      <c r="Z37" s="788"/>
    </row>
    <row r="38" spans="1:33" ht="21.95" customHeight="1" x14ac:dyDescent="0.25">
      <c r="A38" s="51"/>
      <c r="B38" s="51"/>
      <c r="C38" s="51"/>
      <c r="D38" s="708"/>
      <c r="E38" s="22" t="s">
        <v>712</v>
      </c>
      <c r="F38" s="2">
        <v>242.67</v>
      </c>
      <c r="G38" s="78">
        <v>242.67</v>
      </c>
      <c r="H38">
        <v>0</v>
      </c>
      <c r="I38" s="2">
        <v>0</v>
      </c>
      <c r="J38" s="2">
        <v>0</v>
      </c>
      <c r="K38" s="2">
        <v>0</v>
      </c>
      <c r="L38" s="660">
        <v>0</v>
      </c>
      <c r="M38" s="2">
        <v>843.18000000000029</v>
      </c>
      <c r="N38">
        <v>0</v>
      </c>
      <c r="O38" s="30"/>
      <c r="P38" s="660">
        <v>2.8E-3</v>
      </c>
      <c r="Q38" s="876">
        <v>1.3899999999999999E-2</v>
      </c>
      <c r="R38" s="2"/>
      <c r="T38" s="48"/>
      <c r="V38" s="2"/>
      <c r="W38" s="787"/>
      <c r="X38" s="660"/>
      <c r="Y38" s="2"/>
      <c r="AA38" s="2"/>
    </row>
    <row r="39" spans="1:33" ht="21.95" customHeight="1" x14ac:dyDescent="0.25">
      <c r="A39" s="50"/>
      <c r="B39" s="50"/>
      <c r="C39" s="51"/>
      <c r="D39" s="708"/>
      <c r="E39" s="22" t="s">
        <v>1281</v>
      </c>
      <c r="F39" s="2">
        <v>19.62</v>
      </c>
      <c r="G39" s="78">
        <v>19.62</v>
      </c>
      <c r="H39">
        <v>0</v>
      </c>
      <c r="I39" s="2">
        <v>0</v>
      </c>
      <c r="J39" s="2">
        <v>0</v>
      </c>
      <c r="K39" s="2">
        <v>863.92000000000007</v>
      </c>
      <c r="L39" s="660">
        <v>0</v>
      </c>
      <c r="M39" s="2">
        <v>863.92000000000007</v>
      </c>
      <c r="N39">
        <v>0</v>
      </c>
      <c r="O39" s="30"/>
      <c r="P39" s="660">
        <v>0</v>
      </c>
      <c r="Q39" s="876">
        <v>-5.1000000000000004E-3</v>
      </c>
      <c r="R39" s="2"/>
      <c r="W39" s="788"/>
      <c r="X39" s="760"/>
      <c r="Y39" s="788"/>
    </row>
    <row r="40" spans="1:33" ht="21.95" customHeight="1" x14ac:dyDescent="0.25">
      <c r="A40" s="50"/>
      <c r="B40" s="50"/>
      <c r="C40" s="51"/>
      <c r="D40" s="708"/>
      <c r="E40" s="22" t="s">
        <v>1311</v>
      </c>
      <c r="F40" s="2">
        <v>27.169899999999998</v>
      </c>
      <c r="G40" s="78">
        <v>27.169899999999998</v>
      </c>
      <c r="H40">
        <v>0</v>
      </c>
      <c r="I40" s="2">
        <v>0</v>
      </c>
      <c r="J40" s="2">
        <v>0</v>
      </c>
      <c r="K40" s="2">
        <v>593.93000000000029</v>
      </c>
      <c r="L40" s="660">
        <v>0</v>
      </c>
      <c r="M40" s="2">
        <v>593.93000000000029</v>
      </c>
      <c r="N40">
        <v>0</v>
      </c>
      <c r="O40" s="30" t="s">
        <v>1352</v>
      </c>
      <c r="P40" s="660">
        <v>0</v>
      </c>
      <c r="Q40" s="876">
        <v>-4.4000000000000003E-3</v>
      </c>
      <c r="R40" s="2">
        <v>6.174977272727272</v>
      </c>
      <c r="V40" s="788"/>
      <c r="W40" s="788"/>
      <c r="X40" s="760"/>
      <c r="Y40" s="788"/>
      <c r="Z40" s="760"/>
      <c r="AC40"/>
      <c r="AD40"/>
      <c r="AE40" s="2"/>
      <c r="AF40"/>
      <c r="AG40"/>
    </row>
    <row r="41" spans="1:33" ht="21.95" customHeight="1" x14ac:dyDescent="0.25">
      <c r="A41" s="51"/>
      <c r="B41" s="51"/>
      <c r="C41" s="51"/>
      <c r="D41" s="708"/>
      <c r="E41" s="22" t="s">
        <v>1276</v>
      </c>
      <c r="F41" s="2">
        <v>54.82</v>
      </c>
      <c r="G41" s="78">
        <v>54.82</v>
      </c>
      <c r="H41">
        <v>0</v>
      </c>
      <c r="I41" s="2">
        <v>0</v>
      </c>
      <c r="J41" s="2">
        <v>0</v>
      </c>
      <c r="K41" s="2">
        <v>146.78999999999996</v>
      </c>
      <c r="L41" s="660">
        <v>0</v>
      </c>
      <c r="M41" s="2">
        <v>146.78999999999996</v>
      </c>
      <c r="N41">
        <v>0</v>
      </c>
      <c r="O41" s="30"/>
      <c r="P41" s="660">
        <v>2.1072601240423202E-2</v>
      </c>
      <c r="Q41" s="876">
        <v>6.1999999999999998E-3</v>
      </c>
      <c r="R41" s="2"/>
      <c r="W41" s="788"/>
      <c r="X41" s="760"/>
      <c r="Y41" s="788"/>
      <c r="Z41" s="788"/>
      <c r="AA41" s="660"/>
    </row>
    <row r="42" spans="1:33" ht="21.95" customHeight="1" x14ac:dyDescent="0.25">
      <c r="A42" s="50"/>
      <c r="B42" s="50"/>
      <c r="C42" s="51"/>
      <c r="D42" s="708"/>
      <c r="E42" s="22" t="s">
        <v>1278</v>
      </c>
      <c r="F42" s="2">
        <v>44.65</v>
      </c>
      <c r="G42" s="78">
        <v>44.65</v>
      </c>
      <c r="H42">
        <v>0</v>
      </c>
      <c r="I42" s="2">
        <v>0</v>
      </c>
      <c r="J42" s="2">
        <v>0</v>
      </c>
      <c r="K42" s="2">
        <v>1589.75</v>
      </c>
      <c r="L42" s="660">
        <v>0</v>
      </c>
      <c r="M42" s="2">
        <v>1589.75</v>
      </c>
      <c r="N42">
        <v>0</v>
      </c>
      <c r="O42" s="30"/>
      <c r="P42" s="660">
        <v>1.1086226203807393E-3</v>
      </c>
      <c r="Q42" s="876">
        <v>1.2999999999999999E-3</v>
      </c>
      <c r="R42" s="2"/>
      <c r="T42" s="48"/>
      <c r="W42" s="788"/>
      <c r="X42" s="760"/>
      <c r="Y42" s="788"/>
    </row>
    <row r="43" spans="1:33" ht="21.95" customHeight="1" x14ac:dyDescent="0.25">
      <c r="A43" s="50"/>
      <c r="B43" s="50"/>
      <c r="C43" s="51"/>
      <c r="D43" s="708"/>
      <c r="E43" s="22" t="s">
        <v>1331</v>
      </c>
      <c r="F43" s="2">
        <v>57.43</v>
      </c>
      <c r="G43" s="78">
        <v>57.43</v>
      </c>
      <c r="H43">
        <v>0</v>
      </c>
      <c r="I43" s="2">
        <v>0</v>
      </c>
      <c r="J43" s="2">
        <v>0</v>
      </c>
      <c r="K43" s="2">
        <v>-0.63999999999987267</v>
      </c>
      <c r="L43" s="660">
        <v>0</v>
      </c>
      <c r="M43" s="2">
        <v>-0.63999999999987267</v>
      </c>
      <c r="N43">
        <v>0</v>
      </c>
      <c r="O43" s="30"/>
      <c r="P43" s="660">
        <v>1.532300191537524E-2</v>
      </c>
      <c r="Q43" s="876">
        <v>1.2699999999999999E-2</v>
      </c>
      <c r="R43" s="2">
        <v>13.052272727272726</v>
      </c>
      <c r="W43" s="788"/>
      <c r="X43" s="760"/>
      <c r="Y43" s="788"/>
    </row>
    <row r="44" spans="1:33" ht="21.95" customHeight="1" x14ac:dyDescent="0.25">
      <c r="A44" s="50"/>
      <c r="B44" s="51"/>
      <c r="C44" s="51"/>
      <c r="D44" s="708"/>
      <c r="E44" s="22" t="s">
        <v>1316</v>
      </c>
      <c r="F44" s="2">
        <v>30.24</v>
      </c>
      <c r="G44" s="78">
        <v>30.24</v>
      </c>
      <c r="H44">
        <v>0</v>
      </c>
      <c r="I44" s="2">
        <v>0</v>
      </c>
      <c r="J44" s="2">
        <v>0</v>
      </c>
      <c r="K44" s="2">
        <v>718.7599999999984</v>
      </c>
      <c r="L44" s="660">
        <v>0</v>
      </c>
      <c r="M44" s="2">
        <v>718.7599999999984</v>
      </c>
      <c r="N44">
        <v>0</v>
      </c>
      <c r="O44" s="30" t="s">
        <v>1358</v>
      </c>
      <c r="P44" s="660">
        <v>1.0582010582010583E-2</v>
      </c>
      <c r="Q44" s="876">
        <v>-8.8999999999999999E-3</v>
      </c>
      <c r="R44" s="2"/>
      <c r="W44" s="788"/>
      <c r="X44" s="760"/>
      <c r="Y44" s="788"/>
      <c r="Z44" s="760"/>
      <c r="AA44" s="760"/>
    </row>
    <row r="45" spans="1:33" ht="21.95" customHeight="1" x14ac:dyDescent="0.25">
      <c r="A45" s="50"/>
      <c r="B45" s="50"/>
      <c r="C45" s="51"/>
      <c r="D45" s="708"/>
      <c r="E45" s="22" t="s">
        <v>1329</v>
      </c>
      <c r="F45" s="2">
        <v>15.62</v>
      </c>
      <c r="G45" s="78">
        <v>15.62</v>
      </c>
      <c r="H45">
        <v>0</v>
      </c>
      <c r="I45" s="2">
        <v>0</v>
      </c>
      <c r="J45" s="2">
        <v>0</v>
      </c>
      <c r="K45" s="2">
        <v>450.96000000000004</v>
      </c>
      <c r="L45" s="660">
        <v>0</v>
      </c>
      <c r="M45" s="2">
        <v>450.96000000000004</v>
      </c>
      <c r="N45">
        <v>0</v>
      </c>
      <c r="O45" s="30" t="s">
        <v>1381</v>
      </c>
      <c r="P45" s="660">
        <v>7.3956466069142135E-2</v>
      </c>
      <c r="Q45" s="876">
        <v>3.7900000000000003E-2</v>
      </c>
      <c r="R45" s="2"/>
      <c r="W45" s="788"/>
      <c r="X45" s="760"/>
      <c r="Y45" s="788"/>
      <c r="Z45" s="660"/>
      <c r="AA45" s="760"/>
    </row>
    <row r="46" spans="1:33" ht="21.95" customHeight="1" x14ac:dyDescent="0.25">
      <c r="A46" s="50"/>
      <c r="B46" s="50"/>
      <c r="C46" s="51"/>
      <c r="D46" s="708"/>
      <c r="E46" s="22" t="s">
        <v>1330</v>
      </c>
      <c r="F46" s="2">
        <v>42.63</v>
      </c>
      <c r="G46" s="78">
        <v>42.63</v>
      </c>
      <c r="H46">
        <v>0</v>
      </c>
      <c r="I46" s="2">
        <v>0</v>
      </c>
      <c r="J46" s="2">
        <v>0</v>
      </c>
      <c r="K46" s="2">
        <v>347.42999999999893</v>
      </c>
      <c r="L46" s="660">
        <v>0</v>
      </c>
      <c r="M46" s="2">
        <v>347.42999999999893</v>
      </c>
      <c r="N46">
        <v>0</v>
      </c>
      <c r="O46" s="30"/>
      <c r="P46" s="660">
        <v>2.7098287590898426E-2</v>
      </c>
      <c r="Q46" s="876">
        <v>8.6E-3</v>
      </c>
      <c r="R46" s="2"/>
      <c r="T46" s="48"/>
      <c r="W46" s="788"/>
      <c r="X46" s="760"/>
      <c r="Y46" s="788"/>
    </row>
    <row r="47" spans="1:33" ht="21.95" customHeight="1" x14ac:dyDescent="0.25">
      <c r="A47" s="50"/>
      <c r="B47" s="50"/>
      <c r="C47" s="51"/>
      <c r="D47" s="708"/>
      <c r="E47" s="22" t="s">
        <v>757</v>
      </c>
      <c r="F47" s="2">
        <v>9.1</v>
      </c>
      <c r="G47" s="78">
        <v>9.1</v>
      </c>
      <c r="H47">
        <v>0</v>
      </c>
      <c r="I47" s="2">
        <v>0</v>
      </c>
      <c r="J47" s="2">
        <v>0</v>
      </c>
      <c r="K47" s="2">
        <v>-1133.8100000000013</v>
      </c>
      <c r="L47" s="660">
        <v>0</v>
      </c>
      <c r="M47" s="2">
        <v>-1133.8100000000013</v>
      </c>
      <c r="N47">
        <v>0</v>
      </c>
      <c r="O47" s="30"/>
      <c r="P47" s="660">
        <v>1.7582417582417582E-2</v>
      </c>
      <c r="Q47" s="876">
        <v>6.2E-2</v>
      </c>
      <c r="R47" s="2">
        <v>9.5789473684210531</v>
      </c>
      <c r="S47" s="780">
        <v>43337</v>
      </c>
      <c r="V47" s="48"/>
      <c r="W47" s="788"/>
      <c r="X47" s="760"/>
      <c r="Y47" s="788"/>
      <c r="Z47" s="760"/>
      <c r="AB47"/>
      <c r="AC47"/>
      <c r="AD47"/>
      <c r="AE47"/>
      <c r="AF47"/>
      <c r="AG47"/>
    </row>
    <row r="48" spans="1:33" ht="21.95" customHeight="1" x14ac:dyDescent="0.25">
      <c r="A48" s="50"/>
      <c r="B48" s="51"/>
      <c r="C48" s="51"/>
      <c r="E48" s="22" t="s">
        <v>938</v>
      </c>
      <c r="F48" s="2">
        <v>49.13</v>
      </c>
      <c r="G48" s="78">
        <v>49.13</v>
      </c>
      <c r="H48">
        <v>0</v>
      </c>
      <c r="I48" s="2">
        <v>0</v>
      </c>
      <c r="J48" s="2">
        <v>0</v>
      </c>
      <c r="K48" s="2">
        <v>86.249999999996362</v>
      </c>
      <c r="L48" s="660">
        <v>0</v>
      </c>
      <c r="M48" s="2">
        <v>86.249999999996362</v>
      </c>
      <c r="N48">
        <v>0</v>
      </c>
      <c r="O48" s="30" t="s">
        <v>1361</v>
      </c>
      <c r="P48" s="660">
        <v>7.1239568491756559E-3</v>
      </c>
      <c r="Q48" s="876">
        <v>0.17649999999999999</v>
      </c>
      <c r="R48" s="2">
        <v>23.67710843373494</v>
      </c>
      <c r="S48" s="780">
        <v>43425</v>
      </c>
      <c r="W48" s="788"/>
      <c r="X48" s="760"/>
      <c r="Y48" s="788"/>
    </row>
    <row r="49" spans="1:33" ht="21.95" customHeight="1" x14ac:dyDescent="0.25">
      <c r="A49" s="50"/>
      <c r="B49" s="51"/>
      <c r="C49" s="51"/>
      <c r="D49" s="708"/>
      <c r="E49" s="22" t="s">
        <v>1373</v>
      </c>
      <c r="F49" s="2">
        <v>43.32</v>
      </c>
      <c r="G49" s="78">
        <v>43.32</v>
      </c>
      <c r="H49">
        <v>0</v>
      </c>
      <c r="I49" s="2">
        <v>0</v>
      </c>
      <c r="J49" s="2">
        <v>0</v>
      </c>
      <c r="K49" s="2">
        <v>469.9399999999996</v>
      </c>
      <c r="L49" s="660">
        <v>0</v>
      </c>
      <c r="M49" s="2">
        <v>469.9399999999996</v>
      </c>
      <c r="N49">
        <v>0</v>
      </c>
      <c r="O49" s="30"/>
      <c r="P49" s="660">
        <v>7.8485687903970449E-3</v>
      </c>
      <c r="Q49" s="876">
        <v>-8.6999999999999994E-3</v>
      </c>
      <c r="R49" s="2"/>
      <c r="V49" s="48"/>
      <c r="W49" s="788"/>
      <c r="X49" s="760"/>
      <c r="Y49" s="788"/>
      <c r="Z49" s="788"/>
    </row>
    <row r="50" spans="1:33" ht="21.95" customHeight="1" x14ac:dyDescent="0.25">
      <c r="A50" s="51"/>
      <c r="B50" s="51"/>
      <c r="C50" s="51"/>
      <c r="D50" s="708"/>
      <c r="E50" s="22" t="s">
        <v>1297</v>
      </c>
      <c r="F50" s="2">
        <v>92.52</v>
      </c>
      <c r="G50" s="78">
        <v>92.52</v>
      </c>
      <c r="H50">
        <v>0</v>
      </c>
      <c r="I50" s="2">
        <v>0</v>
      </c>
      <c r="J50" s="2">
        <v>0</v>
      </c>
      <c r="K50" s="2">
        <v>74.930000000000291</v>
      </c>
      <c r="L50" s="660">
        <v>0</v>
      </c>
      <c r="M50" s="2">
        <v>74.930000000000291</v>
      </c>
      <c r="N50">
        <v>0</v>
      </c>
      <c r="O50" s="30" t="s">
        <v>1357</v>
      </c>
      <c r="P50" s="660">
        <v>1.9455252918287938E-2</v>
      </c>
      <c r="Q50" s="876">
        <v>-6.9999999999999999E-4</v>
      </c>
      <c r="R50" s="2"/>
      <c r="T50" s="48"/>
      <c r="U50" s="788"/>
      <c r="V50" s="788"/>
      <c r="W50" s="788"/>
      <c r="X50" s="760"/>
      <c r="Y50" s="788"/>
      <c r="Z50" s="760"/>
    </row>
    <row r="51" spans="1:33" ht="21.95" customHeight="1" x14ac:dyDescent="0.25">
      <c r="A51" s="50"/>
      <c r="B51" s="50"/>
      <c r="C51" s="51"/>
      <c r="D51" s="708"/>
      <c r="E51" s="22" t="s">
        <v>1325</v>
      </c>
      <c r="F51" s="2">
        <v>47.8</v>
      </c>
      <c r="G51" s="78">
        <v>47.8</v>
      </c>
      <c r="H51">
        <v>0</v>
      </c>
      <c r="I51" s="2">
        <v>0</v>
      </c>
      <c r="J51" s="2">
        <v>0</v>
      </c>
      <c r="K51" s="2">
        <v>229.9399999999996</v>
      </c>
      <c r="L51" s="660">
        <v>0</v>
      </c>
      <c r="M51" s="2">
        <v>229.9399999999996</v>
      </c>
      <c r="N51">
        <v>0</v>
      </c>
      <c r="O51" s="30" t="s">
        <v>1347</v>
      </c>
      <c r="P51" s="660">
        <v>2.4167364016736404E-2</v>
      </c>
      <c r="Q51" s="876">
        <v>2.4500000000000001E-2</v>
      </c>
      <c r="R51" s="2"/>
      <c r="T51" s="48"/>
      <c r="W51" s="788"/>
      <c r="X51" s="760"/>
      <c r="Y51" s="788"/>
    </row>
    <row r="52" spans="1:33" ht="21.95" customHeight="1" x14ac:dyDescent="0.25">
      <c r="A52" s="50"/>
      <c r="B52" s="50"/>
      <c r="C52" s="51"/>
      <c r="D52" s="708"/>
      <c r="E52" s="22" t="s">
        <v>1328</v>
      </c>
      <c r="F52" s="2">
        <v>147.80000000000001</v>
      </c>
      <c r="G52" s="78">
        <v>147.80000000000001</v>
      </c>
      <c r="H52">
        <v>0</v>
      </c>
      <c r="I52" s="2">
        <v>0</v>
      </c>
      <c r="J52" s="2">
        <v>0</v>
      </c>
      <c r="K52" s="2">
        <v>257.45000000000027</v>
      </c>
      <c r="L52" s="660">
        <v>0</v>
      </c>
      <c r="M52" s="2">
        <v>257.45000000000027</v>
      </c>
      <c r="N52">
        <v>0</v>
      </c>
      <c r="O52" s="30"/>
      <c r="P52" s="660">
        <v>7.8159675236806492E-3</v>
      </c>
      <c r="Q52" s="876">
        <v>9.1000000000000004E-3</v>
      </c>
      <c r="R52" s="2"/>
      <c r="V52" s="788"/>
      <c r="W52" s="788"/>
      <c r="X52" s="760"/>
      <c r="Y52" s="788"/>
      <c r="Z52" s="760"/>
    </row>
    <row r="53" spans="1:33" ht="21.95" customHeight="1" x14ac:dyDescent="0.25">
      <c r="A53" s="50"/>
      <c r="B53" s="50"/>
      <c r="C53" s="51"/>
      <c r="E53" s="22" t="s">
        <v>1323</v>
      </c>
      <c r="F53" s="2">
        <v>152.91</v>
      </c>
      <c r="G53" s="78">
        <v>152.91</v>
      </c>
      <c r="H53">
        <v>0</v>
      </c>
      <c r="I53" s="2">
        <v>0</v>
      </c>
      <c r="J53" s="2">
        <v>0</v>
      </c>
      <c r="K53" s="2">
        <v>86.199999999999818</v>
      </c>
      <c r="L53" s="660">
        <v>0</v>
      </c>
      <c r="M53" s="2">
        <v>86.199999999999818</v>
      </c>
      <c r="N53">
        <v>0</v>
      </c>
      <c r="O53" s="30" t="s">
        <v>1341</v>
      </c>
      <c r="P53" s="660">
        <v>5.7550192923942192E-3</v>
      </c>
      <c r="Q53" s="876">
        <v>3.9100000000000003E-2</v>
      </c>
      <c r="R53" s="2">
        <v>34.752272727272725</v>
      </c>
      <c r="T53" s="48"/>
      <c r="V53" s="760"/>
      <c r="W53" s="788"/>
      <c r="X53" s="760"/>
      <c r="Y53" s="788"/>
      <c r="Z53" s="760"/>
      <c r="AA53" s="760"/>
    </row>
    <row r="54" spans="1:33" ht="21.95" customHeight="1" x14ac:dyDescent="0.25">
      <c r="A54" s="50"/>
      <c r="B54" s="50"/>
      <c r="C54" s="50"/>
      <c r="D54" s="708"/>
      <c r="E54" s="22" t="s">
        <v>1324</v>
      </c>
      <c r="F54" s="2">
        <v>147.15</v>
      </c>
      <c r="G54" s="78">
        <v>147.15</v>
      </c>
      <c r="H54">
        <v>0</v>
      </c>
      <c r="I54" s="2">
        <v>0</v>
      </c>
      <c r="J54" s="2">
        <v>0</v>
      </c>
      <c r="K54" s="2">
        <v>1147.83</v>
      </c>
      <c r="L54" s="660">
        <v>0</v>
      </c>
      <c r="M54" s="2">
        <v>1147.83</v>
      </c>
      <c r="N54">
        <v>0</v>
      </c>
      <c r="O54" s="30" t="s">
        <v>1374</v>
      </c>
      <c r="P54" s="660">
        <v>7.8504926945293912E-3</v>
      </c>
      <c r="Q54" s="876">
        <v>7.2099999999999997E-2</v>
      </c>
      <c r="R54" s="2"/>
      <c r="T54" s="48"/>
      <c r="U54" s="48"/>
      <c r="V54" s="788"/>
      <c r="W54" s="788"/>
      <c r="X54" s="760"/>
      <c r="Y54" s="788"/>
      <c r="Z54" s="760"/>
      <c r="AB54"/>
      <c r="AC54"/>
      <c r="AD54"/>
      <c r="AE54"/>
      <c r="AF54"/>
      <c r="AG54"/>
    </row>
    <row r="55" spans="1:33" ht="21.95" customHeight="1" x14ac:dyDescent="0.25">
      <c r="A55" s="50"/>
      <c r="B55" s="50"/>
      <c r="C55" s="51"/>
      <c r="D55" s="708"/>
      <c r="E55" s="22" t="s">
        <v>46</v>
      </c>
      <c r="F55" s="2">
        <v>13.54</v>
      </c>
      <c r="G55" s="78">
        <v>13.54</v>
      </c>
      <c r="H55">
        <v>0</v>
      </c>
      <c r="I55" s="2">
        <v>0</v>
      </c>
      <c r="J55" s="2">
        <v>0</v>
      </c>
      <c r="K55" s="2">
        <v>470.39999999999964</v>
      </c>
      <c r="L55" s="660">
        <v>0</v>
      </c>
      <c r="M55" s="2">
        <v>470.39999999999964</v>
      </c>
      <c r="N55">
        <v>0</v>
      </c>
      <c r="O55" s="30" t="s">
        <v>1380</v>
      </c>
      <c r="P55" s="660">
        <v>1.8463810930576072E-2</v>
      </c>
      <c r="Q55" s="876">
        <v>4.7E-2</v>
      </c>
      <c r="R55" s="2">
        <v>10.029629629629628</v>
      </c>
      <c r="S55" s="780">
        <v>43461</v>
      </c>
      <c r="W55" s="788"/>
      <c r="X55" s="760"/>
      <c r="Y55" s="788"/>
      <c r="Z55" s="788"/>
      <c r="AA55" s="660"/>
    </row>
    <row r="56" spans="1:33" ht="21.95" customHeight="1" x14ac:dyDescent="0.25">
      <c r="A56" s="50"/>
      <c r="B56" s="51"/>
      <c r="C56" s="51"/>
      <c r="D56" s="708"/>
      <c r="E56" s="22" t="s">
        <v>1016</v>
      </c>
      <c r="F56" s="2">
        <v>52.42</v>
      </c>
      <c r="G56" s="78">
        <v>52.42</v>
      </c>
      <c r="H56">
        <v>0</v>
      </c>
      <c r="I56" s="2">
        <v>0</v>
      </c>
      <c r="J56" s="2">
        <v>0</v>
      </c>
      <c r="K56" s="2">
        <v>458.44000000000051</v>
      </c>
      <c r="L56" s="660">
        <v>0</v>
      </c>
      <c r="M56" s="2">
        <v>458.44000000000051</v>
      </c>
      <c r="N56">
        <v>0</v>
      </c>
      <c r="O56" s="30"/>
      <c r="P56" s="660">
        <v>2.8615032430370085E-2</v>
      </c>
      <c r="Q56" s="876">
        <v>4.1999999999999997E-3</v>
      </c>
      <c r="R56" s="2"/>
      <c r="W56" s="788"/>
      <c r="X56" s="760"/>
      <c r="Y56" s="788"/>
      <c r="Z56" s="788"/>
    </row>
    <row r="57" spans="1:33" ht="21.95" customHeight="1" x14ac:dyDescent="0.25">
      <c r="A57" s="50"/>
      <c r="B57" s="50"/>
      <c r="C57" s="51"/>
      <c r="D57" s="708"/>
      <c r="E57" s="22" t="s">
        <v>193</v>
      </c>
      <c r="F57" s="2">
        <v>28.26</v>
      </c>
      <c r="G57" s="78">
        <v>28.26</v>
      </c>
      <c r="H57">
        <v>0</v>
      </c>
      <c r="I57" s="2">
        <v>0</v>
      </c>
      <c r="J57" s="2">
        <v>0</v>
      </c>
      <c r="K57" s="2">
        <v>5325.3000000001048</v>
      </c>
      <c r="L57" s="660">
        <v>0</v>
      </c>
      <c r="M57" s="2">
        <v>7073.2700000000987</v>
      </c>
      <c r="N57">
        <v>0</v>
      </c>
      <c r="O57" s="30" t="s">
        <v>1285</v>
      </c>
      <c r="P57" s="660">
        <v>1.9815994338287332E-2</v>
      </c>
      <c r="Q57" s="876">
        <v>-3.3E-3</v>
      </c>
      <c r="R57" s="2">
        <v>13.619277108433735</v>
      </c>
      <c r="S57" s="780">
        <v>43358</v>
      </c>
      <c r="T57" s="48"/>
      <c r="AA57" s="2"/>
      <c r="AB57"/>
      <c r="AC57"/>
      <c r="AD57"/>
      <c r="AE57"/>
      <c r="AF57"/>
      <c r="AG57"/>
    </row>
    <row r="58" spans="1:33" ht="21.95" customHeight="1" x14ac:dyDescent="0.25">
      <c r="A58" s="50"/>
      <c r="B58" s="51"/>
      <c r="C58" s="51"/>
      <c r="E58" s="22" t="s">
        <v>194</v>
      </c>
      <c r="F58" s="2">
        <v>8.7100000000000009</v>
      </c>
      <c r="G58" s="78">
        <v>8.7100000000000009</v>
      </c>
      <c r="H58">
        <v>0</v>
      </c>
      <c r="I58" s="2">
        <v>0</v>
      </c>
      <c r="J58" s="2">
        <v>0</v>
      </c>
      <c r="K58" s="2">
        <v>0</v>
      </c>
      <c r="L58" s="660">
        <v>0</v>
      </c>
      <c r="M58" s="2">
        <v>495.20999999999913</v>
      </c>
      <c r="N58">
        <v>0</v>
      </c>
      <c r="O58" s="30"/>
      <c r="P58" s="660">
        <v>5.1499999999999997E-2</v>
      </c>
      <c r="Q58" s="876">
        <v>-2.0500000000000001E-2</v>
      </c>
      <c r="R58" s="2"/>
      <c r="T58" s="48"/>
      <c r="W58" s="788"/>
      <c r="X58" s="760"/>
      <c r="Y58" s="788"/>
      <c r="Z58" s="760"/>
    </row>
    <row r="59" spans="1:33" ht="21.95" customHeight="1" x14ac:dyDescent="0.25">
      <c r="A59" s="60"/>
      <c r="B59" s="61"/>
      <c r="C59" s="60"/>
      <c r="D59" s="708"/>
      <c r="E59" s="22" t="s">
        <v>264</v>
      </c>
      <c r="F59" s="2">
        <v>131.63999999999999</v>
      </c>
      <c r="G59" s="78">
        <v>131.63999999999999</v>
      </c>
      <c r="H59">
        <v>0</v>
      </c>
      <c r="I59" s="2">
        <v>0</v>
      </c>
      <c r="J59" s="2">
        <v>0</v>
      </c>
      <c r="K59" s="2">
        <v>765.82999999999993</v>
      </c>
      <c r="L59" s="660">
        <v>0</v>
      </c>
      <c r="M59" s="2">
        <v>920.60999999999967</v>
      </c>
      <c r="N59">
        <v>0</v>
      </c>
      <c r="O59" s="30"/>
      <c r="P59" s="660">
        <v>2.5700000000000001E-2</v>
      </c>
      <c r="Q59" s="876">
        <v>1.49E-2</v>
      </c>
      <c r="R59" s="2">
        <v>16.211822660098523</v>
      </c>
      <c r="V59" s="787"/>
      <c r="W59" s="788"/>
      <c r="X59" s="760"/>
      <c r="Y59" s="788"/>
      <c r="Z59" s="788"/>
    </row>
    <row r="60" spans="1:33" ht="21.95" customHeight="1" x14ac:dyDescent="0.25">
      <c r="A60" s="51"/>
      <c r="B60" s="51"/>
      <c r="C60" s="51"/>
      <c r="D60" s="708"/>
      <c r="E60" s="22" t="s">
        <v>671</v>
      </c>
      <c r="F60" s="2">
        <v>288.60000000000002</v>
      </c>
      <c r="G60" s="78">
        <v>288.60000000000002</v>
      </c>
      <c r="H60">
        <v>0</v>
      </c>
      <c r="I60" s="2">
        <v>0</v>
      </c>
      <c r="J60" s="2">
        <v>0</v>
      </c>
      <c r="K60" s="2">
        <v>4854.3499999999767</v>
      </c>
      <c r="L60" s="660">
        <v>0</v>
      </c>
      <c r="M60" s="2">
        <v>5079.1199999999772</v>
      </c>
      <c r="N60">
        <v>0</v>
      </c>
      <c r="O60" s="30" t="s">
        <v>1132</v>
      </c>
      <c r="P60" s="660">
        <v>0</v>
      </c>
      <c r="Q60" s="876">
        <v>2.2499999999999999E-2</v>
      </c>
      <c r="R60" s="2">
        <v>29.473039215686278</v>
      </c>
      <c r="S60" s="780">
        <v>43324</v>
      </c>
      <c r="W60" s="788"/>
      <c r="X60" s="760"/>
      <c r="Y60" s="788"/>
      <c r="Z60" s="760"/>
    </row>
    <row r="61" spans="1:33" ht="21.95" customHeight="1" x14ac:dyDescent="0.25">
      <c r="A61" s="50"/>
      <c r="B61" s="50"/>
      <c r="C61" s="51"/>
      <c r="D61" s="708"/>
      <c r="E61" s="22" t="s">
        <v>803</v>
      </c>
      <c r="F61" s="2">
        <v>101.63</v>
      </c>
      <c r="G61" s="78">
        <v>101.63</v>
      </c>
      <c r="H61">
        <v>0</v>
      </c>
      <c r="I61" s="2">
        <v>0</v>
      </c>
      <c r="J61" s="2">
        <v>0</v>
      </c>
      <c r="K61" s="2">
        <v>977.16999999999825</v>
      </c>
      <c r="L61" s="660">
        <v>0</v>
      </c>
      <c r="M61" s="2">
        <v>977.16999999999825</v>
      </c>
      <c r="N61">
        <v>0</v>
      </c>
      <c r="O61" s="30" t="s">
        <v>1355</v>
      </c>
      <c r="P61" s="660">
        <v>6.6909377152415631E-3</v>
      </c>
      <c r="Q61" s="876">
        <v>2.1000000000000001E-2</v>
      </c>
      <c r="R61" s="2">
        <v>21.395789473684211</v>
      </c>
      <c r="T61" s="48"/>
      <c r="W61" s="788"/>
      <c r="X61" s="760"/>
      <c r="Y61" s="788"/>
      <c r="Z61" s="788"/>
      <c r="AA61" s="2"/>
    </row>
    <row r="62" spans="1:33" ht="21.95" customHeight="1" x14ac:dyDescent="0.25">
      <c r="A62" s="50"/>
      <c r="B62" s="50"/>
      <c r="C62" s="51"/>
      <c r="D62" s="708"/>
      <c r="E62" s="22" t="s">
        <v>656</v>
      </c>
      <c r="F62" s="2">
        <v>159.04</v>
      </c>
      <c r="G62" s="78">
        <v>159.04</v>
      </c>
      <c r="H62">
        <v>0</v>
      </c>
      <c r="I62" s="2">
        <v>0</v>
      </c>
      <c r="J62" s="2">
        <v>0</v>
      </c>
      <c r="K62" s="2">
        <v>2714.0600000000013</v>
      </c>
      <c r="L62" s="660">
        <v>0</v>
      </c>
      <c r="M62" s="2">
        <v>2714.0600000000013</v>
      </c>
      <c r="N62">
        <v>0</v>
      </c>
      <c r="O62" s="30"/>
      <c r="P62" s="660">
        <v>2.8E-3</v>
      </c>
      <c r="Q62" s="876">
        <v>1.29E-2</v>
      </c>
      <c r="R62" s="2">
        <v>23.772795216741404</v>
      </c>
      <c r="W62" s="788"/>
      <c r="X62" s="760"/>
      <c r="Y62" s="788"/>
      <c r="Z62" s="760"/>
      <c r="AB62"/>
      <c r="AC62"/>
      <c r="AD62"/>
      <c r="AE62"/>
      <c r="AF62"/>
      <c r="AG62"/>
    </row>
    <row r="63" spans="1:33" ht="21.95" customHeight="1" x14ac:dyDescent="0.25">
      <c r="A63" s="50"/>
      <c r="B63" s="50"/>
      <c r="C63" s="51"/>
      <c r="D63" s="708"/>
      <c r="E63" s="22" t="s">
        <v>932</v>
      </c>
      <c r="F63" s="2">
        <v>39.1</v>
      </c>
      <c r="G63" s="78">
        <v>39.1</v>
      </c>
      <c r="H63">
        <v>0</v>
      </c>
      <c r="I63" s="2">
        <v>0</v>
      </c>
      <c r="J63" s="2">
        <v>0</v>
      </c>
      <c r="K63" s="2">
        <v>1966.5599999999977</v>
      </c>
      <c r="L63" s="660">
        <v>0</v>
      </c>
      <c r="M63" s="2">
        <v>1966.5599999999977</v>
      </c>
      <c r="N63">
        <v>0</v>
      </c>
      <c r="O63" s="30" t="s">
        <v>1366</v>
      </c>
      <c r="P63" s="660">
        <v>1.9437340153452685E-2</v>
      </c>
      <c r="Q63" s="876">
        <v>1.11E-2</v>
      </c>
      <c r="R63" s="2">
        <v>15.64</v>
      </c>
      <c r="S63" s="780">
        <v>43366</v>
      </c>
      <c r="W63" s="788"/>
      <c r="X63" s="760"/>
      <c r="Y63" s="788"/>
      <c r="AA63" s="660"/>
    </row>
    <row r="64" spans="1:33" ht="21.95" customHeight="1" x14ac:dyDescent="0.25">
      <c r="A64" s="50"/>
      <c r="B64" s="50"/>
      <c r="C64" s="51"/>
      <c r="D64" s="708"/>
      <c r="E64" s="22" t="s">
        <v>933</v>
      </c>
      <c r="F64" s="2">
        <v>76.37</v>
      </c>
      <c r="G64" s="78">
        <v>76.37</v>
      </c>
      <c r="H64">
        <v>0</v>
      </c>
      <c r="I64" s="2">
        <v>0</v>
      </c>
      <c r="J64" s="2">
        <v>0</v>
      </c>
      <c r="K64" s="2">
        <v>500.88000000000011</v>
      </c>
      <c r="L64" s="660">
        <v>0</v>
      </c>
      <c r="M64" s="2">
        <v>500.88000000000011</v>
      </c>
      <c r="N64">
        <v>0</v>
      </c>
      <c r="O64" s="30"/>
      <c r="P64" s="660">
        <v>8.3802540264501773E-3</v>
      </c>
      <c r="Q64" s="876">
        <v>6.7000000000000002E-3</v>
      </c>
      <c r="R64" s="2">
        <v>10.348238482384824</v>
      </c>
      <c r="T64" s="48"/>
      <c r="V64" s="2"/>
      <c r="W64" s="787"/>
      <c r="X64" s="660"/>
      <c r="Y64" s="2"/>
      <c r="Z64" s="760"/>
    </row>
    <row r="65" spans="1:33" ht="21.95" customHeight="1" x14ac:dyDescent="0.25">
      <c r="A65" s="50"/>
      <c r="B65" s="50"/>
      <c r="C65" s="51"/>
      <c r="D65" s="708"/>
      <c r="E65" s="22" t="s">
        <v>895</v>
      </c>
      <c r="F65" s="2">
        <v>31.07</v>
      </c>
      <c r="G65" s="78">
        <v>31.07</v>
      </c>
      <c r="H65">
        <v>0</v>
      </c>
      <c r="I65" s="2">
        <v>0</v>
      </c>
      <c r="J65" s="2">
        <v>0</v>
      </c>
      <c r="K65" s="2">
        <v>3232.7200000000012</v>
      </c>
      <c r="L65" s="660">
        <v>0</v>
      </c>
      <c r="M65" s="2">
        <v>3232.7200000000012</v>
      </c>
      <c r="N65">
        <v>0</v>
      </c>
      <c r="O65" s="30" t="s">
        <v>1368</v>
      </c>
      <c r="P65" s="660">
        <v>6.4370775667846797E-2</v>
      </c>
      <c r="Q65" s="876">
        <v>2.9999999999999997E-4</v>
      </c>
      <c r="R65" s="2">
        <v>8.8771428571428572</v>
      </c>
      <c r="S65" s="780">
        <v>43429</v>
      </c>
      <c r="T65" s="48"/>
      <c r="V65"/>
      <c r="W65" s="788"/>
      <c r="X65" s="760"/>
      <c r="Y65" s="788"/>
      <c r="Z65" s="788"/>
      <c r="AB65"/>
      <c r="AC65"/>
      <c r="AD65"/>
      <c r="AE65"/>
      <c r="AF65"/>
      <c r="AG65"/>
    </row>
    <row r="66" spans="1:33" ht="21.95" customHeight="1" x14ac:dyDescent="0.25">
      <c r="A66" s="50"/>
      <c r="B66" s="50"/>
      <c r="C66" s="51"/>
      <c r="E66" s="22" t="s">
        <v>658</v>
      </c>
      <c r="F66" s="2">
        <v>216.4699</v>
      </c>
      <c r="G66" s="78">
        <v>216.4699</v>
      </c>
      <c r="H66">
        <v>0</v>
      </c>
      <c r="I66" s="2">
        <v>0</v>
      </c>
      <c r="J66" s="2">
        <v>0</v>
      </c>
      <c r="K66" s="2">
        <v>1550.08</v>
      </c>
      <c r="L66" s="660">
        <v>0</v>
      </c>
      <c r="M66" s="2">
        <v>1693.1100000000001</v>
      </c>
      <c r="N66">
        <v>0</v>
      </c>
      <c r="O66" s="30" t="s">
        <v>1348</v>
      </c>
      <c r="P66" s="660">
        <v>2.309789952321316E-3</v>
      </c>
      <c r="Q66" s="876">
        <v>1.23E-2</v>
      </c>
      <c r="R66" s="2">
        <v>31.555379008746353</v>
      </c>
      <c r="U66" s="788"/>
      <c r="V66" s="2"/>
      <c r="W66" s="787"/>
      <c r="X66" s="660"/>
      <c r="Y66" s="788"/>
      <c r="Z66" s="760"/>
    </row>
    <row r="67" spans="1:33" ht="21.95" customHeight="1" x14ac:dyDescent="0.25">
      <c r="A67" s="50"/>
      <c r="B67" s="51"/>
      <c r="C67" s="51"/>
      <c r="E67" s="22" t="s">
        <v>17</v>
      </c>
      <c r="F67" s="2">
        <v>0</v>
      </c>
      <c r="G67" s="78">
        <v>0</v>
      </c>
      <c r="H67">
        <v>0</v>
      </c>
      <c r="I67" s="2">
        <v>0</v>
      </c>
      <c r="J67" s="2">
        <v>0</v>
      </c>
      <c r="K67" s="2">
        <v>-20818.210000000079</v>
      </c>
      <c r="L67" s="660"/>
      <c r="M67" s="2">
        <v>-20818.210000000079</v>
      </c>
      <c r="N67">
        <v>0</v>
      </c>
      <c r="O67" s="30"/>
      <c r="P67" s="660">
        <v>0</v>
      </c>
      <c r="Q67" s="876">
        <v>0</v>
      </c>
      <c r="R67" s="2"/>
      <c r="T67" s="48"/>
      <c r="W67" s="788"/>
      <c r="X67" s="760"/>
      <c r="Y67" s="788"/>
    </row>
    <row r="68" spans="1:33" ht="21.95" customHeight="1" x14ac:dyDescent="0.25">
      <c r="A68" s="50"/>
      <c r="B68" s="50"/>
      <c r="C68" s="51"/>
      <c r="D68" s="708"/>
      <c r="E68" s="22" t="s">
        <v>300</v>
      </c>
      <c r="F68" s="2">
        <v>168.74</v>
      </c>
      <c r="G68" s="78">
        <v>168.74</v>
      </c>
      <c r="H68">
        <v>0</v>
      </c>
      <c r="I68" s="2">
        <v>0</v>
      </c>
      <c r="J68" s="2">
        <v>0</v>
      </c>
      <c r="K68" s="2">
        <v>0</v>
      </c>
      <c r="L68" s="660">
        <v>0</v>
      </c>
      <c r="M68" s="2">
        <v>720.56000000000131</v>
      </c>
      <c r="N68">
        <v>0</v>
      </c>
      <c r="O68" s="30"/>
      <c r="P68" s="660">
        <v>0</v>
      </c>
      <c r="Q68" s="876">
        <v>1.83E-2</v>
      </c>
      <c r="R68" s="2"/>
      <c r="T68" s="48"/>
      <c r="W68" s="788"/>
      <c r="X68" s="760"/>
      <c r="Y68" s="788"/>
      <c r="Z68" s="760"/>
    </row>
    <row r="69" spans="1:33" ht="21.95" customHeight="1" x14ac:dyDescent="0.25">
      <c r="A69" s="50"/>
      <c r="B69" s="50"/>
      <c r="C69" s="51"/>
      <c r="D69" s="708"/>
      <c r="E69" s="22" t="s">
        <v>668</v>
      </c>
      <c r="F69" s="2">
        <v>48.9</v>
      </c>
      <c r="G69" s="78">
        <v>48.9</v>
      </c>
      <c r="H69">
        <v>0</v>
      </c>
      <c r="I69" s="2">
        <v>0</v>
      </c>
      <c r="J69" s="2">
        <v>0</v>
      </c>
      <c r="K69" s="2">
        <v>0</v>
      </c>
      <c r="L69" s="660">
        <v>0</v>
      </c>
      <c r="M69" s="2">
        <v>329.55999999999949</v>
      </c>
      <c r="N69">
        <v>0</v>
      </c>
      <c r="O69" s="30"/>
      <c r="P69" s="660">
        <v>1.78E-2</v>
      </c>
      <c r="Q69" s="876">
        <v>2.1499999999999998E-2</v>
      </c>
      <c r="R69" s="2"/>
      <c r="T69" s="48"/>
      <c r="W69" s="788"/>
      <c r="X69" s="760"/>
      <c r="Y69" s="788"/>
      <c r="AA69" s="2"/>
    </row>
    <row r="70" spans="1:33" ht="21.95" customHeight="1" x14ac:dyDescent="0.25">
      <c r="A70" s="50"/>
      <c r="B70" s="50"/>
      <c r="C70" s="51"/>
      <c r="D70" s="708"/>
      <c r="E70" s="22" t="s">
        <v>934</v>
      </c>
      <c r="F70" s="2">
        <v>171.94</v>
      </c>
      <c r="G70" s="78">
        <v>171.94</v>
      </c>
      <c r="H70">
        <v>0</v>
      </c>
      <c r="I70" s="2">
        <v>0</v>
      </c>
      <c r="J70" s="2">
        <v>0</v>
      </c>
      <c r="K70" s="2">
        <v>1372.8899999999921</v>
      </c>
      <c r="L70" s="660">
        <v>0</v>
      </c>
      <c r="M70" s="2">
        <v>1372.8899999999921</v>
      </c>
      <c r="N70">
        <v>0</v>
      </c>
      <c r="O70" s="30"/>
      <c r="P70" s="660">
        <v>7.4444573688495991E-3</v>
      </c>
      <c r="Q70" s="876">
        <v>4.1999999999999997E-3</v>
      </c>
      <c r="R70" s="2">
        <v>19.68</v>
      </c>
      <c r="T70" s="48"/>
      <c r="W70" s="788"/>
      <c r="X70" s="760"/>
      <c r="Y70" s="788"/>
      <c r="Z70" s="760"/>
    </row>
    <row r="71" spans="1:33" ht="21.95" customHeight="1" x14ac:dyDescent="0.25">
      <c r="A71" s="50"/>
      <c r="B71" s="50"/>
      <c r="C71" s="51"/>
      <c r="D71" s="708"/>
      <c r="E71" s="22" t="s">
        <v>711</v>
      </c>
      <c r="F71" s="2">
        <v>71.61</v>
      </c>
      <c r="G71" s="78">
        <v>71.61</v>
      </c>
      <c r="H71">
        <v>0</v>
      </c>
      <c r="I71" s="2">
        <v>0</v>
      </c>
      <c r="J71" s="2">
        <v>0</v>
      </c>
      <c r="K71" s="2">
        <v>2113.4099999999889</v>
      </c>
      <c r="L71" s="660">
        <v>0</v>
      </c>
      <c r="M71" s="2">
        <v>2113.4099999999889</v>
      </c>
      <c r="N71">
        <v>0</v>
      </c>
      <c r="O71" s="30"/>
      <c r="P71" s="660">
        <v>2.2343248149699763E-2</v>
      </c>
      <c r="Q71" s="876">
        <v>4.1000000000000003E-3</v>
      </c>
      <c r="R71" s="2">
        <v>11.984937238493725</v>
      </c>
      <c r="S71" s="780">
        <v>43317</v>
      </c>
      <c r="V71" s="788"/>
      <c r="W71" s="788"/>
      <c r="X71" s="760"/>
      <c r="Y71" s="788"/>
      <c r="Z71" s="788"/>
    </row>
    <row r="72" spans="1:33" ht="21.95" customHeight="1" x14ac:dyDescent="0.25">
      <c r="A72" s="50"/>
      <c r="B72" s="50"/>
      <c r="C72" s="51"/>
      <c r="D72" s="708"/>
      <c r="E72" s="22" t="s">
        <v>710</v>
      </c>
      <c r="F72" s="2">
        <v>843.17</v>
      </c>
      <c r="G72" s="78">
        <v>843.17</v>
      </c>
      <c r="H72">
        <v>0</v>
      </c>
      <c r="I72" s="2">
        <v>0</v>
      </c>
      <c r="J72" s="2">
        <v>0</v>
      </c>
      <c r="K72" s="2">
        <v>0</v>
      </c>
      <c r="L72" s="660">
        <v>0</v>
      </c>
      <c r="M72" s="2">
        <v>559.89000000000033</v>
      </c>
      <c r="N72">
        <v>0</v>
      </c>
      <c r="O72" s="30"/>
      <c r="P72" s="660">
        <v>0</v>
      </c>
      <c r="Q72" s="876">
        <v>-8.0000000000000004E-4</v>
      </c>
      <c r="R72" s="2"/>
      <c r="W72" s="788"/>
      <c r="X72" s="760"/>
      <c r="Y72" s="788"/>
      <c r="Z72" s="760"/>
    </row>
    <row r="73" spans="1:33" ht="21.95" customHeight="1" x14ac:dyDescent="0.25">
      <c r="A73" s="51"/>
      <c r="B73" s="51"/>
      <c r="C73" s="51"/>
      <c r="D73" s="708"/>
      <c r="E73" s="22" t="s">
        <v>920</v>
      </c>
      <c r="F73" s="2">
        <v>56.68</v>
      </c>
      <c r="G73" s="78">
        <v>56.68</v>
      </c>
      <c r="H73">
        <v>0</v>
      </c>
      <c r="I73" s="2">
        <v>0</v>
      </c>
      <c r="J73" s="2">
        <v>0</v>
      </c>
      <c r="K73" s="2">
        <v>2227.6699999999946</v>
      </c>
      <c r="L73" s="660">
        <v>0</v>
      </c>
      <c r="M73" s="2">
        <v>2227.6699999999946</v>
      </c>
      <c r="N73">
        <v>0</v>
      </c>
      <c r="O73" s="30" t="s">
        <v>1252</v>
      </c>
      <c r="P73" s="660">
        <v>2.4347212420606914E-2</v>
      </c>
      <c r="Q73" s="876">
        <v>1.7600000000000001E-2</v>
      </c>
      <c r="R73" s="2">
        <v>12.881818181818181</v>
      </c>
      <c r="S73" s="780">
        <v>43314</v>
      </c>
      <c r="W73" s="788"/>
      <c r="X73" s="760"/>
      <c r="Y73" s="788"/>
      <c r="Z73" s="760"/>
    </row>
    <row r="74" spans="1:33" ht="21.95" customHeight="1" x14ac:dyDescent="0.25">
      <c r="A74" s="50"/>
      <c r="B74" s="50"/>
      <c r="C74" s="51"/>
      <c r="E74" s="22" t="s">
        <v>919</v>
      </c>
      <c r="F74" s="2">
        <v>198.63</v>
      </c>
      <c r="G74" s="78">
        <v>198.63</v>
      </c>
      <c r="H74">
        <v>0</v>
      </c>
      <c r="I74" s="2">
        <v>0</v>
      </c>
      <c r="J74" s="2">
        <v>0</v>
      </c>
      <c r="K74" s="2">
        <v>725.41999999999462</v>
      </c>
      <c r="L74" s="660">
        <v>0</v>
      </c>
      <c r="M74" s="2">
        <v>725.41999999999462</v>
      </c>
      <c r="N74">
        <v>0</v>
      </c>
      <c r="O74" s="30" t="s">
        <v>1376</v>
      </c>
      <c r="P74" s="660">
        <v>9.6662135629059058E-3</v>
      </c>
      <c r="Q74" s="876">
        <v>1.12E-2</v>
      </c>
      <c r="R74" s="2">
        <v>23.042923433874712</v>
      </c>
      <c r="S74" s="780">
        <v>43426</v>
      </c>
      <c r="W74" s="788"/>
      <c r="X74" s="760"/>
      <c r="Y74" s="788"/>
      <c r="Z74" s="760"/>
      <c r="AA74" s="760"/>
    </row>
    <row r="75" spans="1:33" ht="21.95" customHeight="1" x14ac:dyDescent="0.25">
      <c r="A75" s="50"/>
      <c r="B75" s="50"/>
      <c r="C75" s="51"/>
      <c r="D75" s="708"/>
      <c r="E75" s="22" t="s">
        <v>896</v>
      </c>
      <c r="F75" s="2">
        <v>31.82</v>
      </c>
      <c r="G75" s="78">
        <v>31.82</v>
      </c>
      <c r="H75">
        <v>0</v>
      </c>
      <c r="I75" s="2">
        <v>0</v>
      </c>
      <c r="J75" s="2">
        <v>0</v>
      </c>
      <c r="K75" s="2">
        <v>1084.2599999999984</v>
      </c>
      <c r="L75" s="660">
        <v>0</v>
      </c>
      <c r="M75" s="2">
        <v>1084.2599999999984</v>
      </c>
      <c r="N75">
        <v>0</v>
      </c>
      <c r="O75" s="30"/>
      <c r="P75" s="660">
        <v>8.2966687617850407E-2</v>
      </c>
      <c r="Q75" s="876">
        <v>6.3E-3</v>
      </c>
      <c r="R75" s="2"/>
      <c r="T75" s="48"/>
      <c r="V75" s="48"/>
      <c r="W75" s="788"/>
      <c r="X75" s="760"/>
      <c r="Y75" s="788"/>
      <c r="Z75" s="660"/>
      <c r="AA75" s="760"/>
    </row>
    <row r="76" spans="1:33" ht="21.95" customHeight="1" x14ac:dyDescent="0.25">
      <c r="A76" s="50"/>
      <c r="B76" s="50"/>
      <c r="C76" s="51"/>
      <c r="D76" s="708"/>
      <c r="E76" s="22" t="s">
        <v>892</v>
      </c>
      <c r="F76" s="2">
        <v>250.18</v>
      </c>
      <c r="G76" s="78">
        <v>250.18</v>
      </c>
      <c r="H76">
        <v>0</v>
      </c>
      <c r="I76" s="2">
        <v>0</v>
      </c>
      <c r="J76" s="2">
        <v>0</v>
      </c>
      <c r="K76" s="2">
        <v>423.00000000000364</v>
      </c>
      <c r="L76" s="660">
        <v>0</v>
      </c>
      <c r="M76" s="2">
        <v>423.00000000000364</v>
      </c>
      <c r="N76">
        <v>0</v>
      </c>
      <c r="O76" s="30"/>
      <c r="P76" s="660">
        <v>1.9900000000000001E-2</v>
      </c>
      <c r="Q76" s="876">
        <v>1.18E-2</v>
      </c>
      <c r="R76" s="2">
        <v>16.34</v>
      </c>
      <c r="U76" s="48"/>
      <c r="V76" s="788"/>
      <c r="W76" s="788"/>
      <c r="X76" s="760"/>
      <c r="Y76" s="788"/>
      <c r="Z76" s="760"/>
    </row>
    <row r="77" spans="1:33" ht="21.95" customHeight="1" x14ac:dyDescent="0.25">
      <c r="A77" s="50"/>
      <c r="B77" s="50"/>
      <c r="C77" s="51"/>
      <c r="D77" s="708"/>
      <c r="E77" s="22" t="s">
        <v>897</v>
      </c>
      <c r="F77" s="2">
        <v>76.22</v>
      </c>
      <c r="G77" s="78">
        <v>76.22</v>
      </c>
      <c r="H77">
        <v>0</v>
      </c>
      <c r="I77" s="2">
        <v>0</v>
      </c>
      <c r="J77" s="2">
        <v>0</v>
      </c>
      <c r="K77" s="2">
        <v>870.23999999999796</v>
      </c>
      <c r="L77" s="660">
        <v>0</v>
      </c>
      <c r="M77" s="2">
        <v>870.23999999999796</v>
      </c>
      <c r="N77">
        <v>0</v>
      </c>
      <c r="O77" s="30"/>
      <c r="P77" s="660">
        <v>1.2595119391235896E-2</v>
      </c>
      <c r="Q77" s="876">
        <v>1.18E-2</v>
      </c>
      <c r="R77" s="2">
        <v>21.47042253521127</v>
      </c>
      <c r="T77" s="281"/>
      <c r="W77" s="788"/>
      <c r="X77" s="760"/>
      <c r="Y77" s="788"/>
      <c r="Z77" s="788"/>
    </row>
    <row r="78" spans="1:33" ht="21.95" customHeight="1" x14ac:dyDescent="0.25">
      <c r="A78" s="50"/>
      <c r="B78" s="50"/>
      <c r="C78" s="51"/>
      <c r="D78" s="708"/>
      <c r="E78" s="22" t="s">
        <v>192</v>
      </c>
      <c r="F78" s="2">
        <v>81.28</v>
      </c>
      <c r="G78" s="78">
        <v>81.28</v>
      </c>
      <c r="H78">
        <v>0</v>
      </c>
      <c r="I78" s="2">
        <v>0</v>
      </c>
      <c r="J78" s="2">
        <v>0</v>
      </c>
      <c r="K78" s="2">
        <v>0</v>
      </c>
      <c r="L78" s="660">
        <v>0</v>
      </c>
      <c r="M78" s="2">
        <v>785.90999999999985</v>
      </c>
      <c r="N78">
        <v>0</v>
      </c>
      <c r="O78" s="30"/>
      <c r="P78" s="660">
        <v>1.29E-2</v>
      </c>
      <c r="Q78" s="876">
        <v>1.12E-2</v>
      </c>
      <c r="R78" s="2"/>
      <c r="W78" s="788"/>
      <c r="X78" s="760"/>
      <c r="Y78" s="788"/>
    </row>
    <row r="79" spans="1:33" ht="21.95" customHeight="1" x14ac:dyDescent="0.25">
      <c r="A79" s="50"/>
      <c r="B79" s="50"/>
      <c r="C79" s="51"/>
      <c r="D79" s="708"/>
      <c r="E79" s="22" t="s">
        <v>219</v>
      </c>
      <c r="F79" s="2">
        <v>51.93</v>
      </c>
      <c r="G79" s="78">
        <v>51.93</v>
      </c>
      <c r="H79">
        <v>0</v>
      </c>
      <c r="I79" s="2">
        <v>0</v>
      </c>
      <c r="J79" s="2">
        <v>0</v>
      </c>
      <c r="K79" s="2">
        <v>0</v>
      </c>
      <c r="L79" s="660">
        <v>0</v>
      </c>
      <c r="M79" s="2">
        <v>257.64999999999964</v>
      </c>
      <c r="N79">
        <v>0</v>
      </c>
      <c r="O79" s="30"/>
      <c r="P79" s="660">
        <v>0</v>
      </c>
      <c r="Q79" s="876">
        <v>4.4999999999999997E-3</v>
      </c>
      <c r="R79" s="2"/>
      <c r="T79" s="48"/>
      <c r="W79" s="788"/>
      <c r="X79" s="760"/>
      <c r="Y79" s="788"/>
    </row>
    <row r="80" spans="1:33" ht="21.95" customHeight="1" x14ac:dyDescent="0.25">
      <c r="A80" s="50"/>
      <c r="B80" s="51"/>
      <c r="C80" s="51"/>
      <c r="D80" s="708"/>
      <c r="E80" s="22" t="s">
        <v>798</v>
      </c>
      <c r="F80" s="2">
        <v>532.98</v>
      </c>
      <c r="G80" s="78">
        <v>532.98</v>
      </c>
      <c r="H80">
        <v>0</v>
      </c>
      <c r="I80" s="2">
        <v>0</v>
      </c>
      <c r="J80" s="2">
        <v>0</v>
      </c>
      <c r="K80" s="2">
        <v>0</v>
      </c>
      <c r="L80" s="660">
        <v>0</v>
      </c>
      <c r="M80" s="2">
        <v>1264.8599999999997</v>
      </c>
      <c r="N80">
        <v>0</v>
      </c>
      <c r="O80" s="30"/>
      <c r="P80" s="660">
        <v>0</v>
      </c>
      <c r="Q80" s="876">
        <v>1.7899999999999999E-2</v>
      </c>
      <c r="R80" s="2"/>
      <c r="W80" s="788"/>
      <c r="X80" s="760"/>
      <c r="Y80" s="788"/>
      <c r="Z80"/>
      <c r="AB80"/>
      <c r="AC80"/>
      <c r="AD80"/>
      <c r="AE80"/>
      <c r="AF80"/>
      <c r="AG80"/>
    </row>
    <row r="81" spans="1:33" ht="21.95" customHeight="1" x14ac:dyDescent="0.25">
      <c r="A81" s="50"/>
      <c r="B81" s="50"/>
      <c r="C81" s="51"/>
      <c r="D81" s="708"/>
      <c r="E81" s="22" t="s">
        <v>34</v>
      </c>
      <c r="F81" s="2">
        <v>38.24</v>
      </c>
      <c r="G81" s="78">
        <v>38.24</v>
      </c>
      <c r="H81">
        <v>0</v>
      </c>
      <c r="I81" s="2">
        <v>0</v>
      </c>
      <c r="J81" s="2">
        <v>0</v>
      </c>
      <c r="K81" s="2">
        <v>0</v>
      </c>
      <c r="L81" s="660">
        <v>0</v>
      </c>
      <c r="M81" s="2">
        <v>21137.586999999941</v>
      </c>
      <c r="N81">
        <v>0</v>
      </c>
      <c r="O81" s="30"/>
      <c r="P81" s="660">
        <v>0</v>
      </c>
      <c r="Q81" s="877">
        <v>5.1000000000000004E-3</v>
      </c>
      <c r="R81" s="2"/>
      <c r="T81" s="48"/>
      <c r="W81" s="788"/>
      <c r="X81" s="760"/>
      <c r="Y81" s="788"/>
      <c r="Z81" s="760"/>
    </row>
    <row r="82" spans="1:33" ht="21.95" customHeight="1" x14ac:dyDescent="0.25">
      <c r="A82" s="50"/>
      <c r="B82" s="51"/>
      <c r="C82" s="51"/>
      <c r="E82" s="22" t="s">
        <v>171</v>
      </c>
      <c r="F82" s="2">
        <v>47.31</v>
      </c>
      <c r="G82" s="78">
        <v>47.31</v>
      </c>
      <c r="H82">
        <v>0</v>
      </c>
      <c r="I82" s="2">
        <v>0</v>
      </c>
      <c r="J82" s="2">
        <v>0</v>
      </c>
      <c r="K82" s="2">
        <v>0</v>
      </c>
      <c r="L82" s="660">
        <v>0</v>
      </c>
      <c r="M82" s="2">
        <v>119.92000000000053</v>
      </c>
      <c r="N82">
        <v>0</v>
      </c>
      <c r="O82" s="30"/>
      <c r="P82" s="660">
        <v>3.6400000000000002E-2</v>
      </c>
      <c r="Q82" s="876">
        <v>1.38E-2</v>
      </c>
      <c r="R82" s="2"/>
      <c r="T82" s="48"/>
      <c r="W82" s="788"/>
      <c r="X82" s="760"/>
      <c r="Y82" s="788"/>
      <c r="Z82" s="760"/>
    </row>
    <row r="83" spans="1:33" ht="21.95" customHeight="1" x14ac:dyDescent="0.25">
      <c r="A83" s="50"/>
      <c r="B83" s="50"/>
      <c r="C83" s="51"/>
      <c r="D83" s="708"/>
      <c r="E83" s="22" t="s">
        <v>27</v>
      </c>
      <c r="F83" s="2">
        <v>47.54</v>
      </c>
      <c r="G83" s="78">
        <v>47.54</v>
      </c>
      <c r="H83">
        <v>0</v>
      </c>
      <c r="I83" s="2">
        <v>0</v>
      </c>
      <c r="J83" s="2">
        <v>0</v>
      </c>
      <c r="K83" s="2">
        <v>0</v>
      </c>
      <c r="L83" s="660">
        <v>0</v>
      </c>
      <c r="M83" s="2">
        <v>1407.5400000000009</v>
      </c>
      <c r="N83">
        <v>0</v>
      </c>
      <c r="O83" s="30"/>
      <c r="P83" s="660">
        <v>3.0200000000000001E-2</v>
      </c>
      <c r="Q83" s="876">
        <v>3.8999999999999998E-3</v>
      </c>
      <c r="R83" s="2"/>
      <c r="W83" s="788"/>
      <c r="X83" s="760"/>
      <c r="Y83" s="788"/>
      <c r="Z83" s="760"/>
      <c r="AB83"/>
      <c r="AC83"/>
      <c r="AD83"/>
      <c r="AE83"/>
      <c r="AF83"/>
      <c r="AG83"/>
    </row>
    <row r="84" spans="1:33" ht="21.95" customHeight="1" x14ac:dyDescent="0.25">
      <c r="A84" s="50"/>
      <c r="B84" s="50"/>
      <c r="C84" s="51"/>
      <c r="D84" s="708"/>
      <c r="E84" s="22" t="s">
        <v>22</v>
      </c>
      <c r="F84" s="2">
        <v>53.93</v>
      </c>
      <c r="G84" s="78">
        <v>53.93</v>
      </c>
      <c r="H84">
        <v>0</v>
      </c>
      <c r="I84" s="2">
        <v>0</v>
      </c>
      <c r="J84" s="2">
        <v>0</v>
      </c>
      <c r="K84" s="2">
        <v>0</v>
      </c>
      <c r="L84" s="660">
        <v>0</v>
      </c>
      <c r="M84" s="2">
        <v>3178.8000000000466</v>
      </c>
      <c r="N84">
        <v>0</v>
      </c>
      <c r="O84" s="30"/>
      <c r="P84" s="660">
        <v>2.07E-2</v>
      </c>
      <c r="Q84" s="876">
        <v>3.0000000000000001E-3</v>
      </c>
      <c r="R84" s="2"/>
      <c r="W84" s="788"/>
      <c r="X84" s="760"/>
      <c r="Y84" s="788"/>
      <c r="Z84" s="760"/>
    </row>
    <row r="85" spans="1:33" ht="21.95" customHeight="1" x14ac:dyDescent="0.25">
      <c r="A85" s="50"/>
      <c r="B85" s="51"/>
      <c r="C85" s="51"/>
      <c r="E85" s="22" t="s">
        <v>42</v>
      </c>
      <c r="F85" s="2">
        <v>160.82</v>
      </c>
      <c r="G85" s="78">
        <v>160.82</v>
      </c>
      <c r="H85">
        <v>0</v>
      </c>
      <c r="I85" s="2">
        <v>0</v>
      </c>
      <c r="J85" s="2">
        <v>0</v>
      </c>
      <c r="K85" s="2">
        <v>0</v>
      </c>
      <c r="L85" s="660">
        <v>0</v>
      </c>
      <c r="M85" s="2">
        <v>128.08999999999833</v>
      </c>
      <c r="N85">
        <v>0</v>
      </c>
      <c r="O85" s="30"/>
      <c r="P85" s="660">
        <v>2.18E-2</v>
      </c>
      <c r="Q85" s="876">
        <v>1.0500000000000001E-2</v>
      </c>
      <c r="R85" s="2"/>
      <c r="U85" s="788"/>
      <c r="W85" s="788"/>
      <c r="X85" s="760"/>
      <c r="Y85" s="788"/>
      <c r="Z85" s="760"/>
    </row>
    <row r="86" spans="1:33" ht="21.95" customHeight="1" x14ac:dyDescent="0.25">
      <c r="A86" s="50"/>
      <c r="B86" s="51"/>
      <c r="C86" s="51"/>
      <c r="E86" s="22" t="s">
        <v>262</v>
      </c>
      <c r="F86" s="2">
        <v>50.85</v>
      </c>
      <c r="G86" s="78">
        <v>50.85</v>
      </c>
      <c r="H86">
        <v>0</v>
      </c>
      <c r="I86" s="2">
        <v>0</v>
      </c>
      <c r="J86" s="2">
        <v>0</v>
      </c>
      <c r="K86" s="2">
        <v>0</v>
      </c>
      <c r="L86" s="660">
        <v>0</v>
      </c>
      <c r="M86" s="2">
        <v>427.92000000000007</v>
      </c>
      <c r="N86">
        <v>0</v>
      </c>
      <c r="O86" s="30"/>
      <c r="P86" s="660">
        <v>0</v>
      </c>
      <c r="Q86" s="876">
        <v>9.2999999999999992E-3</v>
      </c>
      <c r="R86" s="2"/>
      <c r="U86" s="788"/>
      <c r="V86" s="48"/>
      <c r="W86" s="788"/>
      <c r="X86" s="760"/>
      <c r="Y86" s="788"/>
      <c r="Z86" s="760"/>
      <c r="AA86" s="2"/>
    </row>
    <row r="87" spans="1:33" ht="21.95" customHeight="1" x14ac:dyDescent="0.25">
      <c r="A87" s="50"/>
      <c r="B87" s="51"/>
      <c r="C87" s="51"/>
      <c r="D87" s="708"/>
      <c r="E87" s="22" t="s">
        <v>174</v>
      </c>
      <c r="F87" s="2">
        <v>269.92989999999998</v>
      </c>
      <c r="G87" s="78">
        <v>269.92989999999998</v>
      </c>
      <c r="H87">
        <v>0</v>
      </c>
      <c r="I87" s="2">
        <v>0</v>
      </c>
      <c r="J87" s="2">
        <v>0</v>
      </c>
      <c r="K87" s="2">
        <v>1100.2300000000032</v>
      </c>
      <c r="L87" s="660">
        <v>0</v>
      </c>
      <c r="M87" s="2">
        <v>1261.0600000000031</v>
      </c>
      <c r="N87">
        <v>0</v>
      </c>
      <c r="O87" s="30"/>
      <c r="P87" s="660">
        <v>1.84E-2</v>
      </c>
      <c r="Q87" s="876">
        <v>8.8000000000000005E-3</v>
      </c>
      <c r="R87" s="2">
        <v>20.763838461538459</v>
      </c>
      <c r="T87" s="48"/>
      <c r="U87" s="788"/>
      <c r="V87" s="760"/>
      <c r="W87" s="788"/>
      <c r="X87" s="760"/>
      <c r="Y87" s="788"/>
      <c r="Z87" s="788"/>
    </row>
    <row r="88" spans="1:33" ht="21.95" customHeight="1" x14ac:dyDescent="0.25">
      <c r="A88" s="50"/>
      <c r="B88" s="50"/>
      <c r="C88" s="51"/>
      <c r="D88" s="708"/>
      <c r="E88" s="22" t="s">
        <v>169</v>
      </c>
      <c r="F88" s="2">
        <v>73.92</v>
      </c>
      <c r="G88" s="78">
        <v>73.92</v>
      </c>
      <c r="H88">
        <v>0</v>
      </c>
      <c r="I88" s="2">
        <v>0</v>
      </c>
      <c r="J88" s="2">
        <v>0</v>
      </c>
      <c r="K88" s="2">
        <v>0</v>
      </c>
      <c r="L88" s="660">
        <v>0</v>
      </c>
      <c r="M88" s="2">
        <v>1368.9000000000015</v>
      </c>
      <c r="N88">
        <v>0</v>
      </c>
      <c r="O88" s="30"/>
      <c r="P88" s="660">
        <v>1.14E-2</v>
      </c>
      <c r="Q88" s="877">
        <v>-3.0000000000000001E-3</v>
      </c>
      <c r="R88" s="2"/>
      <c r="W88" s="788"/>
      <c r="X88" s="760"/>
      <c r="Y88" s="788"/>
      <c r="Z88" s="788"/>
    </row>
    <row r="89" spans="1:33" ht="21.95" customHeight="1" x14ac:dyDescent="0.25">
      <c r="A89" s="50"/>
      <c r="B89" s="50"/>
      <c r="C89" s="51"/>
      <c r="D89" s="708"/>
      <c r="E89" s="22" t="s">
        <v>8</v>
      </c>
      <c r="F89" s="2">
        <v>83.35</v>
      </c>
      <c r="G89" s="78">
        <v>83.35</v>
      </c>
      <c r="H89">
        <v>0</v>
      </c>
      <c r="I89" s="2">
        <v>0</v>
      </c>
      <c r="J89" s="2">
        <v>0</v>
      </c>
      <c r="K89" s="2">
        <v>0</v>
      </c>
      <c r="L89" s="660">
        <v>0</v>
      </c>
      <c r="M89" s="2">
        <v>121.94999999999982</v>
      </c>
      <c r="N89">
        <v>0</v>
      </c>
      <c r="O89" s="30"/>
      <c r="P89" s="660">
        <v>1.67E-2</v>
      </c>
      <c r="Q89" s="876">
        <v>7.1999999999999998E-3</v>
      </c>
      <c r="R89" s="2"/>
      <c r="T89" s="48"/>
      <c r="U89" s="788"/>
      <c r="V89" s="2"/>
      <c r="W89" s="787"/>
      <c r="X89" s="660"/>
      <c r="Y89" s="2"/>
      <c r="Z89" s="760"/>
      <c r="AA89" s="2"/>
    </row>
    <row r="90" spans="1:33" ht="21.95" customHeight="1" x14ac:dyDescent="0.25">
      <c r="A90" s="50"/>
      <c r="B90" s="50"/>
      <c r="C90" s="51"/>
      <c r="D90" s="708"/>
      <c r="E90" s="22" t="s">
        <v>10</v>
      </c>
      <c r="F90" s="2">
        <v>29.59</v>
      </c>
      <c r="G90" s="78">
        <v>29.59</v>
      </c>
      <c r="H90">
        <v>0</v>
      </c>
      <c r="I90" s="2">
        <v>0</v>
      </c>
      <c r="J90" s="2">
        <v>0</v>
      </c>
      <c r="K90" s="2">
        <v>0</v>
      </c>
      <c r="L90" s="660">
        <v>0</v>
      </c>
      <c r="M90" s="2">
        <v>1128.3800000000047</v>
      </c>
      <c r="N90">
        <v>0</v>
      </c>
      <c r="O90" s="30"/>
      <c r="P90" s="660">
        <v>1.2500000000000001E-2</v>
      </c>
      <c r="Q90" s="876">
        <v>-8.0000000000000004E-4</v>
      </c>
      <c r="R90" s="2"/>
      <c r="T90" s="48"/>
      <c r="W90" s="788"/>
      <c r="X90" s="760"/>
      <c r="Y90" s="788"/>
      <c r="Z90" s="788"/>
      <c r="AA90" s="760"/>
    </row>
    <row r="91" spans="1:33" ht="21.95" customHeight="1" x14ac:dyDescent="0.25">
      <c r="A91" s="50"/>
      <c r="B91" s="50"/>
      <c r="C91" s="51"/>
      <c r="D91" s="708"/>
      <c r="E91" s="22" t="s">
        <v>218</v>
      </c>
      <c r="F91" s="2">
        <v>43.06</v>
      </c>
      <c r="G91" s="78">
        <v>43.06</v>
      </c>
      <c r="H91">
        <v>0</v>
      </c>
      <c r="I91" s="2">
        <v>0</v>
      </c>
      <c r="J91" s="2">
        <v>0</v>
      </c>
      <c r="K91" s="2">
        <v>0</v>
      </c>
      <c r="L91" s="660">
        <v>0</v>
      </c>
      <c r="M91" s="2">
        <v>4376.9599999999991</v>
      </c>
      <c r="N91">
        <v>0</v>
      </c>
      <c r="O91" s="30" t="s">
        <v>1170</v>
      </c>
      <c r="P91" s="660">
        <v>4.0899999999999999E-2</v>
      </c>
      <c r="Q91" s="876">
        <v>2.69E-2</v>
      </c>
      <c r="R91" s="2"/>
      <c r="T91" s="48"/>
      <c r="V91" s="48"/>
      <c r="W91" s="788"/>
      <c r="X91" s="760"/>
      <c r="Y91" s="788"/>
      <c r="Z91" s="760"/>
      <c r="AB91"/>
      <c r="AC91"/>
      <c r="AD91"/>
      <c r="AE91"/>
      <c r="AF91"/>
      <c r="AG91"/>
    </row>
    <row r="92" spans="1:33" ht="21.95" customHeight="1" x14ac:dyDescent="0.25">
      <c r="A92" s="50"/>
      <c r="B92" s="50"/>
      <c r="C92" s="51"/>
      <c r="D92" s="708"/>
      <c r="E92" s="22" t="s">
        <v>332</v>
      </c>
      <c r="F92" s="2">
        <v>72.33</v>
      </c>
      <c r="G92" s="78">
        <v>72.33</v>
      </c>
      <c r="H92">
        <v>0</v>
      </c>
      <c r="I92" s="2">
        <v>0</v>
      </c>
      <c r="J92" s="2">
        <v>0</v>
      </c>
      <c r="K92" s="2">
        <v>129.92000000000007</v>
      </c>
      <c r="L92" s="660">
        <v>0</v>
      </c>
      <c r="M92" s="2">
        <v>2190.3500000000004</v>
      </c>
      <c r="N92">
        <v>0</v>
      </c>
      <c r="O92" s="30"/>
      <c r="P92" s="660">
        <v>4.3499999999999997E-2</v>
      </c>
      <c r="Q92" s="876">
        <v>1.61E-2</v>
      </c>
      <c r="R92" s="2">
        <v>13.777142857142858</v>
      </c>
      <c r="U92"/>
      <c r="V92" s="788"/>
      <c r="W92" s="788"/>
      <c r="X92" s="760"/>
      <c r="Y92" s="788"/>
      <c r="Z92" s="760"/>
    </row>
    <row r="93" spans="1:33" ht="21.95" customHeight="1" x14ac:dyDescent="0.25">
      <c r="A93" s="51"/>
      <c r="B93" s="51"/>
      <c r="C93" s="51"/>
      <c r="D93" s="708"/>
      <c r="E93" s="22" t="s">
        <v>1379</v>
      </c>
      <c r="F93" s="2">
        <v>0</v>
      </c>
      <c r="G93" s="78">
        <v>0</v>
      </c>
      <c r="H93">
        <v>0</v>
      </c>
      <c r="I93" s="2">
        <v>0</v>
      </c>
      <c r="J93" s="2">
        <v>0</v>
      </c>
      <c r="K93" s="2">
        <v>0</v>
      </c>
      <c r="L93" s="660"/>
      <c r="M93" s="2">
        <v>937.36999999999534</v>
      </c>
      <c r="N93">
        <v>0</v>
      </c>
      <c r="O93" s="30"/>
      <c r="P93" s="660">
        <v>0</v>
      </c>
      <c r="Q93" s="876">
        <v>1.9099999999999999E-2</v>
      </c>
      <c r="R93" s="2"/>
      <c r="W93" s="788"/>
      <c r="X93" s="760"/>
      <c r="Y93" s="788"/>
      <c r="AA93" s="760"/>
    </row>
    <row r="94" spans="1:33" ht="21.95" customHeight="1" x14ac:dyDescent="0.25">
      <c r="A94" s="50"/>
      <c r="B94" s="50"/>
      <c r="C94" s="51"/>
      <c r="D94" s="708"/>
      <c r="E94" s="22" t="s">
        <v>45</v>
      </c>
      <c r="F94" s="2">
        <v>87.34</v>
      </c>
      <c r="G94" s="78">
        <v>87.34</v>
      </c>
      <c r="H94">
        <v>0</v>
      </c>
      <c r="I94" s="2">
        <v>0</v>
      </c>
      <c r="J94" s="2">
        <v>0</v>
      </c>
      <c r="K94" s="2">
        <v>0</v>
      </c>
      <c r="L94" s="660">
        <v>0</v>
      </c>
      <c r="M94" s="2">
        <v>523.61999999999898</v>
      </c>
      <c r="N94">
        <v>0</v>
      </c>
      <c r="O94" s="30"/>
      <c r="P94" s="660">
        <v>1.67E-2</v>
      </c>
      <c r="Q94" s="876">
        <v>7.4000000000000003E-3</v>
      </c>
      <c r="R94" s="2"/>
      <c r="T94" s="48"/>
      <c r="W94" s="788"/>
      <c r="X94" s="760"/>
      <c r="Y94" s="788"/>
      <c r="Z94" s="760"/>
    </row>
    <row r="95" spans="1:33" ht="21.95" customHeight="1" x14ac:dyDescent="0.25">
      <c r="A95" s="50"/>
      <c r="B95" s="50"/>
      <c r="C95" s="51"/>
      <c r="D95" s="708"/>
      <c r="E95" s="22" t="s">
        <v>47</v>
      </c>
      <c r="F95" s="2">
        <v>168.38</v>
      </c>
      <c r="G95" s="78">
        <v>168.38</v>
      </c>
      <c r="H95">
        <v>0</v>
      </c>
      <c r="I95" s="2">
        <v>0</v>
      </c>
      <c r="J95" s="2">
        <v>0</v>
      </c>
      <c r="K95" s="2">
        <v>0</v>
      </c>
      <c r="L95" s="660">
        <v>0</v>
      </c>
      <c r="M95" s="2">
        <v>-168.6200000000008</v>
      </c>
      <c r="N95">
        <v>0</v>
      </c>
      <c r="O95" s="30"/>
      <c r="P95" s="660">
        <v>0</v>
      </c>
      <c r="Q95" s="876">
        <v>1.04E-2</v>
      </c>
      <c r="R95" s="2"/>
      <c r="T95" s="48"/>
      <c r="W95" s="788"/>
      <c r="X95" s="760"/>
      <c r="Y95" s="788"/>
    </row>
    <row r="96" spans="1:33" ht="21.95" customHeight="1" x14ac:dyDescent="0.25">
      <c r="A96" s="51"/>
      <c r="B96" s="51"/>
      <c r="C96" s="51"/>
      <c r="D96" s="708"/>
      <c r="E96" s="22" t="s">
        <v>33</v>
      </c>
      <c r="F96" s="2">
        <v>270.82</v>
      </c>
      <c r="G96" s="78">
        <v>270.82</v>
      </c>
      <c r="H96">
        <v>0</v>
      </c>
      <c r="I96" s="2">
        <v>0</v>
      </c>
      <c r="J96" s="2">
        <v>0</v>
      </c>
      <c r="K96" s="2">
        <v>0</v>
      </c>
      <c r="L96" s="660">
        <v>0</v>
      </c>
      <c r="M96" s="2">
        <v>780.73999999999796</v>
      </c>
      <c r="N96">
        <v>0</v>
      </c>
      <c r="O96" s="30"/>
      <c r="P96" s="660">
        <v>1.8599999999999998E-2</v>
      </c>
      <c r="Q96" s="876">
        <v>2.7000000000000001E-3</v>
      </c>
      <c r="R96" s="2"/>
      <c r="T96" s="48"/>
      <c r="W96" s="788"/>
      <c r="X96" s="760"/>
      <c r="Y96" s="788"/>
      <c r="Z96" s="760"/>
    </row>
    <row r="97" spans="1:27" ht="21.95" customHeight="1" x14ac:dyDescent="0.25">
      <c r="A97" s="50"/>
      <c r="B97" s="51"/>
      <c r="C97" s="51"/>
      <c r="E97" s="22" t="s">
        <v>13</v>
      </c>
      <c r="F97" s="2">
        <v>87.47</v>
      </c>
      <c r="G97" s="78">
        <v>87.47</v>
      </c>
      <c r="H97">
        <v>0</v>
      </c>
      <c r="I97" s="2">
        <v>0</v>
      </c>
      <c r="J97" s="2">
        <v>0</v>
      </c>
      <c r="K97" s="2">
        <v>0</v>
      </c>
      <c r="L97" s="660">
        <v>0</v>
      </c>
      <c r="M97" s="2">
        <v>1461.5600000000013</v>
      </c>
      <c r="N97">
        <v>0</v>
      </c>
      <c r="O97" s="30"/>
      <c r="P97" s="660">
        <v>0</v>
      </c>
      <c r="Q97" s="876">
        <v>6.7000000000000002E-3</v>
      </c>
      <c r="R97" s="2"/>
      <c r="V97" s="788"/>
      <c r="W97" s="788"/>
      <c r="X97" s="760"/>
      <c r="Y97" s="788"/>
      <c r="Z97" s="760"/>
    </row>
    <row r="98" spans="1:27" ht="21.95" customHeight="1" x14ac:dyDescent="0.25">
      <c r="A98" s="50"/>
      <c r="B98" s="50"/>
      <c r="C98" s="51"/>
      <c r="D98" s="708"/>
      <c r="E98" s="22" t="s">
        <v>52</v>
      </c>
      <c r="F98" s="2">
        <v>56.79</v>
      </c>
      <c r="G98" s="78">
        <v>56.79</v>
      </c>
      <c r="H98">
        <v>0</v>
      </c>
      <c r="I98" s="2">
        <v>0</v>
      </c>
      <c r="J98" s="2">
        <v>0</v>
      </c>
      <c r="K98" s="2">
        <v>1824.2300000000032</v>
      </c>
      <c r="L98" s="660">
        <v>0</v>
      </c>
      <c r="M98" s="2">
        <v>2880.9700000000012</v>
      </c>
      <c r="N98">
        <v>0</v>
      </c>
      <c r="O98" s="30" t="s">
        <v>1375</v>
      </c>
      <c r="P98" s="660">
        <v>3.3527029406585668E-2</v>
      </c>
      <c r="Q98" s="876">
        <v>2.3599999999999999E-2</v>
      </c>
      <c r="R98" s="2">
        <v>11.589795918367345</v>
      </c>
      <c r="S98" s="780">
        <v>43323</v>
      </c>
      <c r="T98" s="48"/>
      <c r="V98" s="2"/>
      <c r="W98" s="787"/>
      <c r="X98" s="660"/>
      <c r="Y98" s="2"/>
      <c r="Z98" s="760"/>
      <c r="AA98" s="760"/>
    </row>
    <row r="99" spans="1:27" ht="21.95" customHeight="1" x14ac:dyDescent="0.25">
      <c r="A99" s="50"/>
      <c r="B99" s="50"/>
      <c r="C99" s="51"/>
      <c r="E99" s="22" t="s">
        <v>32</v>
      </c>
      <c r="F99" s="2">
        <v>50.27</v>
      </c>
      <c r="G99" s="78">
        <v>50.27</v>
      </c>
      <c r="H99">
        <v>0</v>
      </c>
      <c r="I99" s="2">
        <v>0</v>
      </c>
      <c r="J99" s="2">
        <v>0</v>
      </c>
      <c r="K99" s="2">
        <v>2229.1399999999994</v>
      </c>
      <c r="L99" s="660">
        <v>0</v>
      </c>
      <c r="M99" s="2">
        <v>3427.6099999999965</v>
      </c>
      <c r="N99">
        <v>0</v>
      </c>
      <c r="O99" s="30"/>
      <c r="P99" s="660">
        <v>2.4268947682514419E-2</v>
      </c>
      <c r="Q99" s="876">
        <v>-5.5999999999999999E-3</v>
      </c>
      <c r="R99" s="2">
        <v>9.0986425339366512</v>
      </c>
      <c r="T99" s="48"/>
      <c r="AA99" s="660"/>
    </row>
    <row r="100" spans="1:27" ht="21.95" customHeight="1" x14ac:dyDescent="0.25">
      <c r="A100" s="50"/>
      <c r="B100" s="50"/>
      <c r="C100" s="50"/>
      <c r="D100" s="708"/>
      <c r="E100" s="22" t="s">
        <v>63</v>
      </c>
      <c r="F100" s="2">
        <v>110.13</v>
      </c>
      <c r="G100" s="78">
        <v>110.13</v>
      </c>
      <c r="H100">
        <v>0</v>
      </c>
      <c r="I100" s="2">
        <v>0</v>
      </c>
      <c r="J100" s="2">
        <v>0</v>
      </c>
      <c r="K100" s="2">
        <v>0</v>
      </c>
      <c r="L100" s="660">
        <v>0</v>
      </c>
      <c r="M100" s="2">
        <v>257.30999999999949</v>
      </c>
      <c r="N100">
        <v>0</v>
      </c>
      <c r="O100" s="30"/>
      <c r="P100" s="660">
        <v>1.38E-2</v>
      </c>
      <c r="Q100" s="876">
        <v>2.1899999999999999E-2</v>
      </c>
      <c r="R100" s="2"/>
      <c r="T100" s="48"/>
    </row>
    <row r="101" spans="1:27" ht="21.95" customHeight="1" x14ac:dyDescent="0.25">
      <c r="A101" s="50"/>
      <c r="B101" s="50"/>
      <c r="C101" s="50"/>
      <c r="D101" s="708"/>
      <c r="E101" s="22" t="s">
        <v>9</v>
      </c>
      <c r="F101" s="2">
        <v>1.95</v>
      </c>
      <c r="G101" s="78">
        <v>1.95</v>
      </c>
      <c r="H101">
        <v>0</v>
      </c>
      <c r="I101" s="2">
        <v>0</v>
      </c>
      <c r="J101" s="2">
        <v>0</v>
      </c>
      <c r="K101" s="2">
        <v>-8332.1133333333346</v>
      </c>
      <c r="L101" s="660">
        <v>0</v>
      </c>
      <c r="M101" s="2">
        <v>-7897.1833333333343</v>
      </c>
      <c r="N101">
        <v>0</v>
      </c>
      <c r="O101" s="30"/>
      <c r="P101" s="660">
        <v>0.04</v>
      </c>
      <c r="Q101" s="876">
        <v>2.5899999999999999E-2</v>
      </c>
      <c r="R101" s="2"/>
      <c r="T101" s="48"/>
    </row>
    <row r="102" spans="1:27" ht="21.95" customHeight="1" x14ac:dyDescent="0.25">
      <c r="A102" s="50"/>
      <c r="B102" s="50"/>
      <c r="C102" s="51"/>
      <c r="E102" s="22" t="s">
        <v>55</v>
      </c>
      <c r="F102" s="2">
        <v>69.83</v>
      </c>
      <c r="G102" s="78">
        <v>69.83</v>
      </c>
      <c r="H102">
        <v>0</v>
      </c>
      <c r="I102" s="2">
        <v>0</v>
      </c>
      <c r="J102" s="2">
        <v>0</v>
      </c>
      <c r="K102" s="2">
        <v>113.94999999999982</v>
      </c>
      <c r="L102" s="660">
        <v>0</v>
      </c>
      <c r="M102" s="2">
        <v>924.07999999998992</v>
      </c>
      <c r="N102">
        <v>0</v>
      </c>
      <c r="O102" s="30" t="s">
        <v>1169</v>
      </c>
      <c r="P102" s="660">
        <v>2.9786624659888301E-2</v>
      </c>
      <c r="Q102" s="876">
        <v>1.0800000000000001E-2</v>
      </c>
      <c r="R102" s="2">
        <v>10.809597523219814</v>
      </c>
    </row>
    <row r="103" spans="1:27" ht="21.95" customHeight="1" x14ac:dyDescent="0.25">
      <c r="A103" s="50"/>
      <c r="B103" s="50"/>
      <c r="C103" s="51"/>
      <c r="D103" s="708"/>
      <c r="E103" s="22" t="s">
        <v>53</v>
      </c>
      <c r="F103" s="2">
        <v>86.66</v>
      </c>
      <c r="G103" s="78">
        <v>86.66</v>
      </c>
      <c r="H103">
        <v>0</v>
      </c>
      <c r="I103" s="2">
        <v>0</v>
      </c>
      <c r="J103" s="2">
        <v>0</v>
      </c>
      <c r="K103" s="2">
        <v>0</v>
      </c>
      <c r="L103" s="660">
        <v>0</v>
      </c>
      <c r="M103" s="2">
        <v>33.940000000000055</v>
      </c>
      <c r="N103">
        <v>0</v>
      </c>
      <c r="O103" s="30"/>
      <c r="P103" s="660">
        <v>7.4000000000000003E-3</v>
      </c>
      <c r="Q103" s="876">
        <v>2.2599999999999999E-2</v>
      </c>
      <c r="R103" s="2"/>
    </row>
    <row r="104" spans="1:27" ht="21.95" customHeight="1" x14ac:dyDescent="0.25">
      <c r="A104" s="50"/>
      <c r="B104" s="50"/>
      <c r="C104" s="51"/>
      <c r="E104" s="22" t="s">
        <v>170</v>
      </c>
      <c r="F104" s="2">
        <v>45.739899999999999</v>
      </c>
      <c r="G104" s="78">
        <v>45.739899999999999</v>
      </c>
      <c r="H104">
        <v>0</v>
      </c>
      <c r="I104" s="2">
        <v>0</v>
      </c>
      <c r="J104" s="2">
        <v>0</v>
      </c>
      <c r="K104" s="2">
        <v>335.65000000000146</v>
      </c>
      <c r="L104" s="660">
        <v>0</v>
      </c>
      <c r="M104" s="2">
        <v>385.60000000000127</v>
      </c>
      <c r="N104">
        <v>0</v>
      </c>
      <c r="O104" s="30" t="s">
        <v>1359</v>
      </c>
      <c r="P104" s="660">
        <v>4.285099005463501E-2</v>
      </c>
      <c r="Q104" s="876">
        <v>1.55E-2</v>
      </c>
      <c r="R104" s="2">
        <v>15.145662251655629</v>
      </c>
      <c r="S104" s="780">
        <v>43320</v>
      </c>
    </row>
    <row r="105" spans="1:27" ht="21.95" customHeight="1" x14ac:dyDescent="0.25">
      <c r="A105" s="50"/>
      <c r="B105" s="51"/>
      <c r="C105" s="51"/>
      <c r="E105" s="22" t="s">
        <v>56</v>
      </c>
      <c r="F105" s="2">
        <v>39.090000000000003</v>
      </c>
      <c r="G105" s="78">
        <v>39.090000000000003</v>
      </c>
      <c r="H105">
        <v>0</v>
      </c>
      <c r="I105" s="2">
        <v>0</v>
      </c>
      <c r="J105" s="2">
        <v>0</v>
      </c>
      <c r="K105" s="2">
        <v>0</v>
      </c>
      <c r="L105" s="660">
        <v>0</v>
      </c>
      <c r="M105" s="2">
        <v>36.819999999999709</v>
      </c>
      <c r="N105">
        <v>0</v>
      </c>
      <c r="O105" s="30"/>
      <c r="P105" s="660">
        <v>4.2999999999999997E-2</v>
      </c>
      <c r="Q105" s="876">
        <v>-1.3899999999999999E-2</v>
      </c>
      <c r="R105" s="2"/>
    </row>
    <row r="106" spans="1:27" ht="21.95" customHeight="1" x14ac:dyDescent="0.25">
      <c r="A106" s="50"/>
      <c r="B106" s="50"/>
      <c r="C106" s="51"/>
      <c r="E106" s="22" t="s">
        <v>0</v>
      </c>
      <c r="F106" s="2">
        <v>245.06</v>
      </c>
      <c r="G106" s="78">
        <v>245.06</v>
      </c>
      <c r="H106">
        <v>0</v>
      </c>
      <c r="I106" s="2">
        <v>0</v>
      </c>
      <c r="J106" s="2">
        <v>0</v>
      </c>
      <c r="K106" s="2">
        <v>0</v>
      </c>
      <c r="L106" s="660">
        <v>0</v>
      </c>
      <c r="M106" s="2">
        <v>465.57999999999993</v>
      </c>
      <c r="N106">
        <v>0</v>
      </c>
      <c r="O106" s="30"/>
      <c r="P106" s="660">
        <v>3.8999999999999998E-3</v>
      </c>
      <c r="Q106" s="876">
        <v>6.4999999999999997E-3</v>
      </c>
      <c r="R106" s="2"/>
    </row>
    <row r="107" spans="1:27" ht="21.95" customHeight="1" x14ac:dyDescent="0.25">
      <c r="A107" s="50"/>
      <c r="B107" s="51"/>
      <c r="C107" s="51"/>
      <c r="E107" s="22" t="s">
        <v>39</v>
      </c>
      <c r="F107" s="2">
        <v>43.53</v>
      </c>
      <c r="G107" s="78">
        <v>43.53</v>
      </c>
      <c r="H107">
        <v>0</v>
      </c>
      <c r="I107" s="2">
        <v>0</v>
      </c>
      <c r="J107" s="2">
        <v>0</v>
      </c>
      <c r="K107" s="2">
        <v>0</v>
      </c>
      <c r="L107" s="660">
        <v>0</v>
      </c>
      <c r="M107" s="2">
        <v>529.88000000000284</v>
      </c>
      <c r="N107">
        <v>0</v>
      </c>
      <c r="O107" s="30"/>
      <c r="P107" s="660">
        <v>2.3E-2</v>
      </c>
      <c r="Q107" s="876">
        <v>1.55E-2</v>
      </c>
      <c r="R107" s="2"/>
    </row>
    <row r="108" spans="1:27" ht="21.95" customHeight="1" x14ac:dyDescent="0.25">
      <c r="A108" s="50"/>
      <c r="B108" s="50"/>
      <c r="C108" s="51"/>
      <c r="E108" s="22" t="s">
        <v>54</v>
      </c>
      <c r="F108" s="2">
        <v>119.12</v>
      </c>
      <c r="G108" s="78">
        <v>119.12</v>
      </c>
      <c r="H108">
        <v>0</v>
      </c>
      <c r="I108" s="2">
        <v>0</v>
      </c>
      <c r="J108" s="2">
        <v>0</v>
      </c>
      <c r="K108" s="2">
        <v>0</v>
      </c>
      <c r="L108" s="660">
        <v>0</v>
      </c>
      <c r="M108" s="2">
        <v>114.84999999999991</v>
      </c>
      <c r="N108">
        <v>0</v>
      </c>
      <c r="O108" s="30"/>
      <c r="P108" s="660">
        <v>2.35E-2</v>
      </c>
      <c r="Q108" s="876">
        <v>9.7999999999999997E-3</v>
      </c>
      <c r="R108" s="2"/>
    </row>
    <row r="109" spans="1:27" ht="21.95" customHeight="1" x14ac:dyDescent="0.25">
      <c r="A109" s="50"/>
      <c r="B109" s="50"/>
      <c r="C109" s="51"/>
      <c r="E109" s="22" t="s">
        <v>51</v>
      </c>
      <c r="F109" s="2">
        <v>270.37</v>
      </c>
      <c r="G109" s="78">
        <v>270.37</v>
      </c>
      <c r="H109">
        <v>0</v>
      </c>
      <c r="I109" s="2">
        <v>0</v>
      </c>
      <c r="J109" s="2">
        <v>0</v>
      </c>
      <c r="K109" s="2">
        <v>0</v>
      </c>
      <c r="L109" s="660">
        <v>0</v>
      </c>
      <c r="M109" s="2">
        <v>176.70000000000073</v>
      </c>
      <c r="N109">
        <v>0</v>
      </c>
      <c r="O109" s="30"/>
      <c r="P109" s="660">
        <v>1.52E-2</v>
      </c>
      <c r="Q109" s="876">
        <v>1.01E-2</v>
      </c>
      <c r="R109" s="2"/>
    </row>
    <row r="110" spans="1:27" ht="21.95" customHeight="1" x14ac:dyDescent="0.25">
      <c r="A110" s="50"/>
      <c r="B110" s="50"/>
      <c r="C110" s="51"/>
    </row>
    <row r="111" spans="1:27" ht="21.95" customHeight="1" x14ac:dyDescent="0.25">
      <c r="A111" s="50"/>
      <c r="B111" s="51"/>
      <c r="C111" s="51"/>
    </row>
    <row r="112" spans="1:27" ht="21.95" customHeight="1" x14ac:dyDescent="0.25">
      <c r="A112" s="50"/>
      <c r="B112" s="50"/>
      <c r="C112" s="51"/>
    </row>
    <row r="113" spans="1:3" ht="21.95" customHeight="1" x14ac:dyDescent="0.25">
      <c r="A113" s="50"/>
      <c r="B113" s="51"/>
      <c r="C113" s="51"/>
    </row>
    <row r="114" spans="1:3" ht="21.95" customHeight="1" x14ac:dyDescent="0.25">
      <c r="A114" s="50"/>
      <c r="B114" s="50"/>
      <c r="C114" s="51"/>
    </row>
    <row r="115" spans="1:3" ht="21.95" customHeight="1" x14ac:dyDescent="0.25">
      <c r="A115" s="50"/>
      <c r="B115" s="51"/>
      <c r="C115" s="51"/>
    </row>
    <row r="116" spans="1:3" ht="21.95" customHeight="1" x14ac:dyDescent="0.25">
      <c r="A116" s="50"/>
      <c r="B116" s="50"/>
      <c r="C116" s="51"/>
    </row>
  </sheetData>
  <sortState ref="A2:AG116">
    <sortCondition descending="1" ref="I1"/>
  </sortState>
  <dataConsolidate/>
  <conditionalFormatting sqref="O110:O1048576 O1">
    <cfRule type="expression" dxfId="4063" priority="815">
      <formula>$O1=0</formula>
    </cfRule>
    <cfRule type="dataBar" priority="1192">
      <dataBar>
        <cfvo type="min"/>
        <cfvo type="max"/>
        <color rgb="FF63C384"/>
      </dataBar>
      <extLst>
        <ext xmlns:x14="http://schemas.microsoft.com/office/spreadsheetml/2009/9/main" uri="{B025F937-C7B1-47D3-B67F-A62EFF666E3E}">
          <x14:id>{239FEF58-027D-4BA5-8CD3-DE2264C58054}</x14:id>
        </ext>
      </extLst>
    </cfRule>
  </conditionalFormatting>
  <conditionalFormatting sqref="E6 E12:E19 E50:E58 E21:E25 E2:E4">
    <cfRule type="expression" dxfId="4062" priority="771">
      <formula>$H2=0</formula>
    </cfRule>
  </conditionalFormatting>
  <conditionalFormatting sqref="K110:K200">
    <cfRule type="expression" dxfId="4061" priority="772">
      <formula>$J110=0</formula>
    </cfRule>
  </conditionalFormatting>
  <conditionalFormatting sqref="K110:K458">
    <cfRule type="expression" dxfId="4060" priority="813">
      <formula>$J110&lt;0</formula>
    </cfRule>
  </conditionalFormatting>
  <conditionalFormatting sqref="E59">
    <cfRule type="expression" dxfId="4059" priority="742">
      <formula>$H59=0</formula>
    </cfRule>
  </conditionalFormatting>
  <conditionalFormatting sqref="E5">
    <cfRule type="expression" dxfId="4058" priority="720">
      <formula>$H5=0</formula>
    </cfRule>
  </conditionalFormatting>
  <conditionalFormatting sqref="E60">
    <cfRule type="expression" dxfId="4057" priority="698">
      <formula>$H60=0</formula>
    </cfRule>
  </conditionalFormatting>
  <conditionalFormatting sqref="E62">
    <cfRule type="expression" dxfId="4056" priority="687">
      <formula>$H62=0</formula>
    </cfRule>
  </conditionalFormatting>
  <conditionalFormatting sqref="E61">
    <cfRule type="expression" dxfId="4055" priority="676">
      <formula>$H61=0</formula>
    </cfRule>
  </conditionalFormatting>
  <conditionalFormatting sqref="E8">
    <cfRule type="expression" dxfId="4054" priority="661">
      <formula>$H8=0</formula>
    </cfRule>
  </conditionalFormatting>
  <conditionalFormatting sqref="E63">
    <cfRule type="expression" dxfId="4053" priority="651">
      <formula>$H63=0</formula>
    </cfRule>
  </conditionalFormatting>
  <conditionalFormatting sqref="E20">
    <cfRule type="expression" dxfId="4052" priority="641">
      <formula>$H20=0</formula>
    </cfRule>
  </conditionalFormatting>
  <conditionalFormatting sqref="E64">
    <cfRule type="expression" dxfId="4051" priority="632">
      <formula>$H64=0</formula>
    </cfRule>
  </conditionalFormatting>
  <conditionalFormatting sqref="E65">
    <cfRule type="expression" dxfId="4050" priority="625">
      <formula>$H65=0</formula>
    </cfRule>
  </conditionalFormatting>
  <conditionalFormatting sqref="E11">
    <cfRule type="expression" dxfId="4049" priority="616">
      <formula>$H11=0</formula>
    </cfRule>
  </conditionalFormatting>
  <conditionalFormatting sqref="E9">
    <cfRule type="expression" dxfId="4048" priority="609">
      <formula>$H9=0</formula>
    </cfRule>
  </conditionalFormatting>
  <conditionalFormatting sqref="E66">
    <cfRule type="expression" dxfId="4047" priority="600">
      <formula>$H66=0</formula>
    </cfRule>
  </conditionalFormatting>
  <conditionalFormatting sqref="E10">
    <cfRule type="expression" dxfId="4046" priority="591">
      <formula>$H10=0</formula>
    </cfRule>
  </conditionalFormatting>
  <conditionalFormatting sqref="E26:E28 E30 E45:E49 E36:E43">
    <cfRule type="expression" dxfId="4045" priority="587">
      <formula>$H26=0</formula>
    </cfRule>
  </conditionalFormatting>
  <conditionalFormatting sqref="E29">
    <cfRule type="expression" dxfId="4044" priority="586">
      <formula>$H29=0</formula>
    </cfRule>
  </conditionalFormatting>
  <conditionalFormatting sqref="E31">
    <cfRule type="expression" dxfId="4043" priority="585">
      <formula>$H31=0</formula>
    </cfRule>
  </conditionalFormatting>
  <conditionalFormatting sqref="E32">
    <cfRule type="expression" dxfId="4042" priority="584">
      <formula>$H32=0</formula>
    </cfRule>
  </conditionalFormatting>
  <conditionalFormatting sqref="E44">
    <cfRule type="expression" dxfId="4041" priority="583">
      <formula>$H44=0</formula>
    </cfRule>
  </conditionalFormatting>
  <conditionalFormatting sqref="E35">
    <cfRule type="expression" dxfId="4040" priority="582">
      <formula>$H35=0</formula>
    </cfRule>
  </conditionalFormatting>
  <conditionalFormatting sqref="E33">
    <cfRule type="expression" dxfId="4039" priority="581">
      <formula>$H33=0</formula>
    </cfRule>
  </conditionalFormatting>
  <conditionalFormatting sqref="E34">
    <cfRule type="expression" dxfId="4038" priority="580">
      <formula>$H34=0</formula>
    </cfRule>
  </conditionalFormatting>
  <conditionalFormatting sqref="E67">
    <cfRule type="expression" dxfId="4037" priority="576">
      <formula>$H67=0</formula>
    </cfRule>
  </conditionalFormatting>
  <conditionalFormatting sqref="E69:E70">
    <cfRule type="expression" dxfId="4036" priority="569">
      <formula>$H69=0</formula>
    </cfRule>
  </conditionalFormatting>
  <conditionalFormatting sqref="E68">
    <cfRule type="expression" dxfId="4035" priority="562">
      <formula>$H68=0</formula>
    </cfRule>
  </conditionalFormatting>
  <conditionalFormatting sqref="E69:E70">
    <cfRule type="expression" dxfId="4034" priority="554">
      <formula>$H69=0</formula>
    </cfRule>
  </conditionalFormatting>
  <conditionalFormatting sqref="E71">
    <cfRule type="expression" dxfId="4033" priority="547">
      <formula>$H71=0</formula>
    </cfRule>
  </conditionalFormatting>
  <conditionalFormatting sqref="E72">
    <cfRule type="expression" dxfId="4032" priority="524">
      <formula>$H72=0</formula>
    </cfRule>
  </conditionalFormatting>
  <conditionalFormatting sqref="E72">
    <cfRule type="expression" dxfId="4031" priority="516">
      <formula>$H72=0</formula>
    </cfRule>
  </conditionalFormatting>
  <conditionalFormatting sqref="E74">
    <cfRule type="expression" dxfId="4030" priority="509">
      <formula>$H74=0</formula>
    </cfRule>
  </conditionalFormatting>
  <conditionalFormatting sqref="E73">
    <cfRule type="expression" dxfId="4029" priority="502">
      <formula>$H73=0</formula>
    </cfRule>
  </conditionalFormatting>
  <conditionalFormatting sqref="E75">
    <cfRule type="expression" dxfId="4028" priority="485">
      <formula>$H75=0</formula>
    </cfRule>
  </conditionalFormatting>
  <conditionalFormatting sqref="E7">
    <cfRule type="expression" dxfId="4027" priority="477">
      <formula>$H7=0</formula>
    </cfRule>
  </conditionalFormatting>
  <conditionalFormatting sqref="E76">
    <cfRule type="expression" dxfId="4026" priority="461">
      <formula>$H76=0</formula>
    </cfRule>
  </conditionalFormatting>
  <conditionalFormatting sqref="E77">
    <cfRule type="expression" dxfId="4025" priority="448">
      <formula>$H77=0</formula>
    </cfRule>
  </conditionalFormatting>
  <conditionalFormatting sqref="E78">
    <cfRule type="expression" dxfId="4024" priority="434">
      <formula>$H78=0</formula>
    </cfRule>
  </conditionalFormatting>
  <conditionalFormatting sqref="E79">
    <cfRule type="expression" dxfId="4023" priority="422">
      <formula>$H79=0</formula>
    </cfRule>
  </conditionalFormatting>
  <conditionalFormatting sqref="E80">
    <cfRule type="expression" dxfId="4022" priority="412">
      <formula>$H80=0</formula>
    </cfRule>
  </conditionalFormatting>
  <conditionalFormatting sqref="E81">
    <cfRule type="expression" dxfId="4021" priority="402">
      <formula>$H81=0</formula>
    </cfRule>
  </conditionalFormatting>
  <conditionalFormatting sqref="E82">
    <cfRule type="expression" dxfId="4020" priority="392">
      <formula>$H82=0</formula>
    </cfRule>
  </conditionalFormatting>
  <conditionalFormatting sqref="E83">
    <cfRule type="expression" dxfId="4019" priority="382">
      <formula>$H83=0</formula>
    </cfRule>
  </conditionalFormatting>
  <conditionalFormatting sqref="E84">
    <cfRule type="expression" dxfId="4018" priority="372">
      <formula>$H84=0</formula>
    </cfRule>
  </conditionalFormatting>
  <conditionalFormatting sqref="E85">
    <cfRule type="expression" dxfId="4017" priority="361">
      <formula>$H85=0</formula>
    </cfRule>
  </conditionalFormatting>
  <conditionalFormatting sqref="R110:R1048576">
    <cfRule type="expression" dxfId="4016" priority="1193">
      <formula>$O110=0</formula>
    </cfRule>
    <cfRule type="dataBar" priority="1194">
      <dataBar>
        <cfvo type="min"/>
        <cfvo type="max"/>
        <color rgb="FF63C384"/>
      </dataBar>
      <extLst>
        <ext xmlns:x14="http://schemas.microsoft.com/office/spreadsheetml/2009/9/main" uri="{B025F937-C7B1-47D3-B67F-A62EFF666E3E}">
          <x14:id>{382418C1-A6DE-4446-91C9-E56F23D17CD6}</x14:id>
        </ext>
      </extLst>
    </cfRule>
  </conditionalFormatting>
  <conditionalFormatting sqref="N1">
    <cfRule type="expression" dxfId="4015" priority="333">
      <formula>$L2=0</formula>
    </cfRule>
  </conditionalFormatting>
  <conditionalFormatting sqref="R1">
    <cfRule type="dataBar" priority="331">
      <dataBar>
        <cfvo type="min"/>
        <cfvo type="max"/>
        <color rgb="FF63C384"/>
      </dataBar>
      <extLst>
        <ext xmlns:x14="http://schemas.microsoft.com/office/spreadsheetml/2009/9/main" uri="{B025F937-C7B1-47D3-B67F-A62EFF666E3E}">
          <x14:id>{8683254E-E3A1-4282-A660-853B513A2DFA}</x14:id>
        </ext>
      </extLst>
    </cfRule>
  </conditionalFormatting>
  <conditionalFormatting sqref="K3 K5 K7 K9 K11 K13 K15 K17 K19 K21">
    <cfRule type="expression" dxfId="4014" priority="326">
      <formula>K3&gt;0</formula>
    </cfRule>
    <cfRule type="expression" dxfId="4013" priority="327">
      <formula>K3&lt;0</formula>
    </cfRule>
  </conditionalFormatting>
  <conditionalFormatting sqref="K2 K4 K6 K8 K10 K12 K14 K16 K18 K20 K22 K24 K26 K28 K30">
    <cfRule type="expression" dxfId="4012" priority="324">
      <formula>K2&gt;0</formula>
    </cfRule>
    <cfRule type="expression" dxfId="4011" priority="325">
      <formula>K2&lt;0</formula>
    </cfRule>
  </conditionalFormatting>
  <conditionalFormatting sqref="K23 K25 K27 K29">
    <cfRule type="expression" dxfId="4010" priority="322">
      <formula>K23&gt;0</formula>
    </cfRule>
    <cfRule type="expression" dxfId="4009" priority="323">
      <formula>K23&lt;0</formula>
    </cfRule>
  </conditionalFormatting>
  <conditionalFormatting sqref="K31 K33 K40 K35 K42 K37:K38">
    <cfRule type="expression" dxfId="4008" priority="320">
      <formula>K31&gt;0</formula>
    </cfRule>
    <cfRule type="expression" dxfId="4007" priority="321">
      <formula>K31&lt;0</formula>
    </cfRule>
  </conditionalFormatting>
  <conditionalFormatting sqref="K32 K39 K34 K41 K36 K43">
    <cfRule type="expression" dxfId="4006" priority="318">
      <formula>K32&gt;0</formula>
    </cfRule>
    <cfRule type="expression" dxfId="4005" priority="319">
      <formula>K32&lt;0</formula>
    </cfRule>
  </conditionalFormatting>
  <conditionalFormatting sqref="K45 K47 K49 K51 K53">
    <cfRule type="expression" dxfId="4004" priority="316">
      <formula>K45&gt;0</formula>
    </cfRule>
    <cfRule type="expression" dxfId="4003" priority="317">
      <formula>K45&lt;0</formula>
    </cfRule>
  </conditionalFormatting>
  <conditionalFormatting sqref="K46 K48 K50 K52">
    <cfRule type="expression" dxfId="4002" priority="314">
      <formula>K46&gt;0</formula>
    </cfRule>
    <cfRule type="expression" dxfId="4001" priority="315">
      <formula>K46&lt;0</formula>
    </cfRule>
  </conditionalFormatting>
  <conditionalFormatting sqref="K54 K56 K58 K60">
    <cfRule type="expression" dxfId="4000" priority="312">
      <formula>K54&gt;0</formula>
    </cfRule>
    <cfRule type="expression" dxfId="3999" priority="313">
      <formula>K54&lt;0</formula>
    </cfRule>
  </conditionalFormatting>
  <conditionalFormatting sqref="K55 K57 K59">
    <cfRule type="expression" dxfId="3998" priority="310">
      <formula>K55&gt;0</formula>
    </cfRule>
    <cfRule type="expression" dxfId="3997" priority="311">
      <formula>K55&lt;0</formula>
    </cfRule>
  </conditionalFormatting>
  <conditionalFormatting sqref="K68 K70 K72 K74">
    <cfRule type="expression" dxfId="3996" priority="308">
      <formula>K68&gt;0</formula>
    </cfRule>
    <cfRule type="expression" dxfId="3995" priority="309">
      <formula>K68&lt;0</formula>
    </cfRule>
  </conditionalFormatting>
  <conditionalFormatting sqref="K69 K71 K73">
    <cfRule type="expression" dxfId="3994" priority="306">
      <formula>K69&gt;0</formula>
    </cfRule>
    <cfRule type="expression" dxfId="3993" priority="307">
      <formula>K69&lt;0</formula>
    </cfRule>
  </conditionalFormatting>
  <conditionalFormatting sqref="K75 K77 K79 K81 K83">
    <cfRule type="expression" dxfId="3992" priority="304">
      <formula>K75&gt;0</formula>
    </cfRule>
    <cfRule type="expression" dxfId="3991" priority="305">
      <formula>K75&lt;0</formula>
    </cfRule>
  </conditionalFormatting>
  <conditionalFormatting sqref="K76 K78 K80 K82">
    <cfRule type="expression" dxfId="3990" priority="302">
      <formula>K76&gt;0</formula>
    </cfRule>
    <cfRule type="expression" dxfId="3989" priority="303">
      <formula>K76&lt;0</formula>
    </cfRule>
  </conditionalFormatting>
  <conditionalFormatting sqref="K82 K84 K88">
    <cfRule type="expression" dxfId="3988" priority="300">
      <formula>K82&gt;0</formula>
    </cfRule>
    <cfRule type="expression" dxfId="3987" priority="301">
      <formula>K82&lt;0</formula>
    </cfRule>
  </conditionalFormatting>
  <conditionalFormatting sqref="K83 K85">
    <cfRule type="expression" dxfId="3986" priority="298">
      <formula>K83&gt;0</formula>
    </cfRule>
    <cfRule type="expression" dxfId="3985" priority="299">
      <formula>K83&lt;0</formula>
    </cfRule>
  </conditionalFormatting>
  <conditionalFormatting sqref="M110:M200">
    <cfRule type="expression" dxfId="3984" priority="296">
      <formula>$J110=0</formula>
    </cfRule>
  </conditionalFormatting>
  <conditionalFormatting sqref="M110:M458">
    <cfRule type="expression" dxfId="3983" priority="297">
      <formula>$J110&lt;0</formula>
    </cfRule>
  </conditionalFormatting>
  <conditionalFormatting sqref="M3 M5 M7 M9 M11 M13 M15 M17 M19 M21">
    <cfRule type="expression" dxfId="3982" priority="294">
      <formula>M3&gt;0</formula>
    </cfRule>
    <cfRule type="expression" dxfId="3981" priority="295">
      <formula>M3&lt;0</formula>
    </cfRule>
  </conditionalFormatting>
  <conditionalFormatting sqref="M2 M4 M6 M8 M10 M12 M14 M16 M18 M20 M22 M24 M26 M28 M30">
    <cfRule type="expression" dxfId="3980" priority="292">
      <formula>M2&gt;0</formula>
    </cfRule>
    <cfRule type="expression" dxfId="3979" priority="293">
      <formula>M2&lt;0</formula>
    </cfRule>
  </conditionalFormatting>
  <conditionalFormatting sqref="M23 M25 M27 M29">
    <cfRule type="expression" dxfId="3978" priority="290">
      <formula>M23&gt;0</formula>
    </cfRule>
    <cfRule type="expression" dxfId="3977" priority="291">
      <formula>M23&lt;0</formula>
    </cfRule>
  </conditionalFormatting>
  <conditionalFormatting sqref="M31 M33 M40 M35 M42 M37:M38">
    <cfRule type="expression" dxfId="3976" priority="288">
      <formula>M31&gt;0</formula>
    </cfRule>
    <cfRule type="expression" dxfId="3975" priority="289">
      <formula>M31&lt;0</formula>
    </cfRule>
  </conditionalFormatting>
  <conditionalFormatting sqref="M32 M39 M34 M41 M36 M43">
    <cfRule type="expression" dxfId="3974" priority="286">
      <formula>M32&gt;0</formula>
    </cfRule>
    <cfRule type="expression" dxfId="3973" priority="287">
      <formula>M32&lt;0</formula>
    </cfRule>
  </conditionalFormatting>
  <conditionalFormatting sqref="M45 M47 M49 M51 M53">
    <cfRule type="expression" dxfId="3972" priority="284">
      <formula>M45&gt;0</formula>
    </cfRule>
    <cfRule type="expression" dxfId="3971" priority="285">
      <formula>M45&lt;0</formula>
    </cfRule>
  </conditionalFormatting>
  <conditionalFormatting sqref="M46 M48 M50 M52">
    <cfRule type="expression" dxfId="3970" priority="282">
      <formula>M46&gt;0</formula>
    </cfRule>
    <cfRule type="expression" dxfId="3969" priority="283">
      <formula>M46&lt;0</formula>
    </cfRule>
  </conditionalFormatting>
  <conditionalFormatting sqref="M54 M56 M58 M60">
    <cfRule type="expression" dxfId="3968" priority="280">
      <formula>M54&gt;0</formula>
    </cfRule>
    <cfRule type="expression" dxfId="3967" priority="281">
      <formula>M54&lt;0</formula>
    </cfRule>
  </conditionalFormatting>
  <conditionalFormatting sqref="M55 M57 M59 M61">
    <cfRule type="expression" dxfId="3966" priority="278">
      <formula>M55&gt;0</formula>
    </cfRule>
    <cfRule type="expression" dxfId="3965" priority="279">
      <formula>M55&lt;0</formula>
    </cfRule>
  </conditionalFormatting>
  <conditionalFormatting sqref="M68 M70 M72 M74">
    <cfRule type="expression" dxfId="3964" priority="276">
      <formula>M68&gt;0</formula>
    </cfRule>
    <cfRule type="expression" dxfId="3963" priority="277">
      <formula>M68&lt;0</formula>
    </cfRule>
  </conditionalFormatting>
  <conditionalFormatting sqref="M67 M69 M71 M73">
    <cfRule type="expression" dxfId="3962" priority="274">
      <formula>M67&gt;0</formula>
    </cfRule>
    <cfRule type="expression" dxfId="3961" priority="275">
      <formula>M67&lt;0</formula>
    </cfRule>
  </conditionalFormatting>
  <conditionalFormatting sqref="M75 M77 M79 M81 M83">
    <cfRule type="expression" dxfId="3960" priority="272">
      <formula>M75&gt;0</formula>
    </cfRule>
    <cfRule type="expression" dxfId="3959" priority="273">
      <formula>M75&lt;0</formula>
    </cfRule>
  </conditionalFormatting>
  <conditionalFormatting sqref="M76 M78 M80 M82">
    <cfRule type="expression" dxfId="3958" priority="270">
      <formula>M76&gt;0</formula>
    </cfRule>
    <cfRule type="expression" dxfId="3957" priority="271">
      <formula>M76&lt;0</formula>
    </cfRule>
  </conditionalFormatting>
  <conditionalFormatting sqref="M82 M84 M88">
    <cfRule type="expression" dxfId="3956" priority="268">
      <formula>M82&gt;0</formula>
    </cfRule>
    <cfRule type="expression" dxfId="3955" priority="269">
      <formula>M82&lt;0</formula>
    </cfRule>
  </conditionalFormatting>
  <conditionalFormatting sqref="M83 M85">
    <cfRule type="expression" dxfId="3954" priority="266">
      <formula>M83&gt;0</formula>
    </cfRule>
    <cfRule type="expression" dxfId="3953" priority="267">
      <formula>M83&lt;0</formula>
    </cfRule>
  </conditionalFormatting>
  <conditionalFormatting sqref="L110:L200">
    <cfRule type="expression" dxfId="3952" priority="264">
      <formula>$J110=0</formula>
    </cfRule>
  </conditionalFormatting>
  <conditionalFormatting sqref="L110:L458">
    <cfRule type="expression" dxfId="3951" priority="265">
      <formula>$J110&lt;0</formula>
    </cfRule>
  </conditionalFormatting>
  <conditionalFormatting sqref="L3 L5 L7 L9 L11 L13 L15 L17 L19 L21">
    <cfRule type="expression" dxfId="3950" priority="262">
      <formula>L3&gt;0</formula>
    </cfRule>
    <cfRule type="expression" dxfId="3949" priority="263">
      <formula>L3&lt;0</formula>
    </cfRule>
  </conditionalFormatting>
  <conditionalFormatting sqref="L2 L4 L6 L8 L10 L12 L14 L16 L18 L20 L22 L24 L26 L28 L30">
    <cfRule type="expression" dxfId="3948" priority="260">
      <formula>L2&gt;0</formula>
    </cfRule>
    <cfRule type="expression" dxfId="3947" priority="261">
      <formula>L2&lt;0</formula>
    </cfRule>
  </conditionalFormatting>
  <conditionalFormatting sqref="L23 L25 L27 L29">
    <cfRule type="expression" dxfId="3946" priority="258">
      <formula>L23&gt;0</formula>
    </cfRule>
    <cfRule type="expression" dxfId="3945" priority="259">
      <formula>L23&lt;0</formula>
    </cfRule>
  </conditionalFormatting>
  <conditionalFormatting sqref="L31 L33 L40 L35 L42 L37:L38">
    <cfRule type="expression" dxfId="3944" priority="256">
      <formula>L31&gt;0</formula>
    </cfRule>
    <cfRule type="expression" dxfId="3943" priority="257">
      <formula>L31&lt;0</formula>
    </cfRule>
  </conditionalFormatting>
  <conditionalFormatting sqref="L32 L39 L34 L41 L36 L43">
    <cfRule type="expression" dxfId="3942" priority="254">
      <formula>L32&gt;0</formula>
    </cfRule>
    <cfRule type="expression" dxfId="3941" priority="255">
      <formula>L32&lt;0</formula>
    </cfRule>
  </conditionalFormatting>
  <conditionalFormatting sqref="L45 L47 L49 L51 L53">
    <cfRule type="expression" dxfId="3940" priority="252">
      <formula>L45&gt;0</formula>
    </cfRule>
    <cfRule type="expression" dxfId="3939" priority="253">
      <formula>L45&lt;0</formula>
    </cfRule>
  </conditionalFormatting>
  <conditionalFormatting sqref="L46 L48 L50 L52">
    <cfRule type="expression" dxfId="3938" priority="250">
      <formula>L46&gt;0</formula>
    </cfRule>
    <cfRule type="expression" dxfId="3937" priority="251">
      <formula>L46&lt;0</formula>
    </cfRule>
  </conditionalFormatting>
  <conditionalFormatting sqref="L54 L56 L58 L60 L62">
    <cfRule type="expression" dxfId="3936" priority="248">
      <formula>L54&gt;0</formula>
    </cfRule>
    <cfRule type="expression" dxfId="3935" priority="249">
      <formula>L54&lt;0</formula>
    </cfRule>
  </conditionalFormatting>
  <conditionalFormatting sqref="L55 L57 L59 L61">
    <cfRule type="expression" dxfId="3934" priority="246">
      <formula>L55&gt;0</formula>
    </cfRule>
    <cfRule type="expression" dxfId="3933" priority="247">
      <formula>L55&lt;0</formula>
    </cfRule>
  </conditionalFormatting>
  <conditionalFormatting sqref="L66 L68 L70 L72 L74">
    <cfRule type="expression" dxfId="3932" priority="244">
      <formula>L66&gt;0</formula>
    </cfRule>
    <cfRule type="expression" dxfId="3931" priority="245">
      <formula>L66&lt;0</formula>
    </cfRule>
  </conditionalFormatting>
  <conditionalFormatting sqref="L58:L79">
    <cfRule type="expression" dxfId="3930" priority="242">
      <formula>L58&gt;0</formula>
    </cfRule>
    <cfRule type="expression" dxfId="3929" priority="243">
      <formula>L58&lt;0</formula>
    </cfRule>
  </conditionalFormatting>
  <conditionalFormatting sqref="L75 L77 L79 L81 L83">
    <cfRule type="expression" dxfId="3928" priority="240">
      <formula>L75&gt;0</formula>
    </cfRule>
    <cfRule type="expression" dxfId="3927" priority="241">
      <formula>L75&lt;0</formula>
    </cfRule>
  </conditionalFormatting>
  <conditionalFormatting sqref="L76 L78 L80 L82">
    <cfRule type="expression" dxfId="3926" priority="238">
      <formula>L76&gt;0</formula>
    </cfRule>
    <cfRule type="expression" dxfId="3925" priority="239">
      <formula>L76&lt;0</formula>
    </cfRule>
  </conditionalFormatting>
  <conditionalFormatting sqref="L82 L84 L88">
    <cfRule type="expression" dxfId="3924" priority="236">
      <formula>L82&gt;0</formula>
    </cfRule>
    <cfRule type="expression" dxfId="3923" priority="237">
      <formula>L82&lt;0</formula>
    </cfRule>
  </conditionalFormatting>
  <conditionalFormatting sqref="L83 L85">
    <cfRule type="expression" dxfId="3922" priority="234">
      <formula>L83&gt;0</formula>
    </cfRule>
    <cfRule type="expression" dxfId="3921" priority="235">
      <formula>L83&lt;0</formula>
    </cfRule>
  </conditionalFormatting>
  <conditionalFormatting sqref="I1:I85 I94:I96 I110:I1048576">
    <cfRule type="dataBar" priority="233">
      <dataBar>
        <cfvo type="min"/>
        <cfvo type="max"/>
        <color rgb="FF008AEF"/>
      </dataBar>
      <extLst>
        <ext xmlns:x14="http://schemas.microsoft.com/office/spreadsheetml/2009/9/main" uri="{B025F937-C7B1-47D3-B67F-A62EFF666E3E}">
          <x14:id>{1B88CF0D-2051-4B93-9A51-1D9633AC9933}</x14:id>
        </ext>
      </extLst>
    </cfRule>
  </conditionalFormatting>
  <conditionalFormatting sqref="M44">
    <cfRule type="expression" dxfId="3920" priority="231">
      <formula>M44&gt;0</formula>
    </cfRule>
    <cfRule type="expression" dxfId="3919" priority="232">
      <formula>M44&lt;0</formula>
    </cfRule>
  </conditionalFormatting>
  <conditionalFormatting sqref="M62:M66">
    <cfRule type="expression" dxfId="3918" priority="229">
      <formula>M62&gt;0</formula>
    </cfRule>
    <cfRule type="expression" dxfId="3917" priority="230">
      <formula>M62&lt;0</formula>
    </cfRule>
  </conditionalFormatting>
  <conditionalFormatting sqref="E86">
    <cfRule type="expression" dxfId="3916" priority="228">
      <formula>$H86=0</formula>
    </cfRule>
  </conditionalFormatting>
  <conditionalFormatting sqref="K86">
    <cfRule type="expression" dxfId="3915" priority="226">
      <formula>K86&gt;0</formula>
    </cfRule>
    <cfRule type="expression" dxfId="3914" priority="227">
      <formula>K86&lt;0</formula>
    </cfRule>
  </conditionalFormatting>
  <conditionalFormatting sqref="M86">
    <cfRule type="expression" dxfId="3913" priority="224">
      <formula>M86&gt;0</formula>
    </cfRule>
    <cfRule type="expression" dxfId="3912" priority="225">
      <formula>M86&lt;0</formula>
    </cfRule>
  </conditionalFormatting>
  <conditionalFormatting sqref="L86">
    <cfRule type="expression" dxfId="3911" priority="222">
      <formula>L86&gt;0</formula>
    </cfRule>
    <cfRule type="expression" dxfId="3910" priority="223">
      <formula>L86&lt;0</formula>
    </cfRule>
  </conditionalFormatting>
  <conditionalFormatting sqref="J1:J85 J94:J96 J110:J1048576">
    <cfRule type="dataBar" priority="220">
      <dataBar>
        <cfvo type="min"/>
        <cfvo type="max"/>
        <color rgb="FF008AEF"/>
      </dataBar>
      <extLst>
        <ext xmlns:x14="http://schemas.microsoft.com/office/spreadsheetml/2009/9/main" uri="{B025F937-C7B1-47D3-B67F-A62EFF666E3E}">
          <x14:id>{CB9409DB-0590-4C2D-A29D-C6412E36FE84}</x14:id>
        </ext>
      </extLst>
    </cfRule>
  </conditionalFormatting>
  <conditionalFormatting sqref="J1:J85 J94:J96 J110:J1048576">
    <cfRule type="dataBar" priority="218">
      <dataBar>
        <cfvo type="min"/>
        <cfvo type="max"/>
        <color rgb="FFFFB628"/>
      </dataBar>
      <extLst>
        <ext xmlns:x14="http://schemas.microsoft.com/office/spreadsheetml/2009/9/main" uri="{B025F937-C7B1-47D3-B67F-A62EFF666E3E}">
          <x14:id>{806C070A-7B7A-4815-88D7-61A05E6F206C}</x14:id>
        </ext>
      </extLst>
    </cfRule>
  </conditionalFormatting>
  <conditionalFormatting sqref="K61:K67">
    <cfRule type="expression" dxfId="3909" priority="216">
      <formula>K61&gt;0</formula>
    </cfRule>
    <cfRule type="expression" dxfId="3908" priority="217">
      <formula>K61&lt;0</formula>
    </cfRule>
  </conditionalFormatting>
  <conditionalFormatting sqref="K44">
    <cfRule type="expression" dxfId="3907" priority="214">
      <formula>K44&gt;0</formula>
    </cfRule>
    <cfRule type="expression" dxfId="3906" priority="215">
      <formula>K44&lt;0</formula>
    </cfRule>
  </conditionalFormatting>
  <conditionalFormatting sqref="E87">
    <cfRule type="expression" dxfId="3905" priority="213">
      <formula>$H87=0</formula>
    </cfRule>
  </conditionalFormatting>
  <conditionalFormatting sqref="K87">
    <cfRule type="expression" dxfId="3904" priority="211">
      <formula>K87&gt;0</formula>
    </cfRule>
    <cfRule type="expression" dxfId="3903" priority="212">
      <formula>K87&lt;0</formula>
    </cfRule>
  </conditionalFormatting>
  <conditionalFormatting sqref="M87">
    <cfRule type="expression" dxfId="3902" priority="209">
      <formula>M87&gt;0</formula>
    </cfRule>
    <cfRule type="expression" dxfId="3901" priority="210">
      <formula>M87&lt;0</formula>
    </cfRule>
  </conditionalFormatting>
  <conditionalFormatting sqref="L87">
    <cfRule type="expression" dxfId="3900" priority="207">
      <formula>L87&gt;0</formula>
    </cfRule>
    <cfRule type="expression" dxfId="3899" priority="208">
      <formula>L87&lt;0</formula>
    </cfRule>
  </conditionalFormatting>
  <conditionalFormatting sqref="E88">
    <cfRule type="expression" dxfId="3898" priority="203">
      <formula>$H88=0</formula>
    </cfRule>
  </conditionalFormatting>
  <conditionalFormatting sqref="S1">
    <cfRule type="dataBar" priority="198">
      <dataBar>
        <cfvo type="min"/>
        <cfvo type="max"/>
        <color rgb="FF63C384"/>
      </dataBar>
      <extLst>
        <ext xmlns:x14="http://schemas.microsoft.com/office/spreadsheetml/2009/9/main" uri="{B025F937-C7B1-47D3-B67F-A62EFF666E3E}">
          <x14:id>{5CC15247-7E7C-4B0A-8DBC-1874CC303835}</x14:id>
        </ext>
      </extLst>
    </cfRule>
  </conditionalFormatting>
  <conditionalFormatting sqref="I86:I88">
    <cfRule type="dataBar" priority="197">
      <dataBar>
        <cfvo type="min"/>
        <cfvo type="max"/>
        <color rgb="FF008AEF"/>
      </dataBar>
      <extLst>
        <ext xmlns:x14="http://schemas.microsoft.com/office/spreadsheetml/2009/9/main" uri="{B025F937-C7B1-47D3-B67F-A62EFF666E3E}">
          <x14:id>{6E161C8C-701E-4A1B-9A72-E2791C9E29EB}</x14:id>
        </ext>
      </extLst>
    </cfRule>
  </conditionalFormatting>
  <conditionalFormatting sqref="J86:J88">
    <cfRule type="dataBar" priority="196">
      <dataBar>
        <cfvo type="min"/>
        <cfvo type="max"/>
        <color rgb="FF008AEF"/>
      </dataBar>
      <extLst>
        <ext xmlns:x14="http://schemas.microsoft.com/office/spreadsheetml/2009/9/main" uri="{B025F937-C7B1-47D3-B67F-A62EFF666E3E}">
          <x14:id>{3038D2AD-2056-46AA-8F21-AD38F13EEF0D}</x14:id>
        </ext>
      </extLst>
    </cfRule>
  </conditionalFormatting>
  <conditionalFormatting sqref="J86:J88">
    <cfRule type="dataBar" priority="195">
      <dataBar>
        <cfvo type="min"/>
        <cfvo type="max"/>
        <color rgb="FFFFB628"/>
      </dataBar>
      <extLst>
        <ext xmlns:x14="http://schemas.microsoft.com/office/spreadsheetml/2009/9/main" uri="{B025F937-C7B1-47D3-B67F-A62EFF666E3E}">
          <x14:id>{0ADB29CF-7284-4090-BC7B-AC5EE5573338}</x14:id>
        </ext>
      </extLst>
    </cfRule>
  </conditionalFormatting>
  <conditionalFormatting sqref="E89">
    <cfRule type="expression" dxfId="3897" priority="194">
      <formula>$H89=0</formula>
    </cfRule>
  </conditionalFormatting>
  <conditionalFormatting sqref="E90">
    <cfRule type="expression" dxfId="3896" priority="193">
      <formula>$H90=0</formula>
    </cfRule>
  </conditionalFormatting>
  <conditionalFormatting sqref="E91">
    <cfRule type="expression" dxfId="3895" priority="192">
      <formula>$H91=0</formula>
    </cfRule>
  </conditionalFormatting>
  <conditionalFormatting sqref="K89">
    <cfRule type="expression" dxfId="3894" priority="190">
      <formula>K89&gt;0</formula>
    </cfRule>
    <cfRule type="expression" dxfId="3893" priority="191">
      <formula>K89&lt;0</formula>
    </cfRule>
  </conditionalFormatting>
  <conditionalFormatting sqref="K90">
    <cfRule type="expression" dxfId="3892" priority="188">
      <formula>K90&gt;0</formula>
    </cfRule>
    <cfRule type="expression" dxfId="3891" priority="189">
      <formula>K90&lt;0</formula>
    </cfRule>
  </conditionalFormatting>
  <conditionalFormatting sqref="K89 K91">
    <cfRule type="expression" dxfId="3890" priority="186">
      <formula>K89&gt;0</formula>
    </cfRule>
    <cfRule type="expression" dxfId="3889" priority="187">
      <formula>K89&lt;0</formula>
    </cfRule>
  </conditionalFormatting>
  <conditionalFormatting sqref="M89">
    <cfRule type="expression" dxfId="3888" priority="184">
      <formula>M89&gt;0</formula>
    </cfRule>
    <cfRule type="expression" dxfId="3887" priority="185">
      <formula>M89&lt;0</formula>
    </cfRule>
  </conditionalFormatting>
  <conditionalFormatting sqref="M90">
    <cfRule type="expression" dxfId="3886" priority="182">
      <formula>M90&gt;0</formula>
    </cfRule>
    <cfRule type="expression" dxfId="3885" priority="183">
      <formula>M90&lt;0</formula>
    </cfRule>
  </conditionalFormatting>
  <conditionalFormatting sqref="M89 M91">
    <cfRule type="expression" dxfId="3884" priority="180">
      <formula>M89&gt;0</formula>
    </cfRule>
    <cfRule type="expression" dxfId="3883" priority="181">
      <formula>M89&lt;0</formula>
    </cfRule>
  </conditionalFormatting>
  <conditionalFormatting sqref="L89">
    <cfRule type="expression" dxfId="3882" priority="178">
      <formula>L89&gt;0</formula>
    </cfRule>
    <cfRule type="expression" dxfId="3881" priority="179">
      <formula>L89&lt;0</formula>
    </cfRule>
  </conditionalFormatting>
  <conditionalFormatting sqref="L90">
    <cfRule type="expression" dxfId="3880" priority="176">
      <formula>L90&gt;0</formula>
    </cfRule>
    <cfRule type="expression" dxfId="3879" priority="177">
      <formula>L90&lt;0</formula>
    </cfRule>
  </conditionalFormatting>
  <conditionalFormatting sqref="L89 L91">
    <cfRule type="expression" dxfId="3878" priority="174">
      <formula>L89&gt;0</formula>
    </cfRule>
    <cfRule type="expression" dxfId="3877" priority="175">
      <formula>L89&lt;0</formula>
    </cfRule>
  </conditionalFormatting>
  <conditionalFormatting sqref="I89:I91">
    <cfRule type="dataBar" priority="173">
      <dataBar>
        <cfvo type="min"/>
        <cfvo type="max"/>
        <color rgb="FF008AEF"/>
      </dataBar>
      <extLst>
        <ext xmlns:x14="http://schemas.microsoft.com/office/spreadsheetml/2009/9/main" uri="{B025F937-C7B1-47D3-B67F-A62EFF666E3E}">
          <x14:id>{59879F96-726B-468E-BD52-734631AC27A5}</x14:id>
        </ext>
      </extLst>
    </cfRule>
  </conditionalFormatting>
  <conditionalFormatting sqref="E92">
    <cfRule type="expression" dxfId="3876" priority="172">
      <formula>$H92=0</formula>
    </cfRule>
  </conditionalFormatting>
  <conditionalFormatting sqref="K92">
    <cfRule type="expression" dxfId="3875" priority="170">
      <formula>K92&gt;0</formula>
    </cfRule>
    <cfRule type="expression" dxfId="3874" priority="171">
      <formula>K92&lt;0</formula>
    </cfRule>
  </conditionalFormatting>
  <conditionalFormatting sqref="M92">
    <cfRule type="expression" dxfId="3873" priority="168">
      <formula>M92&gt;0</formula>
    </cfRule>
    <cfRule type="expression" dxfId="3872" priority="169">
      <formula>M92&lt;0</formula>
    </cfRule>
  </conditionalFormatting>
  <conditionalFormatting sqref="L92">
    <cfRule type="expression" dxfId="3871" priority="166">
      <formula>L92&gt;0</formula>
    </cfRule>
    <cfRule type="expression" dxfId="3870" priority="167">
      <formula>L92&lt;0</formula>
    </cfRule>
  </conditionalFormatting>
  <conditionalFormatting sqref="J89:J91">
    <cfRule type="dataBar" priority="165">
      <dataBar>
        <cfvo type="min"/>
        <cfvo type="max"/>
        <color rgb="FF008AEF"/>
      </dataBar>
      <extLst>
        <ext xmlns:x14="http://schemas.microsoft.com/office/spreadsheetml/2009/9/main" uri="{B025F937-C7B1-47D3-B67F-A62EFF666E3E}">
          <x14:id>{5D846003-00FA-4F33-94EE-7D2446648113}</x14:id>
        </ext>
      </extLst>
    </cfRule>
  </conditionalFormatting>
  <conditionalFormatting sqref="J89:J91">
    <cfRule type="dataBar" priority="164">
      <dataBar>
        <cfvo type="min"/>
        <cfvo type="max"/>
        <color rgb="FFFFB628"/>
      </dataBar>
      <extLst>
        <ext xmlns:x14="http://schemas.microsoft.com/office/spreadsheetml/2009/9/main" uri="{B025F937-C7B1-47D3-B67F-A62EFF666E3E}">
          <x14:id>{66F0F92F-7990-4D6B-A3FB-E7F989FA086A}</x14:id>
        </ext>
      </extLst>
    </cfRule>
  </conditionalFormatting>
  <conditionalFormatting sqref="E93">
    <cfRule type="expression" dxfId="3869" priority="163">
      <formula>$H93=0</formula>
    </cfRule>
  </conditionalFormatting>
  <conditionalFormatting sqref="K93">
    <cfRule type="expression" dxfId="3868" priority="161">
      <formula>K93&gt;0</formula>
    </cfRule>
    <cfRule type="expression" dxfId="3867" priority="162">
      <formula>K93&lt;0</formula>
    </cfRule>
  </conditionalFormatting>
  <conditionalFormatting sqref="M93">
    <cfRule type="expression" dxfId="3866" priority="159">
      <formula>M93&gt;0</formula>
    </cfRule>
    <cfRule type="expression" dxfId="3865" priority="160">
      <formula>M93&lt;0</formula>
    </cfRule>
  </conditionalFormatting>
  <conditionalFormatting sqref="L93">
    <cfRule type="expression" dxfId="3864" priority="157">
      <formula>L93&gt;0</formula>
    </cfRule>
    <cfRule type="expression" dxfId="3863" priority="158">
      <formula>L93&lt;0</formula>
    </cfRule>
  </conditionalFormatting>
  <conditionalFormatting sqref="I92:I93">
    <cfRule type="dataBar" priority="156">
      <dataBar>
        <cfvo type="min"/>
        <cfvo type="max"/>
        <color rgb="FF008AEF"/>
      </dataBar>
      <extLst>
        <ext xmlns:x14="http://schemas.microsoft.com/office/spreadsheetml/2009/9/main" uri="{B025F937-C7B1-47D3-B67F-A62EFF666E3E}">
          <x14:id>{B4B78C41-C16A-4A4A-9F09-462C42F28B17}</x14:id>
        </ext>
      </extLst>
    </cfRule>
  </conditionalFormatting>
  <conditionalFormatting sqref="J92:J93">
    <cfRule type="dataBar" priority="155">
      <dataBar>
        <cfvo type="min"/>
        <cfvo type="max"/>
        <color rgb="FF008AEF"/>
      </dataBar>
      <extLst>
        <ext xmlns:x14="http://schemas.microsoft.com/office/spreadsheetml/2009/9/main" uri="{B025F937-C7B1-47D3-B67F-A62EFF666E3E}">
          <x14:id>{6CF83E2E-F02F-47B6-9C4D-116E113944AF}</x14:id>
        </ext>
      </extLst>
    </cfRule>
  </conditionalFormatting>
  <conditionalFormatting sqref="J92:J93">
    <cfRule type="dataBar" priority="154">
      <dataBar>
        <cfvo type="min"/>
        <cfvo type="max"/>
        <color rgb="FFFFB628"/>
      </dataBar>
      <extLst>
        <ext xmlns:x14="http://schemas.microsoft.com/office/spreadsheetml/2009/9/main" uri="{B025F937-C7B1-47D3-B67F-A62EFF666E3E}">
          <x14:id>{DC120700-D2CF-4B20-AEC0-C8F8D441CA03}</x14:id>
        </ext>
      </extLst>
    </cfRule>
  </conditionalFormatting>
  <conditionalFormatting sqref="E92">
    <cfRule type="expression" dxfId="3862" priority="153">
      <formula>$H92=0</formula>
    </cfRule>
  </conditionalFormatting>
  <conditionalFormatting sqref="E93">
    <cfRule type="expression" dxfId="3861" priority="152">
      <formula>$H93=0</formula>
    </cfRule>
  </conditionalFormatting>
  <conditionalFormatting sqref="E94">
    <cfRule type="expression" dxfId="3860" priority="151">
      <formula>$H94=0</formula>
    </cfRule>
  </conditionalFormatting>
  <conditionalFormatting sqref="K92">
    <cfRule type="expression" dxfId="3859" priority="149">
      <formula>K92&gt;0</formula>
    </cfRule>
    <cfRule type="expression" dxfId="3858" priority="150">
      <formula>K92&lt;0</formula>
    </cfRule>
  </conditionalFormatting>
  <conditionalFormatting sqref="K93">
    <cfRule type="expression" dxfId="3857" priority="147">
      <formula>K93&gt;0</formula>
    </cfRule>
    <cfRule type="expression" dxfId="3856" priority="148">
      <formula>K93&lt;0</formula>
    </cfRule>
  </conditionalFormatting>
  <conditionalFormatting sqref="K92 K94">
    <cfRule type="expression" dxfId="3855" priority="145">
      <formula>K92&gt;0</formula>
    </cfRule>
    <cfRule type="expression" dxfId="3854" priority="146">
      <formula>K92&lt;0</formula>
    </cfRule>
  </conditionalFormatting>
  <conditionalFormatting sqref="M92">
    <cfRule type="expression" dxfId="3853" priority="143">
      <formula>M92&gt;0</formula>
    </cfRule>
    <cfRule type="expression" dxfId="3852" priority="144">
      <formula>M92&lt;0</formula>
    </cfRule>
  </conditionalFormatting>
  <conditionalFormatting sqref="M93">
    <cfRule type="expression" dxfId="3851" priority="141">
      <formula>M93&gt;0</formula>
    </cfRule>
    <cfRule type="expression" dxfId="3850" priority="142">
      <formula>M93&lt;0</formula>
    </cfRule>
  </conditionalFormatting>
  <conditionalFormatting sqref="M92 M94">
    <cfRule type="expression" dxfId="3849" priority="139">
      <formula>M92&gt;0</formula>
    </cfRule>
    <cfRule type="expression" dxfId="3848" priority="140">
      <formula>M92&lt;0</formula>
    </cfRule>
  </conditionalFormatting>
  <conditionalFormatting sqref="L92">
    <cfRule type="expression" dxfId="3847" priority="137">
      <formula>L92&gt;0</formula>
    </cfRule>
    <cfRule type="expression" dxfId="3846" priority="138">
      <formula>L92&lt;0</formula>
    </cfRule>
  </conditionalFormatting>
  <conditionalFormatting sqref="L93">
    <cfRule type="expression" dxfId="3845" priority="135">
      <formula>L93&gt;0</formula>
    </cfRule>
    <cfRule type="expression" dxfId="3844" priority="136">
      <formula>L93&lt;0</formula>
    </cfRule>
  </conditionalFormatting>
  <conditionalFormatting sqref="L92 L94">
    <cfRule type="expression" dxfId="3843" priority="133">
      <formula>L92&gt;0</formula>
    </cfRule>
    <cfRule type="expression" dxfId="3842" priority="134">
      <formula>L92&lt;0</formula>
    </cfRule>
  </conditionalFormatting>
  <conditionalFormatting sqref="I92:I94">
    <cfRule type="dataBar" priority="132">
      <dataBar>
        <cfvo type="min"/>
        <cfvo type="max"/>
        <color rgb="FF008AEF"/>
      </dataBar>
      <extLst>
        <ext xmlns:x14="http://schemas.microsoft.com/office/spreadsheetml/2009/9/main" uri="{B025F937-C7B1-47D3-B67F-A62EFF666E3E}">
          <x14:id>{B8C929AD-7BDC-4335-8C9C-C8750866D23B}</x14:id>
        </ext>
      </extLst>
    </cfRule>
  </conditionalFormatting>
  <conditionalFormatting sqref="E95">
    <cfRule type="expression" dxfId="3841" priority="131">
      <formula>$H95=0</formula>
    </cfRule>
  </conditionalFormatting>
  <conditionalFormatting sqref="K95">
    <cfRule type="expression" dxfId="3840" priority="129">
      <formula>K95&gt;0</formula>
    </cfRule>
    <cfRule type="expression" dxfId="3839" priority="130">
      <formula>K95&lt;0</formula>
    </cfRule>
  </conditionalFormatting>
  <conditionalFormatting sqref="M95">
    <cfRule type="expression" dxfId="3838" priority="127">
      <formula>M95&gt;0</formula>
    </cfRule>
    <cfRule type="expression" dxfId="3837" priority="128">
      <formula>M95&lt;0</formula>
    </cfRule>
  </conditionalFormatting>
  <conditionalFormatting sqref="L95">
    <cfRule type="expression" dxfId="3836" priority="125">
      <formula>L95&gt;0</formula>
    </cfRule>
    <cfRule type="expression" dxfId="3835" priority="126">
      <formula>L95&lt;0</formula>
    </cfRule>
  </conditionalFormatting>
  <conditionalFormatting sqref="J92:J94">
    <cfRule type="dataBar" priority="124">
      <dataBar>
        <cfvo type="min"/>
        <cfvo type="max"/>
        <color rgb="FF008AEF"/>
      </dataBar>
      <extLst>
        <ext xmlns:x14="http://schemas.microsoft.com/office/spreadsheetml/2009/9/main" uri="{B025F937-C7B1-47D3-B67F-A62EFF666E3E}">
          <x14:id>{27952B3B-980F-4079-AA8E-73449138FBE3}</x14:id>
        </ext>
      </extLst>
    </cfRule>
  </conditionalFormatting>
  <conditionalFormatting sqref="J92:J94">
    <cfRule type="dataBar" priority="123">
      <dataBar>
        <cfvo type="min"/>
        <cfvo type="max"/>
        <color rgb="FFFFB628"/>
      </dataBar>
      <extLst>
        <ext xmlns:x14="http://schemas.microsoft.com/office/spreadsheetml/2009/9/main" uri="{B025F937-C7B1-47D3-B67F-A62EFF666E3E}">
          <x14:id>{FF23B246-5E8A-44FF-A8BE-F0FEE6755BE0}</x14:id>
        </ext>
      </extLst>
    </cfRule>
  </conditionalFormatting>
  <conditionalFormatting sqref="E96">
    <cfRule type="expression" dxfId="3834" priority="122">
      <formula>$H96=0</formula>
    </cfRule>
  </conditionalFormatting>
  <conditionalFormatting sqref="K96">
    <cfRule type="expression" dxfId="3833" priority="120">
      <formula>K96&gt;0</formula>
    </cfRule>
    <cfRule type="expression" dxfId="3832" priority="121">
      <formula>K96&lt;0</formula>
    </cfRule>
  </conditionalFormatting>
  <conditionalFormatting sqref="M96">
    <cfRule type="expression" dxfId="3831" priority="118">
      <formula>M96&gt;0</formula>
    </cfRule>
    <cfRule type="expression" dxfId="3830" priority="119">
      <formula>M96&lt;0</formula>
    </cfRule>
  </conditionalFormatting>
  <conditionalFormatting sqref="L96">
    <cfRule type="expression" dxfId="3829" priority="116">
      <formula>L96&gt;0</formula>
    </cfRule>
    <cfRule type="expression" dxfId="3828" priority="117">
      <formula>L96&lt;0</formula>
    </cfRule>
  </conditionalFormatting>
  <conditionalFormatting sqref="I95:I96">
    <cfRule type="dataBar" priority="115">
      <dataBar>
        <cfvo type="min"/>
        <cfvo type="max"/>
        <color rgb="FF008AEF"/>
      </dataBar>
      <extLst>
        <ext xmlns:x14="http://schemas.microsoft.com/office/spreadsheetml/2009/9/main" uri="{B025F937-C7B1-47D3-B67F-A62EFF666E3E}">
          <x14:id>{44933F1F-17A4-4547-8AB7-8A09EE2B742B}</x14:id>
        </ext>
      </extLst>
    </cfRule>
  </conditionalFormatting>
  <conditionalFormatting sqref="J95:J96">
    <cfRule type="dataBar" priority="114">
      <dataBar>
        <cfvo type="min"/>
        <cfvo type="max"/>
        <color rgb="FF008AEF"/>
      </dataBar>
      <extLst>
        <ext xmlns:x14="http://schemas.microsoft.com/office/spreadsheetml/2009/9/main" uri="{B025F937-C7B1-47D3-B67F-A62EFF666E3E}">
          <x14:id>{8672E9AE-BB27-4138-BCD3-8EC5825E421C}</x14:id>
        </ext>
      </extLst>
    </cfRule>
  </conditionalFormatting>
  <conditionalFormatting sqref="J95:J96">
    <cfRule type="dataBar" priority="113">
      <dataBar>
        <cfvo type="min"/>
        <cfvo type="max"/>
        <color rgb="FFFFB628"/>
      </dataBar>
      <extLst>
        <ext xmlns:x14="http://schemas.microsoft.com/office/spreadsheetml/2009/9/main" uri="{B025F937-C7B1-47D3-B67F-A62EFF666E3E}">
          <x14:id>{30C2EF33-2957-4C20-8700-9C8C4BA82DB1}</x14:id>
        </ext>
      </extLst>
    </cfRule>
  </conditionalFormatting>
  <conditionalFormatting sqref="I97:I98">
    <cfRule type="dataBar" priority="112">
      <dataBar>
        <cfvo type="min"/>
        <cfvo type="max"/>
        <color rgb="FF008AEF"/>
      </dataBar>
      <extLst>
        <ext xmlns:x14="http://schemas.microsoft.com/office/spreadsheetml/2009/9/main" uri="{B025F937-C7B1-47D3-B67F-A62EFF666E3E}">
          <x14:id>{CE9B0BC0-94F9-4A8E-83C0-80F39F067507}</x14:id>
        </ext>
      </extLst>
    </cfRule>
  </conditionalFormatting>
  <conditionalFormatting sqref="J97:J98">
    <cfRule type="dataBar" priority="111">
      <dataBar>
        <cfvo type="min"/>
        <cfvo type="max"/>
        <color rgb="FF008AEF"/>
      </dataBar>
      <extLst>
        <ext xmlns:x14="http://schemas.microsoft.com/office/spreadsheetml/2009/9/main" uri="{B025F937-C7B1-47D3-B67F-A62EFF666E3E}">
          <x14:id>{94EEA22F-FBD2-446C-B314-856E46E2960D}</x14:id>
        </ext>
      </extLst>
    </cfRule>
  </conditionalFormatting>
  <conditionalFormatting sqref="J97:J98">
    <cfRule type="dataBar" priority="110">
      <dataBar>
        <cfvo type="min"/>
        <cfvo type="max"/>
        <color rgb="FFFFB628"/>
      </dataBar>
      <extLst>
        <ext xmlns:x14="http://schemas.microsoft.com/office/spreadsheetml/2009/9/main" uri="{B025F937-C7B1-47D3-B67F-A62EFF666E3E}">
          <x14:id>{115A2B0E-AFA4-4DEA-82C9-35526E7E0901}</x14:id>
        </ext>
      </extLst>
    </cfRule>
  </conditionalFormatting>
  <conditionalFormatting sqref="E97">
    <cfRule type="expression" dxfId="3827" priority="109">
      <formula>$H97=0</formula>
    </cfRule>
  </conditionalFormatting>
  <conditionalFormatting sqref="E98">
    <cfRule type="expression" dxfId="3826" priority="108">
      <formula>$H98=0</formula>
    </cfRule>
  </conditionalFormatting>
  <conditionalFormatting sqref="I97:I98">
    <cfRule type="dataBar" priority="107">
      <dataBar>
        <cfvo type="min"/>
        <cfvo type="max"/>
        <color rgb="FF008AEF"/>
      </dataBar>
      <extLst>
        <ext xmlns:x14="http://schemas.microsoft.com/office/spreadsheetml/2009/9/main" uri="{B025F937-C7B1-47D3-B67F-A62EFF666E3E}">
          <x14:id>{FEE5A0C6-6759-4D21-9E15-E1084A4D84AD}</x14:id>
        </ext>
      </extLst>
    </cfRule>
  </conditionalFormatting>
  <conditionalFormatting sqref="J97:J98">
    <cfRule type="dataBar" priority="106">
      <dataBar>
        <cfvo type="min"/>
        <cfvo type="max"/>
        <color rgb="FF008AEF"/>
      </dataBar>
      <extLst>
        <ext xmlns:x14="http://schemas.microsoft.com/office/spreadsheetml/2009/9/main" uri="{B025F937-C7B1-47D3-B67F-A62EFF666E3E}">
          <x14:id>{C2D0BF10-4E50-4819-8454-654142C24F54}</x14:id>
        </ext>
      </extLst>
    </cfRule>
  </conditionalFormatting>
  <conditionalFormatting sqref="J97:J98">
    <cfRule type="dataBar" priority="105">
      <dataBar>
        <cfvo type="min"/>
        <cfvo type="max"/>
        <color rgb="FFFFB628"/>
      </dataBar>
      <extLst>
        <ext xmlns:x14="http://schemas.microsoft.com/office/spreadsheetml/2009/9/main" uri="{B025F937-C7B1-47D3-B67F-A62EFF666E3E}">
          <x14:id>{3BAFD214-D621-4C97-8FCF-0CDAD1AE2394}</x14:id>
        </ext>
      </extLst>
    </cfRule>
  </conditionalFormatting>
  <conditionalFormatting sqref="M97">
    <cfRule type="expression" dxfId="3825" priority="103">
      <formula>M97&gt;0</formula>
    </cfRule>
    <cfRule type="expression" dxfId="3824" priority="104">
      <formula>M97&lt;0</formula>
    </cfRule>
  </conditionalFormatting>
  <conditionalFormatting sqref="M98">
    <cfRule type="expression" dxfId="3823" priority="101">
      <formula>M98&gt;0</formula>
    </cfRule>
    <cfRule type="expression" dxfId="3822" priority="102">
      <formula>M98&lt;0</formula>
    </cfRule>
  </conditionalFormatting>
  <conditionalFormatting sqref="I99:I100">
    <cfRule type="dataBar" priority="98">
      <dataBar>
        <cfvo type="min"/>
        <cfvo type="max"/>
        <color rgb="FF008AEF"/>
      </dataBar>
      <extLst>
        <ext xmlns:x14="http://schemas.microsoft.com/office/spreadsheetml/2009/9/main" uri="{B025F937-C7B1-47D3-B67F-A62EFF666E3E}">
          <x14:id>{24309AFB-DC06-411B-8DBE-C605C35FB915}</x14:id>
        </ext>
      </extLst>
    </cfRule>
  </conditionalFormatting>
  <conditionalFormatting sqref="J99:J100">
    <cfRule type="dataBar" priority="97">
      <dataBar>
        <cfvo type="min"/>
        <cfvo type="max"/>
        <color rgb="FF008AEF"/>
      </dataBar>
      <extLst>
        <ext xmlns:x14="http://schemas.microsoft.com/office/spreadsheetml/2009/9/main" uri="{B025F937-C7B1-47D3-B67F-A62EFF666E3E}">
          <x14:id>{7C6B4C3B-6A27-48CB-8957-A456F58EB45B}</x14:id>
        </ext>
      </extLst>
    </cfRule>
  </conditionalFormatting>
  <conditionalFormatting sqref="J99:J100">
    <cfRule type="dataBar" priority="96">
      <dataBar>
        <cfvo type="min"/>
        <cfvo type="max"/>
        <color rgb="FFFFB628"/>
      </dataBar>
      <extLst>
        <ext xmlns:x14="http://schemas.microsoft.com/office/spreadsheetml/2009/9/main" uri="{B025F937-C7B1-47D3-B67F-A62EFF666E3E}">
          <x14:id>{348CB328-BBB8-4604-8040-2725B426E66E}</x14:id>
        </ext>
      </extLst>
    </cfRule>
  </conditionalFormatting>
  <conditionalFormatting sqref="E99">
    <cfRule type="expression" dxfId="3821" priority="95">
      <formula>$H99=0</formula>
    </cfRule>
  </conditionalFormatting>
  <conditionalFormatting sqref="E100">
    <cfRule type="expression" dxfId="3820" priority="94">
      <formula>$H100=0</formula>
    </cfRule>
  </conditionalFormatting>
  <conditionalFormatting sqref="I99:I100">
    <cfRule type="dataBar" priority="93">
      <dataBar>
        <cfvo type="min"/>
        <cfvo type="max"/>
        <color rgb="FF008AEF"/>
      </dataBar>
      <extLst>
        <ext xmlns:x14="http://schemas.microsoft.com/office/spreadsheetml/2009/9/main" uri="{B025F937-C7B1-47D3-B67F-A62EFF666E3E}">
          <x14:id>{BC4D15B4-AF18-42EB-91E1-58DE8D96343A}</x14:id>
        </ext>
      </extLst>
    </cfRule>
  </conditionalFormatting>
  <conditionalFormatting sqref="J99:J100">
    <cfRule type="dataBar" priority="92">
      <dataBar>
        <cfvo type="min"/>
        <cfvo type="max"/>
        <color rgb="FF008AEF"/>
      </dataBar>
      <extLst>
        <ext xmlns:x14="http://schemas.microsoft.com/office/spreadsheetml/2009/9/main" uri="{B025F937-C7B1-47D3-B67F-A62EFF666E3E}">
          <x14:id>{62EC9806-D0AD-4752-ABC7-A80E78C2C3DE}</x14:id>
        </ext>
      </extLst>
    </cfRule>
  </conditionalFormatting>
  <conditionalFormatting sqref="J99:J100">
    <cfRule type="dataBar" priority="91">
      <dataBar>
        <cfvo type="min"/>
        <cfvo type="max"/>
        <color rgb="FFFFB628"/>
      </dataBar>
      <extLst>
        <ext xmlns:x14="http://schemas.microsoft.com/office/spreadsheetml/2009/9/main" uri="{B025F937-C7B1-47D3-B67F-A62EFF666E3E}">
          <x14:id>{A7FCA8B1-9E3A-4F79-98B3-ED9DA485A223}</x14:id>
        </ext>
      </extLst>
    </cfRule>
  </conditionalFormatting>
  <conditionalFormatting sqref="M99">
    <cfRule type="expression" dxfId="3819" priority="89">
      <formula>M99&gt;0</formula>
    </cfRule>
    <cfRule type="expression" dxfId="3818" priority="90">
      <formula>M99&lt;0</formula>
    </cfRule>
  </conditionalFormatting>
  <conditionalFormatting sqref="M100">
    <cfRule type="expression" dxfId="3817" priority="87">
      <formula>M100&gt;0</formula>
    </cfRule>
    <cfRule type="expression" dxfId="3816" priority="88">
      <formula>M100&lt;0</formula>
    </cfRule>
  </conditionalFormatting>
  <conditionalFormatting sqref="I101:I102">
    <cfRule type="dataBar" priority="84">
      <dataBar>
        <cfvo type="min"/>
        <cfvo type="max"/>
        <color rgb="FF008AEF"/>
      </dataBar>
      <extLst>
        <ext xmlns:x14="http://schemas.microsoft.com/office/spreadsheetml/2009/9/main" uri="{B025F937-C7B1-47D3-B67F-A62EFF666E3E}">
          <x14:id>{42084654-433E-4BC5-9B99-09B3407543F6}</x14:id>
        </ext>
      </extLst>
    </cfRule>
  </conditionalFormatting>
  <conditionalFormatting sqref="J101:J102">
    <cfRule type="dataBar" priority="83">
      <dataBar>
        <cfvo type="min"/>
        <cfvo type="max"/>
        <color rgb="FF008AEF"/>
      </dataBar>
      <extLst>
        <ext xmlns:x14="http://schemas.microsoft.com/office/spreadsheetml/2009/9/main" uri="{B025F937-C7B1-47D3-B67F-A62EFF666E3E}">
          <x14:id>{D3544779-6AFB-4584-8B6B-73D0C630B9A5}</x14:id>
        </ext>
      </extLst>
    </cfRule>
  </conditionalFormatting>
  <conditionalFormatting sqref="J101:J102">
    <cfRule type="dataBar" priority="82">
      <dataBar>
        <cfvo type="min"/>
        <cfvo type="max"/>
        <color rgb="FFFFB628"/>
      </dataBar>
      <extLst>
        <ext xmlns:x14="http://schemas.microsoft.com/office/spreadsheetml/2009/9/main" uri="{B025F937-C7B1-47D3-B67F-A62EFF666E3E}">
          <x14:id>{B409C029-4450-41B1-902E-0BFBF91A0EBF}</x14:id>
        </ext>
      </extLst>
    </cfRule>
  </conditionalFormatting>
  <conditionalFormatting sqref="E101">
    <cfRule type="expression" dxfId="3815" priority="81">
      <formula>$H101=0</formula>
    </cfRule>
  </conditionalFormatting>
  <conditionalFormatting sqref="E102">
    <cfRule type="expression" dxfId="3814" priority="80">
      <formula>$H102=0</formula>
    </cfRule>
  </conditionalFormatting>
  <conditionalFormatting sqref="I101:I102">
    <cfRule type="dataBar" priority="79">
      <dataBar>
        <cfvo type="min"/>
        <cfvo type="max"/>
        <color rgb="FF008AEF"/>
      </dataBar>
      <extLst>
        <ext xmlns:x14="http://schemas.microsoft.com/office/spreadsheetml/2009/9/main" uri="{B025F937-C7B1-47D3-B67F-A62EFF666E3E}">
          <x14:id>{BB557C82-6E71-480D-9362-8EB3B03ED948}</x14:id>
        </ext>
      </extLst>
    </cfRule>
  </conditionalFormatting>
  <conditionalFormatting sqref="J101:J102">
    <cfRule type="dataBar" priority="78">
      <dataBar>
        <cfvo type="min"/>
        <cfvo type="max"/>
        <color rgb="FF008AEF"/>
      </dataBar>
      <extLst>
        <ext xmlns:x14="http://schemas.microsoft.com/office/spreadsheetml/2009/9/main" uri="{B025F937-C7B1-47D3-B67F-A62EFF666E3E}">
          <x14:id>{CA507EAF-E271-4E35-B577-670164DD3973}</x14:id>
        </ext>
      </extLst>
    </cfRule>
  </conditionalFormatting>
  <conditionalFormatting sqref="J101:J102">
    <cfRule type="dataBar" priority="77">
      <dataBar>
        <cfvo type="min"/>
        <cfvo type="max"/>
        <color rgb="FFFFB628"/>
      </dataBar>
      <extLst>
        <ext xmlns:x14="http://schemas.microsoft.com/office/spreadsheetml/2009/9/main" uri="{B025F937-C7B1-47D3-B67F-A62EFF666E3E}">
          <x14:id>{B2D5E20B-A188-451B-81BA-B312A8961ACD}</x14:id>
        </ext>
      </extLst>
    </cfRule>
  </conditionalFormatting>
  <conditionalFormatting sqref="M101">
    <cfRule type="expression" dxfId="3813" priority="75">
      <formula>M101&gt;0</formula>
    </cfRule>
    <cfRule type="expression" dxfId="3812" priority="76">
      <formula>M101&lt;0</formula>
    </cfRule>
  </conditionalFormatting>
  <conditionalFormatting sqref="M102">
    <cfRule type="expression" dxfId="3811" priority="73">
      <formula>M102&gt;0</formula>
    </cfRule>
    <cfRule type="expression" dxfId="3810" priority="74">
      <formula>M102&lt;0</formula>
    </cfRule>
  </conditionalFormatting>
  <conditionalFormatting sqref="I103">
    <cfRule type="dataBar" priority="70">
      <dataBar>
        <cfvo type="min"/>
        <cfvo type="max"/>
        <color rgb="FF008AEF"/>
      </dataBar>
      <extLst>
        <ext xmlns:x14="http://schemas.microsoft.com/office/spreadsheetml/2009/9/main" uri="{B025F937-C7B1-47D3-B67F-A62EFF666E3E}">
          <x14:id>{8173E1B1-35F8-440C-ABDB-A75E95E95B5D}</x14:id>
        </ext>
      </extLst>
    </cfRule>
  </conditionalFormatting>
  <conditionalFormatting sqref="J103">
    <cfRule type="dataBar" priority="69">
      <dataBar>
        <cfvo type="min"/>
        <cfvo type="max"/>
        <color rgb="FF008AEF"/>
      </dataBar>
      <extLst>
        <ext xmlns:x14="http://schemas.microsoft.com/office/spreadsheetml/2009/9/main" uri="{B025F937-C7B1-47D3-B67F-A62EFF666E3E}">
          <x14:id>{C1A079B2-7A39-4E89-BD9E-C789E24CFA5F}</x14:id>
        </ext>
      </extLst>
    </cfRule>
  </conditionalFormatting>
  <conditionalFormatting sqref="J103">
    <cfRule type="dataBar" priority="68">
      <dataBar>
        <cfvo type="min"/>
        <cfvo type="max"/>
        <color rgb="FFFFB628"/>
      </dataBar>
      <extLst>
        <ext xmlns:x14="http://schemas.microsoft.com/office/spreadsheetml/2009/9/main" uri="{B025F937-C7B1-47D3-B67F-A62EFF666E3E}">
          <x14:id>{674081AA-A6FE-49DD-B640-16CAFEF822C9}</x14:id>
        </ext>
      </extLst>
    </cfRule>
  </conditionalFormatting>
  <conditionalFormatting sqref="E103">
    <cfRule type="expression" dxfId="3809" priority="67">
      <formula>$H103=0</formula>
    </cfRule>
  </conditionalFormatting>
  <conditionalFormatting sqref="I103">
    <cfRule type="dataBar" priority="66">
      <dataBar>
        <cfvo type="min"/>
        <cfvo type="max"/>
        <color rgb="FF008AEF"/>
      </dataBar>
      <extLst>
        <ext xmlns:x14="http://schemas.microsoft.com/office/spreadsheetml/2009/9/main" uri="{B025F937-C7B1-47D3-B67F-A62EFF666E3E}">
          <x14:id>{B4E6E05C-BF46-4FAE-9A2B-12A75BAB6E59}</x14:id>
        </ext>
      </extLst>
    </cfRule>
  </conditionalFormatting>
  <conditionalFormatting sqref="J103">
    <cfRule type="dataBar" priority="65">
      <dataBar>
        <cfvo type="min"/>
        <cfvo type="max"/>
        <color rgb="FF008AEF"/>
      </dataBar>
      <extLst>
        <ext xmlns:x14="http://schemas.microsoft.com/office/spreadsheetml/2009/9/main" uri="{B025F937-C7B1-47D3-B67F-A62EFF666E3E}">
          <x14:id>{11F40F0A-B413-468E-84CD-42002784A7E2}</x14:id>
        </ext>
      </extLst>
    </cfRule>
  </conditionalFormatting>
  <conditionalFormatting sqref="J103">
    <cfRule type="dataBar" priority="64">
      <dataBar>
        <cfvo type="min"/>
        <cfvo type="max"/>
        <color rgb="FFFFB628"/>
      </dataBar>
      <extLst>
        <ext xmlns:x14="http://schemas.microsoft.com/office/spreadsheetml/2009/9/main" uri="{B025F937-C7B1-47D3-B67F-A62EFF666E3E}">
          <x14:id>{1E631BCB-A99D-491E-86E6-9A765DAE8713}</x14:id>
        </ext>
      </extLst>
    </cfRule>
  </conditionalFormatting>
  <conditionalFormatting sqref="M103">
    <cfRule type="expression" dxfId="3808" priority="62">
      <formula>M103&gt;0</formula>
    </cfRule>
    <cfRule type="expression" dxfId="3807" priority="63">
      <formula>M103&lt;0</formula>
    </cfRule>
  </conditionalFormatting>
  <conditionalFormatting sqref="I104">
    <cfRule type="dataBar" priority="57">
      <dataBar>
        <cfvo type="min"/>
        <cfvo type="max"/>
        <color rgb="FF008AEF"/>
      </dataBar>
      <extLst>
        <ext xmlns:x14="http://schemas.microsoft.com/office/spreadsheetml/2009/9/main" uri="{B025F937-C7B1-47D3-B67F-A62EFF666E3E}">
          <x14:id>{43E02C2B-3293-43AE-8CAC-2462AB426F6B}</x14:id>
        </ext>
      </extLst>
    </cfRule>
  </conditionalFormatting>
  <conditionalFormatting sqref="J104">
    <cfRule type="dataBar" priority="56">
      <dataBar>
        <cfvo type="min"/>
        <cfvo type="max"/>
        <color rgb="FF008AEF"/>
      </dataBar>
      <extLst>
        <ext xmlns:x14="http://schemas.microsoft.com/office/spreadsheetml/2009/9/main" uri="{B025F937-C7B1-47D3-B67F-A62EFF666E3E}">
          <x14:id>{047BE3B7-4D3B-45C3-B27E-67F21C01D57D}</x14:id>
        </ext>
      </extLst>
    </cfRule>
  </conditionalFormatting>
  <conditionalFormatting sqref="J104">
    <cfRule type="dataBar" priority="55">
      <dataBar>
        <cfvo type="min"/>
        <cfvo type="max"/>
        <color rgb="FFFFB628"/>
      </dataBar>
      <extLst>
        <ext xmlns:x14="http://schemas.microsoft.com/office/spreadsheetml/2009/9/main" uri="{B025F937-C7B1-47D3-B67F-A62EFF666E3E}">
          <x14:id>{58E93333-906C-48D4-B2ED-F48C5F97D5ED}</x14:id>
        </ext>
      </extLst>
    </cfRule>
  </conditionalFormatting>
  <conditionalFormatting sqref="E104">
    <cfRule type="expression" dxfId="3806" priority="54">
      <formula>$H104=0</formula>
    </cfRule>
  </conditionalFormatting>
  <conditionalFormatting sqref="I104">
    <cfRule type="dataBar" priority="53">
      <dataBar>
        <cfvo type="min"/>
        <cfvo type="max"/>
        <color rgb="FF008AEF"/>
      </dataBar>
      <extLst>
        <ext xmlns:x14="http://schemas.microsoft.com/office/spreadsheetml/2009/9/main" uri="{B025F937-C7B1-47D3-B67F-A62EFF666E3E}">
          <x14:id>{B7819508-0AA1-43DE-BD61-C175A08997C6}</x14:id>
        </ext>
      </extLst>
    </cfRule>
  </conditionalFormatting>
  <conditionalFormatting sqref="J104">
    <cfRule type="dataBar" priority="52">
      <dataBar>
        <cfvo type="min"/>
        <cfvo type="max"/>
        <color rgb="FF008AEF"/>
      </dataBar>
      <extLst>
        <ext xmlns:x14="http://schemas.microsoft.com/office/spreadsheetml/2009/9/main" uri="{B025F937-C7B1-47D3-B67F-A62EFF666E3E}">
          <x14:id>{B56AD5CD-5BB3-4B14-BAFF-DF509BBDFF5A}</x14:id>
        </ext>
      </extLst>
    </cfRule>
  </conditionalFormatting>
  <conditionalFormatting sqref="J104">
    <cfRule type="dataBar" priority="51">
      <dataBar>
        <cfvo type="min"/>
        <cfvo type="max"/>
        <color rgb="FFFFB628"/>
      </dataBar>
      <extLst>
        <ext xmlns:x14="http://schemas.microsoft.com/office/spreadsheetml/2009/9/main" uri="{B025F937-C7B1-47D3-B67F-A62EFF666E3E}">
          <x14:id>{76FFEBD6-C046-4565-ACEE-142A7DCD7C5E}</x14:id>
        </ext>
      </extLst>
    </cfRule>
  </conditionalFormatting>
  <conditionalFormatting sqref="M104">
    <cfRule type="expression" dxfId="3805" priority="49">
      <formula>M104&gt;0</formula>
    </cfRule>
    <cfRule type="expression" dxfId="3804" priority="50">
      <formula>M104&lt;0</formula>
    </cfRule>
  </conditionalFormatting>
  <conditionalFormatting sqref="I105:I106">
    <cfRule type="dataBar" priority="48">
      <dataBar>
        <cfvo type="min"/>
        <cfvo type="max"/>
        <color rgb="FF008AEF"/>
      </dataBar>
      <extLst>
        <ext xmlns:x14="http://schemas.microsoft.com/office/spreadsheetml/2009/9/main" uri="{B025F937-C7B1-47D3-B67F-A62EFF666E3E}">
          <x14:id>{DF823B25-49BD-48B8-8E40-0FC86B5B6C09}</x14:id>
        </ext>
      </extLst>
    </cfRule>
  </conditionalFormatting>
  <conditionalFormatting sqref="J105:J106">
    <cfRule type="dataBar" priority="47">
      <dataBar>
        <cfvo type="min"/>
        <cfvo type="max"/>
        <color rgb="FF008AEF"/>
      </dataBar>
      <extLst>
        <ext xmlns:x14="http://schemas.microsoft.com/office/spreadsheetml/2009/9/main" uri="{B025F937-C7B1-47D3-B67F-A62EFF666E3E}">
          <x14:id>{1E3DBC41-A7EA-4D03-85EB-34F177B0A983}</x14:id>
        </ext>
      </extLst>
    </cfRule>
  </conditionalFormatting>
  <conditionalFormatting sqref="J105:J106">
    <cfRule type="dataBar" priority="46">
      <dataBar>
        <cfvo type="min"/>
        <cfvo type="max"/>
        <color rgb="FFFFB628"/>
      </dataBar>
      <extLst>
        <ext xmlns:x14="http://schemas.microsoft.com/office/spreadsheetml/2009/9/main" uri="{B025F937-C7B1-47D3-B67F-A62EFF666E3E}">
          <x14:id>{91D58F31-76A0-4482-A546-11CB3B4C241C}</x14:id>
        </ext>
      </extLst>
    </cfRule>
  </conditionalFormatting>
  <conditionalFormatting sqref="E105">
    <cfRule type="expression" dxfId="3803" priority="45">
      <formula>$H105=0</formula>
    </cfRule>
  </conditionalFormatting>
  <conditionalFormatting sqref="E106">
    <cfRule type="expression" dxfId="3802" priority="44">
      <formula>$H106=0</formula>
    </cfRule>
  </conditionalFormatting>
  <conditionalFormatting sqref="I105:I106">
    <cfRule type="dataBar" priority="43">
      <dataBar>
        <cfvo type="min"/>
        <cfvo type="max"/>
        <color rgb="FF008AEF"/>
      </dataBar>
      <extLst>
        <ext xmlns:x14="http://schemas.microsoft.com/office/spreadsheetml/2009/9/main" uri="{B025F937-C7B1-47D3-B67F-A62EFF666E3E}">
          <x14:id>{E1CD19F1-D6B6-424F-9676-791362645508}</x14:id>
        </ext>
      </extLst>
    </cfRule>
  </conditionalFormatting>
  <conditionalFormatting sqref="J105:J106">
    <cfRule type="dataBar" priority="42">
      <dataBar>
        <cfvo type="min"/>
        <cfvo type="max"/>
        <color rgb="FF008AEF"/>
      </dataBar>
      <extLst>
        <ext xmlns:x14="http://schemas.microsoft.com/office/spreadsheetml/2009/9/main" uri="{B025F937-C7B1-47D3-B67F-A62EFF666E3E}">
          <x14:id>{8A9363CF-0B79-4F9B-86DF-B856D0325B1C}</x14:id>
        </ext>
      </extLst>
    </cfRule>
  </conditionalFormatting>
  <conditionalFormatting sqref="J105:J106">
    <cfRule type="dataBar" priority="41">
      <dataBar>
        <cfvo type="min"/>
        <cfvo type="max"/>
        <color rgb="FFFFB628"/>
      </dataBar>
      <extLst>
        <ext xmlns:x14="http://schemas.microsoft.com/office/spreadsheetml/2009/9/main" uri="{B025F937-C7B1-47D3-B67F-A62EFF666E3E}">
          <x14:id>{133BBA5D-BA21-446F-97E2-ADDFA75DD00F}</x14:id>
        </ext>
      </extLst>
    </cfRule>
  </conditionalFormatting>
  <conditionalFormatting sqref="M105">
    <cfRule type="expression" dxfId="3801" priority="39">
      <formula>M105&gt;0</formula>
    </cfRule>
    <cfRule type="expression" dxfId="3800" priority="40">
      <formula>M105&lt;0</formula>
    </cfRule>
  </conditionalFormatting>
  <conditionalFormatting sqref="M106">
    <cfRule type="expression" dxfId="3799" priority="37">
      <formula>M106&gt;0</formula>
    </cfRule>
    <cfRule type="expression" dxfId="3798" priority="38">
      <formula>M106&lt;0</formula>
    </cfRule>
  </conditionalFormatting>
  <conditionalFormatting sqref="Q1:Q108 Q110:Q206">
    <cfRule type="dataBar" priority="35">
      <dataBar>
        <cfvo type="min"/>
        <cfvo type="max"/>
        <color rgb="FF63C384"/>
      </dataBar>
      <extLst>
        <ext xmlns:x14="http://schemas.microsoft.com/office/spreadsheetml/2009/9/main" uri="{B025F937-C7B1-47D3-B67F-A62EFF666E3E}">
          <x14:id>{3FFA81B5-C393-454C-9527-411723CB57A3}</x14:id>
        </ext>
      </extLst>
    </cfRule>
  </conditionalFormatting>
  <conditionalFormatting sqref="I107:I108">
    <cfRule type="dataBar" priority="34">
      <dataBar>
        <cfvo type="min"/>
        <cfvo type="max"/>
        <color rgb="FF008AEF"/>
      </dataBar>
      <extLst>
        <ext xmlns:x14="http://schemas.microsoft.com/office/spreadsheetml/2009/9/main" uri="{B025F937-C7B1-47D3-B67F-A62EFF666E3E}">
          <x14:id>{47EB319E-D36F-48C6-8067-3FFE70EAD1FD}</x14:id>
        </ext>
      </extLst>
    </cfRule>
  </conditionalFormatting>
  <conditionalFormatting sqref="J107:J108">
    <cfRule type="dataBar" priority="33">
      <dataBar>
        <cfvo type="min"/>
        <cfvo type="max"/>
        <color rgb="FF008AEF"/>
      </dataBar>
      <extLst>
        <ext xmlns:x14="http://schemas.microsoft.com/office/spreadsheetml/2009/9/main" uri="{B025F937-C7B1-47D3-B67F-A62EFF666E3E}">
          <x14:id>{29B641DF-CA85-4C21-BAD9-E6DDCC0E3A53}</x14:id>
        </ext>
      </extLst>
    </cfRule>
  </conditionalFormatting>
  <conditionalFormatting sqref="J107:J108">
    <cfRule type="dataBar" priority="32">
      <dataBar>
        <cfvo type="min"/>
        <cfvo type="max"/>
        <color rgb="FFFFB628"/>
      </dataBar>
      <extLst>
        <ext xmlns:x14="http://schemas.microsoft.com/office/spreadsheetml/2009/9/main" uri="{B025F937-C7B1-47D3-B67F-A62EFF666E3E}">
          <x14:id>{17E3F0F0-D8C7-4BE3-9908-DEEC85CE1AC4}</x14:id>
        </ext>
      </extLst>
    </cfRule>
  </conditionalFormatting>
  <conditionalFormatting sqref="E107">
    <cfRule type="expression" dxfId="3797" priority="31">
      <formula>$H107=0</formula>
    </cfRule>
  </conditionalFormatting>
  <conditionalFormatting sqref="E108">
    <cfRule type="expression" dxfId="3796" priority="30">
      <formula>$H108=0</formula>
    </cfRule>
  </conditionalFormatting>
  <conditionalFormatting sqref="I107:I108">
    <cfRule type="dataBar" priority="29">
      <dataBar>
        <cfvo type="min"/>
        <cfvo type="max"/>
        <color rgb="FF008AEF"/>
      </dataBar>
      <extLst>
        <ext xmlns:x14="http://schemas.microsoft.com/office/spreadsheetml/2009/9/main" uri="{B025F937-C7B1-47D3-B67F-A62EFF666E3E}">
          <x14:id>{1E71C2EC-1E1C-43DA-B970-0D7AE04717AE}</x14:id>
        </ext>
      </extLst>
    </cfRule>
  </conditionalFormatting>
  <conditionalFormatting sqref="J107:J108">
    <cfRule type="dataBar" priority="28">
      <dataBar>
        <cfvo type="min"/>
        <cfvo type="max"/>
        <color rgb="FF008AEF"/>
      </dataBar>
      <extLst>
        <ext xmlns:x14="http://schemas.microsoft.com/office/spreadsheetml/2009/9/main" uri="{B025F937-C7B1-47D3-B67F-A62EFF666E3E}">
          <x14:id>{1D61DFD0-2015-4C66-9E32-19E0412DECEB}</x14:id>
        </ext>
      </extLst>
    </cfRule>
  </conditionalFormatting>
  <conditionalFormatting sqref="J107:J108">
    <cfRule type="dataBar" priority="27">
      <dataBar>
        <cfvo type="min"/>
        <cfvo type="max"/>
        <color rgb="FFFFB628"/>
      </dataBar>
      <extLst>
        <ext xmlns:x14="http://schemas.microsoft.com/office/spreadsheetml/2009/9/main" uri="{B025F937-C7B1-47D3-B67F-A62EFF666E3E}">
          <x14:id>{5B388E36-F186-42A4-BAAE-CDE5C06CCB6F}</x14:id>
        </ext>
      </extLst>
    </cfRule>
  </conditionalFormatting>
  <conditionalFormatting sqref="M107">
    <cfRule type="expression" dxfId="3795" priority="25">
      <formula>M107&gt;0</formula>
    </cfRule>
    <cfRule type="expression" dxfId="3794" priority="26">
      <formula>M107&lt;0</formula>
    </cfRule>
  </conditionalFormatting>
  <conditionalFormatting sqref="M108">
    <cfRule type="expression" dxfId="3793" priority="23">
      <formula>M108&gt;0</formula>
    </cfRule>
    <cfRule type="expression" dxfId="3792" priority="24">
      <formula>M108&lt;0</formula>
    </cfRule>
  </conditionalFormatting>
  <conditionalFormatting sqref="P1:P108 P110:P208">
    <cfRule type="dataBar" priority="22">
      <dataBar>
        <cfvo type="min"/>
        <cfvo type="max"/>
        <color rgb="FF63C384"/>
      </dataBar>
      <extLst>
        <ext xmlns:x14="http://schemas.microsoft.com/office/spreadsheetml/2009/9/main" uri="{B025F937-C7B1-47D3-B67F-A62EFF666E3E}">
          <x14:id>{4CA18B81-594F-47E5-A701-21998C152E17}</x14:id>
        </ext>
      </extLst>
    </cfRule>
  </conditionalFormatting>
  <conditionalFormatting sqref="L44">
    <cfRule type="expression" dxfId="3791" priority="19">
      <formula>L44&gt;0</formula>
    </cfRule>
    <cfRule type="expression" dxfId="3790" priority="20">
      <formula>L44&lt;0</formula>
    </cfRule>
  </conditionalFormatting>
  <conditionalFormatting sqref="K98">
    <cfRule type="expression" dxfId="3789" priority="17">
      <formula>K98&gt;0</formula>
    </cfRule>
    <cfRule type="expression" dxfId="3788" priority="18">
      <formula>K98&lt;0</formula>
    </cfRule>
  </conditionalFormatting>
  <conditionalFormatting sqref="K100">
    <cfRule type="expression" dxfId="3787" priority="15">
      <formula>K100&gt;0</formula>
    </cfRule>
    <cfRule type="expression" dxfId="3786" priority="16">
      <formula>K100&lt;0</formula>
    </cfRule>
  </conditionalFormatting>
  <conditionalFormatting sqref="K101">
    <cfRule type="expression" dxfId="3785" priority="13">
      <formula>K101&gt;0</formula>
    </cfRule>
    <cfRule type="expression" dxfId="3784" priority="14">
      <formula>K101&lt;0</formula>
    </cfRule>
  </conditionalFormatting>
  <conditionalFormatting sqref="Q109">
    <cfRule type="dataBar" priority="11">
      <dataBar>
        <cfvo type="min"/>
        <cfvo type="max"/>
        <color rgb="FF63C384"/>
      </dataBar>
      <extLst>
        <ext xmlns:x14="http://schemas.microsoft.com/office/spreadsheetml/2009/9/main" uri="{B025F937-C7B1-47D3-B67F-A62EFF666E3E}">
          <x14:id>{341B2776-4FC5-4676-96F4-5352CF971887}</x14:id>
        </ext>
      </extLst>
    </cfRule>
  </conditionalFormatting>
  <conditionalFormatting sqref="I109">
    <cfRule type="dataBar" priority="10">
      <dataBar>
        <cfvo type="min"/>
        <cfvo type="max"/>
        <color rgb="FF008AEF"/>
      </dataBar>
      <extLst>
        <ext xmlns:x14="http://schemas.microsoft.com/office/spreadsheetml/2009/9/main" uri="{B025F937-C7B1-47D3-B67F-A62EFF666E3E}">
          <x14:id>{1F38965E-BACC-45D5-A203-1B186777B537}</x14:id>
        </ext>
      </extLst>
    </cfRule>
  </conditionalFormatting>
  <conditionalFormatting sqref="J109">
    <cfRule type="dataBar" priority="9">
      <dataBar>
        <cfvo type="min"/>
        <cfvo type="max"/>
        <color rgb="FF008AEF"/>
      </dataBar>
      <extLst>
        <ext xmlns:x14="http://schemas.microsoft.com/office/spreadsheetml/2009/9/main" uri="{B025F937-C7B1-47D3-B67F-A62EFF666E3E}">
          <x14:id>{43CDAEA5-1C77-4AEB-81FB-C5B6071A1CBD}</x14:id>
        </ext>
      </extLst>
    </cfRule>
  </conditionalFormatting>
  <conditionalFormatting sqref="J109">
    <cfRule type="dataBar" priority="8">
      <dataBar>
        <cfvo type="min"/>
        <cfvo type="max"/>
        <color rgb="FFFFB628"/>
      </dataBar>
      <extLst>
        <ext xmlns:x14="http://schemas.microsoft.com/office/spreadsheetml/2009/9/main" uri="{B025F937-C7B1-47D3-B67F-A62EFF666E3E}">
          <x14:id>{33D54563-3FAC-4102-863A-B7452EA0FC3B}</x14:id>
        </ext>
      </extLst>
    </cfRule>
  </conditionalFormatting>
  <conditionalFormatting sqref="E109">
    <cfRule type="expression" dxfId="3783" priority="7">
      <formula>$H109=0</formula>
    </cfRule>
  </conditionalFormatting>
  <conditionalFormatting sqref="I109">
    <cfRule type="dataBar" priority="6">
      <dataBar>
        <cfvo type="min"/>
        <cfvo type="max"/>
        <color rgb="FF008AEF"/>
      </dataBar>
      <extLst>
        <ext xmlns:x14="http://schemas.microsoft.com/office/spreadsheetml/2009/9/main" uri="{B025F937-C7B1-47D3-B67F-A62EFF666E3E}">
          <x14:id>{24C40A42-537E-4125-B8F1-A71BD3E011B0}</x14:id>
        </ext>
      </extLst>
    </cfRule>
  </conditionalFormatting>
  <conditionalFormatting sqref="J109">
    <cfRule type="dataBar" priority="5">
      <dataBar>
        <cfvo type="min"/>
        <cfvo type="max"/>
        <color rgb="FF008AEF"/>
      </dataBar>
      <extLst>
        <ext xmlns:x14="http://schemas.microsoft.com/office/spreadsheetml/2009/9/main" uri="{B025F937-C7B1-47D3-B67F-A62EFF666E3E}">
          <x14:id>{B8A0103D-0E29-41F7-9C0A-AD39751A69E2}</x14:id>
        </ext>
      </extLst>
    </cfRule>
  </conditionalFormatting>
  <conditionalFormatting sqref="J109">
    <cfRule type="dataBar" priority="4">
      <dataBar>
        <cfvo type="min"/>
        <cfvo type="max"/>
        <color rgb="FFFFB628"/>
      </dataBar>
      <extLst>
        <ext xmlns:x14="http://schemas.microsoft.com/office/spreadsheetml/2009/9/main" uri="{B025F937-C7B1-47D3-B67F-A62EFF666E3E}">
          <x14:id>{C08476DA-EB21-40D8-9E72-4EC7AE0CE23D}</x14:id>
        </ext>
      </extLst>
    </cfRule>
  </conditionalFormatting>
  <conditionalFormatting sqref="M109">
    <cfRule type="expression" dxfId="3782" priority="2">
      <formula>M109&gt;0</formula>
    </cfRule>
    <cfRule type="expression" dxfId="3781" priority="3">
      <formula>M109&lt;0</formula>
    </cfRule>
  </conditionalFormatting>
  <conditionalFormatting sqref="P109">
    <cfRule type="dataBar" priority="1">
      <dataBar>
        <cfvo type="min"/>
        <cfvo type="max"/>
        <color rgb="FF63C384"/>
      </dataBar>
      <extLst>
        <ext xmlns:x14="http://schemas.microsoft.com/office/spreadsheetml/2009/9/main" uri="{B025F937-C7B1-47D3-B67F-A62EFF666E3E}">
          <x14:id>{FAF88DC0-B7BF-47D0-AD30-067304058C75}</x14:id>
        </ext>
      </extLst>
    </cfRule>
  </conditionalFormatting>
  <hyperlinks>
    <hyperlink ref="E21" location="BIIB!A1" display="BIIB"/>
    <hyperlink ref="E22" location="MYL!A1" display="MYL"/>
    <hyperlink ref="E23" location="SIG!A1" display="SIG"/>
    <hyperlink ref="E5" location="ABC!A1" display="ABC"/>
    <hyperlink ref="E24" location="NVR!A1" display="NVR"/>
    <hyperlink ref="E25" location="AAPL!A1" display="AAPL"/>
    <hyperlink ref="E26" location="AXP!A1" display="AXP"/>
    <hyperlink ref="E27" location="DG!A1" display="DG"/>
    <hyperlink ref="E28" location="PINC!A1" display="PINC"/>
    <hyperlink ref="E29" location="FOXA!A1" display="FOXA"/>
    <hyperlink ref="E30" location="AOBC!A1" display="AOBC"/>
    <hyperlink ref="E31" location="LUV!A1" display="LUV"/>
    <hyperlink ref="E32" location="CCEP!A1" display="CCEP"/>
    <hyperlink ref="E33" location="BMY!A1" display="BMY"/>
    <hyperlink ref="E34" location="TIF!A1" display="TIF"/>
    <hyperlink ref="E12" location="DWDP!A1" display="DWDP"/>
    <hyperlink ref="E35" location="GPS!A1" display="GPS"/>
    <hyperlink ref="E36" location="AKAM!A1" display="AKAM"/>
    <hyperlink ref="E37" location="ARNC!A1" display="ARNC"/>
    <hyperlink ref="E10" location="IEMG!A1" display="IEMG"/>
    <hyperlink ref="E9" location="CVS!A1" display="CVS"/>
    <hyperlink ref="E38" location="ADBE!A1" display="ADBE"/>
    <hyperlink ref="E17" location="FDX!A1" display="FDX"/>
    <hyperlink ref="E39" location="PPC!A1" display="PPC"/>
    <hyperlink ref="E40" location="SKX!A1" display="SKX"/>
    <hyperlink ref="E19" location="DOW!A1" display="DOW"/>
    <hyperlink ref="E41" location="XLB!A1" display="XLB"/>
    <hyperlink ref="E18" location="EOG!A1" display="EOG"/>
    <hyperlink ref="E42" location="TCEHY!A1" display="TCEHY"/>
    <hyperlink ref="E43" location="CCL!A1" display="CCL"/>
    <hyperlink ref="E44" location="DVN!A1" display="DVN"/>
    <hyperlink ref="E45" location="ET!A1" display="ET"/>
    <hyperlink ref="E46" location="KWEB!A1" display="KWEB"/>
    <hyperlink ref="E2" location="MRO!A1" display="MRO"/>
    <hyperlink ref="E47" location="GE!A1" display="GE"/>
    <hyperlink ref="E48" location="XRAY!A1" display="XRAY"/>
    <hyperlink ref="E49" location="ATVI!A1" display="ATVI"/>
    <hyperlink ref="E50" location="CRI!A1" display="CRI"/>
    <hyperlink ref="E51" location="AOS!A1" display="AOS"/>
    <hyperlink ref="E52" location="IWM!A1" display="IWM"/>
    <hyperlink ref="E53" location="PXD!A1" display="PXD"/>
    <hyperlink ref="E54" location="IPGP!A1" display="IPGP"/>
    <hyperlink ref="E55" location="SLCA!A1" display="SLCA"/>
    <hyperlink ref="E56" location="XLP!A1" display="XLP"/>
    <hyperlink ref="E57" location="KR!A1" display="KR"/>
    <hyperlink ref="E58" location="F!A1" display="F"/>
    <hyperlink ref="E59" location="JNJ!A1" display="JNJ"/>
    <hyperlink ref="E60" location="ULTA!A1" display="ULTA"/>
    <hyperlink ref="E61" location="FRC!A1" display="FRC"/>
    <hyperlink ref="E62" location="AAP!A1" display="AAP"/>
    <hyperlink ref="E63" location="CMCSA!A1" display="CMCSA"/>
    <hyperlink ref="E64" location="XEC!A1" display="XEC"/>
    <hyperlink ref="E4" location="WRK!A1" display="WRK"/>
    <hyperlink ref="E8" location="MO!A1" display="MO"/>
    <hyperlink ref="E65" location="T!A1" display="T"/>
    <hyperlink ref="E66" location="COST!A1" display="COST"/>
    <hyperlink ref="E67" location="CPN!A1" display="CPN"/>
    <hyperlink ref="E68" location="EW!A1" display="EW"/>
    <hyperlink ref="E69" location="TJX!A1" display="TJX"/>
    <hyperlink ref="E70" location="QQQ!A1" display="QQQ"/>
    <hyperlink ref="E71" location="WBA!A1" display="WBA"/>
    <hyperlink ref="E72" location="AZO!A1" display="AZO"/>
    <hyperlink ref="E73" location="FL!A1" display="FL"/>
    <hyperlink ref="E74" location="MLM!A1" display="MLM"/>
    <hyperlink ref="E3" location="KHC!A1" display="KHC"/>
    <hyperlink ref="E75" location="KBWY!A1" display="KBWY"/>
    <hyperlink ref="E11" location="AYI!A1" display="AYI"/>
    <hyperlink ref="E76" location="DIA!A1" display="DIA"/>
    <hyperlink ref="E77" location="ICE!A1" display="ICE"/>
    <hyperlink ref="E78" location="NKE!A1" display="NKE"/>
    <hyperlink ref="E6" location="MOS!A1" display="MOS"/>
    <hyperlink ref="E79" location="VGK!A1" display="VGK"/>
    <hyperlink ref="E80" location="CMG!A1" display="CMG"/>
    <hyperlink ref="E20" location="HAS!A1" display="HAS"/>
    <hyperlink ref="E14" location="HSIC!A1" display="HSIC"/>
    <hyperlink ref="E13" location="PDCO!A1" display="PDCO"/>
    <hyperlink ref="E81" location="MU!A1" display="MU"/>
    <hyperlink ref="E82" location="IP!A1" display="IP"/>
    <hyperlink ref="E83" location="INTC!A1" display="INTC"/>
    <hyperlink ref="E84" location="HES!A1" display="HES"/>
    <hyperlink ref="E85" location="UNP!A1" display="UNP"/>
    <hyperlink ref="E86" location="NCLH!A1" display="NCLH"/>
    <hyperlink ref="E87" location="SPY!A1" display="SPY"/>
    <hyperlink ref="E88" location="SWKS!A1" display="SWKS"/>
    <hyperlink ref="E89" location="CNI!A1" display="CNI"/>
    <hyperlink ref="E16" location="WFC!A1" display="WFC"/>
    <hyperlink ref="E90" location="AA!A1" display="AA"/>
    <hyperlink ref="E91" location="CF!A1" display="CF"/>
    <hyperlink ref="E92" location="TGT!A1" display="TGT"/>
    <hyperlink ref="E7" location="NWL!A1" display="NWL"/>
    <hyperlink ref="E93" location="CPRI!A1" display="CPRI"/>
    <hyperlink ref="E94" location="ALL!A1" display="ALL"/>
    <hyperlink ref="E95" location="NSC!A1" display="NSC"/>
    <hyperlink ref="E96" location="AVGO!A1" display="AVGO"/>
    <hyperlink ref="E97" location="UAL!A1" display="UAL"/>
    <hyperlink ref="E98" location="CAH!A1" display="CAH"/>
    <hyperlink ref="E99" location="DAL!A1" display="DAL"/>
    <hyperlink ref="E15" location="TEVA!A1" display="TEVA"/>
    <hyperlink ref="E100" location="DIS!A1" display="DIS"/>
    <hyperlink ref="E101" location="FTR!A1" display="FTR"/>
    <hyperlink ref="E102" location="GILD!A1" display="GILD"/>
    <hyperlink ref="E103" location="WWD!A1" display="WWD"/>
    <hyperlink ref="E104" location="GIS!A1" display="GIS"/>
    <hyperlink ref="E105" location="GM!A1" display="GM"/>
    <hyperlink ref="E106" location="TMO!A1" display="TMO"/>
    <hyperlink ref="E107" location="TKR!A1" display="TKR"/>
    <hyperlink ref="E108" location="UTX!A1" display="UTX"/>
    <hyperlink ref="E109" location="UNH!A1" display="UNH"/>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239FEF58-027D-4BA5-8CD3-DE2264C58054}">
            <x14:dataBar minLength="0" maxLength="100" border="1" negativeBarBorderColorSameAsPositive="0">
              <x14:cfvo type="autoMin"/>
              <x14:cfvo type="autoMax"/>
              <x14:borderColor rgb="FF63C384"/>
              <x14:negativeFillColor rgb="FFFF0000"/>
              <x14:negativeBorderColor rgb="FFFF0000"/>
              <x14:axisColor rgb="FF000000"/>
            </x14:dataBar>
          </x14:cfRule>
          <xm:sqref>O110:O1048576 O1</xm:sqref>
        </x14:conditionalFormatting>
        <x14:conditionalFormatting xmlns:xm="http://schemas.microsoft.com/office/excel/2006/main">
          <x14:cfRule type="dataBar" id="{382418C1-A6DE-4446-91C9-E56F23D17CD6}">
            <x14:dataBar minLength="0" maxLength="100" border="1" negativeBarBorderColorSameAsPositive="0">
              <x14:cfvo type="autoMin"/>
              <x14:cfvo type="autoMax"/>
              <x14:borderColor rgb="FF63C384"/>
              <x14:negativeFillColor rgb="FFFF0000"/>
              <x14:negativeBorderColor rgb="FFFF0000"/>
              <x14:axisColor rgb="FF000000"/>
            </x14:dataBar>
          </x14:cfRule>
          <xm:sqref>R110:R1048576</xm:sqref>
        </x14:conditionalFormatting>
        <x14:conditionalFormatting xmlns:xm="http://schemas.microsoft.com/office/excel/2006/main">
          <x14:cfRule type="dataBar" id="{8683254E-E3A1-4282-A660-853B513A2DFA}">
            <x14:dataBar minLength="0" maxLength="100" border="1" negativeBarBorderColorSameAsPositive="0">
              <x14:cfvo type="autoMin"/>
              <x14:cfvo type="autoMax"/>
              <x14:borderColor rgb="FF63C384"/>
              <x14:negativeFillColor rgb="FFFF0000"/>
              <x14:negativeBorderColor rgb="FFFF0000"/>
              <x14:axisColor rgb="FF000000"/>
            </x14:dataBar>
          </x14:cfRule>
          <xm:sqref>R1</xm:sqref>
        </x14:conditionalFormatting>
        <x14:conditionalFormatting xmlns:xm="http://schemas.microsoft.com/office/excel/2006/main">
          <x14:cfRule type="dataBar" id="{1B88CF0D-2051-4B93-9A51-1D9633AC9933}">
            <x14:dataBar minLength="0" maxLength="100" border="1" negativeBarBorderColorSameAsPositive="0">
              <x14:cfvo type="autoMin"/>
              <x14:cfvo type="autoMax"/>
              <x14:borderColor rgb="FF008AEF"/>
              <x14:negativeFillColor rgb="FFFF0000"/>
              <x14:negativeBorderColor rgb="FFFF0000"/>
              <x14:axisColor rgb="FF000000"/>
            </x14:dataBar>
          </x14:cfRule>
          <xm:sqref>I1:I85 I94:I96 I110:I1048576</xm:sqref>
        </x14:conditionalFormatting>
        <x14:conditionalFormatting xmlns:xm="http://schemas.microsoft.com/office/excel/2006/main">
          <x14:cfRule type="dataBar" id="{CB9409DB-0590-4C2D-A29D-C6412E36FE84}">
            <x14:dataBar minLength="0" maxLength="100" border="1" negativeBarBorderColorSameAsPositive="0">
              <x14:cfvo type="autoMin"/>
              <x14:cfvo type="autoMax"/>
              <x14:borderColor rgb="FF008AEF"/>
              <x14:negativeFillColor rgb="FFFF0000"/>
              <x14:negativeBorderColor rgb="FFFF0000"/>
              <x14:axisColor rgb="FF000000"/>
            </x14:dataBar>
          </x14:cfRule>
          <xm:sqref>J1:J85 J94:J96 J110:J1048576</xm:sqref>
        </x14:conditionalFormatting>
        <x14:conditionalFormatting xmlns:xm="http://schemas.microsoft.com/office/excel/2006/main">
          <x14:cfRule type="dataBar" id="{806C070A-7B7A-4815-88D7-61A05E6F206C}">
            <x14:dataBar minLength="0" maxLength="100" border="1" negativeBarBorderColorSameAsPositive="0">
              <x14:cfvo type="autoMin"/>
              <x14:cfvo type="autoMax"/>
              <x14:borderColor rgb="FFFFB628"/>
              <x14:negativeFillColor rgb="FFFF0000"/>
              <x14:negativeBorderColor rgb="FFFF0000"/>
              <x14:axisColor rgb="FF000000"/>
            </x14:dataBar>
          </x14:cfRule>
          <xm:sqref>J1:J85 J94:J96 J110:J1048576</xm:sqref>
        </x14:conditionalFormatting>
        <x14:conditionalFormatting xmlns:xm="http://schemas.microsoft.com/office/excel/2006/main">
          <x14:cfRule type="dataBar" id="{5CC15247-7E7C-4B0A-8DBC-1874CC303835}">
            <x14:dataBar minLength="0" maxLength="100" border="1" negativeBarBorderColorSameAsPositive="0">
              <x14:cfvo type="autoMin"/>
              <x14:cfvo type="autoMax"/>
              <x14:borderColor rgb="FF63C384"/>
              <x14:negativeFillColor rgb="FFFF0000"/>
              <x14:negativeBorderColor rgb="FFFF0000"/>
              <x14:axisColor rgb="FF000000"/>
            </x14:dataBar>
          </x14:cfRule>
          <xm:sqref>S1</xm:sqref>
        </x14:conditionalFormatting>
        <x14:conditionalFormatting xmlns:xm="http://schemas.microsoft.com/office/excel/2006/main">
          <x14:cfRule type="dataBar" id="{6E161C8C-701E-4A1B-9A72-E2791C9E29EB}">
            <x14:dataBar minLength="0" maxLength="100" border="1" negativeBarBorderColorSameAsPositive="0">
              <x14:cfvo type="autoMin"/>
              <x14:cfvo type="autoMax"/>
              <x14:borderColor rgb="FF008AEF"/>
              <x14:negativeFillColor rgb="FFFF0000"/>
              <x14:negativeBorderColor rgb="FFFF0000"/>
              <x14:axisColor rgb="FF000000"/>
            </x14:dataBar>
          </x14:cfRule>
          <xm:sqref>I86:I88</xm:sqref>
        </x14:conditionalFormatting>
        <x14:conditionalFormatting xmlns:xm="http://schemas.microsoft.com/office/excel/2006/main">
          <x14:cfRule type="dataBar" id="{3038D2AD-2056-46AA-8F21-AD38F13EEF0D}">
            <x14:dataBar minLength="0" maxLength="100" border="1" negativeBarBorderColorSameAsPositive="0">
              <x14:cfvo type="autoMin"/>
              <x14:cfvo type="autoMax"/>
              <x14:borderColor rgb="FF008AEF"/>
              <x14:negativeFillColor rgb="FFFF0000"/>
              <x14:negativeBorderColor rgb="FFFF0000"/>
              <x14:axisColor rgb="FF000000"/>
            </x14:dataBar>
          </x14:cfRule>
          <xm:sqref>J86:J88</xm:sqref>
        </x14:conditionalFormatting>
        <x14:conditionalFormatting xmlns:xm="http://schemas.microsoft.com/office/excel/2006/main">
          <x14:cfRule type="dataBar" id="{0ADB29CF-7284-4090-BC7B-AC5EE5573338}">
            <x14:dataBar minLength="0" maxLength="100" border="1" negativeBarBorderColorSameAsPositive="0">
              <x14:cfvo type="autoMin"/>
              <x14:cfvo type="autoMax"/>
              <x14:borderColor rgb="FFFFB628"/>
              <x14:negativeFillColor rgb="FFFF0000"/>
              <x14:negativeBorderColor rgb="FFFF0000"/>
              <x14:axisColor rgb="FF000000"/>
            </x14:dataBar>
          </x14:cfRule>
          <xm:sqref>J86:J88</xm:sqref>
        </x14:conditionalFormatting>
        <x14:conditionalFormatting xmlns:xm="http://schemas.microsoft.com/office/excel/2006/main">
          <x14:cfRule type="dataBar" id="{59879F96-726B-468E-BD52-734631AC27A5}">
            <x14:dataBar minLength="0" maxLength="100" border="1" negativeBarBorderColorSameAsPositive="0">
              <x14:cfvo type="autoMin"/>
              <x14:cfvo type="autoMax"/>
              <x14:borderColor rgb="FF008AEF"/>
              <x14:negativeFillColor rgb="FFFF0000"/>
              <x14:negativeBorderColor rgb="FFFF0000"/>
              <x14:axisColor rgb="FF000000"/>
            </x14:dataBar>
          </x14:cfRule>
          <xm:sqref>I89:I91</xm:sqref>
        </x14:conditionalFormatting>
        <x14:conditionalFormatting xmlns:xm="http://schemas.microsoft.com/office/excel/2006/main">
          <x14:cfRule type="dataBar" id="{5D846003-00FA-4F33-94EE-7D2446648113}">
            <x14:dataBar minLength="0" maxLength="100" border="1" negativeBarBorderColorSameAsPositive="0">
              <x14:cfvo type="autoMin"/>
              <x14:cfvo type="autoMax"/>
              <x14:borderColor rgb="FF008AEF"/>
              <x14:negativeFillColor rgb="FFFF0000"/>
              <x14:negativeBorderColor rgb="FFFF0000"/>
              <x14:axisColor rgb="FF000000"/>
            </x14:dataBar>
          </x14:cfRule>
          <xm:sqref>J89:J91</xm:sqref>
        </x14:conditionalFormatting>
        <x14:conditionalFormatting xmlns:xm="http://schemas.microsoft.com/office/excel/2006/main">
          <x14:cfRule type="dataBar" id="{66F0F92F-7990-4D6B-A3FB-E7F989FA086A}">
            <x14:dataBar minLength="0" maxLength="100" border="1" negativeBarBorderColorSameAsPositive="0">
              <x14:cfvo type="autoMin"/>
              <x14:cfvo type="autoMax"/>
              <x14:borderColor rgb="FFFFB628"/>
              <x14:negativeFillColor rgb="FFFF0000"/>
              <x14:negativeBorderColor rgb="FFFF0000"/>
              <x14:axisColor rgb="FF000000"/>
            </x14:dataBar>
          </x14:cfRule>
          <xm:sqref>J89:J91</xm:sqref>
        </x14:conditionalFormatting>
        <x14:conditionalFormatting xmlns:xm="http://schemas.microsoft.com/office/excel/2006/main">
          <x14:cfRule type="dataBar" id="{B4B78C41-C16A-4A4A-9F09-462C42F28B17}">
            <x14:dataBar minLength="0" maxLength="100" border="1" negativeBarBorderColorSameAsPositive="0">
              <x14:cfvo type="autoMin"/>
              <x14:cfvo type="autoMax"/>
              <x14:borderColor rgb="FF008AEF"/>
              <x14:negativeFillColor rgb="FFFF0000"/>
              <x14:negativeBorderColor rgb="FFFF0000"/>
              <x14:axisColor rgb="FF000000"/>
            </x14:dataBar>
          </x14:cfRule>
          <xm:sqref>I92:I93</xm:sqref>
        </x14:conditionalFormatting>
        <x14:conditionalFormatting xmlns:xm="http://schemas.microsoft.com/office/excel/2006/main">
          <x14:cfRule type="dataBar" id="{6CF83E2E-F02F-47B6-9C4D-116E113944AF}">
            <x14:dataBar minLength="0" maxLength="100" border="1" negativeBarBorderColorSameAsPositive="0">
              <x14:cfvo type="autoMin"/>
              <x14:cfvo type="autoMax"/>
              <x14:borderColor rgb="FF008AEF"/>
              <x14:negativeFillColor rgb="FFFF0000"/>
              <x14:negativeBorderColor rgb="FFFF0000"/>
              <x14:axisColor rgb="FF000000"/>
            </x14:dataBar>
          </x14:cfRule>
          <xm:sqref>J92:J93</xm:sqref>
        </x14:conditionalFormatting>
        <x14:conditionalFormatting xmlns:xm="http://schemas.microsoft.com/office/excel/2006/main">
          <x14:cfRule type="dataBar" id="{DC120700-D2CF-4B20-AEC0-C8F8D441CA03}">
            <x14:dataBar minLength="0" maxLength="100" border="1" negativeBarBorderColorSameAsPositive="0">
              <x14:cfvo type="autoMin"/>
              <x14:cfvo type="autoMax"/>
              <x14:borderColor rgb="FFFFB628"/>
              <x14:negativeFillColor rgb="FFFF0000"/>
              <x14:negativeBorderColor rgb="FFFF0000"/>
              <x14:axisColor rgb="FF000000"/>
            </x14:dataBar>
          </x14:cfRule>
          <xm:sqref>J92:J93</xm:sqref>
        </x14:conditionalFormatting>
        <x14:conditionalFormatting xmlns:xm="http://schemas.microsoft.com/office/excel/2006/main">
          <x14:cfRule type="dataBar" id="{B8C929AD-7BDC-4335-8C9C-C8750866D23B}">
            <x14:dataBar minLength="0" maxLength="100" border="1" negativeBarBorderColorSameAsPositive="0">
              <x14:cfvo type="autoMin"/>
              <x14:cfvo type="autoMax"/>
              <x14:borderColor rgb="FF008AEF"/>
              <x14:negativeFillColor rgb="FFFF0000"/>
              <x14:negativeBorderColor rgb="FFFF0000"/>
              <x14:axisColor rgb="FF000000"/>
            </x14:dataBar>
          </x14:cfRule>
          <xm:sqref>I92:I94</xm:sqref>
        </x14:conditionalFormatting>
        <x14:conditionalFormatting xmlns:xm="http://schemas.microsoft.com/office/excel/2006/main">
          <x14:cfRule type="dataBar" id="{27952B3B-980F-4079-AA8E-73449138FBE3}">
            <x14:dataBar minLength="0" maxLength="100" border="1" negativeBarBorderColorSameAsPositive="0">
              <x14:cfvo type="autoMin"/>
              <x14:cfvo type="autoMax"/>
              <x14:borderColor rgb="FF008AEF"/>
              <x14:negativeFillColor rgb="FFFF0000"/>
              <x14:negativeBorderColor rgb="FFFF0000"/>
              <x14:axisColor rgb="FF000000"/>
            </x14:dataBar>
          </x14:cfRule>
          <xm:sqref>J92:J94</xm:sqref>
        </x14:conditionalFormatting>
        <x14:conditionalFormatting xmlns:xm="http://schemas.microsoft.com/office/excel/2006/main">
          <x14:cfRule type="dataBar" id="{FF23B246-5E8A-44FF-A8BE-F0FEE6755BE0}">
            <x14:dataBar minLength="0" maxLength="100" border="1" negativeBarBorderColorSameAsPositive="0">
              <x14:cfvo type="autoMin"/>
              <x14:cfvo type="autoMax"/>
              <x14:borderColor rgb="FFFFB628"/>
              <x14:negativeFillColor rgb="FFFF0000"/>
              <x14:negativeBorderColor rgb="FFFF0000"/>
              <x14:axisColor rgb="FF000000"/>
            </x14:dataBar>
          </x14:cfRule>
          <xm:sqref>J92:J94</xm:sqref>
        </x14:conditionalFormatting>
        <x14:conditionalFormatting xmlns:xm="http://schemas.microsoft.com/office/excel/2006/main">
          <x14:cfRule type="dataBar" id="{44933F1F-17A4-4547-8AB7-8A09EE2B742B}">
            <x14:dataBar minLength="0" maxLength="100" border="1" negativeBarBorderColorSameAsPositive="0">
              <x14:cfvo type="autoMin"/>
              <x14:cfvo type="autoMax"/>
              <x14:borderColor rgb="FF008AEF"/>
              <x14:negativeFillColor rgb="FFFF0000"/>
              <x14:negativeBorderColor rgb="FFFF0000"/>
              <x14:axisColor rgb="FF000000"/>
            </x14:dataBar>
          </x14:cfRule>
          <xm:sqref>I95:I96</xm:sqref>
        </x14:conditionalFormatting>
        <x14:conditionalFormatting xmlns:xm="http://schemas.microsoft.com/office/excel/2006/main">
          <x14:cfRule type="dataBar" id="{8672E9AE-BB27-4138-BCD3-8EC5825E421C}">
            <x14:dataBar minLength="0" maxLength="100" border="1" negativeBarBorderColorSameAsPositive="0">
              <x14:cfvo type="autoMin"/>
              <x14:cfvo type="autoMax"/>
              <x14:borderColor rgb="FF008AEF"/>
              <x14:negativeFillColor rgb="FFFF0000"/>
              <x14:negativeBorderColor rgb="FFFF0000"/>
              <x14:axisColor rgb="FF000000"/>
            </x14:dataBar>
          </x14:cfRule>
          <xm:sqref>J95:J96</xm:sqref>
        </x14:conditionalFormatting>
        <x14:conditionalFormatting xmlns:xm="http://schemas.microsoft.com/office/excel/2006/main">
          <x14:cfRule type="dataBar" id="{30C2EF33-2957-4C20-8700-9C8C4BA82DB1}">
            <x14:dataBar minLength="0" maxLength="100" border="1" negativeBarBorderColorSameAsPositive="0">
              <x14:cfvo type="autoMin"/>
              <x14:cfvo type="autoMax"/>
              <x14:borderColor rgb="FFFFB628"/>
              <x14:negativeFillColor rgb="FFFF0000"/>
              <x14:negativeBorderColor rgb="FFFF0000"/>
              <x14:axisColor rgb="FF000000"/>
            </x14:dataBar>
          </x14:cfRule>
          <xm:sqref>J95:J96</xm:sqref>
        </x14:conditionalFormatting>
        <x14:conditionalFormatting xmlns:xm="http://schemas.microsoft.com/office/excel/2006/main">
          <x14:cfRule type="dataBar" id="{CE9B0BC0-94F9-4A8E-83C0-80F39F067507}">
            <x14:dataBar minLength="0" maxLength="100" border="1" negativeBarBorderColorSameAsPositive="0">
              <x14:cfvo type="autoMin"/>
              <x14:cfvo type="autoMax"/>
              <x14:borderColor rgb="FF008AEF"/>
              <x14:negativeFillColor rgb="FFFF0000"/>
              <x14:negativeBorderColor rgb="FFFF0000"/>
              <x14:axisColor rgb="FF000000"/>
            </x14:dataBar>
          </x14:cfRule>
          <xm:sqref>I97:I98</xm:sqref>
        </x14:conditionalFormatting>
        <x14:conditionalFormatting xmlns:xm="http://schemas.microsoft.com/office/excel/2006/main">
          <x14:cfRule type="dataBar" id="{94EEA22F-FBD2-446C-B314-856E46E2960D}">
            <x14:dataBar minLength="0" maxLength="100" border="1" negativeBarBorderColorSameAsPositive="0">
              <x14:cfvo type="autoMin"/>
              <x14:cfvo type="autoMax"/>
              <x14:borderColor rgb="FF008AEF"/>
              <x14:negativeFillColor rgb="FFFF0000"/>
              <x14:negativeBorderColor rgb="FFFF0000"/>
              <x14:axisColor rgb="FF000000"/>
            </x14:dataBar>
          </x14:cfRule>
          <xm:sqref>J97:J98</xm:sqref>
        </x14:conditionalFormatting>
        <x14:conditionalFormatting xmlns:xm="http://schemas.microsoft.com/office/excel/2006/main">
          <x14:cfRule type="dataBar" id="{115A2B0E-AFA4-4DEA-82C9-35526E7E0901}">
            <x14:dataBar minLength="0" maxLength="100" border="1" negativeBarBorderColorSameAsPositive="0">
              <x14:cfvo type="autoMin"/>
              <x14:cfvo type="autoMax"/>
              <x14:borderColor rgb="FFFFB628"/>
              <x14:negativeFillColor rgb="FFFF0000"/>
              <x14:negativeBorderColor rgb="FFFF0000"/>
              <x14:axisColor rgb="FF000000"/>
            </x14:dataBar>
          </x14:cfRule>
          <xm:sqref>J97:J98</xm:sqref>
        </x14:conditionalFormatting>
        <x14:conditionalFormatting xmlns:xm="http://schemas.microsoft.com/office/excel/2006/main">
          <x14:cfRule type="dataBar" id="{FEE5A0C6-6759-4D21-9E15-E1084A4D84AD}">
            <x14:dataBar minLength="0" maxLength="100" border="1" negativeBarBorderColorSameAsPositive="0">
              <x14:cfvo type="autoMin"/>
              <x14:cfvo type="autoMax"/>
              <x14:borderColor rgb="FF008AEF"/>
              <x14:negativeFillColor rgb="FFFF0000"/>
              <x14:negativeBorderColor rgb="FFFF0000"/>
              <x14:axisColor rgb="FF000000"/>
            </x14:dataBar>
          </x14:cfRule>
          <xm:sqref>I97:I98</xm:sqref>
        </x14:conditionalFormatting>
        <x14:conditionalFormatting xmlns:xm="http://schemas.microsoft.com/office/excel/2006/main">
          <x14:cfRule type="dataBar" id="{C2D0BF10-4E50-4819-8454-654142C24F54}">
            <x14:dataBar minLength="0" maxLength="100" border="1" negativeBarBorderColorSameAsPositive="0">
              <x14:cfvo type="autoMin"/>
              <x14:cfvo type="autoMax"/>
              <x14:borderColor rgb="FF008AEF"/>
              <x14:negativeFillColor rgb="FFFF0000"/>
              <x14:negativeBorderColor rgb="FFFF0000"/>
              <x14:axisColor rgb="FF000000"/>
            </x14:dataBar>
          </x14:cfRule>
          <xm:sqref>J97:J98</xm:sqref>
        </x14:conditionalFormatting>
        <x14:conditionalFormatting xmlns:xm="http://schemas.microsoft.com/office/excel/2006/main">
          <x14:cfRule type="dataBar" id="{3BAFD214-D621-4C97-8FCF-0CDAD1AE2394}">
            <x14:dataBar minLength="0" maxLength="100" border="1" negativeBarBorderColorSameAsPositive="0">
              <x14:cfvo type="autoMin"/>
              <x14:cfvo type="autoMax"/>
              <x14:borderColor rgb="FFFFB628"/>
              <x14:negativeFillColor rgb="FFFF0000"/>
              <x14:negativeBorderColor rgb="FFFF0000"/>
              <x14:axisColor rgb="FF000000"/>
            </x14:dataBar>
          </x14:cfRule>
          <xm:sqref>J97:J98</xm:sqref>
        </x14:conditionalFormatting>
        <x14:conditionalFormatting xmlns:xm="http://schemas.microsoft.com/office/excel/2006/main">
          <x14:cfRule type="dataBar" id="{24309AFB-DC06-411B-8DBE-C605C35FB915}">
            <x14:dataBar minLength="0" maxLength="100" border="1" negativeBarBorderColorSameAsPositive="0">
              <x14:cfvo type="autoMin"/>
              <x14:cfvo type="autoMax"/>
              <x14:borderColor rgb="FF008AEF"/>
              <x14:negativeFillColor rgb="FFFF0000"/>
              <x14:negativeBorderColor rgb="FFFF0000"/>
              <x14:axisColor rgb="FF000000"/>
            </x14:dataBar>
          </x14:cfRule>
          <xm:sqref>I99:I100</xm:sqref>
        </x14:conditionalFormatting>
        <x14:conditionalFormatting xmlns:xm="http://schemas.microsoft.com/office/excel/2006/main">
          <x14:cfRule type="dataBar" id="{7C6B4C3B-6A27-48CB-8957-A456F58EB45B}">
            <x14:dataBar minLength="0" maxLength="100" border="1" negativeBarBorderColorSameAsPositive="0">
              <x14:cfvo type="autoMin"/>
              <x14:cfvo type="autoMax"/>
              <x14:borderColor rgb="FF008AEF"/>
              <x14:negativeFillColor rgb="FFFF0000"/>
              <x14:negativeBorderColor rgb="FFFF0000"/>
              <x14:axisColor rgb="FF000000"/>
            </x14:dataBar>
          </x14:cfRule>
          <xm:sqref>J99:J100</xm:sqref>
        </x14:conditionalFormatting>
        <x14:conditionalFormatting xmlns:xm="http://schemas.microsoft.com/office/excel/2006/main">
          <x14:cfRule type="dataBar" id="{348CB328-BBB8-4604-8040-2725B426E66E}">
            <x14:dataBar minLength="0" maxLength="100" border="1" negativeBarBorderColorSameAsPositive="0">
              <x14:cfvo type="autoMin"/>
              <x14:cfvo type="autoMax"/>
              <x14:borderColor rgb="FFFFB628"/>
              <x14:negativeFillColor rgb="FFFF0000"/>
              <x14:negativeBorderColor rgb="FFFF0000"/>
              <x14:axisColor rgb="FF000000"/>
            </x14:dataBar>
          </x14:cfRule>
          <xm:sqref>J99:J100</xm:sqref>
        </x14:conditionalFormatting>
        <x14:conditionalFormatting xmlns:xm="http://schemas.microsoft.com/office/excel/2006/main">
          <x14:cfRule type="dataBar" id="{BC4D15B4-AF18-42EB-91E1-58DE8D96343A}">
            <x14:dataBar minLength="0" maxLength="100" border="1" negativeBarBorderColorSameAsPositive="0">
              <x14:cfvo type="autoMin"/>
              <x14:cfvo type="autoMax"/>
              <x14:borderColor rgb="FF008AEF"/>
              <x14:negativeFillColor rgb="FFFF0000"/>
              <x14:negativeBorderColor rgb="FFFF0000"/>
              <x14:axisColor rgb="FF000000"/>
            </x14:dataBar>
          </x14:cfRule>
          <xm:sqref>I99:I100</xm:sqref>
        </x14:conditionalFormatting>
        <x14:conditionalFormatting xmlns:xm="http://schemas.microsoft.com/office/excel/2006/main">
          <x14:cfRule type="dataBar" id="{62EC9806-D0AD-4752-ABC7-A80E78C2C3DE}">
            <x14:dataBar minLength="0" maxLength="100" border="1" negativeBarBorderColorSameAsPositive="0">
              <x14:cfvo type="autoMin"/>
              <x14:cfvo type="autoMax"/>
              <x14:borderColor rgb="FF008AEF"/>
              <x14:negativeFillColor rgb="FFFF0000"/>
              <x14:negativeBorderColor rgb="FFFF0000"/>
              <x14:axisColor rgb="FF000000"/>
            </x14:dataBar>
          </x14:cfRule>
          <xm:sqref>J99:J100</xm:sqref>
        </x14:conditionalFormatting>
        <x14:conditionalFormatting xmlns:xm="http://schemas.microsoft.com/office/excel/2006/main">
          <x14:cfRule type="dataBar" id="{A7FCA8B1-9E3A-4F79-98B3-ED9DA485A223}">
            <x14:dataBar minLength="0" maxLength="100" border="1" negativeBarBorderColorSameAsPositive="0">
              <x14:cfvo type="autoMin"/>
              <x14:cfvo type="autoMax"/>
              <x14:borderColor rgb="FFFFB628"/>
              <x14:negativeFillColor rgb="FFFF0000"/>
              <x14:negativeBorderColor rgb="FFFF0000"/>
              <x14:axisColor rgb="FF000000"/>
            </x14:dataBar>
          </x14:cfRule>
          <xm:sqref>J99:J100</xm:sqref>
        </x14:conditionalFormatting>
        <x14:conditionalFormatting xmlns:xm="http://schemas.microsoft.com/office/excel/2006/main">
          <x14:cfRule type="dataBar" id="{42084654-433E-4BC5-9B99-09B3407543F6}">
            <x14:dataBar minLength="0" maxLength="100" border="1" negativeBarBorderColorSameAsPositive="0">
              <x14:cfvo type="autoMin"/>
              <x14:cfvo type="autoMax"/>
              <x14:borderColor rgb="FF008AEF"/>
              <x14:negativeFillColor rgb="FFFF0000"/>
              <x14:negativeBorderColor rgb="FFFF0000"/>
              <x14:axisColor rgb="FF000000"/>
            </x14:dataBar>
          </x14:cfRule>
          <xm:sqref>I101:I102</xm:sqref>
        </x14:conditionalFormatting>
        <x14:conditionalFormatting xmlns:xm="http://schemas.microsoft.com/office/excel/2006/main">
          <x14:cfRule type="dataBar" id="{D3544779-6AFB-4584-8B6B-73D0C630B9A5}">
            <x14:dataBar minLength="0" maxLength="100" border="1" negativeBarBorderColorSameAsPositive="0">
              <x14:cfvo type="autoMin"/>
              <x14:cfvo type="autoMax"/>
              <x14:borderColor rgb="FF008AEF"/>
              <x14:negativeFillColor rgb="FFFF0000"/>
              <x14:negativeBorderColor rgb="FFFF0000"/>
              <x14:axisColor rgb="FF000000"/>
            </x14:dataBar>
          </x14:cfRule>
          <xm:sqref>J101:J102</xm:sqref>
        </x14:conditionalFormatting>
        <x14:conditionalFormatting xmlns:xm="http://schemas.microsoft.com/office/excel/2006/main">
          <x14:cfRule type="dataBar" id="{B409C029-4450-41B1-902E-0BFBF91A0EBF}">
            <x14:dataBar minLength="0" maxLength="100" border="1" negativeBarBorderColorSameAsPositive="0">
              <x14:cfvo type="autoMin"/>
              <x14:cfvo type="autoMax"/>
              <x14:borderColor rgb="FFFFB628"/>
              <x14:negativeFillColor rgb="FFFF0000"/>
              <x14:negativeBorderColor rgb="FFFF0000"/>
              <x14:axisColor rgb="FF000000"/>
            </x14:dataBar>
          </x14:cfRule>
          <xm:sqref>J101:J102</xm:sqref>
        </x14:conditionalFormatting>
        <x14:conditionalFormatting xmlns:xm="http://schemas.microsoft.com/office/excel/2006/main">
          <x14:cfRule type="dataBar" id="{BB557C82-6E71-480D-9362-8EB3B03ED948}">
            <x14:dataBar minLength="0" maxLength="100" border="1" negativeBarBorderColorSameAsPositive="0">
              <x14:cfvo type="autoMin"/>
              <x14:cfvo type="autoMax"/>
              <x14:borderColor rgb="FF008AEF"/>
              <x14:negativeFillColor rgb="FFFF0000"/>
              <x14:negativeBorderColor rgb="FFFF0000"/>
              <x14:axisColor rgb="FF000000"/>
            </x14:dataBar>
          </x14:cfRule>
          <xm:sqref>I101:I102</xm:sqref>
        </x14:conditionalFormatting>
        <x14:conditionalFormatting xmlns:xm="http://schemas.microsoft.com/office/excel/2006/main">
          <x14:cfRule type="dataBar" id="{CA507EAF-E271-4E35-B577-670164DD3973}">
            <x14:dataBar minLength="0" maxLength="100" border="1" negativeBarBorderColorSameAsPositive="0">
              <x14:cfvo type="autoMin"/>
              <x14:cfvo type="autoMax"/>
              <x14:borderColor rgb="FF008AEF"/>
              <x14:negativeFillColor rgb="FFFF0000"/>
              <x14:negativeBorderColor rgb="FFFF0000"/>
              <x14:axisColor rgb="FF000000"/>
            </x14:dataBar>
          </x14:cfRule>
          <xm:sqref>J101:J102</xm:sqref>
        </x14:conditionalFormatting>
        <x14:conditionalFormatting xmlns:xm="http://schemas.microsoft.com/office/excel/2006/main">
          <x14:cfRule type="dataBar" id="{B2D5E20B-A188-451B-81BA-B312A8961ACD}">
            <x14:dataBar minLength="0" maxLength="100" border="1" negativeBarBorderColorSameAsPositive="0">
              <x14:cfvo type="autoMin"/>
              <x14:cfvo type="autoMax"/>
              <x14:borderColor rgb="FFFFB628"/>
              <x14:negativeFillColor rgb="FFFF0000"/>
              <x14:negativeBorderColor rgb="FFFF0000"/>
              <x14:axisColor rgb="FF000000"/>
            </x14:dataBar>
          </x14:cfRule>
          <xm:sqref>J101:J102</xm:sqref>
        </x14:conditionalFormatting>
        <x14:conditionalFormatting xmlns:xm="http://schemas.microsoft.com/office/excel/2006/main">
          <x14:cfRule type="dataBar" id="{8173E1B1-35F8-440C-ABDB-A75E95E95B5D}">
            <x14:dataBar minLength="0" maxLength="100" border="1" negativeBarBorderColorSameAsPositive="0">
              <x14:cfvo type="autoMin"/>
              <x14:cfvo type="autoMax"/>
              <x14:borderColor rgb="FF008AEF"/>
              <x14:negativeFillColor rgb="FFFF0000"/>
              <x14:negativeBorderColor rgb="FFFF0000"/>
              <x14:axisColor rgb="FF000000"/>
            </x14:dataBar>
          </x14:cfRule>
          <xm:sqref>I103</xm:sqref>
        </x14:conditionalFormatting>
        <x14:conditionalFormatting xmlns:xm="http://schemas.microsoft.com/office/excel/2006/main">
          <x14:cfRule type="dataBar" id="{C1A079B2-7A39-4E89-BD9E-C789E24CFA5F}">
            <x14:dataBar minLength="0" maxLength="100" border="1" negativeBarBorderColorSameAsPositive="0">
              <x14:cfvo type="autoMin"/>
              <x14:cfvo type="autoMax"/>
              <x14:borderColor rgb="FF008AEF"/>
              <x14:negativeFillColor rgb="FFFF0000"/>
              <x14:negativeBorderColor rgb="FFFF0000"/>
              <x14:axisColor rgb="FF000000"/>
            </x14:dataBar>
          </x14:cfRule>
          <xm:sqref>J103</xm:sqref>
        </x14:conditionalFormatting>
        <x14:conditionalFormatting xmlns:xm="http://schemas.microsoft.com/office/excel/2006/main">
          <x14:cfRule type="dataBar" id="{674081AA-A6FE-49DD-B640-16CAFEF822C9}">
            <x14:dataBar minLength="0" maxLength="100" border="1" negativeBarBorderColorSameAsPositive="0">
              <x14:cfvo type="autoMin"/>
              <x14:cfvo type="autoMax"/>
              <x14:borderColor rgb="FFFFB628"/>
              <x14:negativeFillColor rgb="FFFF0000"/>
              <x14:negativeBorderColor rgb="FFFF0000"/>
              <x14:axisColor rgb="FF000000"/>
            </x14:dataBar>
          </x14:cfRule>
          <xm:sqref>J103</xm:sqref>
        </x14:conditionalFormatting>
        <x14:conditionalFormatting xmlns:xm="http://schemas.microsoft.com/office/excel/2006/main">
          <x14:cfRule type="dataBar" id="{B4E6E05C-BF46-4FAE-9A2B-12A75BAB6E59}">
            <x14:dataBar minLength="0" maxLength="100" border="1" negativeBarBorderColorSameAsPositive="0">
              <x14:cfvo type="autoMin"/>
              <x14:cfvo type="autoMax"/>
              <x14:borderColor rgb="FF008AEF"/>
              <x14:negativeFillColor rgb="FFFF0000"/>
              <x14:negativeBorderColor rgb="FFFF0000"/>
              <x14:axisColor rgb="FF000000"/>
            </x14:dataBar>
          </x14:cfRule>
          <xm:sqref>I103</xm:sqref>
        </x14:conditionalFormatting>
        <x14:conditionalFormatting xmlns:xm="http://schemas.microsoft.com/office/excel/2006/main">
          <x14:cfRule type="dataBar" id="{11F40F0A-B413-468E-84CD-42002784A7E2}">
            <x14:dataBar minLength="0" maxLength="100" border="1" negativeBarBorderColorSameAsPositive="0">
              <x14:cfvo type="autoMin"/>
              <x14:cfvo type="autoMax"/>
              <x14:borderColor rgb="FF008AEF"/>
              <x14:negativeFillColor rgb="FFFF0000"/>
              <x14:negativeBorderColor rgb="FFFF0000"/>
              <x14:axisColor rgb="FF000000"/>
            </x14:dataBar>
          </x14:cfRule>
          <xm:sqref>J103</xm:sqref>
        </x14:conditionalFormatting>
        <x14:conditionalFormatting xmlns:xm="http://schemas.microsoft.com/office/excel/2006/main">
          <x14:cfRule type="dataBar" id="{1E631BCB-A99D-491E-86E6-9A765DAE8713}">
            <x14:dataBar minLength="0" maxLength="100" border="1" negativeBarBorderColorSameAsPositive="0">
              <x14:cfvo type="autoMin"/>
              <x14:cfvo type="autoMax"/>
              <x14:borderColor rgb="FFFFB628"/>
              <x14:negativeFillColor rgb="FFFF0000"/>
              <x14:negativeBorderColor rgb="FFFF0000"/>
              <x14:axisColor rgb="FF000000"/>
            </x14:dataBar>
          </x14:cfRule>
          <xm:sqref>J103</xm:sqref>
        </x14:conditionalFormatting>
        <x14:conditionalFormatting xmlns:xm="http://schemas.microsoft.com/office/excel/2006/main">
          <x14:cfRule type="dataBar" id="{43E02C2B-3293-43AE-8CAC-2462AB426F6B}">
            <x14:dataBar minLength="0" maxLength="100" border="1" negativeBarBorderColorSameAsPositive="0">
              <x14:cfvo type="autoMin"/>
              <x14:cfvo type="autoMax"/>
              <x14:borderColor rgb="FF008AEF"/>
              <x14:negativeFillColor rgb="FFFF0000"/>
              <x14:negativeBorderColor rgb="FFFF0000"/>
              <x14:axisColor rgb="FF000000"/>
            </x14:dataBar>
          </x14:cfRule>
          <xm:sqref>I104</xm:sqref>
        </x14:conditionalFormatting>
        <x14:conditionalFormatting xmlns:xm="http://schemas.microsoft.com/office/excel/2006/main">
          <x14:cfRule type="dataBar" id="{047BE3B7-4D3B-45C3-B27E-67F21C01D57D}">
            <x14:dataBar minLength="0" maxLength="100" border="1" negativeBarBorderColorSameAsPositive="0">
              <x14:cfvo type="autoMin"/>
              <x14:cfvo type="autoMax"/>
              <x14:borderColor rgb="FF008AEF"/>
              <x14:negativeFillColor rgb="FFFF0000"/>
              <x14:negativeBorderColor rgb="FFFF0000"/>
              <x14:axisColor rgb="FF000000"/>
            </x14:dataBar>
          </x14:cfRule>
          <xm:sqref>J104</xm:sqref>
        </x14:conditionalFormatting>
        <x14:conditionalFormatting xmlns:xm="http://schemas.microsoft.com/office/excel/2006/main">
          <x14:cfRule type="dataBar" id="{58E93333-906C-48D4-B2ED-F48C5F97D5ED}">
            <x14:dataBar minLength="0" maxLength="100" border="1" negativeBarBorderColorSameAsPositive="0">
              <x14:cfvo type="autoMin"/>
              <x14:cfvo type="autoMax"/>
              <x14:borderColor rgb="FFFFB628"/>
              <x14:negativeFillColor rgb="FFFF0000"/>
              <x14:negativeBorderColor rgb="FFFF0000"/>
              <x14:axisColor rgb="FF000000"/>
            </x14:dataBar>
          </x14:cfRule>
          <xm:sqref>J104</xm:sqref>
        </x14:conditionalFormatting>
        <x14:conditionalFormatting xmlns:xm="http://schemas.microsoft.com/office/excel/2006/main">
          <x14:cfRule type="dataBar" id="{B7819508-0AA1-43DE-BD61-C175A08997C6}">
            <x14:dataBar minLength="0" maxLength="100" border="1" negativeBarBorderColorSameAsPositive="0">
              <x14:cfvo type="autoMin"/>
              <x14:cfvo type="autoMax"/>
              <x14:borderColor rgb="FF008AEF"/>
              <x14:negativeFillColor rgb="FFFF0000"/>
              <x14:negativeBorderColor rgb="FFFF0000"/>
              <x14:axisColor rgb="FF000000"/>
            </x14:dataBar>
          </x14:cfRule>
          <xm:sqref>I104</xm:sqref>
        </x14:conditionalFormatting>
        <x14:conditionalFormatting xmlns:xm="http://schemas.microsoft.com/office/excel/2006/main">
          <x14:cfRule type="dataBar" id="{B56AD5CD-5BB3-4B14-BAFF-DF509BBDFF5A}">
            <x14:dataBar minLength="0" maxLength="100" border="1" negativeBarBorderColorSameAsPositive="0">
              <x14:cfvo type="autoMin"/>
              <x14:cfvo type="autoMax"/>
              <x14:borderColor rgb="FF008AEF"/>
              <x14:negativeFillColor rgb="FFFF0000"/>
              <x14:negativeBorderColor rgb="FFFF0000"/>
              <x14:axisColor rgb="FF000000"/>
            </x14:dataBar>
          </x14:cfRule>
          <xm:sqref>J104</xm:sqref>
        </x14:conditionalFormatting>
        <x14:conditionalFormatting xmlns:xm="http://schemas.microsoft.com/office/excel/2006/main">
          <x14:cfRule type="dataBar" id="{76FFEBD6-C046-4565-ACEE-142A7DCD7C5E}">
            <x14:dataBar minLength="0" maxLength="100" border="1" negativeBarBorderColorSameAsPositive="0">
              <x14:cfvo type="autoMin"/>
              <x14:cfvo type="autoMax"/>
              <x14:borderColor rgb="FFFFB628"/>
              <x14:negativeFillColor rgb="FFFF0000"/>
              <x14:negativeBorderColor rgb="FFFF0000"/>
              <x14:axisColor rgb="FF000000"/>
            </x14:dataBar>
          </x14:cfRule>
          <xm:sqref>J104</xm:sqref>
        </x14:conditionalFormatting>
        <x14:conditionalFormatting xmlns:xm="http://schemas.microsoft.com/office/excel/2006/main">
          <x14:cfRule type="dataBar" id="{DF823B25-49BD-48B8-8E40-0FC86B5B6C09}">
            <x14:dataBar minLength="0" maxLength="100" border="1" negativeBarBorderColorSameAsPositive="0">
              <x14:cfvo type="autoMin"/>
              <x14:cfvo type="autoMax"/>
              <x14:borderColor rgb="FF008AEF"/>
              <x14:negativeFillColor rgb="FFFF0000"/>
              <x14:negativeBorderColor rgb="FFFF0000"/>
              <x14:axisColor rgb="FF000000"/>
            </x14:dataBar>
          </x14:cfRule>
          <xm:sqref>I105:I106</xm:sqref>
        </x14:conditionalFormatting>
        <x14:conditionalFormatting xmlns:xm="http://schemas.microsoft.com/office/excel/2006/main">
          <x14:cfRule type="dataBar" id="{1E3DBC41-A7EA-4D03-85EB-34F177B0A983}">
            <x14:dataBar minLength="0" maxLength="100" border="1" negativeBarBorderColorSameAsPositive="0">
              <x14:cfvo type="autoMin"/>
              <x14:cfvo type="autoMax"/>
              <x14:borderColor rgb="FF008AEF"/>
              <x14:negativeFillColor rgb="FFFF0000"/>
              <x14:negativeBorderColor rgb="FFFF0000"/>
              <x14:axisColor rgb="FF000000"/>
            </x14:dataBar>
          </x14:cfRule>
          <xm:sqref>J105:J106</xm:sqref>
        </x14:conditionalFormatting>
        <x14:conditionalFormatting xmlns:xm="http://schemas.microsoft.com/office/excel/2006/main">
          <x14:cfRule type="dataBar" id="{91D58F31-76A0-4482-A546-11CB3B4C241C}">
            <x14:dataBar minLength="0" maxLength="100" border="1" negativeBarBorderColorSameAsPositive="0">
              <x14:cfvo type="autoMin"/>
              <x14:cfvo type="autoMax"/>
              <x14:borderColor rgb="FFFFB628"/>
              <x14:negativeFillColor rgb="FFFF0000"/>
              <x14:negativeBorderColor rgb="FFFF0000"/>
              <x14:axisColor rgb="FF000000"/>
            </x14:dataBar>
          </x14:cfRule>
          <xm:sqref>J105:J106</xm:sqref>
        </x14:conditionalFormatting>
        <x14:conditionalFormatting xmlns:xm="http://schemas.microsoft.com/office/excel/2006/main">
          <x14:cfRule type="dataBar" id="{E1CD19F1-D6B6-424F-9676-791362645508}">
            <x14:dataBar minLength="0" maxLength="100" border="1" negativeBarBorderColorSameAsPositive="0">
              <x14:cfvo type="autoMin"/>
              <x14:cfvo type="autoMax"/>
              <x14:borderColor rgb="FF008AEF"/>
              <x14:negativeFillColor rgb="FFFF0000"/>
              <x14:negativeBorderColor rgb="FFFF0000"/>
              <x14:axisColor rgb="FF000000"/>
            </x14:dataBar>
          </x14:cfRule>
          <xm:sqref>I105:I106</xm:sqref>
        </x14:conditionalFormatting>
        <x14:conditionalFormatting xmlns:xm="http://schemas.microsoft.com/office/excel/2006/main">
          <x14:cfRule type="dataBar" id="{8A9363CF-0B79-4F9B-86DF-B856D0325B1C}">
            <x14:dataBar minLength="0" maxLength="100" border="1" negativeBarBorderColorSameAsPositive="0">
              <x14:cfvo type="autoMin"/>
              <x14:cfvo type="autoMax"/>
              <x14:borderColor rgb="FF008AEF"/>
              <x14:negativeFillColor rgb="FFFF0000"/>
              <x14:negativeBorderColor rgb="FFFF0000"/>
              <x14:axisColor rgb="FF000000"/>
            </x14:dataBar>
          </x14:cfRule>
          <xm:sqref>J105:J106</xm:sqref>
        </x14:conditionalFormatting>
        <x14:conditionalFormatting xmlns:xm="http://schemas.microsoft.com/office/excel/2006/main">
          <x14:cfRule type="dataBar" id="{133BBA5D-BA21-446F-97E2-ADDFA75DD00F}">
            <x14:dataBar minLength="0" maxLength="100" border="1" negativeBarBorderColorSameAsPositive="0">
              <x14:cfvo type="autoMin"/>
              <x14:cfvo type="autoMax"/>
              <x14:borderColor rgb="FFFFB628"/>
              <x14:negativeFillColor rgb="FFFF0000"/>
              <x14:negativeBorderColor rgb="FFFF0000"/>
              <x14:axisColor rgb="FF000000"/>
            </x14:dataBar>
          </x14:cfRule>
          <xm:sqref>J105:J106</xm:sqref>
        </x14:conditionalFormatting>
        <x14:conditionalFormatting xmlns:xm="http://schemas.microsoft.com/office/excel/2006/main">
          <x14:cfRule type="dataBar" id="{3FFA81B5-C393-454C-9527-411723CB57A3}">
            <x14:dataBar minLength="0" maxLength="100" border="1" negativeBarBorderColorSameAsPositive="0">
              <x14:cfvo type="autoMin"/>
              <x14:cfvo type="autoMax"/>
              <x14:borderColor rgb="FF63C384"/>
              <x14:negativeFillColor rgb="FFFF0000"/>
              <x14:negativeBorderColor rgb="FFFF0000"/>
              <x14:axisColor rgb="FF000000"/>
            </x14:dataBar>
          </x14:cfRule>
          <xm:sqref>Q1:Q108 Q110:Q206</xm:sqref>
        </x14:conditionalFormatting>
        <x14:conditionalFormatting xmlns:xm="http://schemas.microsoft.com/office/excel/2006/main">
          <x14:cfRule type="dataBar" id="{47EB319E-D36F-48C6-8067-3FFE70EAD1FD}">
            <x14:dataBar minLength="0" maxLength="100" border="1" negativeBarBorderColorSameAsPositive="0">
              <x14:cfvo type="autoMin"/>
              <x14:cfvo type="autoMax"/>
              <x14:borderColor rgb="FF008AEF"/>
              <x14:negativeFillColor rgb="FFFF0000"/>
              <x14:negativeBorderColor rgb="FFFF0000"/>
              <x14:axisColor rgb="FF000000"/>
            </x14:dataBar>
          </x14:cfRule>
          <xm:sqref>I107:I108</xm:sqref>
        </x14:conditionalFormatting>
        <x14:conditionalFormatting xmlns:xm="http://schemas.microsoft.com/office/excel/2006/main">
          <x14:cfRule type="dataBar" id="{29B641DF-CA85-4C21-BAD9-E6DDCC0E3A53}">
            <x14:dataBar minLength="0" maxLength="100" border="1" negativeBarBorderColorSameAsPositive="0">
              <x14:cfvo type="autoMin"/>
              <x14:cfvo type="autoMax"/>
              <x14:borderColor rgb="FF008AEF"/>
              <x14:negativeFillColor rgb="FFFF0000"/>
              <x14:negativeBorderColor rgb="FFFF0000"/>
              <x14:axisColor rgb="FF000000"/>
            </x14:dataBar>
          </x14:cfRule>
          <xm:sqref>J107:J108</xm:sqref>
        </x14:conditionalFormatting>
        <x14:conditionalFormatting xmlns:xm="http://schemas.microsoft.com/office/excel/2006/main">
          <x14:cfRule type="dataBar" id="{17E3F0F0-D8C7-4BE3-9908-DEEC85CE1AC4}">
            <x14:dataBar minLength="0" maxLength="100" border="1" negativeBarBorderColorSameAsPositive="0">
              <x14:cfvo type="autoMin"/>
              <x14:cfvo type="autoMax"/>
              <x14:borderColor rgb="FFFFB628"/>
              <x14:negativeFillColor rgb="FFFF0000"/>
              <x14:negativeBorderColor rgb="FFFF0000"/>
              <x14:axisColor rgb="FF000000"/>
            </x14:dataBar>
          </x14:cfRule>
          <xm:sqref>J107:J108</xm:sqref>
        </x14:conditionalFormatting>
        <x14:conditionalFormatting xmlns:xm="http://schemas.microsoft.com/office/excel/2006/main">
          <x14:cfRule type="dataBar" id="{1E71C2EC-1E1C-43DA-B970-0D7AE04717AE}">
            <x14:dataBar minLength="0" maxLength="100" border="1" negativeBarBorderColorSameAsPositive="0">
              <x14:cfvo type="autoMin"/>
              <x14:cfvo type="autoMax"/>
              <x14:borderColor rgb="FF008AEF"/>
              <x14:negativeFillColor rgb="FFFF0000"/>
              <x14:negativeBorderColor rgb="FFFF0000"/>
              <x14:axisColor rgb="FF000000"/>
            </x14:dataBar>
          </x14:cfRule>
          <xm:sqref>I107:I108</xm:sqref>
        </x14:conditionalFormatting>
        <x14:conditionalFormatting xmlns:xm="http://schemas.microsoft.com/office/excel/2006/main">
          <x14:cfRule type="dataBar" id="{1D61DFD0-2015-4C66-9E32-19E0412DECEB}">
            <x14:dataBar minLength="0" maxLength="100" border="1" negativeBarBorderColorSameAsPositive="0">
              <x14:cfvo type="autoMin"/>
              <x14:cfvo type="autoMax"/>
              <x14:borderColor rgb="FF008AEF"/>
              <x14:negativeFillColor rgb="FFFF0000"/>
              <x14:negativeBorderColor rgb="FFFF0000"/>
              <x14:axisColor rgb="FF000000"/>
            </x14:dataBar>
          </x14:cfRule>
          <xm:sqref>J107:J108</xm:sqref>
        </x14:conditionalFormatting>
        <x14:conditionalFormatting xmlns:xm="http://schemas.microsoft.com/office/excel/2006/main">
          <x14:cfRule type="dataBar" id="{5B388E36-F186-42A4-BAAE-CDE5C06CCB6F}">
            <x14:dataBar minLength="0" maxLength="100" border="1" negativeBarBorderColorSameAsPositive="0">
              <x14:cfvo type="autoMin"/>
              <x14:cfvo type="autoMax"/>
              <x14:borderColor rgb="FFFFB628"/>
              <x14:negativeFillColor rgb="FFFF0000"/>
              <x14:negativeBorderColor rgb="FFFF0000"/>
              <x14:axisColor rgb="FF000000"/>
            </x14:dataBar>
          </x14:cfRule>
          <xm:sqref>J107:J108</xm:sqref>
        </x14:conditionalFormatting>
        <x14:conditionalFormatting xmlns:xm="http://schemas.microsoft.com/office/excel/2006/main">
          <x14:cfRule type="dataBar" id="{4CA18B81-594F-47E5-A701-21998C152E17}">
            <x14:dataBar minLength="0" maxLength="100" border="1" negativeBarBorderColorSameAsPositive="0">
              <x14:cfvo type="autoMin"/>
              <x14:cfvo type="autoMax"/>
              <x14:borderColor rgb="FF63C384"/>
              <x14:negativeFillColor rgb="FFFF0000"/>
              <x14:negativeBorderColor rgb="FFFF0000"/>
              <x14:axisColor rgb="FF000000"/>
            </x14:dataBar>
          </x14:cfRule>
          <xm:sqref>P1:P108 P110:P208</xm:sqref>
        </x14:conditionalFormatting>
        <x14:conditionalFormatting xmlns:xm="http://schemas.microsoft.com/office/excel/2006/main">
          <x14:cfRule type="dataBar" id="{341B2776-4FC5-4676-96F4-5352CF971887}">
            <x14:dataBar minLength="0" maxLength="100" border="1" negativeBarBorderColorSameAsPositive="0">
              <x14:cfvo type="autoMin"/>
              <x14:cfvo type="autoMax"/>
              <x14:borderColor rgb="FF63C384"/>
              <x14:negativeFillColor rgb="FFFF0000"/>
              <x14:negativeBorderColor rgb="FFFF0000"/>
              <x14:axisColor rgb="FF000000"/>
            </x14:dataBar>
          </x14:cfRule>
          <xm:sqref>Q109</xm:sqref>
        </x14:conditionalFormatting>
        <x14:conditionalFormatting xmlns:xm="http://schemas.microsoft.com/office/excel/2006/main">
          <x14:cfRule type="dataBar" id="{1F38965E-BACC-45D5-A203-1B186777B537}">
            <x14:dataBar minLength="0" maxLength="100" border="1" negativeBarBorderColorSameAsPositive="0">
              <x14:cfvo type="autoMin"/>
              <x14:cfvo type="autoMax"/>
              <x14:borderColor rgb="FF008AEF"/>
              <x14:negativeFillColor rgb="FFFF0000"/>
              <x14:negativeBorderColor rgb="FFFF0000"/>
              <x14:axisColor rgb="FF000000"/>
            </x14:dataBar>
          </x14:cfRule>
          <xm:sqref>I109</xm:sqref>
        </x14:conditionalFormatting>
        <x14:conditionalFormatting xmlns:xm="http://schemas.microsoft.com/office/excel/2006/main">
          <x14:cfRule type="dataBar" id="{43CDAEA5-1C77-4AEB-81FB-C5B6071A1CBD}">
            <x14:dataBar minLength="0" maxLength="100" border="1" negativeBarBorderColorSameAsPositive="0">
              <x14:cfvo type="autoMin"/>
              <x14:cfvo type="autoMax"/>
              <x14:borderColor rgb="FF008AEF"/>
              <x14:negativeFillColor rgb="FFFF0000"/>
              <x14:negativeBorderColor rgb="FFFF0000"/>
              <x14:axisColor rgb="FF000000"/>
            </x14:dataBar>
          </x14:cfRule>
          <xm:sqref>J109</xm:sqref>
        </x14:conditionalFormatting>
        <x14:conditionalFormatting xmlns:xm="http://schemas.microsoft.com/office/excel/2006/main">
          <x14:cfRule type="dataBar" id="{33D54563-3FAC-4102-863A-B7452EA0FC3B}">
            <x14:dataBar minLength="0" maxLength="100" border="1" negativeBarBorderColorSameAsPositive="0">
              <x14:cfvo type="autoMin"/>
              <x14:cfvo type="autoMax"/>
              <x14:borderColor rgb="FFFFB628"/>
              <x14:negativeFillColor rgb="FFFF0000"/>
              <x14:negativeBorderColor rgb="FFFF0000"/>
              <x14:axisColor rgb="FF000000"/>
            </x14:dataBar>
          </x14:cfRule>
          <xm:sqref>J109</xm:sqref>
        </x14:conditionalFormatting>
        <x14:conditionalFormatting xmlns:xm="http://schemas.microsoft.com/office/excel/2006/main">
          <x14:cfRule type="dataBar" id="{24C40A42-537E-4125-B8F1-A71BD3E011B0}">
            <x14:dataBar minLength="0" maxLength="100" border="1" negativeBarBorderColorSameAsPositive="0">
              <x14:cfvo type="autoMin"/>
              <x14:cfvo type="autoMax"/>
              <x14:borderColor rgb="FF008AEF"/>
              <x14:negativeFillColor rgb="FFFF0000"/>
              <x14:negativeBorderColor rgb="FFFF0000"/>
              <x14:axisColor rgb="FF000000"/>
            </x14:dataBar>
          </x14:cfRule>
          <xm:sqref>I109</xm:sqref>
        </x14:conditionalFormatting>
        <x14:conditionalFormatting xmlns:xm="http://schemas.microsoft.com/office/excel/2006/main">
          <x14:cfRule type="dataBar" id="{B8A0103D-0E29-41F7-9C0A-AD39751A69E2}">
            <x14:dataBar minLength="0" maxLength="100" border="1" negativeBarBorderColorSameAsPositive="0">
              <x14:cfvo type="autoMin"/>
              <x14:cfvo type="autoMax"/>
              <x14:borderColor rgb="FF008AEF"/>
              <x14:negativeFillColor rgb="FFFF0000"/>
              <x14:negativeBorderColor rgb="FFFF0000"/>
              <x14:axisColor rgb="FF000000"/>
            </x14:dataBar>
          </x14:cfRule>
          <xm:sqref>J109</xm:sqref>
        </x14:conditionalFormatting>
        <x14:conditionalFormatting xmlns:xm="http://schemas.microsoft.com/office/excel/2006/main">
          <x14:cfRule type="dataBar" id="{C08476DA-EB21-40D8-9E72-4EC7AE0CE23D}">
            <x14:dataBar minLength="0" maxLength="100" border="1" negativeBarBorderColorSameAsPositive="0">
              <x14:cfvo type="autoMin"/>
              <x14:cfvo type="autoMax"/>
              <x14:borderColor rgb="FFFFB628"/>
              <x14:negativeFillColor rgb="FFFF0000"/>
              <x14:negativeBorderColor rgb="FFFF0000"/>
              <x14:axisColor rgb="FF000000"/>
            </x14:dataBar>
          </x14:cfRule>
          <xm:sqref>J109</xm:sqref>
        </x14:conditionalFormatting>
        <x14:conditionalFormatting xmlns:xm="http://schemas.microsoft.com/office/excel/2006/main">
          <x14:cfRule type="dataBar" id="{FAF88DC0-B7BF-47D0-AD30-067304058C75}">
            <x14:dataBar minLength="0" maxLength="100" border="1" negativeBarBorderColorSameAsPositive="0">
              <x14:cfvo type="autoMin"/>
              <x14:cfvo type="autoMax"/>
              <x14:borderColor rgb="FF63C384"/>
              <x14:negativeFillColor rgb="FFFF0000"/>
              <x14:negativeBorderColor rgb="FFFF0000"/>
              <x14:axisColor rgb="FF000000"/>
            </x14:dataBar>
          </x14:cfRule>
          <xm:sqref>P109</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S870"/>
  <sheetViews>
    <sheetView zoomScaleNormal="100" workbookViewId="0">
      <pane ySplit="1" topLeftCell="A859" activePane="bottomLeft" state="frozen"/>
      <selection pane="bottomLeft" activeCell="U875" sqref="U875"/>
    </sheetView>
  </sheetViews>
  <sheetFormatPr defaultColWidth="9.140625" defaultRowHeight="20.100000000000001" customHeight="1" x14ac:dyDescent="0.2"/>
  <cols>
    <col min="1" max="1" width="5" style="799" bestFit="1" customWidth="1"/>
    <col min="2" max="2" width="10.140625" style="869" bestFit="1" customWidth="1"/>
    <col min="3" max="3" width="8" style="799" bestFit="1" customWidth="1"/>
    <col min="4" max="4" width="11.42578125" style="870" bestFit="1" customWidth="1"/>
    <col min="5" max="5" width="11.5703125" style="870" bestFit="1" customWidth="1"/>
    <col min="6" max="6" width="7.7109375" style="870" bestFit="1" customWidth="1"/>
    <col min="7" max="7" width="14.28515625" style="870" bestFit="1" customWidth="1"/>
    <col min="8" max="8" width="12.28515625" style="870" bestFit="1" customWidth="1"/>
    <col min="9" max="9" width="10" style="871" bestFit="1" customWidth="1"/>
    <col min="10" max="10" width="11.42578125" style="799" bestFit="1" customWidth="1"/>
    <col min="11" max="11" width="9.140625" style="799" bestFit="1" customWidth="1"/>
    <col min="12" max="12" width="11.140625" style="799" bestFit="1" customWidth="1"/>
    <col min="13" max="13" width="10.140625" style="843" bestFit="1" customWidth="1"/>
    <col min="14" max="15" width="8.85546875" style="872" bestFit="1" customWidth="1"/>
    <col min="16" max="16" width="9" style="873" bestFit="1" customWidth="1"/>
    <col min="17" max="17" width="9.85546875" style="874" bestFit="1" customWidth="1"/>
    <col min="18" max="18" width="10.85546875" style="874" bestFit="1" customWidth="1"/>
    <col min="19" max="19" width="9.5703125" style="874" bestFit="1" customWidth="1"/>
    <col min="20" max="20" width="10" style="874" bestFit="1" customWidth="1"/>
    <col min="21" max="21" width="9.5703125" style="874" bestFit="1" customWidth="1"/>
    <col min="22" max="22" width="8.140625" style="872" bestFit="1" customWidth="1"/>
    <col min="23" max="23" width="7.28515625" style="872" bestFit="1" customWidth="1"/>
    <col min="24" max="24" width="10.28515625" style="872" bestFit="1" customWidth="1"/>
    <col min="25" max="25" width="10.7109375" style="843" bestFit="1" customWidth="1"/>
    <col min="26" max="26" width="8.7109375" style="843" bestFit="1" customWidth="1"/>
    <col min="27" max="27" width="9.5703125" style="799" bestFit="1" customWidth="1"/>
    <col min="28" max="28" width="9.140625" style="799"/>
    <col min="29" max="29" width="11.42578125" style="799" bestFit="1" customWidth="1"/>
    <col min="30" max="16384" width="9.140625" style="799"/>
  </cols>
  <sheetData>
    <row r="1" spans="1:45" ht="20.100000000000001" customHeight="1" x14ac:dyDescent="0.2">
      <c r="A1" s="790"/>
      <c r="B1" s="791" t="s">
        <v>86</v>
      </c>
      <c r="C1" s="790" t="s">
        <v>135</v>
      </c>
      <c r="D1" s="792" t="s">
        <v>137</v>
      </c>
      <c r="E1" s="792" t="s">
        <v>1313</v>
      </c>
      <c r="F1" s="792" t="s">
        <v>152</v>
      </c>
      <c r="G1" s="792" t="s">
        <v>274</v>
      </c>
      <c r="H1" s="792" t="s">
        <v>1312</v>
      </c>
      <c r="I1" s="790" t="s">
        <v>85</v>
      </c>
      <c r="J1" s="790" t="s">
        <v>87</v>
      </c>
      <c r="K1" s="790" t="s">
        <v>134</v>
      </c>
      <c r="L1" s="790" t="s">
        <v>136</v>
      </c>
      <c r="M1" s="793" t="s">
        <v>96</v>
      </c>
      <c r="N1" s="793" t="s">
        <v>76</v>
      </c>
      <c r="O1" s="793" t="s">
        <v>751</v>
      </c>
      <c r="P1" s="790" t="s">
        <v>148</v>
      </c>
      <c r="Q1" s="794" t="s">
        <v>1314</v>
      </c>
      <c r="R1" s="794" t="s">
        <v>186</v>
      </c>
      <c r="S1" s="794" t="s">
        <v>187</v>
      </c>
      <c r="T1" s="794" t="s">
        <v>210</v>
      </c>
      <c r="U1" s="794" t="s">
        <v>211</v>
      </c>
      <c r="V1" s="793" t="s">
        <v>215</v>
      </c>
      <c r="W1" s="793" t="s">
        <v>216</v>
      </c>
      <c r="X1" s="793" t="s">
        <v>1315</v>
      </c>
      <c r="Y1" s="793" t="s">
        <v>926</v>
      </c>
      <c r="Z1" s="793" t="s">
        <v>903</v>
      </c>
      <c r="AA1" s="795" t="s">
        <v>149</v>
      </c>
      <c r="AB1" s="796"/>
      <c r="AC1" s="797"/>
      <c r="AD1" s="796"/>
      <c r="AE1" s="797"/>
      <c r="AF1" s="797"/>
      <c r="AG1" s="798"/>
      <c r="AH1" s="798"/>
      <c r="AI1" s="798"/>
      <c r="AJ1" s="798"/>
    </row>
    <row r="2" spans="1:45" ht="20.100000000000001" customHeight="1" x14ac:dyDescent="0.2">
      <c r="A2" s="798"/>
      <c r="B2" s="800">
        <v>42233</v>
      </c>
      <c r="C2" s="801">
        <v>2102.44</v>
      </c>
      <c r="D2" s="802"/>
      <c r="E2" s="802"/>
      <c r="F2" s="803">
        <v>5091.7</v>
      </c>
      <c r="G2" s="802"/>
      <c r="H2" s="802"/>
      <c r="I2" s="804">
        <v>322588.21000000002</v>
      </c>
      <c r="J2" s="805">
        <v>360000</v>
      </c>
      <c r="K2" s="806"/>
      <c r="L2" s="806"/>
      <c r="M2" s="807">
        <f t="shared" ref="M2:M29" si="0">I2-J2</f>
        <v>-37411.789999999979</v>
      </c>
      <c r="N2" s="808">
        <f>M2/J2</f>
        <v>-0.10392163888888883</v>
      </c>
      <c r="O2" s="808"/>
      <c r="P2" s="807" t="b">
        <f>L2&gt;D2</f>
        <v>0</v>
      </c>
      <c r="Q2" s="808">
        <f>COUNTIF(P$2:P2, TRUE)/(COUNTIF(P$2:P2,FALSE) + COUNTIF(P$2:P2, TRUE))</f>
        <v>0</v>
      </c>
      <c r="R2" s="809"/>
      <c r="S2" s="809"/>
      <c r="T2" s="809"/>
      <c r="U2" s="809"/>
      <c r="V2" s="808"/>
      <c r="W2" s="808"/>
      <c r="X2" s="808"/>
      <c r="Y2" s="807"/>
      <c r="Z2" s="810"/>
      <c r="AA2" s="811">
        <f>LOOKUP(2,1/(M:M&lt;&gt;""),M:M)</f>
        <v>114382.34000000003</v>
      </c>
      <c r="AB2" s="796"/>
      <c r="AC2" s="797"/>
      <c r="AD2" s="796"/>
      <c r="AE2" s="797"/>
      <c r="AF2" s="797"/>
      <c r="AG2" s="798"/>
      <c r="AH2" s="798"/>
      <c r="AI2" s="798"/>
      <c r="AJ2" s="798"/>
    </row>
    <row r="3" spans="1:45" ht="20.100000000000001" customHeight="1" x14ac:dyDescent="0.2">
      <c r="A3" s="812" t="s">
        <v>71</v>
      </c>
      <c r="B3" s="800">
        <v>42234</v>
      </c>
      <c r="C3" s="813">
        <v>2096.92</v>
      </c>
      <c r="D3" s="814">
        <f>(C3-C2)/C2</f>
        <v>-2.6255208234242031E-3</v>
      </c>
      <c r="E3" s="815">
        <f>(C3-$C$2)/$C$2</f>
        <v>-2.6255208234242031E-3</v>
      </c>
      <c r="F3" s="816">
        <v>5059.3500000000004</v>
      </c>
      <c r="G3" s="814">
        <f t="shared" ref="G3:G66" si="1">(F3-F2)/F2</f>
        <v>-6.3534772276448836E-3</v>
      </c>
      <c r="H3" s="815">
        <f>(F3-F$2)/F$2</f>
        <v>-6.3534772276448836E-3</v>
      </c>
      <c r="I3" s="804">
        <v>319994.03000000003</v>
      </c>
      <c r="J3" s="805">
        <v>360000</v>
      </c>
      <c r="K3" s="805">
        <f t="shared" ref="K3:K28" si="2">I3-I2-J3+J2</f>
        <v>-2594.179999999993</v>
      </c>
      <c r="L3" s="814">
        <f>K3/I2</f>
        <v>-8.0417694124654861E-3</v>
      </c>
      <c r="M3" s="807">
        <f t="shared" si="0"/>
        <v>-40005.969999999972</v>
      </c>
      <c r="N3" s="808">
        <f t="shared" ref="N3:N29" si="3">M3/J3</f>
        <v>-0.11112769444444437</v>
      </c>
      <c r="O3" s="808"/>
      <c r="P3" s="807" t="b">
        <f>L3&gt;D3</f>
        <v>0</v>
      </c>
      <c r="Q3" s="808">
        <f>COUNTIF(P$2:P3, TRUE)/(COUNTIF(P$2:P3,FALSE) + COUNTIF(P$2:P3, TRUE))</f>
        <v>0</v>
      </c>
      <c r="R3" s="809"/>
      <c r="S3" s="809"/>
      <c r="T3" s="809"/>
      <c r="U3" s="809"/>
      <c r="V3" s="808"/>
      <c r="W3" s="808"/>
      <c r="X3" s="808"/>
      <c r="Y3" s="807"/>
      <c r="Z3" s="810"/>
      <c r="AB3" s="796"/>
      <c r="AC3" s="797"/>
      <c r="AD3" s="796"/>
      <c r="AE3" s="797"/>
      <c r="AF3" s="797"/>
      <c r="AG3" s="798"/>
      <c r="AH3" s="798"/>
      <c r="AI3" s="798"/>
      <c r="AJ3" s="798"/>
    </row>
    <row r="4" spans="1:45" ht="20.100000000000001" customHeight="1" x14ac:dyDescent="0.2">
      <c r="A4" s="798"/>
      <c r="B4" s="800">
        <v>42235</v>
      </c>
      <c r="C4" s="813">
        <v>2079.61</v>
      </c>
      <c r="D4" s="814">
        <f t="shared" ref="D4:D67" si="4">(C4-C3)/C3</f>
        <v>-8.254964424012334E-3</v>
      </c>
      <c r="E4" s="815">
        <f t="shared" ref="E4:E43" si="5">(C4-$C$2)/$C$2</f>
        <v>-1.0858811666444668E-2</v>
      </c>
      <c r="F4" s="816">
        <v>5019.05</v>
      </c>
      <c r="G4" s="814">
        <f t="shared" si="1"/>
        <v>-7.9654501072272486E-3</v>
      </c>
      <c r="H4" s="815">
        <f t="shared" ref="H4:H66" si="6">(F4-F$2)/F$2</f>
        <v>-1.4268319029007923E-2</v>
      </c>
      <c r="I4" s="804">
        <v>311839.78000000003</v>
      </c>
      <c r="J4" s="805">
        <v>360000</v>
      </c>
      <c r="K4" s="805">
        <f t="shared" si="2"/>
        <v>-8154.25</v>
      </c>
      <c r="L4" s="814">
        <f t="shared" ref="L4:L67" si="7">K4/I3</f>
        <v>-2.5482506658014836E-2</v>
      </c>
      <c r="M4" s="807">
        <f t="shared" si="0"/>
        <v>-48160.219999999972</v>
      </c>
      <c r="N4" s="808">
        <f t="shared" si="3"/>
        <v>-0.13377838888888882</v>
      </c>
      <c r="O4" s="808"/>
      <c r="P4" s="807" t="b">
        <f>L4&gt;D4</f>
        <v>0</v>
      </c>
      <c r="Q4" s="808">
        <f>COUNTIF(P$2:P4, TRUE)/(COUNTIF(P$2:P4,FALSE) + COUNTIF(P$2:P4, TRUE))</f>
        <v>0</v>
      </c>
      <c r="R4" s="809"/>
      <c r="S4" s="809"/>
      <c r="T4" s="809"/>
      <c r="U4" s="809"/>
      <c r="V4" s="808">
        <f>STDEV(D$2:D4)*SQRT(252)</f>
        <v>6.3190347694703594E-2</v>
      </c>
      <c r="W4" s="808">
        <f>STDEV(L$2:L4)*SQRT(252)</f>
        <v>0.19577179003677936</v>
      </c>
      <c r="X4" s="808"/>
      <c r="Y4" s="807"/>
      <c r="Z4" s="810"/>
      <c r="AA4" s="798"/>
      <c r="AB4" s="796"/>
      <c r="AC4" s="797"/>
      <c r="AD4" s="796"/>
      <c r="AE4" s="797"/>
      <c r="AF4" s="797"/>
      <c r="AG4" s="798"/>
      <c r="AH4" s="798"/>
      <c r="AI4" s="798"/>
      <c r="AJ4" s="798"/>
    </row>
    <row r="5" spans="1:45" ht="20.100000000000001" customHeight="1" x14ac:dyDescent="0.2">
      <c r="A5" s="798"/>
      <c r="B5" s="800">
        <v>42236</v>
      </c>
      <c r="C5" s="813">
        <v>2035.73</v>
      </c>
      <c r="D5" s="814">
        <f t="shared" si="4"/>
        <v>-2.1100110116800797E-2</v>
      </c>
      <c r="E5" s="815">
        <f t="shared" si="5"/>
        <v>-3.1729799661345884E-2</v>
      </c>
      <c r="F5" s="816">
        <v>4877.49</v>
      </c>
      <c r="G5" s="814">
        <f t="shared" si="1"/>
        <v>-2.8204540699933334E-2</v>
      </c>
      <c r="H5" s="815">
        <f t="shared" si="6"/>
        <v>-4.2070428344167965E-2</v>
      </c>
      <c r="I5" s="804">
        <v>301697.40999999997</v>
      </c>
      <c r="J5" s="805">
        <v>360000</v>
      </c>
      <c r="K5" s="805">
        <f t="shared" si="2"/>
        <v>-10142.370000000054</v>
      </c>
      <c r="L5" s="814">
        <f t="shared" si="7"/>
        <v>-3.2524298214936055E-2</v>
      </c>
      <c r="M5" s="807">
        <f t="shared" si="0"/>
        <v>-58302.590000000026</v>
      </c>
      <c r="N5" s="808">
        <f t="shared" si="3"/>
        <v>-0.16195163888888897</v>
      </c>
      <c r="O5" s="808"/>
      <c r="P5" s="807" t="b">
        <f>L5&gt;D5</f>
        <v>0</v>
      </c>
      <c r="Q5" s="808">
        <f>COUNTIF(P$2:P5, TRUE)/(COUNTIF(P$2:P5,FALSE) + COUNTIF(P$2:P5, TRUE))</f>
        <v>0</v>
      </c>
      <c r="R5" s="809"/>
      <c r="S5" s="809"/>
      <c r="T5" s="809"/>
      <c r="U5" s="809"/>
      <c r="V5" s="808">
        <f>STDEV(D$2:D5)*SQRT(252)</f>
        <v>0.15031949910961184</v>
      </c>
      <c r="W5" s="808">
        <f>STDEV(L$2:L5)*SQRT(252)</f>
        <v>0.20008182112239786</v>
      </c>
      <c r="X5" s="808"/>
      <c r="Y5" s="807"/>
      <c r="Z5" s="810"/>
      <c r="AA5" s="798"/>
      <c r="AB5" s="796"/>
      <c r="AC5" s="797"/>
      <c r="AD5" s="796"/>
      <c r="AE5" s="797"/>
      <c r="AF5" s="797"/>
      <c r="AG5" s="798"/>
      <c r="AH5" s="798"/>
      <c r="AI5" s="798"/>
      <c r="AJ5" s="798"/>
    </row>
    <row r="6" spans="1:45" ht="20.100000000000001" customHeight="1" x14ac:dyDescent="0.2">
      <c r="A6" s="798">
        <f>B6-$B$2</f>
        <v>4</v>
      </c>
      <c r="B6" s="800">
        <v>42237</v>
      </c>
      <c r="C6" s="813">
        <v>1970.89</v>
      </c>
      <c r="D6" s="814">
        <f t="shared" si="4"/>
        <v>-3.1850982202944356E-2</v>
      </c>
      <c r="E6" s="815">
        <f t="shared" si="5"/>
        <v>-6.2570156579973724E-2</v>
      </c>
      <c r="F6" s="816">
        <v>4706.04</v>
      </c>
      <c r="G6" s="814">
        <f t="shared" si="1"/>
        <v>-3.5151276578732057E-2</v>
      </c>
      <c r="H6" s="815">
        <f t="shared" si="6"/>
        <v>-7.5742875660388453E-2</v>
      </c>
      <c r="I6" s="804">
        <v>295093.56</v>
      </c>
      <c r="J6" s="805">
        <v>360000</v>
      </c>
      <c r="K6" s="805">
        <f t="shared" si="2"/>
        <v>-6603.8499999999767</v>
      </c>
      <c r="L6" s="814">
        <f t="shared" si="7"/>
        <v>-2.1888984728108792E-2</v>
      </c>
      <c r="M6" s="807">
        <f t="shared" si="0"/>
        <v>-64906.44</v>
      </c>
      <c r="N6" s="808">
        <f t="shared" si="3"/>
        <v>-0.18029566666666666</v>
      </c>
      <c r="O6" s="808"/>
      <c r="P6" s="807" t="b">
        <f>L6&gt;D6</f>
        <v>1</v>
      </c>
      <c r="Q6" s="808">
        <f>COUNTIF(P$2:P6, TRUE)/(COUNTIF(P$2:P6,FALSE) + COUNTIF(P$2:P6, TRUE))</f>
        <v>0.2</v>
      </c>
      <c r="R6" s="809"/>
      <c r="S6" s="809"/>
      <c r="T6" s="809"/>
      <c r="U6" s="809"/>
      <c r="V6" s="808">
        <f>STDEV(D$2:D6)*SQRT(252)</f>
        <v>0.20821641331654633</v>
      </c>
      <c r="W6" s="808">
        <f>STDEV(L$2:L6)*SQRT(252)</f>
        <v>0.16336924292253127</v>
      </c>
      <c r="X6" s="808"/>
      <c r="Y6" s="807"/>
      <c r="Z6" s="810"/>
      <c r="AA6" s="798"/>
      <c r="AB6" s="796"/>
      <c r="AC6" s="797"/>
      <c r="AD6" s="796"/>
      <c r="AE6" s="797"/>
      <c r="AF6" s="797"/>
      <c r="AG6" s="798"/>
      <c r="AH6" s="798"/>
      <c r="AI6" s="798"/>
      <c r="AJ6" s="798"/>
    </row>
    <row r="7" spans="1:45" ht="20.100000000000001" customHeight="1" x14ac:dyDescent="0.2">
      <c r="A7" s="798">
        <f t="shared" ref="A7:A70" si="8">B7-$B$2</f>
        <v>7</v>
      </c>
      <c r="B7" s="817">
        <v>42240</v>
      </c>
      <c r="C7" s="818">
        <v>1893.21</v>
      </c>
      <c r="D7" s="814">
        <f t="shared" si="4"/>
        <v>-3.9413665907280494E-2</v>
      </c>
      <c r="E7" s="819">
        <f t="shared" si="5"/>
        <v>-9.95177032400449E-2</v>
      </c>
      <c r="F7" s="820">
        <v>4526.25</v>
      </c>
      <c r="G7" s="814">
        <f t="shared" si="1"/>
        <v>-3.8204095162812035E-2</v>
      </c>
      <c r="H7" s="819">
        <f t="shared" si="6"/>
        <v>-0.11105328279356597</v>
      </c>
      <c r="I7" s="821">
        <v>283095.28999999998</v>
      </c>
      <c r="J7" s="822">
        <v>360000</v>
      </c>
      <c r="K7" s="822">
        <f t="shared" si="2"/>
        <v>-11998.270000000019</v>
      </c>
      <c r="L7" s="814">
        <f t="shared" si="7"/>
        <v>-4.0659206524195309E-2</v>
      </c>
      <c r="M7" s="823">
        <f t="shared" si="0"/>
        <v>-76904.710000000021</v>
      </c>
      <c r="N7" s="824">
        <f t="shared" si="3"/>
        <v>-0.2136241944444445</v>
      </c>
      <c r="O7" s="808"/>
      <c r="P7" s="823" t="b">
        <f t="shared" ref="P7:P58" si="9">L7&gt;D7</f>
        <v>0</v>
      </c>
      <c r="Q7" s="824">
        <f>COUNTIF(P$2:P7, TRUE)/(COUNTIF(P$2:P7,FALSE) + COUNTIF(P$2:P7, TRUE))</f>
        <v>0.16666666666666666</v>
      </c>
      <c r="R7" s="825"/>
      <c r="S7" s="825"/>
      <c r="T7" s="825"/>
      <c r="U7" s="825"/>
      <c r="V7" s="824">
        <f>STDEV(D$2:D7)*SQRT(252)</f>
        <v>0.24544711494961968</v>
      </c>
      <c r="W7" s="824">
        <f>STDEV(L$2:L7)*SQRT(252)</f>
        <v>0.19389190476539761</v>
      </c>
      <c r="X7" s="824"/>
      <c r="Y7" s="823"/>
      <c r="Z7" s="826"/>
      <c r="AA7" s="798"/>
      <c r="AB7" s="796"/>
      <c r="AC7" s="797"/>
      <c r="AD7" s="796"/>
      <c r="AE7" s="797"/>
      <c r="AF7" s="797"/>
      <c r="AG7" s="798"/>
      <c r="AH7" s="798"/>
      <c r="AI7" s="798"/>
      <c r="AJ7" s="798"/>
    </row>
    <row r="8" spans="1:45" ht="20.100000000000001" customHeight="1" x14ac:dyDescent="0.2">
      <c r="A8" s="798">
        <f t="shared" si="8"/>
        <v>8</v>
      </c>
      <c r="B8" s="817">
        <v>42241</v>
      </c>
      <c r="C8" s="818">
        <v>1867.61</v>
      </c>
      <c r="D8" s="814">
        <f t="shared" si="4"/>
        <v>-1.3522007595565277E-2</v>
      </c>
      <c r="E8" s="819">
        <f t="shared" si="5"/>
        <v>-0.11169403169650509</v>
      </c>
      <c r="F8" s="820">
        <v>4506.49</v>
      </c>
      <c r="G8" s="814">
        <f t="shared" si="1"/>
        <v>-4.3656448494891397E-3</v>
      </c>
      <c r="H8" s="819">
        <f t="shared" si="6"/>
        <v>-0.11493410845100852</v>
      </c>
      <c r="I8" s="821">
        <v>276943.21000000002</v>
      </c>
      <c r="J8" s="822">
        <v>360000</v>
      </c>
      <c r="K8" s="822">
        <f t="shared" si="2"/>
        <v>-6152.0799999999581</v>
      </c>
      <c r="L8" s="814">
        <f t="shared" si="7"/>
        <v>-2.1731481297339698E-2</v>
      </c>
      <c r="M8" s="823">
        <f t="shared" si="0"/>
        <v>-83056.789999999979</v>
      </c>
      <c r="N8" s="824">
        <f t="shared" si="3"/>
        <v>-0.2307133055555555</v>
      </c>
      <c r="O8" s="808"/>
      <c r="P8" s="823" t="b">
        <f t="shared" si="9"/>
        <v>0</v>
      </c>
      <c r="Q8" s="824">
        <f>COUNTIF(P$2:P8, TRUE)/(COUNTIF(P$2:P8,FALSE) + COUNTIF(P$2:P8, TRUE))</f>
        <v>0.14285714285714285</v>
      </c>
      <c r="R8" s="825"/>
      <c r="S8" s="825"/>
      <c r="T8" s="825"/>
      <c r="U8" s="825"/>
      <c r="V8" s="824">
        <f>STDEV(D$2:D8)*SQRT(252)</f>
        <v>0.22434082778798065</v>
      </c>
      <c r="W8" s="824">
        <f>STDEV(L$2:L8)*SQRT(252)</f>
        <v>0.17533735395795544</v>
      </c>
      <c r="X8" s="824"/>
      <c r="Y8" s="823"/>
      <c r="Z8" s="826"/>
      <c r="AA8" s="798"/>
      <c r="AB8" s="796"/>
      <c r="AC8" s="797"/>
      <c r="AD8" s="796"/>
      <c r="AE8" s="797"/>
      <c r="AF8" s="797"/>
      <c r="AG8" s="798"/>
      <c r="AH8" s="798"/>
      <c r="AI8" s="798"/>
      <c r="AJ8" s="798"/>
      <c r="AS8" s="827"/>
    </row>
    <row r="9" spans="1:45" ht="20.100000000000001" customHeight="1" x14ac:dyDescent="0.2">
      <c r="A9" s="798">
        <f t="shared" si="8"/>
        <v>9</v>
      </c>
      <c r="B9" s="817">
        <v>42242</v>
      </c>
      <c r="C9" s="818">
        <v>1940.51</v>
      </c>
      <c r="D9" s="814">
        <f t="shared" si="4"/>
        <v>3.9033845395987435E-2</v>
      </c>
      <c r="E9" s="819">
        <f t="shared" si="5"/>
        <v>-7.7020033865413548E-2</v>
      </c>
      <c r="F9" s="820">
        <v>4697.54</v>
      </c>
      <c r="G9" s="814">
        <f t="shared" si="1"/>
        <v>4.239441339046579E-2</v>
      </c>
      <c r="H9" s="819">
        <f t="shared" si="6"/>
        <v>-7.741225916687941E-2</v>
      </c>
      <c r="I9" s="821">
        <v>284832.2</v>
      </c>
      <c r="J9" s="822">
        <v>360000</v>
      </c>
      <c r="K9" s="822">
        <f t="shared" si="2"/>
        <v>7888.9899999999907</v>
      </c>
      <c r="L9" s="814">
        <f t="shared" si="7"/>
        <v>2.8485948436865412E-2</v>
      </c>
      <c r="M9" s="823">
        <f t="shared" si="0"/>
        <v>-75167.799999999988</v>
      </c>
      <c r="N9" s="824">
        <f t="shared" si="3"/>
        <v>-0.2087994444444444</v>
      </c>
      <c r="O9" s="808"/>
      <c r="P9" s="823" t="b">
        <f t="shared" si="9"/>
        <v>0</v>
      </c>
      <c r="Q9" s="824">
        <f>COUNTIF(P$2:P9, TRUE)/(COUNTIF(P$2:P9,FALSE) + COUNTIF(P$2:P9, TRUE))</f>
        <v>0.125</v>
      </c>
      <c r="R9" s="825"/>
      <c r="S9" s="825"/>
      <c r="T9" s="825"/>
      <c r="U9" s="825"/>
      <c r="V9" s="824">
        <f>STDEV(D$2:D9)*SQRT(252)</f>
        <v>0.40635063731985605</v>
      </c>
      <c r="W9" s="824">
        <f>STDEV(L$2:L9)*SQRT(252)</f>
        <v>0.35891083910893234</v>
      </c>
      <c r="X9" s="824"/>
      <c r="Y9" s="823"/>
      <c r="Z9" s="826"/>
      <c r="AA9" s="798"/>
      <c r="AB9" s="796"/>
      <c r="AC9" s="797"/>
      <c r="AD9" s="796"/>
      <c r="AE9" s="797"/>
      <c r="AF9" s="797"/>
      <c r="AG9" s="798"/>
      <c r="AH9" s="798"/>
      <c r="AI9" s="798"/>
      <c r="AJ9" s="798"/>
    </row>
    <row r="10" spans="1:45" ht="20.100000000000001" customHeight="1" x14ac:dyDescent="0.2">
      <c r="A10" s="798">
        <f t="shared" si="8"/>
        <v>10</v>
      </c>
      <c r="B10" s="817">
        <v>42243</v>
      </c>
      <c r="C10" s="818">
        <v>1987.66</v>
      </c>
      <c r="D10" s="814">
        <f t="shared" si="4"/>
        <v>2.429773616214299E-2</v>
      </c>
      <c r="E10" s="819">
        <f t="shared" si="5"/>
        <v>-5.4593710165331696E-2</v>
      </c>
      <c r="F10" s="820">
        <v>4812.71</v>
      </c>
      <c r="G10" s="814">
        <f t="shared" si="1"/>
        <v>2.4517087667161978E-2</v>
      </c>
      <c r="H10" s="819">
        <f t="shared" si="6"/>
        <v>-5.4793094644224875E-2</v>
      </c>
      <c r="I10" s="821">
        <v>300742.98</v>
      </c>
      <c r="J10" s="822">
        <v>360000</v>
      </c>
      <c r="K10" s="822">
        <f t="shared" si="2"/>
        <v>15910.77999999997</v>
      </c>
      <c r="L10" s="814">
        <f t="shared" si="7"/>
        <v>5.5860187155806013E-2</v>
      </c>
      <c r="M10" s="823">
        <f t="shared" si="0"/>
        <v>-59257.020000000019</v>
      </c>
      <c r="N10" s="824">
        <f t="shared" si="3"/>
        <v>-0.16460283333333339</v>
      </c>
      <c r="O10" s="808"/>
      <c r="P10" s="823" t="b">
        <f t="shared" si="9"/>
        <v>1</v>
      </c>
      <c r="Q10" s="824">
        <f>COUNTIF(P$2:P10, TRUE)/(COUNTIF(P$2:P10,FALSE) + COUNTIF(P$2:P10, TRUE))</f>
        <v>0.22222222222222221</v>
      </c>
      <c r="R10" s="825"/>
      <c r="S10" s="825"/>
      <c r="T10" s="825"/>
      <c r="U10" s="825"/>
      <c r="V10" s="824">
        <f>STDEV(D$2:D10)*SQRT(252)</f>
        <v>0.42545538355052082</v>
      </c>
      <c r="W10" s="824">
        <f>STDEV(L$2:L10)*SQRT(252)</f>
        <v>0.52868202794227925</v>
      </c>
      <c r="X10" s="824"/>
      <c r="Y10" s="823"/>
      <c r="Z10" s="826"/>
      <c r="AA10" s="798" t="s">
        <v>123</v>
      </c>
      <c r="AB10" s="796"/>
      <c r="AC10" s="797"/>
      <c r="AD10" s="796"/>
      <c r="AE10" s="797"/>
      <c r="AF10" s="797"/>
      <c r="AG10" s="798"/>
      <c r="AH10" s="798"/>
      <c r="AI10" s="798"/>
      <c r="AJ10" s="798"/>
    </row>
    <row r="11" spans="1:45" ht="20.100000000000001" customHeight="1" x14ac:dyDescent="0.2">
      <c r="A11" s="798">
        <f t="shared" si="8"/>
        <v>11</v>
      </c>
      <c r="B11" s="817">
        <v>42244</v>
      </c>
      <c r="C11" s="818">
        <v>1988.87</v>
      </c>
      <c r="D11" s="814">
        <f t="shared" si="4"/>
        <v>6.0875602467213154E-4</v>
      </c>
      <c r="E11" s="819">
        <f t="shared" si="5"/>
        <v>-5.401818839063191E-2</v>
      </c>
      <c r="F11" s="820">
        <v>4828.32</v>
      </c>
      <c r="G11" s="814">
        <f t="shared" si="1"/>
        <v>3.2434948293164709E-3</v>
      </c>
      <c r="H11" s="819">
        <f t="shared" si="6"/>
        <v>-5.1727320934069197E-2</v>
      </c>
      <c r="I11" s="821">
        <v>307941.06</v>
      </c>
      <c r="J11" s="822">
        <v>360000</v>
      </c>
      <c r="K11" s="822">
        <f t="shared" si="2"/>
        <v>7198.0800000000163</v>
      </c>
      <c r="L11" s="814">
        <f t="shared" si="7"/>
        <v>2.3934324252556174E-2</v>
      </c>
      <c r="M11" s="823">
        <f t="shared" si="0"/>
        <v>-52058.94</v>
      </c>
      <c r="N11" s="824">
        <f t="shared" si="3"/>
        <v>-0.14460816666666668</v>
      </c>
      <c r="O11" s="808"/>
      <c r="P11" s="823" t="b">
        <f t="shared" si="9"/>
        <v>1</v>
      </c>
      <c r="Q11" s="824">
        <f>COUNTIF(P$2:P11, TRUE)/(COUNTIF(P$2:P11,FALSE) + COUNTIF(P$2:P11, TRUE))</f>
        <v>0.3</v>
      </c>
      <c r="R11" s="825"/>
      <c r="S11" s="825"/>
      <c r="T11" s="825"/>
      <c r="U11" s="825"/>
      <c r="V11" s="824">
        <f>STDEV(D$2:D11)*SQRT(252)</f>
        <v>0.39984128605241964</v>
      </c>
      <c r="W11" s="824">
        <f>STDEV(L$2:L11)*SQRT(252)</f>
        <v>0.52303521027280186</v>
      </c>
      <c r="X11" s="824"/>
      <c r="Y11" s="823"/>
      <c r="Z11" s="826"/>
      <c r="AA11" s="798"/>
      <c r="AB11" s="796"/>
      <c r="AC11" s="797"/>
      <c r="AD11" s="796"/>
      <c r="AE11" s="797"/>
      <c r="AF11" s="797"/>
      <c r="AG11" s="798"/>
      <c r="AH11" s="798"/>
      <c r="AI11" s="798"/>
      <c r="AJ11" s="798"/>
    </row>
    <row r="12" spans="1:45" ht="20.100000000000001" customHeight="1" x14ac:dyDescent="0.2">
      <c r="A12" s="798">
        <f t="shared" si="8"/>
        <v>14</v>
      </c>
      <c r="B12" s="800">
        <v>42247</v>
      </c>
      <c r="C12" s="813">
        <v>1972.18</v>
      </c>
      <c r="D12" s="814">
        <f t="shared" si="4"/>
        <v>-8.391699809439445E-3</v>
      </c>
      <c r="E12" s="815">
        <f t="shared" si="5"/>
        <v>-6.1956583778847427E-2</v>
      </c>
      <c r="F12" s="816">
        <v>4776.51</v>
      </c>
      <c r="G12" s="814">
        <f t="shared" si="1"/>
        <v>-1.0730440401630277E-2</v>
      </c>
      <c r="H12" s="815">
        <f t="shared" si="6"/>
        <v>-6.1902704401280442E-2</v>
      </c>
      <c r="I12" s="828">
        <v>311200.71000000002</v>
      </c>
      <c r="J12" s="805">
        <v>360000</v>
      </c>
      <c r="K12" s="805">
        <f t="shared" si="2"/>
        <v>3259.6500000000233</v>
      </c>
      <c r="L12" s="814">
        <f t="shared" si="7"/>
        <v>1.0585304863209938E-2</v>
      </c>
      <c r="M12" s="807">
        <f t="shared" si="0"/>
        <v>-48799.289999999979</v>
      </c>
      <c r="N12" s="808">
        <f t="shared" si="3"/>
        <v>-0.13555358333333328</v>
      </c>
      <c r="O12" s="808"/>
      <c r="P12" s="807" t="b">
        <f t="shared" si="9"/>
        <v>1</v>
      </c>
      <c r="Q12" s="808">
        <f>COUNTIF(P$2:P12, TRUE)/(COUNTIF(P$2:P12,FALSE) + COUNTIF(P$2:P12, TRUE))</f>
        <v>0.36363636363636365</v>
      </c>
      <c r="R12" s="809"/>
      <c r="S12" s="809"/>
      <c r="T12" s="809"/>
      <c r="U12" s="809"/>
      <c r="V12" s="808">
        <f>STDEV(D$2:D12)*SQRT(252)</f>
        <v>0.37718652016375942</v>
      </c>
      <c r="W12" s="808">
        <f>STDEV(L$2:L12)*SQRT(252)</f>
        <v>0.49903486890486387</v>
      </c>
      <c r="X12" s="808"/>
      <c r="Y12" s="807"/>
      <c r="Z12" s="810"/>
      <c r="AA12" s="798"/>
      <c r="AB12" s="796"/>
      <c r="AC12" s="797"/>
      <c r="AD12" s="796"/>
      <c r="AE12" s="797"/>
      <c r="AF12" s="797"/>
      <c r="AG12" s="798"/>
      <c r="AH12" s="798"/>
      <c r="AI12" s="798"/>
      <c r="AJ12" s="798"/>
    </row>
    <row r="13" spans="1:45" ht="20.100000000000001" customHeight="1" x14ac:dyDescent="0.2">
      <c r="A13" s="798">
        <f t="shared" si="8"/>
        <v>15</v>
      </c>
      <c r="B13" s="800">
        <v>42248</v>
      </c>
      <c r="C13" s="813">
        <v>1913.85</v>
      </c>
      <c r="D13" s="814">
        <f t="shared" si="4"/>
        <v>-2.9576407832956501E-2</v>
      </c>
      <c r="E13" s="815">
        <f t="shared" si="5"/>
        <v>-8.9700538422023995E-2</v>
      </c>
      <c r="F13" s="816">
        <v>4636.1000000000004</v>
      </c>
      <c r="G13" s="814">
        <f t="shared" si="1"/>
        <v>-2.9395939713305289E-2</v>
      </c>
      <c r="H13" s="815">
        <f t="shared" si="6"/>
        <v>-8.9478955947915134E-2</v>
      </c>
      <c r="I13" s="804">
        <v>307440.78999999998</v>
      </c>
      <c r="J13" s="805">
        <v>365000</v>
      </c>
      <c r="K13" s="805">
        <f t="shared" si="2"/>
        <v>-8759.9200000000419</v>
      </c>
      <c r="L13" s="814">
        <f t="shared" si="7"/>
        <v>-2.8148778966474854E-2</v>
      </c>
      <c r="M13" s="807">
        <f t="shared" si="0"/>
        <v>-57559.210000000021</v>
      </c>
      <c r="N13" s="808">
        <f t="shared" si="3"/>
        <v>-0.15769646575342472</v>
      </c>
      <c r="O13" s="808"/>
      <c r="P13" s="807" t="b">
        <f t="shared" si="9"/>
        <v>1</v>
      </c>
      <c r="Q13" s="808">
        <f>COUNTIF(P$2:P13, TRUE)/(COUNTIF(P$2:P13,FALSE) + COUNTIF(P$2:P13, TRUE))</f>
        <v>0.41666666666666669</v>
      </c>
      <c r="R13" s="809"/>
      <c r="S13" s="809"/>
      <c r="T13" s="809"/>
      <c r="U13" s="809"/>
      <c r="V13" s="808">
        <f>STDEV(D$2:D13)*SQRT(252)</f>
        <v>0.37502713989732378</v>
      </c>
      <c r="W13" s="808">
        <f>STDEV(L$2:L13)*SQRT(252)</f>
        <v>0.48831680410668976</v>
      </c>
      <c r="X13" s="808"/>
      <c r="Y13" s="807"/>
      <c r="Z13" s="810"/>
      <c r="AA13" s="798"/>
      <c r="AB13" s="796"/>
      <c r="AC13" s="797"/>
      <c r="AD13" s="796"/>
      <c r="AE13" s="797"/>
      <c r="AF13" s="797"/>
      <c r="AG13" s="798"/>
      <c r="AH13" s="798"/>
      <c r="AI13" s="798"/>
      <c r="AJ13" s="798"/>
    </row>
    <row r="14" spans="1:45" ht="20.100000000000001" customHeight="1" x14ac:dyDescent="0.2">
      <c r="A14" s="798">
        <f t="shared" si="8"/>
        <v>16</v>
      </c>
      <c r="B14" s="800">
        <v>42249</v>
      </c>
      <c r="C14" s="813">
        <v>1948.86</v>
      </c>
      <c r="D14" s="814">
        <f t="shared" si="4"/>
        <v>1.829296966846931E-2</v>
      </c>
      <c r="E14" s="815">
        <f t="shared" si="5"/>
        <v>-7.3048457982154147E-2</v>
      </c>
      <c r="F14" s="816">
        <v>4749.9799999999996</v>
      </c>
      <c r="G14" s="814">
        <f t="shared" si="1"/>
        <v>2.4563749703414333E-2</v>
      </c>
      <c r="H14" s="815">
        <f t="shared" si="6"/>
        <v>-6.7113144922128221E-2</v>
      </c>
      <c r="I14" s="804">
        <v>326031.94</v>
      </c>
      <c r="J14" s="805">
        <v>380000</v>
      </c>
      <c r="K14" s="805">
        <f t="shared" si="2"/>
        <v>3591.1500000000233</v>
      </c>
      <c r="L14" s="814">
        <f t="shared" si="7"/>
        <v>1.1680785753900852E-2</v>
      </c>
      <c r="M14" s="807">
        <f t="shared" si="0"/>
        <v>-53968.06</v>
      </c>
      <c r="N14" s="808">
        <f t="shared" si="3"/>
        <v>-0.14202121052631578</v>
      </c>
      <c r="O14" s="808"/>
      <c r="P14" s="807" t="b">
        <f t="shared" si="9"/>
        <v>0</v>
      </c>
      <c r="Q14" s="808">
        <f>COUNTIF(P$2:P14, TRUE)/(COUNTIF(P$2:P14,FALSE) + COUNTIF(P$2:P14, TRUE))</f>
        <v>0.38461538461538464</v>
      </c>
      <c r="R14" s="809"/>
      <c r="S14" s="809"/>
      <c r="T14" s="809"/>
      <c r="U14" s="809"/>
      <c r="V14" s="808">
        <f>STDEV(D$2:D14)*SQRT(252)</f>
        <v>0.37770238456909672</v>
      </c>
      <c r="W14" s="808">
        <f>STDEV(L$2:L14)*SQRT(252)</f>
        <v>0.47214016149480637</v>
      </c>
      <c r="X14" s="808"/>
      <c r="Y14" s="807"/>
      <c r="Z14" s="810"/>
      <c r="AB14" s="796"/>
      <c r="AC14" s="797"/>
      <c r="AD14" s="796"/>
      <c r="AE14" s="797"/>
      <c r="AF14" s="797"/>
      <c r="AG14" s="798"/>
      <c r="AH14" s="798"/>
      <c r="AI14" s="798"/>
      <c r="AJ14" s="798"/>
    </row>
    <row r="15" spans="1:45" ht="20.100000000000001" customHeight="1" x14ac:dyDescent="0.2">
      <c r="A15" s="798">
        <f t="shared" si="8"/>
        <v>17</v>
      </c>
      <c r="B15" s="800">
        <v>42250</v>
      </c>
      <c r="C15" s="813">
        <v>1951.13</v>
      </c>
      <c r="D15" s="814">
        <f t="shared" si="4"/>
        <v>1.1647835144649741E-3</v>
      </c>
      <c r="E15" s="815">
        <f t="shared" si="5"/>
        <v>-7.1968760107303867E-2</v>
      </c>
      <c r="F15" s="816">
        <v>4733.5</v>
      </c>
      <c r="G15" s="814">
        <f t="shared" si="1"/>
        <v>-3.469488292582193E-3</v>
      </c>
      <c r="H15" s="815">
        <f t="shared" si="6"/>
        <v>-7.0349784944124721E-2</v>
      </c>
      <c r="I15" s="804">
        <v>328219.34000000003</v>
      </c>
      <c r="J15" s="805">
        <v>380000</v>
      </c>
      <c r="K15" s="805">
        <f t="shared" si="2"/>
        <v>2187.4000000000233</v>
      </c>
      <c r="L15" s="814">
        <f t="shared" si="7"/>
        <v>6.7091586180176802E-3</v>
      </c>
      <c r="M15" s="807">
        <f t="shared" si="0"/>
        <v>-51780.659999999974</v>
      </c>
      <c r="N15" s="808">
        <f t="shared" si="3"/>
        <v>-0.13626489473684203</v>
      </c>
      <c r="O15" s="808"/>
      <c r="P15" s="807" t="b">
        <f t="shared" si="9"/>
        <v>1</v>
      </c>
      <c r="Q15" s="808">
        <f>COUNTIF(P$2:P15, TRUE)/(COUNTIF(P$2:P15,FALSE) + COUNTIF(P$2:P15, TRUE))</f>
        <v>0.42857142857142855</v>
      </c>
      <c r="R15" s="809"/>
      <c r="S15" s="809"/>
      <c r="T15" s="809"/>
      <c r="U15" s="809"/>
      <c r="V15" s="808">
        <f>STDEV(D$2:D15)*SQRT(252)</f>
        <v>0.3630118196770083</v>
      </c>
      <c r="W15" s="808">
        <f>STDEV(L$2:L15)*SQRT(252)</f>
        <v>0.45448950679382538</v>
      </c>
      <c r="X15" s="808"/>
      <c r="Y15" s="807"/>
      <c r="Z15" s="810"/>
      <c r="AA15" s="798"/>
      <c r="AB15" s="796"/>
      <c r="AC15" s="797"/>
      <c r="AD15" s="796"/>
      <c r="AE15" s="797"/>
      <c r="AF15" s="797"/>
      <c r="AG15" s="798"/>
      <c r="AH15" s="798"/>
      <c r="AI15" s="798"/>
      <c r="AJ15" s="798"/>
    </row>
    <row r="16" spans="1:45" ht="20.100000000000001" customHeight="1" x14ac:dyDescent="0.2">
      <c r="A16" s="798">
        <f t="shared" si="8"/>
        <v>18</v>
      </c>
      <c r="B16" s="800">
        <v>42251</v>
      </c>
      <c r="C16" s="813">
        <v>1921.22</v>
      </c>
      <c r="D16" s="814">
        <f t="shared" si="4"/>
        <v>-1.5329578244402004E-2</v>
      </c>
      <c r="E16" s="815">
        <f t="shared" si="5"/>
        <v>-8.6195087612488355E-2</v>
      </c>
      <c r="F16" s="816">
        <v>4683.92</v>
      </c>
      <c r="G16" s="814">
        <f t="shared" si="1"/>
        <v>-1.0474279074680454E-2</v>
      </c>
      <c r="H16" s="815">
        <f t="shared" si="6"/>
        <v>-8.0087200738456654E-2</v>
      </c>
      <c r="I16" s="804">
        <v>324929.40000000002</v>
      </c>
      <c r="J16" s="805">
        <v>380000</v>
      </c>
      <c r="K16" s="805">
        <f t="shared" si="2"/>
        <v>-3289.9400000000023</v>
      </c>
      <c r="L16" s="814">
        <f t="shared" si="7"/>
        <v>-1.0023601899875863E-2</v>
      </c>
      <c r="M16" s="807">
        <f t="shared" si="0"/>
        <v>-55070.599999999977</v>
      </c>
      <c r="N16" s="808">
        <f t="shared" si="3"/>
        <v>-0.1449226315789473</v>
      </c>
      <c r="O16" s="808"/>
      <c r="P16" s="807" t="b">
        <f t="shared" si="9"/>
        <v>1</v>
      </c>
      <c r="Q16" s="808">
        <f>COUNTIF(P$2:P16, TRUE)/(COUNTIF(P$2:P16,FALSE) + COUNTIF(P$2:P16, TRUE))</f>
        <v>0.46666666666666667</v>
      </c>
      <c r="R16" s="809"/>
      <c r="S16" s="809"/>
      <c r="T16" s="809"/>
      <c r="U16" s="809"/>
      <c r="V16" s="808">
        <f>STDEV(D$2:D16)*SQRT(252)</f>
        <v>0.35126122417304334</v>
      </c>
      <c r="W16" s="808">
        <f>STDEV(L$2:L16)*SQRT(252)</f>
        <v>0.43762621603032426</v>
      </c>
      <c r="X16" s="808"/>
      <c r="Y16" s="807"/>
      <c r="Z16" s="810"/>
      <c r="AA16" s="798"/>
      <c r="AB16" s="796"/>
      <c r="AC16" s="797"/>
      <c r="AD16" s="796"/>
      <c r="AE16" s="797"/>
      <c r="AF16" s="797"/>
      <c r="AG16" s="798"/>
      <c r="AH16" s="798"/>
      <c r="AI16" s="798"/>
      <c r="AJ16" s="798"/>
    </row>
    <row r="17" spans="1:36" ht="20.100000000000001" customHeight="1" x14ac:dyDescent="0.2">
      <c r="A17" s="798">
        <f t="shared" si="8"/>
        <v>22</v>
      </c>
      <c r="B17" s="817">
        <v>42255</v>
      </c>
      <c r="C17" s="818">
        <v>1969.41</v>
      </c>
      <c r="D17" s="814">
        <f t="shared" si="4"/>
        <v>2.5083020164270647E-2</v>
      </c>
      <c r="E17" s="819">
        <f t="shared" si="5"/>
        <v>-6.3274100568862832E-2</v>
      </c>
      <c r="F17" s="820">
        <v>4811.93</v>
      </c>
      <c r="G17" s="814">
        <f t="shared" si="1"/>
        <v>2.7329672581939961E-2</v>
      </c>
      <c r="H17" s="819">
        <f t="shared" si="6"/>
        <v>-5.4946285130702821E-2</v>
      </c>
      <c r="I17" s="821">
        <v>331613.90000000002</v>
      </c>
      <c r="J17" s="822">
        <v>380000</v>
      </c>
      <c r="K17" s="822">
        <f t="shared" si="2"/>
        <v>6684.5</v>
      </c>
      <c r="L17" s="814">
        <f t="shared" si="7"/>
        <v>2.0572161214097585E-2</v>
      </c>
      <c r="M17" s="823">
        <f t="shared" si="0"/>
        <v>-48386.099999999977</v>
      </c>
      <c r="N17" s="824">
        <f t="shared" si="3"/>
        <v>-0.1273318421052631</v>
      </c>
      <c r="O17" s="808"/>
      <c r="P17" s="823" t="b">
        <f t="shared" si="9"/>
        <v>0</v>
      </c>
      <c r="Q17" s="824">
        <f>COUNTIF(P$2:P17, TRUE)/(COUNTIF(P$2:P17,FALSE) + COUNTIF(P$2:P17, TRUE))</f>
        <v>0.4375</v>
      </c>
      <c r="R17" s="825"/>
      <c r="S17" s="825"/>
      <c r="T17" s="825"/>
      <c r="U17" s="825"/>
      <c r="V17" s="824">
        <f>STDEV(D$2:D17)*SQRT(252)</f>
        <v>0.36194228365900932</v>
      </c>
      <c r="W17" s="824">
        <f>STDEV(L$2:L17)*SQRT(252)</f>
        <v>0.43324605788841486</v>
      </c>
      <c r="X17" s="824"/>
      <c r="Y17" s="823"/>
      <c r="Z17" s="826"/>
      <c r="AA17" s="798"/>
      <c r="AB17" s="796"/>
      <c r="AC17" s="797"/>
      <c r="AD17" s="796"/>
      <c r="AE17" s="797"/>
      <c r="AF17" s="797"/>
      <c r="AG17" s="798"/>
      <c r="AH17" s="798"/>
      <c r="AI17" s="798"/>
      <c r="AJ17" s="798"/>
    </row>
    <row r="18" spans="1:36" ht="20.100000000000001" customHeight="1" x14ac:dyDescent="0.2">
      <c r="A18" s="798">
        <f t="shared" si="8"/>
        <v>23</v>
      </c>
      <c r="B18" s="817">
        <v>42256</v>
      </c>
      <c r="C18" s="818">
        <v>1942.04</v>
      </c>
      <c r="D18" s="814">
        <f t="shared" si="4"/>
        <v>-1.3897563229596741E-2</v>
      </c>
      <c r="E18" s="819">
        <f t="shared" si="5"/>
        <v>-7.629230798500794E-2</v>
      </c>
      <c r="F18" s="820">
        <v>4756.53</v>
      </c>
      <c r="G18" s="814">
        <f t="shared" si="1"/>
        <v>-1.1513051935502084E-2</v>
      </c>
      <c r="H18" s="819">
        <f t="shared" si="6"/>
        <v>-6.5826737631832208E-2</v>
      </c>
      <c r="I18" s="821">
        <v>321792.48</v>
      </c>
      <c r="J18" s="822">
        <v>380000</v>
      </c>
      <c r="K18" s="822">
        <f t="shared" si="2"/>
        <v>-9821.4200000000419</v>
      </c>
      <c r="L18" s="814">
        <f t="shared" si="7"/>
        <v>-2.9617033544130814E-2</v>
      </c>
      <c r="M18" s="823">
        <f t="shared" si="0"/>
        <v>-58207.520000000019</v>
      </c>
      <c r="N18" s="824">
        <f t="shared" si="3"/>
        <v>-0.15317768421052635</v>
      </c>
      <c r="O18" s="808"/>
      <c r="P18" s="823" t="b">
        <f t="shared" si="9"/>
        <v>0</v>
      </c>
      <c r="Q18" s="824">
        <f>COUNTIF(P$2:P18, TRUE)/(COUNTIF(P$2:P18,FALSE) + COUNTIF(P$2:P18, TRUE))</f>
        <v>0.41176470588235292</v>
      </c>
      <c r="R18" s="825"/>
      <c r="S18" s="825"/>
      <c r="T18" s="825"/>
      <c r="U18" s="825"/>
      <c r="V18" s="824">
        <f>STDEV(D$2:D18)*SQRT(252)</f>
        <v>0.35182224095506454</v>
      </c>
      <c r="W18" s="824">
        <f>STDEV(L$2:L18)*SQRT(252)</f>
        <v>0.43262248943141224</v>
      </c>
      <c r="X18" s="824"/>
      <c r="Y18" s="823"/>
      <c r="Z18" s="826"/>
      <c r="AA18" s="798"/>
      <c r="AB18" s="796"/>
      <c r="AC18" s="797"/>
      <c r="AD18" s="796"/>
      <c r="AE18" s="797"/>
      <c r="AF18" s="797"/>
      <c r="AG18" s="798"/>
      <c r="AH18" s="798"/>
      <c r="AI18" s="798"/>
      <c r="AJ18" s="798"/>
    </row>
    <row r="19" spans="1:36" ht="20.100000000000001" customHeight="1" x14ac:dyDescent="0.2">
      <c r="A19" s="798">
        <f t="shared" si="8"/>
        <v>24</v>
      </c>
      <c r="B19" s="817">
        <v>42257</v>
      </c>
      <c r="C19" s="818">
        <v>1952.29</v>
      </c>
      <c r="D19" s="814">
        <f t="shared" si="4"/>
        <v>5.2779551399559227E-3</v>
      </c>
      <c r="E19" s="819">
        <f t="shared" si="5"/>
        <v>-7.1417020224120581E-2</v>
      </c>
      <c r="F19" s="820">
        <v>4796.25</v>
      </c>
      <c r="G19" s="814">
        <f t="shared" si="1"/>
        <v>8.3506253508335397E-3</v>
      </c>
      <c r="H19" s="819">
        <f t="shared" si="6"/>
        <v>-5.8025806705029721E-2</v>
      </c>
      <c r="I19" s="821">
        <v>323389.99</v>
      </c>
      <c r="J19" s="822">
        <v>380000</v>
      </c>
      <c r="K19" s="822">
        <f t="shared" si="2"/>
        <v>1597.5100000000093</v>
      </c>
      <c r="L19" s="814">
        <f t="shared" si="7"/>
        <v>4.9644106040017139E-3</v>
      </c>
      <c r="M19" s="823">
        <f t="shared" si="0"/>
        <v>-56610.010000000009</v>
      </c>
      <c r="N19" s="824">
        <f t="shared" si="3"/>
        <v>-0.14897371052631581</v>
      </c>
      <c r="O19" s="808"/>
      <c r="P19" s="823" t="b">
        <f t="shared" si="9"/>
        <v>0</v>
      </c>
      <c r="Q19" s="824">
        <f>COUNTIF(P$2:P19, TRUE)/(COUNTIF(P$2:P19,FALSE) + COUNTIF(P$2:P19, TRUE))</f>
        <v>0.3888888888888889</v>
      </c>
      <c r="R19" s="825"/>
      <c r="S19" s="825"/>
      <c r="T19" s="825"/>
      <c r="U19" s="825"/>
      <c r="V19" s="824">
        <f>STDEV(D$2:D19)*SQRT(252)</f>
        <v>0.34281735693264087</v>
      </c>
      <c r="W19" s="824">
        <f>STDEV(L$2:L19)*SQRT(252)</f>
        <v>0.42023205119752755</v>
      </c>
      <c r="X19" s="824"/>
      <c r="Y19" s="823"/>
      <c r="Z19" s="826"/>
      <c r="AA19" s="798"/>
      <c r="AB19" s="796"/>
      <c r="AC19" s="797"/>
      <c r="AD19" s="796"/>
      <c r="AE19" s="797"/>
      <c r="AF19" s="797"/>
      <c r="AG19" s="798"/>
      <c r="AH19" s="798"/>
      <c r="AI19" s="798"/>
      <c r="AJ19" s="798"/>
    </row>
    <row r="20" spans="1:36" ht="20.100000000000001" customHeight="1" x14ac:dyDescent="0.2">
      <c r="A20" s="798">
        <f t="shared" si="8"/>
        <v>25</v>
      </c>
      <c r="B20" s="817">
        <v>42258</v>
      </c>
      <c r="C20" s="818">
        <v>1961.05</v>
      </c>
      <c r="D20" s="814">
        <f t="shared" si="4"/>
        <v>4.4870382986134183E-3</v>
      </c>
      <c r="E20" s="819">
        <f t="shared" si="5"/>
        <v>-6.7250432830425644E-2</v>
      </c>
      <c r="F20" s="820">
        <v>4822.34</v>
      </c>
      <c r="G20" s="814">
        <f t="shared" si="1"/>
        <v>5.4396664060464206E-3</v>
      </c>
      <c r="H20" s="819">
        <f t="shared" si="6"/>
        <v>-5.2901781330400396E-2</v>
      </c>
      <c r="I20" s="821">
        <v>323039.64</v>
      </c>
      <c r="J20" s="822">
        <v>380000</v>
      </c>
      <c r="K20" s="822">
        <f t="shared" si="2"/>
        <v>-350.34999999997672</v>
      </c>
      <c r="L20" s="814">
        <f t="shared" si="7"/>
        <v>-1.0833668661172126E-3</v>
      </c>
      <c r="M20" s="823">
        <f t="shared" si="0"/>
        <v>-56960.359999999986</v>
      </c>
      <c r="N20" s="824">
        <f t="shared" si="3"/>
        <v>-0.14989568421052629</v>
      </c>
      <c r="O20" s="808"/>
      <c r="P20" s="823" t="b">
        <f t="shared" si="9"/>
        <v>0</v>
      </c>
      <c r="Q20" s="824">
        <f>COUNTIF(P$2:P20, TRUE)/(COUNTIF(P$2:P20,FALSE) + COUNTIF(P$2:P20, TRUE))</f>
        <v>0.36842105263157893</v>
      </c>
      <c r="R20" s="825"/>
      <c r="S20" s="825"/>
      <c r="T20" s="825"/>
      <c r="U20" s="825"/>
      <c r="V20" s="824">
        <f>STDEV(D$2:D20)*SQRT(252)</f>
        <v>0.33414073790213511</v>
      </c>
      <c r="W20" s="824">
        <f>STDEV(L$2:L20)*SQRT(252)</f>
        <v>0.40776589668846686</v>
      </c>
      <c r="X20" s="824"/>
      <c r="Y20" s="823"/>
      <c r="Z20" s="826"/>
      <c r="AA20" s="798"/>
      <c r="AB20" s="796"/>
      <c r="AC20" s="797"/>
      <c r="AD20" s="796"/>
      <c r="AE20" s="797"/>
      <c r="AF20" s="797"/>
      <c r="AG20" s="798"/>
      <c r="AH20" s="798"/>
      <c r="AI20" s="798"/>
      <c r="AJ20" s="798"/>
    </row>
    <row r="21" spans="1:36" ht="20.100000000000001" customHeight="1" x14ac:dyDescent="0.2">
      <c r="A21" s="798">
        <f t="shared" si="8"/>
        <v>28</v>
      </c>
      <c r="B21" s="800">
        <v>42261</v>
      </c>
      <c r="C21" s="813">
        <v>1953.03</v>
      </c>
      <c r="D21" s="814">
        <f t="shared" si="4"/>
        <v>-4.0896458529869114E-3</v>
      </c>
      <c r="E21" s="815">
        <f t="shared" si="5"/>
        <v>-7.1065048229676034E-2</v>
      </c>
      <c r="F21" s="816">
        <v>4805.76</v>
      </c>
      <c r="G21" s="814">
        <f t="shared" si="1"/>
        <v>-3.4381648743141147E-3</v>
      </c>
      <c r="H21" s="815">
        <f t="shared" si="6"/>
        <v>-5.6158061158355678E-2</v>
      </c>
      <c r="I21" s="804">
        <v>326015.75</v>
      </c>
      <c r="J21" s="805">
        <v>380000</v>
      </c>
      <c r="K21" s="805">
        <f t="shared" si="2"/>
        <v>2976.109999999986</v>
      </c>
      <c r="L21" s="814">
        <f t="shared" si="7"/>
        <v>9.2128322084558591E-3</v>
      </c>
      <c r="M21" s="807">
        <f t="shared" si="0"/>
        <v>-53984.25</v>
      </c>
      <c r="N21" s="808">
        <f t="shared" si="3"/>
        <v>-0.14206381578947369</v>
      </c>
      <c r="O21" s="808"/>
      <c r="P21" s="807" t="b">
        <f t="shared" si="9"/>
        <v>1</v>
      </c>
      <c r="Q21" s="808">
        <f>COUNTIF(P$2:P21, TRUE)/(COUNTIF(P$2:P21,FALSE) + COUNTIF(P$2:P21, TRUE))</f>
        <v>0.4</v>
      </c>
      <c r="R21" s="809"/>
      <c r="S21" s="809"/>
      <c r="T21" s="809"/>
      <c r="U21" s="809"/>
      <c r="V21" s="808">
        <f>STDEV(D$2:D21)*SQRT(252)</f>
        <v>0.3247303591191491</v>
      </c>
      <c r="W21" s="808">
        <f>STDEV(L$2:L21)*SQRT(252)</f>
        <v>0.39882009643497413</v>
      </c>
      <c r="X21" s="808"/>
      <c r="Y21" s="807"/>
      <c r="Z21" s="810"/>
      <c r="AA21" s="798"/>
      <c r="AB21" s="796"/>
      <c r="AC21" s="797"/>
      <c r="AD21" s="796"/>
      <c r="AE21" s="797"/>
      <c r="AF21" s="797"/>
      <c r="AG21" s="798"/>
      <c r="AH21" s="798"/>
      <c r="AI21" s="798"/>
      <c r="AJ21" s="798"/>
    </row>
    <row r="22" spans="1:36" ht="20.100000000000001" customHeight="1" x14ac:dyDescent="0.2">
      <c r="A22" s="798">
        <f t="shared" si="8"/>
        <v>29</v>
      </c>
      <c r="B22" s="800">
        <v>42262</v>
      </c>
      <c r="C22" s="813">
        <v>1978.09</v>
      </c>
      <c r="D22" s="814">
        <f t="shared" si="4"/>
        <v>1.2831344116577803E-2</v>
      </c>
      <c r="E22" s="815">
        <f t="shared" si="5"/>
        <v>-5.9145564201594399E-2</v>
      </c>
      <c r="F22" s="816">
        <v>4860.5200000000004</v>
      </c>
      <c r="G22" s="814">
        <f t="shared" si="1"/>
        <v>1.1394659741643406E-2</v>
      </c>
      <c r="H22" s="815">
        <f t="shared" si="6"/>
        <v>-4.540330341536214E-2</v>
      </c>
      <c r="I22" s="804">
        <v>328528.74</v>
      </c>
      <c r="J22" s="805">
        <v>380000</v>
      </c>
      <c r="K22" s="805">
        <f t="shared" si="2"/>
        <v>2512.9899999999907</v>
      </c>
      <c r="L22" s="814">
        <f t="shared" si="7"/>
        <v>7.7081858775227595E-3</v>
      </c>
      <c r="M22" s="807">
        <f t="shared" si="0"/>
        <v>-51471.260000000009</v>
      </c>
      <c r="N22" s="808">
        <f t="shared" si="3"/>
        <v>-0.13545068421052633</v>
      </c>
      <c r="O22" s="808"/>
      <c r="P22" s="807" t="b">
        <f t="shared" si="9"/>
        <v>0</v>
      </c>
      <c r="Q22" s="808">
        <f>COUNTIF(P$2:P22, TRUE)/(COUNTIF(P$2:P22,FALSE) + COUNTIF(P$2:P22, TRUE))</f>
        <v>0.38095238095238093</v>
      </c>
      <c r="R22" s="809"/>
      <c r="S22" s="809"/>
      <c r="T22" s="809"/>
      <c r="U22" s="809"/>
      <c r="V22" s="808">
        <f>STDEV(D$2:D22)*SQRT(252)</f>
        <v>0.32145355759875488</v>
      </c>
      <c r="W22" s="808">
        <f>STDEV(L$2:L22)*SQRT(252)</f>
        <v>0.38986525703766828</v>
      </c>
      <c r="X22" s="808"/>
      <c r="Y22" s="807"/>
      <c r="Z22" s="810"/>
      <c r="AA22" s="798"/>
      <c r="AB22" s="796"/>
      <c r="AC22" s="797"/>
      <c r="AD22" s="796"/>
      <c r="AE22" s="797"/>
      <c r="AF22" s="797"/>
      <c r="AG22" s="798"/>
      <c r="AH22" s="798"/>
      <c r="AI22" s="798"/>
      <c r="AJ22" s="798"/>
    </row>
    <row r="23" spans="1:36" ht="20.100000000000001" customHeight="1" x14ac:dyDescent="0.2">
      <c r="A23" s="798">
        <f t="shared" si="8"/>
        <v>30</v>
      </c>
      <c r="B23" s="800">
        <v>42263</v>
      </c>
      <c r="C23" s="813">
        <v>1995.31</v>
      </c>
      <c r="D23" s="814">
        <f t="shared" si="4"/>
        <v>8.7053672987579076E-3</v>
      </c>
      <c r="E23" s="815">
        <f t="shared" si="5"/>
        <v>-5.0955080763303642E-2</v>
      </c>
      <c r="F23" s="816">
        <v>4889.24</v>
      </c>
      <c r="G23" s="814">
        <f t="shared" si="1"/>
        <v>5.908832799782604E-3</v>
      </c>
      <c r="H23" s="815">
        <f t="shared" si="6"/>
        <v>-3.9762751144018706E-2</v>
      </c>
      <c r="I23" s="804">
        <v>333204.93</v>
      </c>
      <c r="J23" s="805">
        <v>380000</v>
      </c>
      <c r="K23" s="805">
        <f t="shared" si="2"/>
        <v>4676.1900000000023</v>
      </c>
      <c r="L23" s="814">
        <f t="shared" si="7"/>
        <v>1.4233731879895812E-2</v>
      </c>
      <c r="M23" s="807">
        <f t="shared" si="0"/>
        <v>-46795.070000000007</v>
      </c>
      <c r="N23" s="808">
        <f t="shared" si="3"/>
        <v>-0.1231449210526316</v>
      </c>
      <c r="O23" s="808"/>
      <c r="P23" s="807" t="b">
        <f t="shared" si="9"/>
        <v>1</v>
      </c>
      <c r="Q23" s="808">
        <f>COUNTIF(P$2:P23, TRUE)/(COUNTIF(P$2:P23,FALSE) + COUNTIF(P$2:P23, TRUE))</f>
        <v>0.40909090909090912</v>
      </c>
      <c r="R23" s="809"/>
      <c r="S23" s="809"/>
      <c r="T23" s="809"/>
      <c r="U23" s="809"/>
      <c r="V23" s="808">
        <f>STDEV(D$2:D23)*SQRT(252)</f>
        <v>0.31586031332458192</v>
      </c>
      <c r="W23" s="808">
        <f>STDEV(L$2:L23)*SQRT(252)</f>
        <v>0.38411926521956707</v>
      </c>
      <c r="X23" s="808"/>
      <c r="Y23" s="807"/>
      <c r="Z23" s="810"/>
      <c r="AA23" s="798"/>
      <c r="AB23" s="796"/>
      <c r="AC23" s="797"/>
      <c r="AD23" s="796"/>
      <c r="AE23" s="797"/>
      <c r="AF23" s="797"/>
      <c r="AG23" s="798"/>
      <c r="AH23" s="798"/>
      <c r="AI23" s="798"/>
      <c r="AJ23" s="798"/>
    </row>
    <row r="24" spans="1:36" ht="20.100000000000001" customHeight="1" x14ac:dyDescent="0.2">
      <c r="A24" s="798">
        <f t="shared" si="8"/>
        <v>31</v>
      </c>
      <c r="B24" s="800">
        <v>42264</v>
      </c>
      <c r="C24" s="813">
        <v>1990.2</v>
      </c>
      <c r="D24" s="814">
        <f t="shared" si="4"/>
        <v>-2.5610055580335385E-3</v>
      </c>
      <c r="E24" s="815">
        <f t="shared" si="5"/>
        <v>-5.3385590076292309E-2</v>
      </c>
      <c r="F24" s="816">
        <v>4893.95</v>
      </c>
      <c r="G24" s="814">
        <f t="shared" si="1"/>
        <v>9.6333990558860607E-4</v>
      </c>
      <c r="H24" s="815">
        <f t="shared" si="6"/>
        <v>-3.8837716283363119E-2</v>
      </c>
      <c r="I24" s="804">
        <v>333913.03999999998</v>
      </c>
      <c r="J24" s="805">
        <v>380000</v>
      </c>
      <c r="K24" s="805">
        <f t="shared" si="2"/>
        <v>708.10999999998603</v>
      </c>
      <c r="L24" s="814">
        <f t="shared" si="7"/>
        <v>2.1251486285031439E-3</v>
      </c>
      <c r="M24" s="807">
        <f t="shared" si="0"/>
        <v>-46086.960000000021</v>
      </c>
      <c r="N24" s="808">
        <f t="shared" si="3"/>
        <v>-0.12128147368421058</v>
      </c>
      <c r="O24" s="808"/>
      <c r="P24" s="807" t="b">
        <f t="shared" si="9"/>
        <v>1</v>
      </c>
      <c r="Q24" s="808">
        <f>COUNTIF(P$2:P24, TRUE)/(COUNTIF(P$2:P24,FALSE) + COUNTIF(P$2:P24, TRUE))</f>
        <v>0.43478260869565216</v>
      </c>
      <c r="R24" s="809"/>
      <c r="S24" s="809"/>
      <c r="T24" s="809"/>
      <c r="U24" s="809"/>
      <c r="V24" s="808">
        <f>STDEV(D$2:D24)*SQRT(252)</f>
        <v>0.30824938276419228</v>
      </c>
      <c r="W24" s="808">
        <f>STDEV(L$2:L24)*SQRT(252)</f>
        <v>0.37503116894241934</v>
      </c>
      <c r="X24" s="808"/>
      <c r="Y24" s="807"/>
      <c r="Z24" s="810"/>
      <c r="AA24" s="798"/>
      <c r="AB24" s="796"/>
      <c r="AC24" s="797"/>
      <c r="AD24" s="796"/>
      <c r="AE24" s="797"/>
      <c r="AF24" s="797"/>
      <c r="AG24" s="798"/>
      <c r="AH24" s="798"/>
      <c r="AI24" s="798"/>
      <c r="AJ24" s="798"/>
    </row>
    <row r="25" spans="1:36" ht="20.100000000000001" customHeight="1" x14ac:dyDescent="0.2">
      <c r="A25" s="798">
        <f t="shared" si="8"/>
        <v>32</v>
      </c>
      <c r="B25" s="800">
        <v>42265</v>
      </c>
      <c r="C25" s="813">
        <v>1958.08</v>
      </c>
      <c r="D25" s="814">
        <f t="shared" si="4"/>
        <v>-1.6139081499346859E-2</v>
      </c>
      <c r="E25" s="815">
        <f t="shared" si="5"/>
        <v>-6.866307718650716E-2</v>
      </c>
      <c r="F25" s="816">
        <v>4827.2299999999996</v>
      </c>
      <c r="G25" s="814">
        <f t="shared" si="1"/>
        <v>-1.3633159308942726E-2</v>
      </c>
      <c r="H25" s="815">
        <f t="shared" si="6"/>
        <v>-5.1941394819019243E-2</v>
      </c>
      <c r="I25" s="804">
        <v>334619.5</v>
      </c>
      <c r="J25" s="805">
        <v>390000</v>
      </c>
      <c r="K25" s="805">
        <f t="shared" si="2"/>
        <v>-9293.539999999979</v>
      </c>
      <c r="L25" s="814">
        <f t="shared" si="7"/>
        <v>-2.7832216435752195E-2</v>
      </c>
      <c r="M25" s="807">
        <f t="shared" si="0"/>
        <v>-55380.5</v>
      </c>
      <c r="N25" s="808">
        <f t="shared" si="3"/>
        <v>-0.14200128205128204</v>
      </c>
      <c r="O25" s="808"/>
      <c r="P25" s="807" t="b">
        <f t="shared" si="9"/>
        <v>0</v>
      </c>
      <c r="Q25" s="808">
        <f>COUNTIF(P$2:P25, TRUE)/(COUNTIF(P$2:P25,FALSE) + COUNTIF(P$2:P25, TRUE))</f>
        <v>0.41666666666666669</v>
      </c>
      <c r="R25" s="809"/>
      <c r="S25" s="809"/>
      <c r="T25" s="809"/>
      <c r="U25" s="809"/>
      <c r="V25" s="808">
        <f>STDEV(D$2:D25)*SQRT(252)</f>
        <v>0.30462094080099172</v>
      </c>
      <c r="W25" s="808">
        <f>STDEV(L$2:L25)*SQRT(252)</f>
        <v>0.37697940519041084</v>
      </c>
      <c r="X25" s="808"/>
      <c r="Y25" s="807"/>
      <c r="Z25" s="810"/>
      <c r="AA25" s="798"/>
      <c r="AB25" s="796"/>
      <c r="AC25" s="797"/>
      <c r="AD25" s="796"/>
      <c r="AE25" s="797"/>
      <c r="AF25" s="797"/>
      <c r="AG25" s="798"/>
      <c r="AH25" s="798"/>
      <c r="AI25" s="798"/>
      <c r="AJ25" s="798"/>
    </row>
    <row r="26" spans="1:36" ht="20.100000000000001" customHeight="1" x14ac:dyDescent="0.2">
      <c r="A26" s="798">
        <f t="shared" si="8"/>
        <v>35</v>
      </c>
      <c r="B26" s="817">
        <v>42268</v>
      </c>
      <c r="C26" s="818">
        <v>1966.97</v>
      </c>
      <c r="D26" s="814">
        <f t="shared" si="4"/>
        <v>4.5401617911423947E-3</v>
      </c>
      <c r="E26" s="819">
        <f t="shared" si="5"/>
        <v>-6.4434656874869212E-2</v>
      </c>
      <c r="F26" s="820">
        <v>4828.95</v>
      </c>
      <c r="G26" s="814">
        <f t="shared" si="1"/>
        <v>3.5631200502156618E-4</v>
      </c>
      <c r="H26" s="819">
        <f t="shared" si="6"/>
        <v>-5.1603590156529253E-2</v>
      </c>
      <c r="I26" s="821">
        <v>336797.05</v>
      </c>
      <c r="J26" s="822">
        <v>390000</v>
      </c>
      <c r="K26" s="822">
        <f t="shared" si="2"/>
        <v>2177.5499999999884</v>
      </c>
      <c r="L26" s="814">
        <f t="shared" si="7"/>
        <v>6.5075406543850202E-3</v>
      </c>
      <c r="M26" s="823">
        <f t="shared" si="0"/>
        <v>-53202.950000000012</v>
      </c>
      <c r="N26" s="824">
        <f t="shared" si="3"/>
        <v>-0.13641782051282053</v>
      </c>
      <c r="O26" s="808">
        <f t="shared" ref="O26:O70" si="10">N26/(A26/365.25)</f>
        <v>-1.4236173983516487</v>
      </c>
      <c r="P26" s="823" t="b">
        <f t="shared" si="9"/>
        <v>1</v>
      </c>
      <c r="Q26" s="824">
        <f>COUNTIF(P$2:P26, TRUE)/(COUNTIF(P$2:P26,FALSE) + COUNTIF(P$2:P26, TRUE))</f>
        <v>0.44</v>
      </c>
      <c r="R26" s="825"/>
      <c r="S26" s="825"/>
      <c r="T26" s="825"/>
      <c r="U26" s="825"/>
      <c r="V26" s="824">
        <f>STDEV(D$2:D26)*SQRT(252)</f>
        <v>0.29890210628506431</v>
      </c>
      <c r="W26" s="824">
        <f>STDEV(L$2:L26)*SQRT(252)</f>
        <v>0.36977509623053162</v>
      </c>
      <c r="X26" s="823">
        <f>E26/(A26/365.25)/V26</f>
        <v>-2.2496384438418087</v>
      </c>
      <c r="Y26" s="823">
        <f>O26/W26</f>
        <v>-3.8499547775497365</v>
      </c>
      <c r="Z26" s="829">
        <f>-(E26-N26)</f>
        <v>-7.198316363795132E-2</v>
      </c>
      <c r="AA26" s="798"/>
      <c r="AB26" s="796"/>
      <c r="AC26" s="797"/>
      <c r="AD26" s="796"/>
      <c r="AE26" s="797"/>
      <c r="AF26" s="797"/>
      <c r="AG26" s="798"/>
      <c r="AH26" s="798"/>
      <c r="AI26" s="798"/>
      <c r="AJ26" s="798"/>
    </row>
    <row r="27" spans="1:36" ht="20.100000000000001" customHeight="1" x14ac:dyDescent="0.2">
      <c r="A27" s="798">
        <f t="shared" si="8"/>
        <v>36</v>
      </c>
      <c r="B27" s="817">
        <v>42269</v>
      </c>
      <c r="C27" s="818">
        <v>1942.74</v>
      </c>
      <c r="D27" s="814">
        <f t="shared" si="4"/>
        <v>-1.2318439020422282E-2</v>
      </c>
      <c r="E27" s="819">
        <f t="shared" si="5"/>
        <v>-7.5959361503776579E-2</v>
      </c>
      <c r="F27" s="820">
        <v>4756.72</v>
      </c>
      <c r="G27" s="814">
        <f t="shared" si="1"/>
        <v>-1.4957703020325239E-2</v>
      </c>
      <c r="H27" s="819">
        <f t="shared" si="6"/>
        <v>-6.578942200051055E-2</v>
      </c>
      <c r="I27" s="821">
        <v>328628.18</v>
      </c>
      <c r="J27" s="822">
        <v>390000</v>
      </c>
      <c r="K27" s="822">
        <f t="shared" si="2"/>
        <v>-8168.8699999999953</v>
      </c>
      <c r="L27" s="814">
        <f t="shared" si="7"/>
        <v>-2.4254577051669533E-2</v>
      </c>
      <c r="M27" s="823">
        <f t="shared" si="0"/>
        <v>-61371.820000000007</v>
      </c>
      <c r="N27" s="824">
        <f t="shared" si="3"/>
        <v>-0.15736364102564104</v>
      </c>
      <c r="O27" s="808">
        <f t="shared" si="10"/>
        <v>-1.5965852745726496</v>
      </c>
      <c r="P27" s="823" t="b">
        <f t="shared" si="9"/>
        <v>0</v>
      </c>
      <c r="Q27" s="824">
        <f>COUNTIF(P$2:P27, TRUE)/(COUNTIF(P$2:P27,FALSE) + COUNTIF(P$2:P27, TRUE))</f>
        <v>0.42307692307692307</v>
      </c>
      <c r="R27" s="825"/>
      <c r="S27" s="825"/>
      <c r="T27" s="825"/>
      <c r="U27" s="825"/>
      <c r="V27" s="824">
        <f>STDEV(D$2:D27)*SQRT(252)</f>
        <v>0.29423063039577757</v>
      </c>
      <c r="W27" s="824">
        <f>STDEV(L$2:L27)*SQRT(252)</f>
        <v>0.36891081336097858</v>
      </c>
      <c r="X27" s="823">
        <f t="shared" ref="X27:X90" si="11">E27/(A27/365.25)/V27</f>
        <v>-2.6192752973648008</v>
      </c>
      <c r="Y27" s="823">
        <f t="shared" ref="Y27:Y90" si="12">O27/W27</f>
        <v>-4.3278353920474375</v>
      </c>
      <c r="Z27" s="829">
        <f t="shared" ref="Z27:Z90" si="13">-(E27-N27)</f>
        <v>-8.1404279521864464E-2</v>
      </c>
      <c r="AA27" s="798"/>
      <c r="AB27" s="796"/>
      <c r="AC27" s="797"/>
      <c r="AD27" s="796"/>
      <c r="AE27" s="797"/>
      <c r="AF27" s="797"/>
      <c r="AG27" s="798"/>
      <c r="AH27" s="798"/>
      <c r="AI27" s="798"/>
      <c r="AJ27" s="798"/>
    </row>
    <row r="28" spans="1:36" ht="20.100000000000001" customHeight="1" x14ac:dyDescent="0.2">
      <c r="A28" s="798">
        <f t="shared" si="8"/>
        <v>37</v>
      </c>
      <c r="B28" s="817">
        <v>42270</v>
      </c>
      <c r="C28" s="818">
        <v>1938.76</v>
      </c>
      <c r="D28" s="814">
        <f t="shared" si="4"/>
        <v>-2.0486529334857047E-3</v>
      </c>
      <c r="E28" s="819">
        <f t="shared" si="5"/>
        <v>-7.7852400068491881E-2</v>
      </c>
      <c r="F28" s="820">
        <v>4752.74</v>
      </c>
      <c r="G28" s="814">
        <f t="shared" si="1"/>
        <v>-8.3671101094882037E-4</v>
      </c>
      <c r="H28" s="819">
        <f t="shared" si="6"/>
        <v>-6.6571086277667585E-2</v>
      </c>
      <c r="I28" s="821">
        <v>321819.21000000002</v>
      </c>
      <c r="J28" s="822">
        <v>390000</v>
      </c>
      <c r="K28" s="822">
        <f t="shared" si="2"/>
        <v>-6808.9699999999721</v>
      </c>
      <c r="L28" s="814">
        <f t="shared" si="7"/>
        <v>-2.0719373487690471E-2</v>
      </c>
      <c r="M28" s="823">
        <f t="shared" si="0"/>
        <v>-68180.789999999979</v>
      </c>
      <c r="N28" s="824">
        <f t="shared" si="3"/>
        <v>-0.17482253846153842</v>
      </c>
      <c r="O28" s="808">
        <f t="shared" si="10"/>
        <v>-1.7257819506237002</v>
      </c>
      <c r="P28" s="823" t="b">
        <f t="shared" si="9"/>
        <v>0</v>
      </c>
      <c r="Q28" s="824">
        <f>COUNTIF(P$2:P28, TRUE)/(COUNTIF(P$2:P28,FALSE) + COUNTIF(P$2:P28, TRUE))</f>
        <v>0.40740740740740738</v>
      </c>
      <c r="R28" s="825"/>
      <c r="S28" s="825"/>
      <c r="T28" s="825"/>
      <c r="U28" s="825"/>
      <c r="V28" s="824">
        <f>STDEV(D$2:D28)*SQRT(252)</f>
        <v>0.288300857286579</v>
      </c>
      <c r="W28" s="824">
        <f>STDEV(L$2:L28)*SQRT(252)</f>
        <v>0.36576166417456935</v>
      </c>
      <c r="X28" s="823">
        <f t="shared" si="11"/>
        <v>-2.6657202584983009</v>
      </c>
      <c r="Y28" s="823">
        <f t="shared" si="12"/>
        <v>-4.7183237601413186</v>
      </c>
      <c r="Z28" s="829">
        <f t="shared" si="13"/>
        <v>-9.6970138393046537E-2</v>
      </c>
      <c r="AA28" s="796"/>
      <c r="AB28" s="797"/>
      <c r="AC28" s="797"/>
      <c r="AD28" s="798"/>
      <c r="AE28" s="798"/>
      <c r="AF28" s="798"/>
      <c r="AG28" s="798"/>
    </row>
    <row r="29" spans="1:36" ht="20.100000000000001" customHeight="1" x14ac:dyDescent="0.2">
      <c r="A29" s="798">
        <f t="shared" si="8"/>
        <v>38</v>
      </c>
      <c r="B29" s="817">
        <v>42271</v>
      </c>
      <c r="C29" s="818">
        <v>1932.24</v>
      </c>
      <c r="D29" s="814">
        <f t="shared" si="4"/>
        <v>-3.3629742722152212E-3</v>
      </c>
      <c r="E29" s="819">
        <f t="shared" si="5"/>
        <v>-8.0953558722246549E-2</v>
      </c>
      <c r="F29" s="820">
        <v>4734.4799999999996</v>
      </c>
      <c r="G29" s="814">
        <f t="shared" si="1"/>
        <v>-3.8419943022341258E-3</v>
      </c>
      <c r="H29" s="819">
        <f t="shared" si="6"/>
        <v>-7.0157314845729374E-2</v>
      </c>
      <c r="I29" s="830">
        <v>323446.15999999997</v>
      </c>
      <c r="J29" s="822">
        <v>390000</v>
      </c>
      <c r="K29" s="822">
        <f t="shared" ref="K29:K49" si="14">I29-I28-J29+J28</f>
        <v>1626.9499999999534</v>
      </c>
      <c r="L29" s="814">
        <f t="shared" si="7"/>
        <v>5.0554781984579267E-3</v>
      </c>
      <c r="M29" s="823">
        <f t="shared" si="0"/>
        <v>-66553.840000000026</v>
      </c>
      <c r="N29" s="824">
        <f t="shared" si="3"/>
        <v>-0.17065087179487187</v>
      </c>
      <c r="O29" s="808">
        <f t="shared" si="10"/>
        <v>-1.6402692348178145</v>
      </c>
      <c r="P29" s="823" t="b">
        <f t="shared" si="9"/>
        <v>1</v>
      </c>
      <c r="Q29" s="824">
        <f>COUNTIF(P$2:P29, TRUE)/(COUNTIF(P$2:P29,FALSE) + COUNTIF(P$2:P29, TRUE))</f>
        <v>0.42857142857142855</v>
      </c>
      <c r="R29" s="825"/>
      <c r="S29" s="825"/>
      <c r="T29" s="825"/>
      <c r="U29" s="825"/>
      <c r="V29" s="824">
        <f>STDEV(D$2:D29)*SQRT(252)</f>
        <v>0.28270501442194107</v>
      </c>
      <c r="W29" s="824">
        <f>STDEV(L$2:L29)*SQRT(252)</f>
        <v>0.35959656379312804</v>
      </c>
      <c r="X29" s="823">
        <f t="shared" si="11"/>
        <v>-2.7523842330438435</v>
      </c>
      <c r="Y29" s="823">
        <f t="shared" si="12"/>
        <v>-4.5614152079646777</v>
      </c>
      <c r="Z29" s="829">
        <f t="shared" si="13"/>
        <v>-8.9697313072625323E-2</v>
      </c>
      <c r="AA29" s="796"/>
      <c r="AB29" s="797"/>
      <c r="AC29" s="797"/>
      <c r="AD29" s="798"/>
      <c r="AE29" s="798"/>
      <c r="AF29" s="798"/>
      <c r="AG29" s="798"/>
    </row>
    <row r="30" spans="1:36" ht="20.100000000000001" customHeight="1" x14ac:dyDescent="0.2">
      <c r="A30" s="798">
        <f t="shared" si="8"/>
        <v>39</v>
      </c>
      <c r="B30" s="817">
        <v>42272</v>
      </c>
      <c r="C30" s="818">
        <v>1931.34</v>
      </c>
      <c r="D30" s="814">
        <f t="shared" si="4"/>
        <v>-4.6578064836670961E-4</v>
      </c>
      <c r="E30" s="819">
        <f t="shared" si="5"/>
        <v>-8.1381632769544021E-2</v>
      </c>
      <c r="F30" s="820">
        <v>4686.5</v>
      </c>
      <c r="G30" s="814">
        <f t="shared" si="1"/>
        <v>-1.0134164681232061E-2</v>
      </c>
      <c r="H30" s="819">
        <f t="shared" si="6"/>
        <v>-7.9580493744721773E-2</v>
      </c>
      <c r="I30" s="821">
        <v>320711.92</v>
      </c>
      <c r="J30" s="822">
        <v>390000</v>
      </c>
      <c r="K30" s="822">
        <f t="shared" si="14"/>
        <v>-2734.2399999999907</v>
      </c>
      <c r="L30" s="814">
        <f t="shared" si="7"/>
        <v>-8.4534625484500754E-3</v>
      </c>
      <c r="M30" s="823">
        <f t="shared" ref="M30:M61" si="15">I30-J30</f>
        <v>-69288.080000000016</v>
      </c>
      <c r="N30" s="824">
        <f t="shared" ref="N30:N61" si="16">M30/J30</f>
        <v>-0.17766174358974363</v>
      </c>
      <c r="O30" s="808">
        <f t="shared" si="10"/>
        <v>-1.6638705601577912</v>
      </c>
      <c r="P30" s="823" t="b">
        <f t="shared" si="9"/>
        <v>0</v>
      </c>
      <c r="Q30" s="824">
        <f>COUNTIF(P$2:P30, TRUE)/(COUNTIF(P$2:P30,FALSE) + COUNTIF(P$2:P30, TRUE))</f>
        <v>0.41379310344827586</v>
      </c>
      <c r="R30" s="825"/>
      <c r="S30" s="825"/>
      <c r="T30" s="825"/>
      <c r="U30" s="825"/>
      <c r="V30" s="824">
        <f>STDEV(D$2:D30)*SQRT(252)</f>
        <v>0.27752195461786261</v>
      </c>
      <c r="W30" s="824">
        <f>STDEV(L$2:L30)*SQRT(252)</f>
        <v>0.35323644241397795</v>
      </c>
      <c r="X30" s="823">
        <f t="shared" si="11"/>
        <v>-2.7463423301563585</v>
      </c>
      <c r="Y30" s="823">
        <f t="shared" si="12"/>
        <v>-4.7103592958503597</v>
      </c>
      <c r="Z30" s="829">
        <f t="shared" si="13"/>
        <v>-9.6280110820199605E-2</v>
      </c>
      <c r="AA30" s="796"/>
      <c r="AB30" s="797"/>
      <c r="AC30" s="797"/>
      <c r="AD30" s="798"/>
      <c r="AE30" s="798"/>
      <c r="AF30" s="798"/>
      <c r="AG30" s="798"/>
    </row>
    <row r="31" spans="1:36" ht="20.100000000000001" customHeight="1" x14ac:dyDescent="0.2">
      <c r="A31" s="798">
        <f t="shared" si="8"/>
        <v>42</v>
      </c>
      <c r="B31" s="800">
        <v>42275</v>
      </c>
      <c r="C31" s="813">
        <v>1881.77</v>
      </c>
      <c r="D31" s="814">
        <f t="shared" si="4"/>
        <v>-2.5666117824929811E-2</v>
      </c>
      <c r="E31" s="815">
        <f t="shared" si="5"/>
        <v>-0.10495900001902554</v>
      </c>
      <c r="F31" s="816">
        <v>4543.97</v>
      </c>
      <c r="G31" s="814">
        <f t="shared" si="1"/>
        <v>-3.041288808279094E-2</v>
      </c>
      <c r="H31" s="815">
        <f t="shared" si="6"/>
        <v>-0.10757310917768124</v>
      </c>
      <c r="I31" s="804">
        <v>308867.92</v>
      </c>
      <c r="J31" s="805">
        <v>390000</v>
      </c>
      <c r="K31" s="805">
        <f t="shared" si="14"/>
        <v>-11844</v>
      </c>
      <c r="L31" s="814">
        <f t="shared" si="7"/>
        <v>-3.693033922780295E-2</v>
      </c>
      <c r="M31" s="807">
        <f t="shared" si="15"/>
        <v>-81132.080000000016</v>
      </c>
      <c r="N31" s="808">
        <f t="shared" si="16"/>
        <v>-0.20803097435897441</v>
      </c>
      <c r="O31" s="808">
        <f t="shared" si="10"/>
        <v>-1.8091265091575097</v>
      </c>
      <c r="P31" s="807" t="b">
        <f t="shared" si="9"/>
        <v>0</v>
      </c>
      <c r="Q31" s="808">
        <f>COUNTIF(P$2:P31, TRUE)/(COUNTIF(P$2:P31,FALSE) + COUNTIF(P$2:P31, TRUE))</f>
        <v>0.4</v>
      </c>
      <c r="R31" s="809"/>
      <c r="S31" s="809"/>
      <c r="T31" s="809"/>
      <c r="U31" s="809"/>
      <c r="V31" s="808">
        <f>STDEV(D$2:D31)*SQRT(252)</f>
        <v>0.28067725027853285</v>
      </c>
      <c r="W31" s="808">
        <f>STDEV(L$2:L31)*SQRT(252)</f>
        <v>0.36074758156117998</v>
      </c>
      <c r="X31" s="823">
        <f t="shared" si="11"/>
        <v>-3.2520214790768787</v>
      </c>
      <c r="Y31" s="823">
        <f t="shared" si="12"/>
        <v>-5.0149373180224526</v>
      </c>
      <c r="Z31" s="829">
        <f t="shared" si="13"/>
        <v>-0.10307197433994887</v>
      </c>
      <c r="AA31" s="796"/>
      <c r="AB31" s="797"/>
      <c r="AC31" s="797"/>
      <c r="AD31" s="798"/>
      <c r="AE31" s="798"/>
      <c r="AF31" s="798"/>
      <c r="AG31" s="798"/>
    </row>
    <row r="32" spans="1:36" ht="20.100000000000001" customHeight="1" x14ac:dyDescent="0.2">
      <c r="A32" s="798">
        <f t="shared" si="8"/>
        <v>43</v>
      </c>
      <c r="B32" s="800">
        <v>42276</v>
      </c>
      <c r="C32" s="813">
        <v>1884.09</v>
      </c>
      <c r="D32" s="814">
        <f t="shared" si="4"/>
        <v>1.2328818080849075E-3</v>
      </c>
      <c r="E32" s="815">
        <f t="shared" si="5"/>
        <v>-0.10385552025265887</v>
      </c>
      <c r="F32" s="816">
        <v>4517.32</v>
      </c>
      <c r="G32" s="814">
        <f t="shared" si="1"/>
        <v>-5.8649154813963439E-3</v>
      </c>
      <c r="H32" s="815">
        <f t="shared" si="6"/>
        <v>-0.11280711746567947</v>
      </c>
      <c r="I32" s="804">
        <v>312033</v>
      </c>
      <c r="J32" s="805">
        <v>390000</v>
      </c>
      <c r="K32" s="805">
        <f t="shared" si="14"/>
        <v>3165.0800000000163</v>
      </c>
      <c r="L32" s="814">
        <f t="shared" si="7"/>
        <v>1.0247357511262472E-2</v>
      </c>
      <c r="M32" s="807">
        <f t="shared" si="15"/>
        <v>-77967</v>
      </c>
      <c r="N32" s="808">
        <f t="shared" si="16"/>
        <v>-0.19991538461538461</v>
      </c>
      <c r="O32" s="808">
        <f t="shared" si="10"/>
        <v>-1.6981184704830052</v>
      </c>
      <c r="P32" s="807" t="b">
        <f t="shared" si="9"/>
        <v>1</v>
      </c>
      <c r="Q32" s="808">
        <f>COUNTIF(P$2:P32, TRUE)/(COUNTIF(P$2:P32,FALSE) + COUNTIF(P$2:P32, TRUE))</f>
        <v>0.41935483870967744</v>
      </c>
      <c r="R32" s="809"/>
      <c r="S32" s="809"/>
      <c r="T32" s="809"/>
      <c r="U32" s="809"/>
      <c r="V32" s="808">
        <f>STDEV(D$2:D32)*SQRT(252)</f>
        <v>0.27616064910345123</v>
      </c>
      <c r="W32" s="808">
        <f>STDEV(L$2:L32)*SQRT(252)</f>
        <v>0.35703191736213136</v>
      </c>
      <c r="X32" s="823">
        <f t="shared" si="11"/>
        <v>-3.1944019318004857</v>
      </c>
      <c r="Y32" s="823">
        <f t="shared" si="12"/>
        <v>-4.7562091451914448</v>
      </c>
      <c r="Z32" s="829">
        <f t="shared" si="13"/>
        <v>-9.6059864362725733E-2</v>
      </c>
      <c r="AA32" s="796"/>
      <c r="AB32" s="797"/>
      <c r="AC32" s="797"/>
      <c r="AD32" s="798"/>
      <c r="AE32" s="798"/>
      <c r="AF32" s="798"/>
      <c r="AG32" s="798"/>
    </row>
    <row r="33" spans="1:33" ht="20.100000000000001" customHeight="1" x14ac:dyDescent="0.2">
      <c r="A33" s="798">
        <f t="shared" si="8"/>
        <v>44</v>
      </c>
      <c r="B33" s="800">
        <v>42277</v>
      </c>
      <c r="C33" s="813">
        <v>1920.03</v>
      </c>
      <c r="D33" s="814">
        <f t="shared" si="4"/>
        <v>1.9075521869974393E-2</v>
      </c>
      <c r="E33" s="815">
        <f t="shared" si="5"/>
        <v>-8.6761096630581652E-2</v>
      </c>
      <c r="F33" s="816">
        <v>4620.16</v>
      </c>
      <c r="G33" s="814">
        <f t="shared" si="1"/>
        <v>2.2765710642593431E-2</v>
      </c>
      <c r="H33" s="815">
        <f t="shared" si="6"/>
        <v>-9.2609541017734748E-2</v>
      </c>
      <c r="I33" s="831">
        <v>320653.48</v>
      </c>
      <c r="J33" s="805">
        <v>390000</v>
      </c>
      <c r="K33" s="805">
        <f t="shared" si="14"/>
        <v>8620.4799999999814</v>
      </c>
      <c r="L33" s="814">
        <f t="shared" si="7"/>
        <v>2.762682152208254E-2</v>
      </c>
      <c r="M33" s="807">
        <f t="shared" si="15"/>
        <v>-69346.520000000019</v>
      </c>
      <c r="N33" s="808">
        <f t="shared" si="16"/>
        <v>-0.17781158974358979</v>
      </c>
      <c r="O33" s="808">
        <f t="shared" si="10"/>
        <v>-1.476038253496504</v>
      </c>
      <c r="P33" s="807" t="b">
        <f t="shared" si="9"/>
        <v>1</v>
      </c>
      <c r="Q33" s="808">
        <f>COUNTIF(P$2:P33, TRUE)/(COUNTIF(P$2:P33,FALSE) + COUNTIF(P$2:P33, TRUE))</f>
        <v>0.4375</v>
      </c>
      <c r="R33" s="809"/>
      <c r="S33" s="809"/>
      <c r="T33" s="809"/>
      <c r="U33" s="809"/>
      <c r="V33" s="808">
        <f>STDEV(D$2:D33)*SQRT(252)</f>
        <v>0.27904525871697899</v>
      </c>
      <c r="W33" s="808">
        <f>STDEV(L$2:L33)*SQRT(252)</f>
        <v>0.36241608593546876</v>
      </c>
      <c r="X33" s="823">
        <f t="shared" si="11"/>
        <v>-2.5809995751247179</v>
      </c>
      <c r="Y33" s="823">
        <f t="shared" si="12"/>
        <v>-4.0727724589998608</v>
      </c>
      <c r="Z33" s="829">
        <f t="shared" si="13"/>
        <v>-9.1050493113008141E-2</v>
      </c>
      <c r="AA33" s="796"/>
      <c r="AB33" s="797"/>
      <c r="AC33" s="797"/>
      <c r="AD33" s="798"/>
      <c r="AE33" s="798"/>
      <c r="AF33" s="798"/>
      <c r="AG33" s="798"/>
    </row>
    <row r="34" spans="1:33" ht="20.100000000000001" customHeight="1" x14ac:dyDescent="0.2">
      <c r="A34" s="798">
        <f t="shared" si="8"/>
        <v>45</v>
      </c>
      <c r="B34" s="800">
        <v>42278</v>
      </c>
      <c r="C34" s="813">
        <v>1923.82</v>
      </c>
      <c r="D34" s="814">
        <f t="shared" si="4"/>
        <v>1.9739274907162718E-3</v>
      </c>
      <c r="E34" s="815">
        <f t="shared" si="5"/>
        <v>-8.4958429253629175E-2</v>
      </c>
      <c r="F34" s="816">
        <v>4627.08</v>
      </c>
      <c r="G34" s="814">
        <f t="shared" si="1"/>
        <v>1.497783626541088E-3</v>
      </c>
      <c r="H34" s="815">
        <f t="shared" si="6"/>
        <v>-9.1250466445391504E-2</v>
      </c>
      <c r="I34" s="804">
        <v>321963.56</v>
      </c>
      <c r="J34" s="805">
        <v>390000</v>
      </c>
      <c r="K34" s="805">
        <f t="shared" si="14"/>
        <v>1310.0800000000163</v>
      </c>
      <c r="L34" s="814">
        <f t="shared" si="7"/>
        <v>4.0856565785595605E-3</v>
      </c>
      <c r="M34" s="807">
        <f t="shared" si="15"/>
        <v>-68036.44</v>
      </c>
      <c r="N34" s="808">
        <f t="shared" si="16"/>
        <v>-0.17445241025641026</v>
      </c>
      <c r="O34" s="808">
        <f t="shared" si="10"/>
        <v>-1.4159720632478634</v>
      </c>
      <c r="P34" s="807" t="b">
        <f t="shared" si="9"/>
        <v>1</v>
      </c>
      <c r="Q34" s="808">
        <f>COUNTIF(P$2:P34, TRUE)/(COUNTIF(P$2:P34,FALSE) + COUNTIF(P$2:P34, TRUE))</f>
        <v>0.45454545454545453</v>
      </c>
      <c r="R34" s="809"/>
      <c r="S34" s="809"/>
      <c r="T34" s="809"/>
      <c r="U34" s="809"/>
      <c r="V34" s="808">
        <f>STDEV(D$2:D34)*SQRT(252)</f>
        <v>0.27483074679675301</v>
      </c>
      <c r="W34" s="808">
        <f>STDEV(L$2:L34)*SQRT(252)</f>
        <v>0.35707118458821713</v>
      </c>
      <c r="X34" s="823">
        <f t="shared" si="11"/>
        <v>-2.5091051813255021</v>
      </c>
      <c r="Y34" s="823">
        <f t="shared" si="12"/>
        <v>-3.9655175896671575</v>
      </c>
      <c r="Z34" s="829">
        <f t="shared" si="13"/>
        <v>-8.9493981002781081E-2</v>
      </c>
    </row>
    <row r="35" spans="1:33" ht="20.100000000000001" customHeight="1" x14ac:dyDescent="0.2">
      <c r="A35" s="798">
        <f t="shared" si="8"/>
        <v>46</v>
      </c>
      <c r="B35" s="800">
        <v>42279</v>
      </c>
      <c r="C35" s="813">
        <v>1951.36</v>
      </c>
      <c r="D35" s="814">
        <f t="shared" si="4"/>
        <v>1.4315268580220584E-2</v>
      </c>
      <c r="E35" s="815">
        <f t="shared" si="5"/>
        <v>-7.1859363406327953E-2</v>
      </c>
      <c r="F35" s="816">
        <v>4707.78</v>
      </c>
      <c r="G35" s="814">
        <f t="shared" si="1"/>
        <v>1.7440805000129633E-2</v>
      </c>
      <c r="H35" s="815">
        <f t="shared" si="6"/>
        <v>-7.5401143036706808E-2</v>
      </c>
      <c r="I35" s="804">
        <v>336327.01</v>
      </c>
      <c r="J35" s="805">
        <v>390000</v>
      </c>
      <c r="K35" s="805">
        <f t="shared" si="14"/>
        <v>14363.450000000012</v>
      </c>
      <c r="L35" s="814">
        <f t="shared" si="7"/>
        <v>4.4612036219254164E-2</v>
      </c>
      <c r="M35" s="807">
        <f t="shared" si="15"/>
        <v>-53672.989999999991</v>
      </c>
      <c r="N35" s="808">
        <f t="shared" si="16"/>
        <v>-0.13762305128205127</v>
      </c>
      <c r="O35" s="808">
        <f t="shared" si="10"/>
        <v>-1.0927569452341137</v>
      </c>
      <c r="P35" s="807" t="b">
        <f t="shared" si="9"/>
        <v>1</v>
      </c>
      <c r="Q35" s="808">
        <f>COUNTIF(P$2:P35, TRUE)/(COUNTIF(P$2:P35,FALSE) + COUNTIF(P$2:P35, TRUE))</f>
        <v>0.47058823529411764</v>
      </c>
      <c r="R35" s="809"/>
      <c r="S35" s="809"/>
      <c r="T35" s="809"/>
      <c r="U35" s="809"/>
      <c r="V35" s="808">
        <f>STDEV(D$2:D35)*SQRT(252)</f>
        <v>0.27452334333609368</v>
      </c>
      <c r="W35" s="808">
        <f>STDEV(L$2:L35)*SQRT(252)</f>
        <v>0.37502060427916972</v>
      </c>
      <c r="X35" s="823">
        <f t="shared" si="11"/>
        <v>-2.0784351527747336</v>
      </c>
      <c r="Y35" s="823">
        <f t="shared" si="12"/>
        <v>-2.9138584194180774</v>
      </c>
      <c r="Z35" s="829">
        <f t="shared" si="13"/>
        <v>-6.5763687875723315E-2</v>
      </c>
    </row>
    <row r="36" spans="1:33" ht="20.100000000000001" customHeight="1" x14ac:dyDescent="0.2">
      <c r="A36" s="798">
        <f t="shared" si="8"/>
        <v>49</v>
      </c>
      <c r="B36" s="817">
        <v>42282</v>
      </c>
      <c r="C36" s="818">
        <v>1987.05</v>
      </c>
      <c r="D36" s="814">
        <f t="shared" si="4"/>
        <v>1.8289808133814395E-2</v>
      </c>
      <c r="E36" s="819">
        <f t="shared" si="5"/>
        <v>-5.4883849241833343E-2</v>
      </c>
      <c r="F36" s="820">
        <v>4781.26</v>
      </c>
      <c r="G36" s="814">
        <f t="shared" si="1"/>
        <v>1.5608205990934257E-2</v>
      </c>
      <c r="H36" s="819">
        <f t="shared" si="6"/>
        <v>-6.0969813618241372E-2</v>
      </c>
      <c r="I36" s="821">
        <v>348049.53</v>
      </c>
      <c r="J36" s="822">
        <v>390000</v>
      </c>
      <c r="K36" s="822">
        <f t="shared" si="14"/>
        <v>11722.520000000019</v>
      </c>
      <c r="L36" s="814">
        <f t="shared" si="7"/>
        <v>3.4854530416691835E-2</v>
      </c>
      <c r="M36" s="823">
        <f t="shared" si="15"/>
        <v>-41950.469999999972</v>
      </c>
      <c r="N36" s="824">
        <f t="shared" si="16"/>
        <v>-0.10756530769230763</v>
      </c>
      <c r="O36" s="808">
        <f t="shared" si="10"/>
        <v>-0.80180058437990531</v>
      </c>
      <c r="P36" s="823" t="b">
        <f t="shared" si="9"/>
        <v>1</v>
      </c>
      <c r="Q36" s="824">
        <f>COUNTIF(P$2:P36, TRUE)/(COUNTIF(P$2:P36,FALSE) + COUNTIF(P$2:P36, TRUE))</f>
        <v>0.48571428571428571</v>
      </c>
      <c r="R36" s="825"/>
      <c r="S36" s="825"/>
      <c r="T36" s="825"/>
      <c r="U36" s="825"/>
      <c r="V36" s="824">
        <f>STDEV(D$2:D36)*SQRT(252)</f>
        <v>0.27597887919090974</v>
      </c>
      <c r="W36" s="824">
        <f>STDEV(L$2:L36)*SQRT(252)</f>
        <v>0.38219304301343621</v>
      </c>
      <c r="X36" s="823">
        <f t="shared" si="11"/>
        <v>-1.4823913111113354</v>
      </c>
      <c r="Y36" s="823">
        <f t="shared" si="12"/>
        <v>-2.0978942422866593</v>
      </c>
      <c r="Z36" s="829">
        <f t="shared" si="13"/>
        <v>-5.2681458450474283E-2</v>
      </c>
    </row>
    <row r="37" spans="1:33" ht="20.100000000000001" customHeight="1" x14ac:dyDescent="0.2">
      <c r="A37" s="798">
        <f t="shared" si="8"/>
        <v>50</v>
      </c>
      <c r="B37" s="817">
        <v>42283</v>
      </c>
      <c r="C37" s="818">
        <v>1979.92</v>
      </c>
      <c r="D37" s="814">
        <f t="shared" si="4"/>
        <v>-3.5882338139452364E-3</v>
      </c>
      <c r="E37" s="819">
        <f t="shared" si="5"/>
        <v>-5.8275146972089562E-2</v>
      </c>
      <c r="F37" s="820">
        <v>4748.3599999999997</v>
      </c>
      <c r="G37" s="814">
        <f t="shared" si="1"/>
        <v>-6.8810313599345242E-3</v>
      </c>
      <c r="H37" s="819">
        <f t="shared" si="6"/>
        <v>-6.7431309778659423E-2</v>
      </c>
      <c r="I37" s="821">
        <v>349442.62</v>
      </c>
      <c r="J37" s="822">
        <v>390000</v>
      </c>
      <c r="K37" s="822">
        <f t="shared" si="14"/>
        <v>1393.0899999999674</v>
      </c>
      <c r="L37" s="814">
        <f t="shared" si="7"/>
        <v>4.0025625088474254E-3</v>
      </c>
      <c r="M37" s="823">
        <f t="shared" si="15"/>
        <v>-40557.380000000005</v>
      </c>
      <c r="N37" s="824">
        <f t="shared" si="16"/>
        <v>-0.10399328205128207</v>
      </c>
      <c r="O37" s="808">
        <f t="shared" si="10"/>
        <v>-0.75967092538461556</v>
      </c>
      <c r="P37" s="823" t="b">
        <f t="shared" si="9"/>
        <v>1</v>
      </c>
      <c r="Q37" s="824">
        <f>COUNTIF(P$2:P37, TRUE)/(COUNTIF(P$2:P37,FALSE) + COUNTIF(P$2:P37, TRUE))</f>
        <v>0.5</v>
      </c>
      <c r="R37" s="825"/>
      <c r="S37" s="825"/>
      <c r="T37" s="825"/>
      <c r="U37" s="825"/>
      <c r="V37" s="824">
        <f>STDEV(D$2:D37)*SQRT(252)</f>
        <v>0.27194715501453054</v>
      </c>
      <c r="W37" s="824">
        <f>STDEV(L$2:L37)*SQRT(252)</f>
        <v>0.37670306697854899</v>
      </c>
      <c r="X37" s="823">
        <f t="shared" si="11"/>
        <v>-1.5653774668404548</v>
      </c>
      <c r="Y37" s="823">
        <f t="shared" si="12"/>
        <v>-2.0166305824844115</v>
      </c>
      <c r="Z37" s="829">
        <f t="shared" si="13"/>
        <v>-4.5718135079192507E-2</v>
      </c>
    </row>
    <row r="38" spans="1:33" ht="20.100000000000001" customHeight="1" x14ac:dyDescent="0.2">
      <c r="A38" s="798">
        <f t="shared" si="8"/>
        <v>51</v>
      </c>
      <c r="B38" s="817">
        <v>42284</v>
      </c>
      <c r="C38" s="818">
        <v>1995.83</v>
      </c>
      <c r="D38" s="814">
        <f t="shared" si="4"/>
        <v>8.0356782092205013E-3</v>
      </c>
      <c r="E38" s="819">
        <f t="shared" si="5"/>
        <v>-5.0707749091531806E-2</v>
      </c>
      <c r="F38" s="820">
        <v>4791.1499999999996</v>
      </c>
      <c r="G38" s="814">
        <f t="shared" si="1"/>
        <v>9.0115324027664218E-3</v>
      </c>
      <c r="H38" s="819">
        <f t="shared" si="6"/>
        <v>-5.9027436808924368E-2</v>
      </c>
      <c r="I38" s="821">
        <v>351672.29</v>
      </c>
      <c r="J38" s="822">
        <v>390000</v>
      </c>
      <c r="K38" s="822">
        <f t="shared" si="14"/>
        <v>2229.6699999999837</v>
      </c>
      <c r="L38" s="814">
        <f t="shared" si="7"/>
        <v>6.3806469857625942E-3</v>
      </c>
      <c r="M38" s="823">
        <f t="shared" si="15"/>
        <v>-38327.710000000021</v>
      </c>
      <c r="N38" s="824">
        <f t="shared" si="16"/>
        <v>-9.8276179487179538E-2</v>
      </c>
      <c r="O38" s="808">
        <f t="shared" si="10"/>
        <v>-0.70383087368024178</v>
      </c>
      <c r="P38" s="823" t="b">
        <f t="shared" si="9"/>
        <v>0</v>
      </c>
      <c r="Q38" s="824">
        <f>COUNTIF(P$2:P38, TRUE)/(COUNTIF(P$2:P38,FALSE) + COUNTIF(P$2:P38, TRUE))</f>
        <v>0.48648648648648651</v>
      </c>
      <c r="R38" s="825"/>
      <c r="S38" s="825"/>
      <c r="T38" s="825"/>
      <c r="U38" s="825"/>
      <c r="V38" s="824">
        <f>STDEV(D$2:D38)*SQRT(252)</f>
        <v>0.26923649970087526</v>
      </c>
      <c r="W38" s="824">
        <f>STDEV(L$2:L38)*SQRT(252)</f>
        <v>0.37168118749449619</v>
      </c>
      <c r="X38" s="823">
        <f t="shared" si="11"/>
        <v>-1.3488400278637624</v>
      </c>
      <c r="Y38" s="823">
        <f t="shared" si="12"/>
        <v>-1.8936413715872129</v>
      </c>
      <c r="Z38" s="829">
        <f t="shared" si="13"/>
        <v>-4.7568430395647732E-2</v>
      </c>
    </row>
    <row r="39" spans="1:33" ht="20.100000000000001" customHeight="1" x14ac:dyDescent="0.2">
      <c r="A39" s="798">
        <f t="shared" si="8"/>
        <v>52</v>
      </c>
      <c r="B39" s="817">
        <v>42285</v>
      </c>
      <c r="C39" s="818">
        <v>2013.43</v>
      </c>
      <c r="D39" s="814">
        <f t="shared" si="4"/>
        <v>8.8183863355096054E-3</v>
      </c>
      <c r="E39" s="819">
        <f t="shared" si="5"/>
        <v>-4.2336523277715414E-2</v>
      </c>
      <c r="F39" s="820">
        <v>4810.79</v>
      </c>
      <c r="G39" s="814">
        <f t="shared" si="1"/>
        <v>4.0992246120451934E-3</v>
      </c>
      <c r="H39" s="819">
        <f t="shared" si="6"/>
        <v>-5.5170178918632254E-2</v>
      </c>
      <c r="I39" s="821">
        <v>354527.57</v>
      </c>
      <c r="J39" s="822">
        <v>390000</v>
      </c>
      <c r="K39" s="822">
        <f t="shared" si="14"/>
        <v>2855.2800000000279</v>
      </c>
      <c r="L39" s="814">
        <f t="shared" si="7"/>
        <v>8.119149791415264E-3</v>
      </c>
      <c r="M39" s="823">
        <f t="shared" si="15"/>
        <v>-35472.429999999993</v>
      </c>
      <c r="N39" s="824">
        <f t="shared" si="16"/>
        <v>-9.0954948717948694E-2</v>
      </c>
      <c r="O39" s="808">
        <f t="shared" si="10"/>
        <v>-0.63887105806212996</v>
      </c>
      <c r="P39" s="823" t="b">
        <f t="shared" si="9"/>
        <v>0</v>
      </c>
      <c r="Q39" s="824">
        <f>COUNTIF(P$2:P39, TRUE)/(COUNTIF(P$2:P39,FALSE) + COUNTIF(P$2:P39, TRUE))</f>
        <v>0.47368421052631576</v>
      </c>
      <c r="R39" s="825"/>
      <c r="S39" s="825"/>
      <c r="T39" s="825"/>
      <c r="U39" s="825"/>
      <c r="V39" s="824">
        <f>STDEV(D$2:D39)*SQRT(252)</f>
        <v>0.26678199068533232</v>
      </c>
      <c r="W39" s="824">
        <f>STDEV(L$2:L39)*SQRT(252)</f>
        <v>0.36708606132795213</v>
      </c>
      <c r="X39" s="823">
        <f t="shared" si="11"/>
        <v>-1.1146680743575432</v>
      </c>
      <c r="Y39" s="823">
        <f t="shared" si="12"/>
        <v>-1.7403849542828786</v>
      </c>
      <c r="Z39" s="829">
        <f t="shared" si="13"/>
        <v>-4.861842544023328E-2</v>
      </c>
    </row>
    <row r="40" spans="1:33" ht="20.100000000000001" customHeight="1" x14ac:dyDescent="0.2">
      <c r="A40" s="798">
        <f t="shared" si="8"/>
        <v>53</v>
      </c>
      <c r="B40" s="817">
        <v>42286</v>
      </c>
      <c r="C40" s="818">
        <v>2014.89</v>
      </c>
      <c r="D40" s="814">
        <f t="shared" si="4"/>
        <v>7.2513074703368691E-4</v>
      </c>
      <c r="E40" s="819">
        <f t="shared" si="5"/>
        <v>-4.1642092045432906E-2</v>
      </c>
      <c r="F40" s="820">
        <v>4830.47</v>
      </c>
      <c r="G40" s="814">
        <f t="shared" si="1"/>
        <v>4.0908042130295211E-3</v>
      </c>
      <c r="H40" s="819">
        <f t="shared" si="6"/>
        <v>-5.1305065105956671E-2</v>
      </c>
      <c r="I40" s="821">
        <v>351691.92</v>
      </c>
      <c r="J40" s="822">
        <v>390000</v>
      </c>
      <c r="K40" s="822">
        <f t="shared" si="14"/>
        <v>-2835.6500000000233</v>
      </c>
      <c r="L40" s="814">
        <f t="shared" si="7"/>
        <v>-7.9983906470236527E-3</v>
      </c>
      <c r="M40" s="832">
        <f t="shared" si="15"/>
        <v>-38308.080000000016</v>
      </c>
      <c r="N40" s="824">
        <f t="shared" si="16"/>
        <v>-9.8225846153846191E-2</v>
      </c>
      <c r="O40" s="808">
        <f t="shared" si="10"/>
        <v>-0.67692434542815694</v>
      </c>
      <c r="P40" s="832" t="b">
        <f t="shared" si="9"/>
        <v>0</v>
      </c>
      <c r="Q40" s="824">
        <f>COUNTIF(P$2:P40, TRUE)/(COUNTIF(P$2:P40,FALSE) + COUNTIF(P$2:P40, TRUE))</f>
        <v>0.46153846153846156</v>
      </c>
      <c r="R40" s="825"/>
      <c r="S40" s="825"/>
      <c r="T40" s="825"/>
      <c r="U40" s="825"/>
      <c r="V40" s="824">
        <f>STDEV(D$2:D40)*SQRT(252)</f>
        <v>0.26319098013674441</v>
      </c>
      <c r="W40" s="824">
        <f>STDEV(L$2:L40)*SQRT(252)</f>
        <v>0.36271772022566956</v>
      </c>
      <c r="X40" s="823">
        <f t="shared" si="11"/>
        <v>-1.090375019812317</v>
      </c>
      <c r="Y40" s="823">
        <f t="shared" si="12"/>
        <v>-1.8662566168727561</v>
      </c>
      <c r="Z40" s="829">
        <f t="shared" si="13"/>
        <v>-5.6583754108413285E-2</v>
      </c>
    </row>
    <row r="41" spans="1:33" ht="20.100000000000001" customHeight="1" x14ac:dyDescent="0.2">
      <c r="A41" s="798">
        <f t="shared" si="8"/>
        <v>56</v>
      </c>
      <c r="B41" s="800">
        <v>42289</v>
      </c>
      <c r="C41" s="801">
        <v>2017.46</v>
      </c>
      <c r="D41" s="814">
        <f t="shared" si="4"/>
        <v>1.2755038736605652E-3</v>
      </c>
      <c r="E41" s="802">
        <f t="shared" si="5"/>
        <v>-4.0419702821483619E-2</v>
      </c>
      <c r="F41" s="803">
        <v>4838.6400000000003</v>
      </c>
      <c r="G41" s="814">
        <f t="shared" si="1"/>
        <v>1.6913468047622844E-3</v>
      </c>
      <c r="H41" s="815">
        <f t="shared" si="6"/>
        <v>-4.9700492959129462E-2</v>
      </c>
      <c r="I41" s="804">
        <v>348866.78</v>
      </c>
      <c r="J41" s="805">
        <v>390000</v>
      </c>
      <c r="K41" s="805">
        <f t="shared" si="14"/>
        <v>-2825.1399999999558</v>
      </c>
      <c r="L41" s="814">
        <f t="shared" si="7"/>
        <v>-8.0329966068027839E-3</v>
      </c>
      <c r="M41" s="833">
        <f t="shared" si="15"/>
        <v>-41133.219999999972</v>
      </c>
      <c r="N41" s="808">
        <f t="shared" si="16"/>
        <v>-0.10546979487179479</v>
      </c>
      <c r="O41" s="808">
        <f t="shared" si="10"/>
        <v>-0.68790790315934025</v>
      </c>
      <c r="P41" s="833" t="b">
        <f t="shared" si="9"/>
        <v>0</v>
      </c>
      <c r="Q41" s="808">
        <f>COUNTIF(P$2:P41, TRUE)/(COUNTIF(P$2:P41,FALSE) + COUNTIF(P$2:P41, TRUE))</f>
        <v>0.45</v>
      </c>
      <c r="R41" s="809"/>
      <c r="S41" s="809"/>
      <c r="T41" s="809"/>
      <c r="U41" s="809"/>
      <c r="V41" s="808">
        <f>STDEV(D$2:D41)*SQRT(252)</f>
        <v>0.25976838750277326</v>
      </c>
      <c r="W41" s="808">
        <f>STDEV(L$2:L41)*SQRT(252)</f>
        <v>0.35850362464103236</v>
      </c>
      <c r="X41" s="823">
        <f t="shared" si="11"/>
        <v>-1.014866729487002</v>
      </c>
      <c r="Y41" s="823">
        <f t="shared" si="12"/>
        <v>-1.918831096472563</v>
      </c>
      <c r="Z41" s="829">
        <f t="shared" si="13"/>
        <v>-6.5050092050311176E-2</v>
      </c>
    </row>
    <row r="42" spans="1:33" ht="20.100000000000001" customHeight="1" x14ac:dyDescent="0.2">
      <c r="A42" s="798">
        <f t="shared" si="8"/>
        <v>57</v>
      </c>
      <c r="B42" s="800">
        <v>42290</v>
      </c>
      <c r="C42" s="801">
        <v>2003.69</v>
      </c>
      <c r="D42" s="814">
        <f t="shared" si="4"/>
        <v>-6.8254141346048899E-3</v>
      </c>
      <c r="E42" s="802">
        <f t="shared" si="5"/>
        <v>-4.6969235745134223E-2</v>
      </c>
      <c r="F42" s="803">
        <v>4796.6099999999997</v>
      </c>
      <c r="G42" s="814">
        <f t="shared" si="1"/>
        <v>-8.6863250830813317E-3</v>
      </c>
      <c r="H42" s="815">
        <f t="shared" si="6"/>
        <v>-5.7955103403578401E-2</v>
      </c>
      <c r="I42" s="804">
        <v>347508.59</v>
      </c>
      <c r="J42" s="805">
        <v>390000</v>
      </c>
      <c r="K42" s="805">
        <f t="shared" si="14"/>
        <v>-1358.1900000000023</v>
      </c>
      <c r="L42" s="814">
        <f t="shared" si="7"/>
        <v>-3.8931479804411363E-3</v>
      </c>
      <c r="M42" s="833">
        <f t="shared" si="15"/>
        <v>-42491.409999999974</v>
      </c>
      <c r="N42" s="808">
        <f t="shared" si="16"/>
        <v>-0.10895233333333326</v>
      </c>
      <c r="O42" s="808">
        <f t="shared" si="10"/>
        <v>-0.69815508333333287</v>
      </c>
      <c r="P42" s="833" t="b">
        <f t="shared" si="9"/>
        <v>1</v>
      </c>
      <c r="Q42" s="808">
        <f>COUNTIF(P$2:P42, TRUE)/(COUNTIF(P$2:P42,FALSE) + COUNTIF(P$2:P42, TRUE))</f>
        <v>0.46341463414634149</v>
      </c>
      <c r="R42" s="809"/>
      <c r="S42" s="809"/>
      <c r="T42" s="809"/>
      <c r="U42" s="809"/>
      <c r="V42" s="808">
        <f>STDEV(D$2:D42)*SQRT(252)</f>
        <v>0.2568435001245859</v>
      </c>
      <c r="W42" s="808">
        <f>STDEV(L$2:L42)*SQRT(252)</f>
        <v>0.35400225993009587</v>
      </c>
      <c r="X42" s="823">
        <f t="shared" si="11"/>
        <v>-1.1718183188546707</v>
      </c>
      <c r="Y42" s="823">
        <f t="shared" si="12"/>
        <v>-1.9721769105971136</v>
      </c>
      <c r="Z42" s="829">
        <f t="shared" si="13"/>
        <v>-6.1983097588199039E-2</v>
      </c>
    </row>
    <row r="43" spans="1:33" ht="20.100000000000001" customHeight="1" x14ac:dyDescent="0.2">
      <c r="A43" s="798">
        <f t="shared" si="8"/>
        <v>58</v>
      </c>
      <c r="B43" s="800">
        <v>42291</v>
      </c>
      <c r="C43" s="834">
        <v>1994.24</v>
      </c>
      <c r="D43" s="814">
        <f t="shared" si="4"/>
        <v>-4.7162984293977837E-3</v>
      </c>
      <c r="E43" s="802">
        <f t="shared" si="5"/>
        <v>-5.1464013241757214E-2</v>
      </c>
      <c r="F43" s="803">
        <v>4782.8500000000004</v>
      </c>
      <c r="G43" s="814">
        <f t="shared" si="1"/>
        <v>-2.8686926808723888E-3</v>
      </c>
      <c r="H43" s="815">
        <f t="shared" si="6"/>
        <v>-6.0657540703497742E-2</v>
      </c>
      <c r="I43" s="804">
        <v>350349.65</v>
      </c>
      <c r="J43" s="805">
        <v>390000</v>
      </c>
      <c r="K43" s="805">
        <f t="shared" si="14"/>
        <v>2841.0599999999977</v>
      </c>
      <c r="L43" s="814">
        <f t="shared" si="7"/>
        <v>8.1755101363105796E-3</v>
      </c>
      <c r="M43" s="833">
        <f t="shared" si="15"/>
        <v>-39650.349999999977</v>
      </c>
      <c r="N43" s="808">
        <f t="shared" si="16"/>
        <v>-0.10166756410256404</v>
      </c>
      <c r="O43" s="808">
        <f t="shared" si="10"/>
        <v>-0.64024272049071573</v>
      </c>
      <c r="P43" s="833" t="b">
        <f t="shared" si="9"/>
        <v>1</v>
      </c>
      <c r="Q43" s="808">
        <f>COUNTIF(P$2:P43, TRUE)/(COUNTIF(P$2:P43,FALSE) + COUNTIF(P$2:P43, TRUE))</f>
        <v>0.47619047619047616</v>
      </c>
      <c r="R43" s="809"/>
      <c r="S43" s="809"/>
      <c r="T43" s="809"/>
      <c r="U43" s="809"/>
      <c r="V43" s="808">
        <f>STDEV(D$2:D43)*SQRT(252)</f>
        <v>0.25377333453127793</v>
      </c>
      <c r="W43" s="808">
        <f>STDEV(L$2:L43)*SQRT(252)</f>
        <v>0.35017187352757795</v>
      </c>
      <c r="X43" s="823">
        <f t="shared" si="11"/>
        <v>-1.2770852675900659</v>
      </c>
      <c r="Y43" s="823">
        <f t="shared" si="12"/>
        <v>-1.8283670645532104</v>
      </c>
      <c r="Z43" s="829">
        <f t="shared" si="13"/>
        <v>-5.0203550860806828E-2</v>
      </c>
    </row>
    <row r="44" spans="1:33" ht="20.100000000000001" customHeight="1" x14ac:dyDescent="0.2">
      <c r="A44" s="798">
        <f t="shared" si="8"/>
        <v>59</v>
      </c>
      <c r="B44" s="800">
        <v>42292</v>
      </c>
      <c r="C44" s="834">
        <v>2023.86</v>
      </c>
      <c r="D44" s="814">
        <f t="shared" si="4"/>
        <v>1.4852775994865158E-2</v>
      </c>
      <c r="E44" s="802">
        <f>(C44-$C$2)/$C$2</f>
        <v>-3.7375620707368655E-2</v>
      </c>
      <c r="F44" s="803">
        <v>4870.1000000000004</v>
      </c>
      <c r="G44" s="814">
        <f t="shared" si="1"/>
        <v>1.8242261413174154E-2</v>
      </c>
      <c r="H44" s="815">
        <f t="shared" si="6"/>
        <v>-4.3521810004517048E-2</v>
      </c>
      <c r="I44" s="804">
        <v>353686.58</v>
      </c>
      <c r="J44" s="805">
        <v>390000</v>
      </c>
      <c r="K44" s="805">
        <f t="shared" si="14"/>
        <v>3336.929999999993</v>
      </c>
      <c r="L44" s="814">
        <f t="shared" si="7"/>
        <v>9.5245706681881745E-3</v>
      </c>
      <c r="M44" s="833">
        <f t="shared" si="15"/>
        <v>-36313.419999999984</v>
      </c>
      <c r="N44" s="808">
        <f t="shared" si="16"/>
        <v>-9.3111333333333296E-2</v>
      </c>
      <c r="O44" s="808">
        <f t="shared" si="10"/>
        <v>-0.57642227966101678</v>
      </c>
      <c r="P44" s="833" t="b">
        <f t="shared" si="9"/>
        <v>0</v>
      </c>
      <c r="Q44" s="808">
        <f>COUNTIF(P$2:P44, TRUE)/(COUNTIF(P$2:P44,FALSE) + COUNTIF(P$2:P44, TRUE))</f>
        <v>0.46511627906976744</v>
      </c>
      <c r="R44" s="809"/>
      <c r="S44" s="809"/>
      <c r="T44" s="809"/>
      <c r="U44" s="809"/>
      <c r="V44" s="808">
        <f>STDEV(D$2:D44)*SQRT(252)</f>
        <v>0.25371078720500778</v>
      </c>
      <c r="W44" s="808">
        <f>STDEV(L$2:L44)*SQRT(252)</f>
        <v>0.34666743153233776</v>
      </c>
      <c r="X44" s="823">
        <f t="shared" si="11"/>
        <v>-0.91198499729346294</v>
      </c>
      <c r="Y44" s="823">
        <f t="shared" si="12"/>
        <v>-1.6627529073415339</v>
      </c>
      <c r="Z44" s="829">
        <f t="shared" si="13"/>
        <v>-5.5735712625964641E-2</v>
      </c>
    </row>
    <row r="45" spans="1:33" ht="20.100000000000001" customHeight="1" x14ac:dyDescent="0.2">
      <c r="A45" s="798">
        <f t="shared" si="8"/>
        <v>60</v>
      </c>
      <c r="B45" s="800">
        <v>42293</v>
      </c>
      <c r="C45" s="834">
        <v>2033.11</v>
      </c>
      <c r="D45" s="814">
        <f t="shared" si="4"/>
        <v>4.5704742422894868E-3</v>
      </c>
      <c r="E45" s="802">
        <f t="shared" ref="E45:E53" si="17">(C45-$C$2)/$C$2</f>
        <v>-3.2975970776811775E-2</v>
      </c>
      <c r="F45" s="803">
        <v>4886.6899999999996</v>
      </c>
      <c r="G45" s="814">
        <f t="shared" si="1"/>
        <v>3.4065008932053211E-3</v>
      </c>
      <c r="H45" s="815">
        <f t="shared" si="6"/>
        <v>-4.0263566195966029E-2</v>
      </c>
      <c r="I45" s="804">
        <v>351968.34</v>
      </c>
      <c r="J45" s="805">
        <v>390000</v>
      </c>
      <c r="K45" s="805">
        <f t="shared" si="14"/>
        <v>-1718.2399999999907</v>
      </c>
      <c r="L45" s="814">
        <f t="shared" si="7"/>
        <v>-4.8580865013311799E-3</v>
      </c>
      <c r="M45" s="833">
        <f t="shared" si="15"/>
        <v>-38031.659999999974</v>
      </c>
      <c r="N45" s="808">
        <f t="shared" si="16"/>
        <v>-9.7517076923076859E-2</v>
      </c>
      <c r="O45" s="808">
        <f t="shared" si="10"/>
        <v>-0.59363520576923046</v>
      </c>
      <c r="P45" s="833" t="b">
        <f t="shared" si="9"/>
        <v>0</v>
      </c>
      <c r="Q45" s="808">
        <f>COUNTIF(P$2:P45, TRUE)/(COUNTIF(P$2:P45,FALSE) + COUNTIF(P$2:P45, TRUE))</f>
        <v>0.45454545454545453</v>
      </c>
      <c r="R45" s="809"/>
      <c r="S45" s="809"/>
      <c r="T45" s="809"/>
      <c r="U45" s="809"/>
      <c r="V45" s="808">
        <f>STDEV(D$2:D45)*SQRT(252)</f>
        <v>0.25100684114352073</v>
      </c>
      <c r="W45" s="808">
        <f>STDEV(L$2:L45)*SQRT(252)</f>
        <v>0.34273345139982825</v>
      </c>
      <c r="X45" s="823">
        <f t="shared" si="11"/>
        <v>-0.79974402765007446</v>
      </c>
      <c r="Y45" s="823">
        <f t="shared" si="12"/>
        <v>-1.7320608868047245</v>
      </c>
      <c r="Z45" s="829">
        <f t="shared" si="13"/>
        <v>-6.4541106146265084E-2</v>
      </c>
    </row>
    <row r="46" spans="1:33" ht="20.100000000000001" customHeight="1" x14ac:dyDescent="0.2">
      <c r="A46" s="798">
        <f t="shared" si="8"/>
        <v>63</v>
      </c>
      <c r="B46" s="835">
        <v>42296</v>
      </c>
      <c r="C46" s="836">
        <v>2033.66</v>
      </c>
      <c r="D46" s="814">
        <f t="shared" si="4"/>
        <v>2.7052151629778119E-4</v>
      </c>
      <c r="E46" s="837">
        <f t="shared" si="17"/>
        <v>-3.2714369970129928E-2</v>
      </c>
      <c r="F46" s="838">
        <v>4905.47</v>
      </c>
      <c r="G46" s="814">
        <f t="shared" si="1"/>
        <v>3.843092154403217E-3</v>
      </c>
      <c r="H46" s="819">
        <f t="shared" si="6"/>
        <v>-3.657521063691882E-2</v>
      </c>
      <c r="I46" s="821">
        <v>353616.79</v>
      </c>
      <c r="J46" s="822">
        <v>390000</v>
      </c>
      <c r="K46" s="822">
        <f t="shared" si="14"/>
        <v>1648.4499999999534</v>
      </c>
      <c r="L46" s="814">
        <f t="shared" si="7"/>
        <v>4.6835178414057167E-3</v>
      </c>
      <c r="M46" s="839">
        <f t="shared" si="15"/>
        <v>-36383.210000000021</v>
      </c>
      <c r="N46" s="824">
        <f t="shared" si="16"/>
        <v>-9.3290282051282106E-2</v>
      </c>
      <c r="O46" s="808">
        <f t="shared" si="10"/>
        <v>-0.5408615161782665</v>
      </c>
      <c r="P46" s="839" t="b">
        <f t="shared" si="9"/>
        <v>1</v>
      </c>
      <c r="Q46" s="824">
        <f>COUNTIF(P$2:P46, TRUE)/(COUNTIF(P$2:P46,FALSE) + COUNTIF(P$2:P46, TRUE))</f>
        <v>0.46666666666666667</v>
      </c>
      <c r="R46" s="825"/>
      <c r="S46" s="825"/>
      <c r="T46" s="825"/>
      <c r="U46" s="825"/>
      <c r="V46" s="824">
        <f>STDEV(D$2:D46)*SQRT(252)</f>
        <v>0.24808092074482793</v>
      </c>
      <c r="W46" s="824">
        <f>STDEV(L$2:L46)*SQRT(252)</f>
        <v>0.33890448472804552</v>
      </c>
      <c r="X46" s="823">
        <f t="shared" si="11"/>
        <v>-0.76453059711419202</v>
      </c>
      <c r="Y46" s="823">
        <f t="shared" si="12"/>
        <v>-1.5959113571845522</v>
      </c>
      <c r="Z46" s="829">
        <f t="shared" si="13"/>
        <v>-6.0575912081152178E-2</v>
      </c>
    </row>
    <row r="47" spans="1:33" ht="20.100000000000001" customHeight="1" x14ac:dyDescent="0.2">
      <c r="A47" s="798">
        <f t="shared" si="8"/>
        <v>64</v>
      </c>
      <c r="B47" s="835">
        <v>42297</v>
      </c>
      <c r="C47" s="836">
        <v>2030.77</v>
      </c>
      <c r="D47" s="814">
        <f t="shared" si="4"/>
        <v>-1.4210831702448296E-3</v>
      </c>
      <c r="E47" s="837">
        <f t="shared" si="17"/>
        <v>-3.4088963299785044E-2</v>
      </c>
      <c r="F47" s="838">
        <v>4880.97</v>
      </c>
      <c r="G47" s="814">
        <f t="shared" si="1"/>
        <v>-4.9944245913235629E-3</v>
      </c>
      <c r="H47" s="819">
        <f t="shared" si="6"/>
        <v>-4.1386963096804522E-2</v>
      </c>
      <c r="I47" s="821">
        <v>352193</v>
      </c>
      <c r="J47" s="822">
        <v>395000</v>
      </c>
      <c r="K47" s="822">
        <f t="shared" si="14"/>
        <v>-6423.789999999979</v>
      </c>
      <c r="L47" s="814">
        <f t="shared" si="7"/>
        <v>-1.8165964348016334E-2</v>
      </c>
      <c r="M47" s="839">
        <f t="shared" si="15"/>
        <v>-42807</v>
      </c>
      <c r="N47" s="824">
        <f t="shared" si="16"/>
        <v>-0.10837215189873417</v>
      </c>
      <c r="O47" s="808">
        <f t="shared" si="10"/>
        <v>-0.61848325751582278</v>
      </c>
      <c r="P47" s="839" t="b">
        <f t="shared" si="9"/>
        <v>0</v>
      </c>
      <c r="Q47" s="824">
        <f>COUNTIF(P$2:P47, TRUE)/(COUNTIF(P$2:P47,FALSE) + COUNTIF(P$2:P47, TRUE))</f>
        <v>0.45652173913043476</v>
      </c>
      <c r="R47" s="825"/>
      <c r="S47" s="825"/>
      <c r="T47" s="825"/>
      <c r="U47" s="825"/>
      <c r="V47" s="824">
        <f>STDEV(D$2:D47)*SQRT(252)</f>
        <v>0.24525265348900513</v>
      </c>
      <c r="W47" s="824">
        <f>STDEV(L$2:L47)*SQRT(252)</f>
        <v>0.33783134123152347</v>
      </c>
      <c r="X47" s="823">
        <f t="shared" si="11"/>
        <v>-0.79325045443676745</v>
      </c>
      <c r="Y47" s="823">
        <f t="shared" si="12"/>
        <v>-1.8307456474026849</v>
      </c>
      <c r="Z47" s="829">
        <f t="shared" si="13"/>
        <v>-7.4283188598949126E-2</v>
      </c>
    </row>
    <row r="48" spans="1:33" ht="20.100000000000001" customHeight="1" x14ac:dyDescent="0.2">
      <c r="A48" s="798">
        <f t="shared" si="8"/>
        <v>65</v>
      </c>
      <c r="B48" s="835">
        <v>42298</v>
      </c>
      <c r="C48" s="836">
        <v>2018.94</v>
      </c>
      <c r="D48" s="814">
        <f t="shared" si="4"/>
        <v>-5.8253765812967141E-3</v>
      </c>
      <c r="E48" s="837">
        <f t="shared" si="17"/>
        <v>-3.9715758832594511E-2</v>
      </c>
      <c r="F48" s="838">
        <v>4840.12</v>
      </c>
      <c r="G48" s="814">
        <f t="shared" si="1"/>
        <v>-8.3692380817748033E-3</v>
      </c>
      <c r="H48" s="819">
        <f t="shared" si="6"/>
        <v>-4.9409823830940537E-2</v>
      </c>
      <c r="I48" s="821">
        <v>350311.35</v>
      </c>
      <c r="J48" s="822">
        <v>400000</v>
      </c>
      <c r="K48" s="822">
        <f t="shared" si="14"/>
        <v>-6881.6500000000233</v>
      </c>
      <c r="L48" s="814">
        <f t="shared" si="7"/>
        <v>-1.9539428665532883E-2</v>
      </c>
      <c r="M48" s="839">
        <f t="shared" si="15"/>
        <v>-49688.650000000023</v>
      </c>
      <c r="N48" s="824">
        <f t="shared" si="16"/>
        <v>-0.12422162500000006</v>
      </c>
      <c r="O48" s="808">
        <f t="shared" si="10"/>
        <v>-0.69802997740384654</v>
      </c>
      <c r="P48" s="839" t="b">
        <f t="shared" si="9"/>
        <v>0</v>
      </c>
      <c r="Q48" s="824">
        <f>COUNTIF(P$2:P48, TRUE)/(COUNTIF(P$2:P48,FALSE) + COUNTIF(P$2:P48, TRUE))</f>
        <v>0.44680851063829785</v>
      </c>
      <c r="R48" s="825"/>
      <c r="S48" s="825"/>
      <c r="T48" s="825"/>
      <c r="U48" s="825"/>
      <c r="V48" s="824">
        <f>STDEV(D$2:D48)*SQRT(252)</f>
        <v>0.24281424638505256</v>
      </c>
      <c r="W48" s="824">
        <f>STDEV(L$2:L48)*SQRT(252)</f>
        <v>0.33709966873657005</v>
      </c>
      <c r="X48" s="823">
        <f t="shared" si="11"/>
        <v>-0.91910593129515017</v>
      </c>
      <c r="Y48" s="823">
        <f t="shared" si="12"/>
        <v>-2.0706931573680341</v>
      </c>
      <c r="Z48" s="829">
        <f t="shared" si="13"/>
        <v>-8.4505866167405547E-2</v>
      </c>
    </row>
    <row r="49" spans="1:27" ht="20.100000000000001" customHeight="1" x14ac:dyDescent="0.2">
      <c r="A49" s="798">
        <f t="shared" si="8"/>
        <v>66</v>
      </c>
      <c r="B49" s="835">
        <v>42299</v>
      </c>
      <c r="C49" s="836">
        <v>2052.5100000000002</v>
      </c>
      <c r="D49" s="814">
        <f t="shared" si="4"/>
        <v>1.6627537222502979E-2</v>
      </c>
      <c r="E49" s="837">
        <f t="shared" si="17"/>
        <v>-2.3748596868400446E-2</v>
      </c>
      <c r="F49" s="838">
        <v>4920.05</v>
      </c>
      <c r="G49" s="814">
        <f t="shared" si="1"/>
        <v>1.6514053370577649E-2</v>
      </c>
      <c r="H49" s="819">
        <f t="shared" si="6"/>
        <v>-3.3711726928137876E-2</v>
      </c>
      <c r="I49" s="821">
        <v>353557.89</v>
      </c>
      <c r="J49" s="822">
        <v>400000</v>
      </c>
      <c r="K49" s="822">
        <f t="shared" si="14"/>
        <v>3246.5400000000373</v>
      </c>
      <c r="L49" s="814">
        <f t="shared" si="7"/>
        <v>9.2675843931406664E-3</v>
      </c>
      <c r="M49" s="839">
        <f t="shared" si="15"/>
        <v>-46442.109999999986</v>
      </c>
      <c r="N49" s="824">
        <f t="shared" si="16"/>
        <v>-0.11610527499999997</v>
      </c>
      <c r="O49" s="808">
        <f t="shared" si="10"/>
        <v>-0.64253714687499974</v>
      </c>
      <c r="P49" s="839" t="b">
        <f t="shared" si="9"/>
        <v>0</v>
      </c>
      <c r="Q49" s="824">
        <f>COUNTIF(P$2:P49, TRUE)/(COUNTIF(P$2:P49,FALSE) + COUNTIF(P$2:P49, TRUE))</f>
        <v>0.4375</v>
      </c>
      <c r="R49" s="825"/>
      <c r="S49" s="825"/>
      <c r="T49" s="825"/>
      <c r="U49" s="825"/>
      <c r="V49" s="824">
        <f>STDEV(D$2:D49)*SQRT(252)</f>
        <v>0.24351413133026822</v>
      </c>
      <c r="W49" s="824">
        <f>STDEV(L$2:L49)*SQRT(252)</f>
        <v>0.33420544036824928</v>
      </c>
      <c r="X49" s="823">
        <f t="shared" si="11"/>
        <v>-0.53970951630248853</v>
      </c>
      <c r="Y49" s="823">
        <f t="shared" si="12"/>
        <v>-1.9225813504621905</v>
      </c>
      <c r="Z49" s="829">
        <f t="shared" si="13"/>
        <v>-9.2356678131599521E-2</v>
      </c>
    </row>
    <row r="50" spans="1:27" ht="20.100000000000001" customHeight="1" x14ac:dyDescent="0.2">
      <c r="A50" s="798">
        <f t="shared" si="8"/>
        <v>67</v>
      </c>
      <c r="B50" s="835">
        <v>42300</v>
      </c>
      <c r="C50" s="836">
        <v>2075.15</v>
      </c>
      <c r="D50" s="814">
        <f t="shared" si="4"/>
        <v>1.103039692863853E-2</v>
      </c>
      <c r="E50" s="837">
        <f t="shared" si="17"/>
        <v>-1.2980156389718596E-2</v>
      </c>
      <c r="F50" s="838">
        <v>5031.8599999999997</v>
      </c>
      <c r="G50" s="814">
        <f t="shared" si="1"/>
        <v>2.2725378807125839E-2</v>
      </c>
      <c r="H50" s="819">
        <f t="shared" si="6"/>
        <v>-1.1752459885696358E-2</v>
      </c>
      <c r="I50" s="821">
        <v>354948.58</v>
      </c>
      <c r="J50" s="822">
        <v>400000</v>
      </c>
      <c r="K50" s="822">
        <f t="shared" ref="K50:K55" si="18">I50-I49-J50+J49</f>
        <v>1390.6900000000023</v>
      </c>
      <c r="L50" s="814">
        <f t="shared" si="7"/>
        <v>3.93341526051081E-3</v>
      </c>
      <c r="M50" s="839">
        <f t="shared" si="15"/>
        <v>-45051.419999999984</v>
      </c>
      <c r="N50" s="824">
        <f t="shared" si="16"/>
        <v>-0.11262854999999997</v>
      </c>
      <c r="O50" s="808">
        <f t="shared" si="10"/>
        <v>-0.61399369981343266</v>
      </c>
      <c r="P50" s="839" t="b">
        <f t="shared" si="9"/>
        <v>0</v>
      </c>
      <c r="Q50" s="824">
        <f>COUNTIF(P$2:P50, TRUE)/(COUNTIF(P$2:P50,FALSE) + COUNTIF(P$2:P50, TRUE))</f>
        <v>0.42857142857142855</v>
      </c>
      <c r="R50" s="825"/>
      <c r="S50" s="825"/>
      <c r="T50" s="825"/>
      <c r="U50" s="825"/>
      <c r="V50" s="824">
        <f>STDEV(D$2:D50)*SQRT(252)</f>
        <v>0.2423280462112376</v>
      </c>
      <c r="W50" s="824">
        <f>STDEV(L$2:L50)*SQRT(252)</f>
        <v>0.33078274353135961</v>
      </c>
      <c r="X50" s="823">
        <f t="shared" si="11"/>
        <v>-0.29200592666863479</v>
      </c>
      <c r="Y50" s="823">
        <f t="shared" si="12"/>
        <v>-1.8561841928589706</v>
      </c>
      <c r="Z50" s="829">
        <f t="shared" si="13"/>
        <v>-9.9648393610281369E-2</v>
      </c>
    </row>
    <row r="51" spans="1:27" ht="20.100000000000001" customHeight="1" x14ac:dyDescent="0.2">
      <c r="A51" s="798">
        <f t="shared" si="8"/>
        <v>70</v>
      </c>
      <c r="B51" s="800">
        <v>42303</v>
      </c>
      <c r="C51" s="801">
        <v>2071.1799999999998</v>
      </c>
      <c r="D51" s="814">
        <f t="shared" si="4"/>
        <v>-1.9131147145990672E-3</v>
      </c>
      <c r="E51" s="802">
        <f t="shared" si="17"/>
        <v>-1.4868438576130695E-2</v>
      </c>
      <c r="F51" s="803">
        <v>5034.7</v>
      </c>
      <c r="G51" s="814">
        <f t="shared" si="1"/>
        <v>5.644036201325446E-4</v>
      </c>
      <c r="H51" s="815">
        <f t="shared" si="6"/>
        <v>-1.1194689396468763E-2</v>
      </c>
      <c r="I51" s="804">
        <v>346950.72</v>
      </c>
      <c r="J51" s="805">
        <v>400000</v>
      </c>
      <c r="K51" s="805">
        <f t="shared" si="18"/>
        <v>-7997.8600000000442</v>
      </c>
      <c r="L51" s="814">
        <f t="shared" si="7"/>
        <v>-2.2532446812437011E-2</v>
      </c>
      <c r="M51" s="833">
        <f t="shared" si="15"/>
        <v>-53049.280000000028</v>
      </c>
      <c r="N51" s="808">
        <f t="shared" si="16"/>
        <v>-0.13262320000000008</v>
      </c>
      <c r="O51" s="808">
        <f t="shared" si="10"/>
        <v>-0.6920089114285719</v>
      </c>
      <c r="P51" s="833" t="b">
        <f t="shared" si="9"/>
        <v>0</v>
      </c>
      <c r="Q51" s="808">
        <f>COUNTIF(P$2:P51, TRUE)/(COUNTIF(P$2:P51,FALSE) + COUNTIF(P$2:P51, TRUE))</f>
        <v>0.42</v>
      </c>
      <c r="R51" s="809"/>
      <c r="S51" s="809"/>
      <c r="T51" s="809"/>
      <c r="U51" s="809"/>
      <c r="V51" s="808">
        <f>STDEV(D$2:D51)*SQRT(252)</f>
        <v>0.23982354896201158</v>
      </c>
      <c r="W51" s="808">
        <f>STDEV(L$2:L51)*SQRT(252)</f>
        <v>0.33116253966336157</v>
      </c>
      <c r="X51" s="823">
        <f t="shared" si="11"/>
        <v>-0.32349362172054774</v>
      </c>
      <c r="Y51" s="823">
        <f t="shared" si="12"/>
        <v>-2.0896352351084859</v>
      </c>
      <c r="Z51" s="829">
        <f t="shared" si="13"/>
        <v>-0.11775476142386938</v>
      </c>
    </row>
    <row r="52" spans="1:27" ht="20.100000000000001" customHeight="1" x14ac:dyDescent="0.2">
      <c r="A52" s="798">
        <f t="shared" si="8"/>
        <v>71</v>
      </c>
      <c r="B52" s="800">
        <v>42304</v>
      </c>
      <c r="C52" s="801">
        <v>2065.89</v>
      </c>
      <c r="D52" s="814">
        <f t="shared" si="4"/>
        <v>-2.5540995953997063E-3</v>
      </c>
      <c r="E52" s="802">
        <f t="shared" si="17"/>
        <v>-1.7384562698578881E-2</v>
      </c>
      <c r="F52" s="803">
        <v>5030.1499999999996</v>
      </c>
      <c r="G52" s="814">
        <f t="shared" si="1"/>
        <v>-9.0372812680004412E-4</v>
      </c>
      <c r="H52" s="815">
        <f t="shared" si="6"/>
        <v>-1.2088300567590428E-2</v>
      </c>
      <c r="I52" s="804">
        <v>345588.46</v>
      </c>
      <c r="J52" s="805">
        <v>400000</v>
      </c>
      <c r="K52" s="805">
        <f t="shared" si="18"/>
        <v>-1362.2599999999511</v>
      </c>
      <c r="L52" s="814">
        <f t="shared" si="7"/>
        <v>-3.9263789393489401E-3</v>
      </c>
      <c r="M52" s="833">
        <f t="shared" si="15"/>
        <v>-54411.539999999979</v>
      </c>
      <c r="N52" s="808">
        <f t="shared" si="16"/>
        <v>-0.13602884999999995</v>
      </c>
      <c r="O52" s="808">
        <f t="shared" si="10"/>
        <v>-0.69978221778168981</v>
      </c>
      <c r="P52" s="833" t="b">
        <f t="shared" si="9"/>
        <v>0</v>
      </c>
      <c r="Q52" s="808">
        <f>COUNTIF(P$2:P52, TRUE)/(COUNTIF(P$2:P52,FALSE) + COUNTIF(P$2:P52, TRUE))</f>
        <v>0.41176470588235292</v>
      </c>
      <c r="R52" s="809"/>
      <c r="S52" s="809"/>
      <c r="T52" s="809"/>
      <c r="U52" s="809"/>
      <c r="V52" s="808">
        <f>STDEV(D$2:D52)*SQRT(252)</f>
        <v>0.2374229026669446</v>
      </c>
      <c r="W52" s="808">
        <f>STDEV(L$2:L52)*SQRT(252)</f>
        <v>0.32784098915228843</v>
      </c>
      <c r="X52" s="823">
        <f t="shared" si="11"/>
        <v>-0.3766804115980118</v>
      </c>
      <c r="Y52" s="823">
        <f t="shared" si="12"/>
        <v>-2.134517162088684</v>
      </c>
      <c r="Z52" s="829">
        <f t="shared" si="13"/>
        <v>-0.11864428730142107</v>
      </c>
    </row>
    <row r="53" spans="1:27" ht="20.100000000000001" customHeight="1" x14ac:dyDescent="0.2">
      <c r="A53" s="798">
        <f t="shared" si="8"/>
        <v>72</v>
      </c>
      <c r="B53" s="800">
        <v>42305</v>
      </c>
      <c r="C53" s="834">
        <v>2090.31</v>
      </c>
      <c r="D53" s="814">
        <f t="shared" si="4"/>
        <v>1.1820571279206576E-2</v>
      </c>
      <c r="E53" s="802">
        <f t="shared" si="17"/>
        <v>-5.7694868819086909E-3</v>
      </c>
      <c r="F53" s="803">
        <v>5095.6899999999996</v>
      </c>
      <c r="G53" s="814">
        <f t="shared" si="1"/>
        <v>1.3029432521892979E-2</v>
      </c>
      <c r="H53" s="815">
        <f t="shared" si="6"/>
        <v>7.836282577527706E-4</v>
      </c>
      <c r="I53" s="804">
        <v>353348</v>
      </c>
      <c r="J53" s="805">
        <v>400000</v>
      </c>
      <c r="K53" s="805">
        <f t="shared" si="18"/>
        <v>7759.539999999979</v>
      </c>
      <c r="L53" s="814">
        <f t="shared" si="7"/>
        <v>2.2453122421969698E-2</v>
      </c>
      <c r="M53" s="833">
        <f t="shared" si="15"/>
        <v>-46652</v>
      </c>
      <c r="N53" s="808">
        <f t="shared" si="16"/>
        <v>-0.11663</v>
      </c>
      <c r="O53" s="808">
        <f t="shared" si="10"/>
        <v>-0.59165427083333333</v>
      </c>
      <c r="P53" s="833" t="b">
        <f t="shared" si="9"/>
        <v>1</v>
      </c>
      <c r="Q53" s="808">
        <f>COUNTIF(P$2:P53, TRUE)/(COUNTIF(P$2:P53,FALSE) + COUNTIF(P$2:P53, TRUE))</f>
        <v>0.42307692307692307</v>
      </c>
      <c r="R53" s="809"/>
      <c r="S53" s="809"/>
      <c r="T53" s="809"/>
      <c r="U53" s="809"/>
      <c r="V53" s="808">
        <f>STDEV(D$2:D53)*SQRT(252)</f>
        <v>0.23656092323249167</v>
      </c>
      <c r="W53" s="808">
        <f>STDEV(L$2:L53)*SQRT(252)</f>
        <v>0.32865868284465172</v>
      </c>
      <c r="X53" s="823">
        <f t="shared" si="11"/>
        <v>-0.12372341873465142</v>
      </c>
      <c r="Y53" s="823">
        <f t="shared" si="12"/>
        <v>-1.8002088540986232</v>
      </c>
      <c r="Z53" s="829">
        <f t="shared" si="13"/>
        <v>-0.11086051311809131</v>
      </c>
    </row>
    <row r="54" spans="1:27" ht="20.100000000000001" customHeight="1" x14ac:dyDescent="0.2">
      <c r="A54" s="798">
        <f t="shared" si="8"/>
        <v>73</v>
      </c>
      <c r="B54" s="800">
        <v>42306</v>
      </c>
      <c r="C54" s="834">
        <v>2089.41</v>
      </c>
      <c r="D54" s="814">
        <f t="shared" si="4"/>
        <v>-4.3055814687777935E-4</v>
      </c>
      <c r="E54" s="802">
        <f>(C54-$C$2)/$C$2</f>
        <v>-6.1975609292061603E-3</v>
      </c>
      <c r="F54" s="803">
        <v>5074.2700000000004</v>
      </c>
      <c r="G54" s="814">
        <f t="shared" si="1"/>
        <v>-4.203552413902566E-3</v>
      </c>
      <c r="H54" s="815">
        <f t="shared" si="6"/>
        <v>-3.4232181786042742E-3</v>
      </c>
      <c r="I54" s="804">
        <v>349127.55</v>
      </c>
      <c r="J54" s="805">
        <v>400000</v>
      </c>
      <c r="K54" s="805">
        <f t="shared" si="18"/>
        <v>-4220.4500000000116</v>
      </c>
      <c r="L54" s="814">
        <f t="shared" si="7"/>
        <v>-1.1944174015418261E-2</v>
      </c>
      <c r="M54" s="833">
        <f t="shared" si="15"/>
        <v>-50872.450000000012</v>
      </c>
      <c r="N54" s="808">
        <f t="shared" si="16"/>
        <v>-0.12718112500000003</v>
      </c>
      <c r="O54" s="808">
        <f t="shared" si="10"/>
        <v>-0.63634117679794533</v>
      </c>
      <c r="P54" s="833" t="b">
        <f t="shared" si="9"/>
        <v>0</v>
      </c>
      <c r="Q54" s="808">
        <f>COUNTIF(P$2:P54, TRUE)/(COUNTIF(P$2:P54,FALSE) + COUNTIF(P$2:P54, TRUE))</f>
        <v>0.41509433962264153</v>
      </c>
      <c r="R54" s="809"/>
      <c r="S54" s="809"/>
      <c r="T54" s="809"/>
      <c r="U54" s="809"/>
      <c r="V54" s="808">
        <f>STDEV(D$2:D54)*SQRT(252)</f>
        <v>0.23423209631374151</v>
      </c>
      <c r="W54" s="808">
        <f>STDEV(L$2:L54)*SQRT(252)</f>
        <v>0.32641026079746971</v>
      </c>
      <c r="X54" s="823">
        <f t="shared" si="11"/>
        <v>-0.13238590977824835</v>
      </c>
      <c r="Y54" s="823">
        <f t="shared" si="12"/>
        <v>-1.949513398393995</v>
      </c>
      <c r="Z54" s="829">
        <f t="shared" si="13"/>
        <v>-0.12098356407079387</v>
      </c>
    </row>
    <row r="55" spans="1:27" ht="20.100000000000001" customHeight="1" x14ac:dyDescent="0.2">
      <c r="A55" s="798">
        <f t="shared" si="8"/>
        <v>74</v>
      </c>
      <c r="B55" s="800">
        <v>42307</v>
      </c>
      <c r="C55" s="834">
        <v>2079.36</v>
      </c>
      <c r="D55" s="814">
        <f t="shared" si="4"/>
        <v>-4.8099702786909837E-3</v>
      </c>
      <c r="E55" s="802">
        <f>(C55-$C$2)/$C$2</f>
        <v>-1.0977721124027286E-2</v>
      </c>
      <c r="F55" s="803">
        <v>5053.75</v>
      </c>
      <c r="G55" s="814">
        <f t="shared" si="1"/>
        <v>-4.0439314423553405E-3</v>
      </c>
      <c r="H55" s="815">
        <f t="shared" si="6"/>
        <v>-7.4533063613331143E-3</v>
      </c>
      <c r="I55" s="831">
        <v>351138.5</v>
      </c>
      <c r="J55" s="805">
        <v>400000</v>
      </c>
      <c r="K55" s="805">
        <f t="shared" si="18"/>
        <v>2010.9500000000116</v>
      </c>
      <c r="L55" s="814">
        <f t="shared" si="7"/>
        <v>5.759929286588846E-3</v>
      </c>
      <c r="M55" s="833">
        <f t="shared" si="15"/>
        <v>-48861.5</v>
      </c>
      <c r="N55" s="808">
        <f t="shared" si="16"/>
        <v>-0.12215375000000001</v>
      </c>
      <c r="O55" s="808">
        <f t="shared" si="10"/>
        <v>-0.60292779983108113</v>
      </c>
      <c r="P55" s="833" t="b">
        <f t="shared" si="9"/>
        <v>1</v>
      </c>
      <c r="Q55" s="808">
        <f>COUNTIF(P$2:P55, TRUE)/(COUNTIF(P$2:P55,FALSE) + COUNTIF(P$2:P55, TRUE))</f>
        <v>0.42592592592592593</v>
      </c>
      <c r="R55" s="809"/>
      <c r="S55" s="809"/>
      <c r="T55" s="809"/>
      <c r="U55" s="809"/>
      <c r="V55" s="808">
        <f>STDEV(D$2:D55)*SQRT(252)</f>
        <v>0.23220468856265722</v>
      </c>
      <c r="W55" s="808">
        <f>STDEV(L$2:L55)*SQRT(252)</f>
        <v>0.32355647040832186</v>
      </c>
      <c r="X55" s="823">
        <f t="shared" si="11"/>
        <v>-0.23334565265429297</v>
      </c>
      <c r="Y55" s="823">
        <f t="shared" si="12"/>
        <v>-1.8634391674201358</v>
      </c>
      <c r="Z55" s="829">
        <f t="shared" si="13"/>
        <v>-0.11117602887597272</v>
      </c>
    </row>
    <row r="56" spans="1:27" ht="20.100000000000001" customHeight="1" x14ac:dyDescent="0.2">
      <c r="A56" s="798">
        <f t="shared" si="8"/>
        <v>77</v>
      </c>
      <c r="B56" s="817">
        <v>42310</v>
      </c>
      <c r="C56" s="840">
        <v>2104.0500000000002</v>
      </c>
      <c r="D56" s="814">
        <f t="shared" si="4"/>
        <v>1.187384579870732E-2</v>
      </c>
      <c r="E56" s="841">
        <f t="shared" ref="E56:E62" si="19">(C56-$C$2)/$C$2</f>
        <v>7.6577690683212233E-4</v>
      </c>
      <c r="F56" s="838">
        <v>5053.75</v>
      </c>
      <c r="G56" s="814">
        <f t="shared" si="1"/>
        <v>0</v>
      </c>
      <c r="H56" s="819">
        <f t="shared" si="6"/>
        <v>-7.4533063613331143E-3</v>
      </c>
      <c r="I56" s="821">
        <v>356948.81</v>
      </c>
      <c r="J56" s="822">
        <v>400000</v>
      </c>
      <c r="K56" s="822">
        <f t="shared" ref="K56:K87" si="20">I56-I55-J56+J55</f>
        <v>5810.3099999999977</v>
      </c>
      <c r="L56" s="814">
        <f t="shared" si="7"/>
        <v>1.6547060490376297E-2</v>
      </c>
      <c r="M56" s="839">
        <f t="shared" si="15"/>
        <v>-43051.19</v>
      </c>
      <c r="N56" s="824">
        <f t="shared" si="16"/>
        <v>-0.107627975</v>
      </c>
      <c r="O56" s="808">
        <f t="shared" si="10"/>
        <v>-0.51053399829545454</v>
      </c>
      <c r="P56" s="839" t="b">
        <f t="shared" si="9"/>
        <v>1</v>
      </c>
      <c r="Q56" s="824">
        <f>COUNTIF(P$2:P56, TRUE)/(COUNTIF(P$2:P56,FALSE) + COUNTIF(P$2:P56, TRUE))</f>
        <v>0.43636363636363634</v>
      </c>
      <c r="R56" s="825"/>
      <c r="S56" s="825"/>
      <c r="T56" s="825"/>
      <c r="U56" s="825"/>
      <c r="V56" s="824">
        <f>STDEV(D$2:D56)*SQRT(252)</f>
        <v>0.23145429539624826</v>
      </c>
      <c r="W56" s="824">
        <f>STDEV(L$2:L56)*SQRT(252)</f>
        <v>0.32260027221647702</v>
      </c>
      <c r="X56" s="823">
        <f t="shared" si="11"/>
        <v>1.5694103770754083E-2</v>
      </c>
      <c r="Y56" s="823">
        <f t="shared" si="12"/>
        <v>-1.5825591056937076</v>
      </c>
      <c r="Z56" s="829">
        <f t="shared" si="13"/>
        <v>-0.10839375190683212</v>
      </c>
    </row>
    <row r="57" spans="1:27" ht="20.100000000000001" customHeight="1" x14ac:dyDescent="0.2">
      <c r="A57" s="798">
        <f t="shared" si="8"/>
        <v>78</v>
      </c>
      <c r="B57" s="817">
        <v>42311</v>
      </c>
      <c r="C57" s="840">
        <v>2109.79</v>
      </c>
      <c r="D57" s="814">
        <f t="shared" si="4"/>
        <v>2.7280720515195844E-3</v>
      </c>
      <c r="E57" s="841">
        <f t="shared" si="19"/>
        <v>3.4959380529289343E-3</v>
      </c>
      <c r="F57" s="838">
        <v>5145.13</v>
      </c>
      <c r="G57" s="814">
        <f t="shared" si="1"/>
        <v>1.8081622557506824E-2</v>
      </c>
      <c r="H57" s="819">
        <f t="shared" si="6"/>
        <v>1.049354832374262E-2</v>
      </c>
      <c r="I57" s="821">
        <v>362269.44</v>
      </c>
      <c r="J57" s="822">
        <v>400000</v>
      </c>
      <c r="K57" s="822">
        <f t="shared" si="20"/>
        <v>5320.6300000000047</v>
      </c>
      <c r="L57" s="814">
        <f t="shared" si="7"/>
        <v>1.4905862832264393E-2</v>
      </c>
      <c r="M57" s="839">
        <f t="shared" si="15"/>
        <v>-37730.559999999998</v>
      </c>
      <c r="N57" s="824">
        <f t="shared" si="16"/>
        <v>-9.4326399999999991E-2</v>
      </c>
      <c r="O57" s="808">
        <f t="shared" si="10"/>
        <v>-0.44170150769230765</v>
      </c>
      <c r="P57" s="839" t="b">
        <f t="shared" si="9"/>
        <v>1</v>
      </c>
      <c r="Q57" s="824">
        <f>COUNTIF(P$2:P57, TRUE)/(COUNTIF(P$2:P57,FALSE) + COUNTIF(P$2:P57, TRUE))</f>
        <v>0.44642857142857145</v>
      </c>
      <c r="R57" s="825"/>
      <c r="S57" s="825"/>
      <c r="T57" s="825"/>
      <c r="U57" s="825"/>
      <c r="V57" s="824">
        <f>STDEV(D$2:D57)*SQRT(252)</f>
        <v>0.22936919812964679</v>
      </c>
      <c r="W57" s="824">
        <f>STDEV(L$2:L57)*SQRT(252)</f>
        <v>0.32122906847311467</v>
      </c>
      <c r="X57" s="823">
        <f t="shared" si="11"/>
        <v>7.1371406283445571E-2</v>
      </c>
      <c r="Y57" s="823">
        <f t="shared" si="12"/>
        <v>-1.3750359199801869</v>
      </c>
      <c r="Z57" s="829">
        <f t="shared" si="13"/>
        <v>-9.782233805292892E-2</v>
      </c>
    </row>
    <row r="58" spans="1:27" ht="20.100000000000001" customHeight="1" x14ac:dyDescent="0.2">
      <c r="A58" s="798">
        <f t="shared" si="8"/>
        <v>79</v>
      </c>
      <c r="B58" s="817">
        <v>42312</v>
      </c>
      <c r="C58" s="840">
        <v>2102.31</v>
      </c>
      <c r="D58" s="814">
        <f t="shared" si="4"/>
        <v>-3.5453765540646312E-3</v>
      </c>
      <c r="E58" s="841">
        <f t="shared" si="19"/>
        <v>-6.1832917943013417E-5</v>
      </c>
      <c r="F58" s="838">
        <v>5142.4799999999996</v>
      </c>
      <c r="G58" s="814">
        <f t="shared" si="1"/>
        <v>-5.1505015422361453E-4</v>
      </c>
      <c r="H58" s="819">
        <f t="shared" si="6"/>
        <v>9.9730934658365071E-3</v>
      </c>
      <c r="I58" s="821">
        <v>361654.42</v>
      </c>
      <c r="J58" s="822">
        <v>400000</v>
      </c>
      <c r="K58" s="822">
        <f t="shared" si="20"/>
        <v>-615.02000000001863</v>
      </c>
      <c r="L58" s="814">
        <f t="shared" si="7"/>
        <v>-1.697686672107972E-3</v>
      </c>
      <c r="M58" s="839">
        <f t="shared" si="15"/>
        <v>-38345.580000000016</v>
      </c>
      <c r="N58" s="824">
        <f t="shared" si="16"/>
        <v>-9.5863950000000045E-2</v>
      </c>
      <c r="O58" s="808">
        <f t="shared" si="10"/>
        <v>-0.44321908528481035</v>
      </c>
      <c r="P58" s="839" t="b">
        <f t="shared" si="9"/>
        <v>1</v>
      </c>
      <c r="Q58" s="824">
        <f>COUNTIF(P$2:P58, TRUE)/(COUNTIF(P$2:P58,FALSE) + COUNTIF(P$2:P58, TRUE))</f>
        <v>0.45614035087719296</v>
      </c>
      <c r="R58" s="825"/>
      <c r="S58" s="825"/>
      <c r="T58" s="825"/>
      <c r="U58" s="825"/>
      <c r="V58" s="824">
        <f>STDEV(D$2:D58)*SQRT(252)</f>
        <v>0.22741079678230972</v>
      </c>
      <c r="W58" s="824">
        <f>STDEV(L$2:L58)*SQRT(252)</f>
        <v>0.31831780697519846</v>
      </c>
      <c r="X58" s="823">
        <f t="shared" si="11"/>
        <v>-1.2571056987440105E-3</v>
      </c>
      <c r="Y58" s="823">
        <f t="shared" si="12"/>
        <v>-1.392379174437274</v>
      </c>
      <c r="Z58" s="829">
        <f t="shared" si="13"/>
        <v>-9.5802117082057034E-2</v>
      </c>
    </row>
    <row r="59" spans="1:27" ht="20.100000000000001" customHeight="1" x14ac:dyDescent="0.2">
      <c r="A59" s="798">
        <f t="shared" si="8"/>
        <v>80</v>
      </c>
      <c r="B59" s="817">
        <v>42313</v>
      </c>
      <c r="C59" s="840">
        <v>2099.9299999999998</v>
      </c>
      <c r="D59" s="814">
        <f t="shared" si="4"/>
        <v>-1.1320880364932427E-3</v>
      </c>
      <c r="E59" s="841">
        <f t="shared" si="19"/>
        <v>-1.1938509541295915E-3</v>
      </c>
      <c r="F59" s="838">
        <v>5127.74</v>
      </c>
      <c r="G59" s="814">
        <f t="shared" si="1"/>
        <v>-2.8663213080069895E-3</v>
      </c>
      <c r="H59" s="819">
        <f t="shared" si="6"/>
        <v>7.0781860675216456E-3</v>
      </c>
      <c r="I59" s="821">
        <v>351667.44</v>
      </c>
      <c r="J59" s="822">
        <v>400000</v>
      </c>
      <c r="K59" s="822">
        <f t="shared" si="20"/>
        <v>-9986.9799999999814</v>
      </c>
      <c r="L59" s="814">
        <f t="shared" si="7"/>
        <v>-2.7614704667510995E-2</v>
      </c>
      <c r="M59" s="839">
        <f t="shared" si="15"/>
        <v>-48332.56</v>
      </c>
      <c r="N59" s="824">
        <f t="shared" si="16"/>
        <v>-0.12083139999999999</v>
      </c>
      <c r="O59" s="808">
        <f t="shared" si="10"/>
        <v>-0.55167086062500004</v>
      </c>
      <c r="P59" s="839" t="b">
        <f t="shared" ref="P59:P90" si="21">L59&gt;D59</f>
        <v>0</v>
      </c>
      <c r="Q59" s="824">
        <f>COUNTIF(P$2:P59, TRUE)/(COUNTIF(P$2:P59,FALSE) + COUNTIF(P$2:P59, TRUE))</f>
        <v>0.44827586206896552</v>
      </c>
      <c r="R59" s="825"/>
      <c r="S59" s="825"/>
      <c r="T59" s="825"/>
      <c r="U59" s="825"/>
      <c r="V59" s="824">
        <f>STDEV(D$2:D59)*SQRT(252)</f>
        <v>0.2253860839795564</v>
      </c>
      <c r="W59" s="824">
        <f>STDEV(L$2:L59)*SQRT(252)</f>
        <v>0.32078118980306136</v>
      </c>
      <c r="X59" s="823">
        <f t="shared" si="11"/>
        <v>-2.4183728055465568E-2</v>
      </c>
      <c r="Y59" s="823">
        <f t="shared" si="12"/>
        <v>-1.7197730981785118</v>
      </c>
      <c r="Z59" s="829">
        <f t="shared" si="13"/>
        <v>-0.1196375490458704</v>
      </c>
    </row>
    <row r="60" spans="1:27" ht="20.100000000000001" customHeight="1" x14ac:dyDescent="0.2">
      <c r="A60" s="798">
        <f t="shared" si="8"/>
        <v>81</v>
      </c>
      <c r="B60" s="817">
        <v>42314</v>
      </c>
      <c r="C60" s="842">
        <v>2099.1999999999998</v>
      </c>
      <c r="D60" s="814">
        <f t="shared" si="4"/>
        <v>-3.4763063530689989E-4</v>
      </c>
      <c r="E60" s="841">
        <f t="shared" si="19"/>
        <v>-1.5410665702708455E-3</v>
      </c>
      <c r="F60" s="838">
        <v>5147.12</v>
      </c>
      <c r="G60" s="814">
        <f t="shared" si="1"/>
        <v>3.7794427954615699E-3</v>
      </c>
      <c r="H60" s="819">
        <f t="shared" si="6"/>
        <v>1.0884380462321047E-2</v>
      </c>
      <c r="I60" s="821">
        <v>351454.25</v>
      </c>
      <c r="J60" s="822">
        <v>400000</v>
      </c>
      <c r="K60" s="822">
        <f t="shared" si="20"/>
        <v>-213.19000000000233</v>
      </c>
      <c r="L60" s="814">
        <f t="shared" si="7"/>
        <v>-6.0622615502874632E-4</v>
      </c>
      <c r="M60" s="839">
        <f t="shared" si="15"/>
        <v>-48545.75</v>
      </c>
      <c r="N60" s="824">
        <f t="shared" si="16"/>
        <v>-0.121364375</v>
      </c>
      <c r="O60" s="808">
        <f t="shared" si="10"/>
        <v>-0.54726343171296288</v>
      </c>
      <c r="P60" s="839" t="b">
        <f t="shared" si="21"/>
        <v>0</v>
      </c>
      <c r="Q60" s="824">
        <f>COUNTIF(P$2:P60, TRUE)/(COUNTIF(P$2:P60,FALSE) + COUNTIF(P$2:P60, TRUE))</f>
        <v>0.44067796610169491</v>
      </c>
      <c r="R60" s="825"/>
      <c r="S60" s="825"/>
      <c r="T60" s="825"/>
      <c r="U60" s="825"/>
      <c r="V60" s="824">
        <f>STDEV(D$2:D60)*SQRT(252)</f>
        <v>0.22340202899589548</v>
      </c>
      <c r="W60" s="824">
        <f>STDEV(L$2:L60)*SQRT(252)</f>
        <v>0.31795506965896425</v>
      </c>
      <c r="X60" s="823">
        <f t="shared" si="11"/>
        <v>-3.110566512024111E-2</v>
      </c>
      <c r="Y60" s="823">
        <f t="shared" si="12"/>
        <v>-1.7211973764090402</v>
      </c>
      <c r="Z60" s="829">
        <f t="shared" si="13"/>
        <v>-0.11982330842972914</v>
      </c>
      <c r="AA60" s="843"/>
    </row>
    <row r="61" spans="1:27" ht="20.100000000000001" customHeight="1" x14ac:dyDescent="0.2">
      <c r="A61" s="798">
        <f t="shared" si="8"/>
        <v>84</v>
      </c>
      <c r="B61" s="800">
        <v>42317</v>
      </c>
      <c r="C61" s="801">
        <v>2078.58</v>
      </c>
      <c r="D61" s="814">
        <f t="shared" si="4"/>
        <v>-9.8227896341462895E-3</v>
      </c>
      <c r="E61" s="802">
        <f t="shared" si="19"/>
        <v>-1.1348718631685149E-2</v>
      </c>
      <c r="F61" s="803">
        <v>5095.3</v>
      </c>
      <c r="G61" s="814">
        <f t="shared" si="1"/>
        <v>-1.0067766051694873E-2</v>
      </c>
      <c r="H61" s="815">
        <f t="shared" si="6"/>
        <v>7.0703301451388806E-4</v>
      </c>
      <c r="I61" s="804">
        <v>347015.14</v>
      </c>
      <c r="J61" s="805">
        <v>400000</v>
      </c>
      <c r="K61" s="805">
        <f t="shared" si="20"/>
        <v>-4439.109999999986</v>
      </c>
      <c r="L61" s="814">
        <f t="shared" si="7"/>
        <v>-1.2630690907849275E-2</v>
      </c>
      <c r="M61" s="833">
        <f t="shared" si="15"/>
        <v>-52984.859999999986</v>
      </c>
      <c r="N61" s="808">
        <f t="shared" si="16"/>
        <v>-0.13246214999999997</v>
      </c>
      <c r="O61" s="808">
        <f t="shared" si="10"/>
        <v>-0.57597381294642847</v>
      </c>
      <c r="P61" s="833" t="b">
        <f t="shared" si="21"/>
        <v>0</v>
      </c>
      <c r="Q61" s="808">
        <f>COUNTIF(P$2:P61, TRUE)/(COUNTIF(P$2:P61,FALSE) + COUNTIF(P$2:P61, TRUE))</f>
        <v>0.43333333333333335</v>
      </c>
      <c r="R61" s="809"/>
      <c r="S61" s="809"/>
      <c r="T61" s="809"/>
      <c r="U61" s="809"/>
      <c r="V61" s="808">
        <f>STDEV(D$2:D61)*SQRT(252)</f>
        <v>0.2224096817728117</v>
      </c>
      <c r="W61" s="808">
        <f>STDEV(L$2:L61)*SQRT(252)</f>
        <v>0.31620783635013966</v>
      </c>
      <c r="X61" s="823">
        <f t="shared" si="11"/>
        <v>-0.22187280735940332</v>
      </c>
      <c r="Y61" s="823">
        <f t="shared" si="12"/>
        <v>-1.821503918418542</v>
      </c>
      <c r="Z61" s="829">
        <f t="shared" si="13"/>
        <v>-0.12111343136831482</v>
      </c>
    </row>
    <row r="62" spans="1:27" ht="20.100000000000001" customHeight="1" x14ac:dyDescent="0.2">
      <c r="A62" s="798">
        <f t="shared" si="8"/>
        <v>85</v>
      </c>
      <c r="B62" s="800">
        <v>42318</v>
      </c>
      <c r="C62" s="801">
        <v>2081.7199999999998</v>
      </c>
      <c r="D62" s="814">
        <f t="shared" si="4"/>
        <v>1.5106466914912454E-3</v>
      </c>
      <c r="E62" s="802">
        <f t="shared" si="19"/>
        <v>-9.8552158444475246E-3</v>
      </c>
      <c r="F62" s="803">
        <v>5083.24</v>
      </c>
      <c r="G62" s="814">
        <f t="shared" si="1"/>
        <v>-2.3668871312779228E-3</v>
      </c>
      <c r="H62" s="815">
        <f t="shared" si="6"/>
        <v>-1.6615275841074762E-3</v>
      </c>
      <c r="I62" s="804">
        <v>346488.34</v>
      </c>
      <c r="J62" s="805">
        <v>400000</v>
      </c>
      <c r="K62" s="805">
        <f t="shared" si="20"/>
        <v>-526.79999999998836</v>
      </c>
      <c r="L62" s="814">
        <f t="shared" si="7"/>
        <v>-1.5180893836504894E-3</v>
      </c>
      <c r="M62" s="833">
        <f t="shared" ref="M62:M93" si="22">I62-J62</f>
        <v>-53511.659999999974</v>
      </c>
      <c r="N62" s="808">
        <f t="shared" ref="N62:N93" si="23">M62/J62</f>
        <v>-0.13377914999999993</v>
      </c>
      <c r="O62" s="808">
        <f t="shared" si="10"/>
        <v>-0.57485687691176446</v>
      </c>
      <c r="P62" s="833" t="b">
        <f t="shared" si="21"/>
        <v>0</v>
      </c>
      <c r="Q62" s="808">
        <f>COUNTIF(P$2:P62, TRUE)/(COUNTIF(P$2:P62,FALSE) + COUNTIF(P$2:P62, TRUE))</f>
        <v>0.42622950819672129</v>
      </c>
      <c r="R62" s="809"/>
      <c r="S62" s="809"/>
      <c r="T62" s="809"/>
      <c r="U62" s="809"/>
      <c r="V62" s="808">
        <f>STDEV(D$2:D62)*SQRT(252)</f>
        <v>0.22054140197015909</v>
      </c>
      <c r="W62" s="808">
        <f>STDEV(L$2:L62)*SQRT(252)</f>
        <v>0.31352177036879675</v>
      </c>
      <c r="X62" s="823">
        <f t="shared" si="11"/>
        <v>-0.1920203727003611</v>
      </c>
      <c r="Y62" s="823">
        <f t="shared" si="12"/>
        <v>-1.8335469215919467</v>
      </c>
      <c r="Z62" s="829">
        <f t="shared" si="13"/>
        <v>-0.1239239341555524</v>
      </c>
    </row>
    <row r="63" spans="1:27" ht="20.100000000000001" customHeight="1" x14ac:dyDescent="0.2">
      <c r="A63" s="798">
        <f t="shared" si="8"/>
        <v>86</v>
      </c>
      <c r="B63" s="800">
        <v>42319</v>
      </c>
      <c r="C63" s="801">
        <v>2075</v>
      </c>
      <c r="D63" s="814">
        <f t="shared" si="4"/>
        <v>-3.2280998405164003E-3</v>
      </c>
      <c r="E63" s="802">
        <f t="shared" ref="E63:E84" si="24">(C63-$C$2)/$C$2</f>
        <v>-1.305150206426821E-2</v>
      </c>
      <c r="F63" s="803">
        <v>5067.0200000000004</v>
      </c>
      <c r="G63" s="814">
        <f t="shared" si="1"/>
        <v>-3.1908782587482289E-3</v>
      </c>
      <c r="H63" s="815">
        <f t="shared" si="6"/>
        <v>-4.8471041106112655E-3</v>
      </c>
      <c r="I63" s="804">
        <v>341384.62</v>
      </c>
      <c r="J63" s="805">
        <v>400000</v>
      </c>
      <c r="K63" s="805">
        <f t="shared" si="20"/>
        <v>-5103.7200000000303</v>
      </c>
      <c r="L63" s="814">
        <f t="shared" si="7"/>
        <v>-1.472984632036977E-2</v>
      </c>
      <c r="M63" s="833">
        <f t="shared" si="22"/>
        <v>-58615.380000000005</v>
      </c>
      <c r="N63" s="808">
        <f t="shared" si="23"/>
        <v>-0.14653845000000001</v>
      </c>
      <c r="O63" s="808">
        <f t="shared" si="10"/>
        <v>-0.62236242863372093</v>
      </c>
      <c r="P63" s="833" t="b">
        <f t="shared" si="21"/>
        <v>0</v>
      </c>
      <c r="Q63" s="808">
        <f>COUNTIF(P$2:P63, TRUE)/(COUNTIF(P$2:P63,FALSE) + COUNTIF(P$2:P63, TRUE))</f>
        <v>0.41935483870967744</v>
      </c>
      <c r="R63" s="809"/>
      <c r="S63" s="809"/>
      <c r="T63" s="809"/>
      <c r="U63" s="809"/>
      <c r="V63" s="808">
        <f>STDEV(D$2:D63)*SQRT(252)</f>
        <v>0.21879001839109452</v>
      </c>
      <c r="W63" s="808">
        <f>STDEV(L$2:L63)*SQRT(252)</f>
        <v>0.31221077177668255</v>
      </c>
      <c r="X63" s="823">
        <f t="shared" si="11"/>
        <v>-0.25335224964914849</v>
      </c>
      <c r="Y63" s="823">
        <f t="shared" si="12"/>
        <v>-1.9934047281330927</v>
      </c>
      <c r="Z63" s="829">
        <f t="shared" si="13"/>
        <v>-0.13348694793573179</v>
      </c>
    </row>
    <row r="64" spans="1:27" ht="20.100000000000001" customHeight="1" x14ac:dyDescent="0.2">
      <c r="A64" s="798">
        <f t="shared" si="8"/>
        <v>87</v>
      </c>
      <c r="B64" s="800">
        <v>42320</v>
      </c>
      <c r="C64" s="834">
        <v>2045.97</v>
      </c>
      <c r="D64" s="814">
        <f t="shared" si="4"/>
        <v>-1.3990361445783119E-2</v>
      </c>
      <c r="E64" s="802">
        <f t="shared" si="24"/>
        <v>-2.6859268278761832E-2</v>
      </c>
      <c r="F64" s="803">
        <v>5005.08</v>
      </c>
      <c r="G64" s="814">
        <f t="shared" si="1"/>
        <v>-1.222414752655417E-2</v>
      </c>
      <c r="H64" s="815">
        <f t="shared" si="6"/>
        <v>-1.7011999921440757E-2</v>
      </c>
      <c r="I64" s="804">
        <v>335500.62</v>
      </c>
      <c r="J64" s="805">
        <v>400000</v>
      </c>
      <c r="K64" s="805">
        <f t="shared" si="20"/>
        <v>-5884</v>
      </c>
      <c r="L64" s="814">
        <f t="shared" si="7"/>
        <v>-1.7235691520022196E-2</v>
      </c>
      <c r="M64" s="833">
        <f t="shared" si="22"/>
        <v>-64499.380000000005</v>
      </c>
      <c r="N64" s="808">
        <f t="shared" si="23"/>
        <v>-0.16124845000000002</v>
      </c>
      <c r="O64" s="808">
        <f t="shared" si="10"/>
        <v>-0.67696547543103458</v>
      </c>
      <c r="P64" s="833" t="b">
        <f t="shared" si="21"/>
        <v>0</v>
      </c>
      <c r="Q64" s="808">
        <f>COUNTIF(P$2:P64, TRUE)/(COUNTIF(P$2:P64,FALSE) + COUNTIF(P$2:P64, TRUE))</f>
        <v>0.41269841269841268</v>
      </c>
      <c r="R64" s="809"/>
      <c r="S64" s="809"/>
      <c r="T64" s="809"/>
      <c r="U64" s="809"/>
      <c r="V64" s="808">
        <f>STDEV(D$2:D64)*SQRT(252)</f>
        <v>0.21878322617502383</v>
      </c>
      <c r="W64" s="808">
        <f>STDEV(L$2:L64)*SQRT(252)</f>
        <v>0.311389828072407</v>
      </c>
      <c r="X64" s="823">
        <f t="shared" si="11"/>
        <v>-0.5154079664103306</v>
      </c>
      <c r="Y64" s="823">
        <f t="shared" si="12"/>
        <v>-2.1740128109567562</v>
      </c>
      <c r="Z64" s="829">
        <f t="shared" si="13"/>
        <v>-0.13438918172123818</v>
      </c>
    </row>
    <row r="65" spans="1:26" ht="20.100000000000001" customHeight="1" x14ac:dyDescent="0.2">
      <c r="A65" s="798">
        <f t="shared" si="8"/>
        <v>88</v>
      </c>
      <c r="B65" s="800">
        <v>42321</v>
      </c>
      <c r="C65" s="834">
        <v>2023.04</v>
      </c>
      <c r="D65" s="814">
        <f t="shared" si="4"/>
        <v>-1.1207397957936852E-2</v>
      </c>
      <c r="E65" s="802">
        <f t="shared" si="24"/>
        <v>-3.7765643728239609E-2</v>
      </c>
      <c r="F65" s="803">
        <v>4927.88</v>
      </c>
      <c r="G65" s="814">
        <f t="shared" si="1"/>
        <v>-1.5424328881855999E-2</v>
      </c>
      <c r="H65" s="815">
        <f t="shared" si="6"/>
        <v>-3.217393012157034E-2</v>
      </c>
      <c r="I65" s="804">
        <v>335955</v>
      </c>
      <c r="J65" s="805">
        <v>400000</v>
      </c>
      <c r="K65" s="805">
        <f t="shared" si="20"/>
        <v>454.38000000000466</v>
      </c>
      <c r="L65" s="814">
        <f t="shared" si="7"/>
        <v>1.3543343079366133E-3</v>
      </c>
      <c r="M65" s="833">
        <f t="shared" si="22"/>
        <v>-64045</v>
      </c>
      <c r="N65" s="808">
        <f t="shared" si="23"/>
        <v>-0.16011249999999999</v>
      </c>
      <c r="O65" s="808">
        <f t="shared" si="10"/>
        <v>-0.66455784801136364</v>
      </c>
      <c r="P65" s="833" t="b">
        <f t="shared" si="21"/>
        <v>1</v>
      </c>
      <c r="Q65" s="808">
        <f>COUNTIF(P$2:P65, TRUE)/(COUNTIF(P$2:P65,FALSE) + COUNTIF(P$2:P65, TRUE))</f>
        <v>0.421875</v>
      </c>
      <c r="R65" s="809"/>
      <c r="S65" s="809"/>
      <c r="T65" s="809"/>
      <c r="U65" s="809"/>
      <c r="V65" s="808">
        <f>STDEV(D$2:D65)*SQRT(252)</f>
        <v>0.21809630494176296</v>
      </c>
      <c r="W65" s="808">
        <f>STDEV(L$2:L65)*SQRT(252)</f>
        <v>0.30890912442956392</v>
      </c>
      <c r="X65" s="823">
        <f t="shared" si="11"/>
        <v>-0.71871405279501854</v>
      </c>
      <c r="Y65" s="823">
        <f t="shared" si="12"/>
        <v>-2.1513053369289294</v>
      </c>
      <c r="Z65" s="829">
        <f t="shared" si="13"/>
        <v>-0.12234685627176038</v>
      </c>
    </row>
    <row r="66" spans="1:26" ht="20.100000000000001" customHeight="1" x14ac:dyDescent="0.2">
      <c r="A66" s="798">
        <f t="shared" si="8"/>
        <v>91</v>
      </c>
      <c r="B66" s="817">
        <v>42324</v>
      </c>
      <c r="C66" s="840">
        <v>2053.19</v>
      </c>
      <c r="D66" s="814">
        <f t="shared" si="4"/>
        <v>1.4903313824739053E-2</v>
      </c>
      <c r="E66" s="841">
        <f t="shared" si="24"/>
        <v>-2.3425163143775803E-2</v>
      </c>
      <c r="F66" s="838">
        <v>4984.62</v>
      </c>
      <c r="G66" s="814">
        <f t="shared" si="1"/>
        <v>1.1514079076600847E-2</v>
      </c>
      <c r="H66" s="819">
        <f t="shared" si="6"/>
        <v>-2.1030304220594286E-2</v>
      </c>
      <c r="I66" s="821">
        <v>342834.39</v>
      </c>
      <c r="J66" s="822">
        <v>400000</v>
      </c>
      <c r="K66" s="822">
        <f t="shared" si="20"/>
        <v>6879.390000000014</v>
      </c>
      <c r="L66" s="814">
        <f t="shared" si="7"/>
        <v>2.047711747108992E-2</v>
      </c>
      <c r="M66" s="839">
        <f t="shared" si="22"/>
        <v>-57165.609999999986</v>
      </c>
      <c r="N66" s="824">
        <f t="shared" si="23"/>
        <v>-0.14291402499999997</v>
      </c>
      <c r="O66" s="808">
        <f t="shared" si="10"/>
        <v>-0.57361920473901085</v>
      </c>
      <c r="P66" s="839" t="b">
        <f t="shared" si="21"/>
        <v>1</v>
      </c>
      <c r="Q66" s="824">
        <f>COUNTIF(P$2:P66, TRUE)/(COUNTIF(P$2:P66,FALSE) + COUNTIF(P$2:P66, TRUE))</f>
        <v>0.43076923076923079</v>
      </c>
      <c r="R66" s="825"/>
      <c r="S66" s="825"/>
      <c r="T66" s="825"/>
      <c r="U66" s="825"/>
      <c r="V66" s="824">
        <f>STDEV(D$2:D66)*SQRT(252)</f>
        <v>0.2185117014996438</v>
      </c>
      <c r="W66" s="824">
        <f>STDEV(L$2:L66)*SQRT(252)</f>
        <v>0.30942792293284299</v>
      </c>
      <c r="X66" s="823">
        <f t="shared" si="11"/>
        <v>-0.43028554603179631</v>
      </c>
      <c r="Y66" s="823">
        <f t="shared" si="12"/>
        <v>-1.8538055625429346</v>
      </c>
      <c r="Z66" s="829">
        <f t="shared" si="13"/>
        <v>-0.11948886185622418</v>
      </c>
    </row>
    <row r="67" spans="1:26" ht="20.100000000000001" customHeight="1" x14ac:dyDescent="0.2">
      <c r="A67" s="798">
        <f t="shared" si="8"/>
        <v>92</v>
      </c>
      <c r="B67" s="817">
        <v>42325</v>
      </c>
      <c r="C67" s="840">
        <v>2050.44</v>
      </c>
      <c r="D67" s="814">
        <f t="shared" si="4"/>
        <v>-1.3393792099123801E-3</v>
      </c>
      <c r="E67" s="841">
        <f t="shared" si="24"/>
        <v>-2.4733167177184604E-2</v>
      </c>
      <c r="F67" s="838">
        <v>4986.01</v>
      </c>
      <c r="G67" s="814">
        <f t="shared" ref="G67:G131" si="25">(F67-F66)/F66</f>
        <v>2.7885776648978807E-4</v>
      </c>
      <c r="H67" s="819">
        <f t="shared" ref="H67:H84" si="26">(F67-F$2)/F$2</f>
        <v>-2.0757310917768054E-2</v>
      </c>
      <c r="I67" s="821">
        <v>341363.07</v>
      </c>
      <c r="J67" s="822">
        <v>400000</v>
      </c>
      <c r="K67" s="822">
        <f t="shared" si="20"/>
        <v>-1471.320000000007</v>
      </c>
      <c r="L67" s="814">
        <f t="shared" si="7"/>
        <v>-4.2916348036146747E-3</v>
      </c>
      <c r="M67" s="839">
        <f t="shared" si="22"/>
        <v>-58636.929999999993</v>
      </c>
      <c r="N67" s="824">
        <f t="shared" si="23"/>
        <v>-0.146592325</v>
      </c>
      <c r="O67" s="808">
        <f t="shared" si="10"/>
        <v>-0.58198746419836955</v>
      </c>
      <c r="P67" s="839" t="b">
        <f t="shared" si="21"/>
        <v>0</v>
      </c>
      <c r="Q67" s="824">
        <f>COUNTIF(P$2:P67, TRUE)/(COUNTIF(P$2:P67,FALSE) + COUNTIF(P$2:P67, TRUE))</f>
        <v>0.42424242424242425</v>
      </c>
      <c r="R67" s="825"/>
      <c r="S67" s="825"/>
      <c r="T67" s="825"/>
      <c r="U67" s="825"/>
      <c r="V67" s="824">
        <f>STDEV(D$2:D67)*SQRT(252)</f>
        <v>0.21680795188349017</v>
      </c>
      <c r="W67" s="824">
        <f>STDEV(L$2:L67)*SQRT(252)</f>
        <v>0.30707902780871166</v>
      </c>
      <c r="X67" s="823">
        <f t="shared" si="11"/>
        <v>-0.45290479997674349</v>
      </c>
      <c r="Y67" s="823">
        <f t="shared" si="12"/>
        <v>-1.8952367680443036</v>
      </c>
      <c r="Z67" s="829">
        <f t="shared" si="13"/>
        <v>-0.12185915782281539</v>
      </c>
    </row>
    <row r="68" spans="1:26" ht="20.100000000000001" customHeight="1" x14ac:dyDescent="0.2">
      <c r="A68" s="798">
        <f t="shared" si="8"/>
        <v>93</v>
      </c>
      <c r="B68" s="817">
        <v>42326</v>
      </c>
      <c r="C68" s="840">
        <v>2083.58</v>
      </c>
      <c r="D68" s="814">
        <f t="shared" ref="D68:D132" si="27">(C68-C67)/C67</f>
        <v>1.6162384658902417E-2</v>
      </c>
      <c r="E68" s="841">
        <f t="shared" si="24"/>
        <v>-8.970529480032784E-3</v>
      </c>
      <c r="F68" s="838">
        <v>5075.2</v>
      </c>
      <c r="G68" s="814">
        <f t="shared" si="25"/>
        <v>1.7888050766043308E-2</v>
      </c>
      <c r="H68" s="819">
        <f t="shared" si="26"/>
        <v>-3.2405679831883261E-3</v>
      </c>
      <c r="I68" s="821">
        <v>349578.29</v>
      </c>
      <c r="J68" s="822">
        <v>400000</v>
      </c>
      <c r="K68" s="822">
        <f t="shared" si="20"/>
        <v>8215.2199999999721</v>
      </c>
      <c r="L68" s="814">
        <f t="shared" ref="L68:L131" si="28">K68/I67</f>
        <v>2.4065930740545461E-2</v>
      </c>
      <c r="M68" s="839">
        <f t="shared" si="22"/>
        <v>-50421.710000000021</v>
      </c>
      <c r="N68" s="824">
        <f t="shared" si="23"/>
        <v>-0.12605427500000005</v>
      </c>
      <c r="O68" s="808">
        <f t="shared" si="10"/>
        <v>-0.4950679993951615</v>
      </c>
      <c r="P68" s="839" t="b">
        <f t="shared" si="21"/>
        <v>1</v>
      </c>
      <c r="Q68" s="824">
        <f>COUNTIF(P$2:P68, TRUE)/(COUNTIF(P$2:P68,FALSE) + COUNTIF(P$2:P68, TRUE))</f>
        <v>0.43283582089552236</v>
      </c>
      <c r="R68" s="825"/>
      <c r="S68" s="825"/>
      <c r="T68" s="825"/>
      <c r="U68" s="825"/>
      <c r="V68" s="824">
        <f>STDEV(D$2:D68)*SQRT(252)</f>
        <v>0.21752341302178005</v>
      </c>
      <c r="W68" s="824">
        <f>STDEV(L$2:L68)*SQRT(252)</f>
        <v>0.30856663188820815</v>
      </c>
      <c r="X68" s="823">
        <f t="shared" si="11"/>
        <v>-0.16196431737444461</v>
      </c>
      <c r="Y68" s="823">
        <f t="shared" si="12"/>
        <v>-1.6044119753509889</v>
      </c>
      <c r="Z68" s="829">
        <f t="shared" si="13"/>
        <v>-0.11708374551996727</v>
      </c>
    </row>
    <row r="69" spans="1:26" ht="20.100000000000001" customHeight="1" x14ac:dyDescent="0.2">
      <c r="A69" s="798">
        <f t="shared" si="8"/>
        <v>94</v>
      </c>
      <c r="B69" s="817">
        <v>42327</v>
      </c>
      <c r="C69" s="840">
        <v>2081.2399999999998</v>
      </c>
      <c r="D69" s="814">
        <f t="shared" si="27"/>
        <v>-1.1230670288638524E-3</v>
      </c>
      <c r="E69" s="841">
        <f t="shared" si="24"/>
        <v>-1.0083522003006161E-2</v>
      </c>
      <c r="F69" s="838">
        <v>5073.63</v>
      </c>
      <c r="G69" s="814">
        <f t="shared" si="25"/>
        <v>-3.0934741488014442E-4</v>
      </c>
      <c r="H69" s="819">
        <f t="shared" si="26"/>
        <v>-3.5489129367401282E-3</v>
      </c>
      <c r="I69" s="821">
        <v>351509.95</v>
      </c>
      <c r="J69" s="822">
        <v>400000</v>
      </c>
      <c r="K69" s="822">
        <f t="shared" si="20"/>
        <v>1931.6600000000326</v>
      </c>
      <c r="L69" s="814">
        <f t="shared" si="28"/>
        <v>5.5256863920240375E-3</v>
      </c>
      <c r="M69" s="839">
        <f t="shared" si="22"/>
        <v>-48490.049999999988</v>
      </c>
      <c r="N69" s="824">
        <f t="shared" si="23"/>
        <v>-0.12122512499999998</v>
      </c>
      <c r="O69" s="808">
        <f t="shared" si="10"/>
        <v>-0.47103698836436159</v>
      </c>
      <c r="P69" s="839" t="b">
        <f t="shared" si="21"/>
        <v>1</v>
      </c>
      <c r="Q69" s="824">
        <f>COUNTIF(P$2:P69, TRUE)/(COUNTIF(P$2:P69,FALSE) + COUNTIF(P$2:P69, TRUE))</f>
        <v>0.44117647058823528</v>
      </c>
      <c r="R69" s="825"/>
      <c r="S69" s="825"/>
      <c r="T69" s="825"/>
      <c r="U69" s="825"/>
      <c r="V69" s="824">
        <f>STDEV(D$2:D69)*SQRT(252)</f>
        <v>0.21587936448621181</v>
      </c>
      <c r="W69" s="824">
        <f>STDEV(L$2:L69)*SQRT(252)</f>
        <v>0.30643952094821814</v>
      </c>
      <c r="X69" s="823">
        <f t="shared" si="11"/>
        <v>-0.18149450905402137</v>
      </c>
      <c r="Y69" s="823">
        <f t="shared" si="12"/>
        <v>-1.5371287192553631</v>
      </c>
      <c r="Z69" s="829">
        <f t="shared" si="13"/>
        <v>-0.11114160299699381</v>
      </c>
    </row>
    <row r="70" spans="1:26" ht="20.100000000000001" customHeight="1" x14ac:dyDescent="0.2">
      <c r="A70" s="798">
        <f t="shared" si="8"/>
        <v>95</v>
      </c>
      <c r="B70" s="817">
        <v>42328</v>
      </c>
      <c r="C70" s="842">
        <v>2089.17</v>
      </c>
      <c r="D70" s="814">
        <f t="shared" si="27"/>
        <v>3.8102285176146392E-3</v>
      </c>
      <c r="E70" s="841">
        <f t="shared" si="24"/>
        <v>-6.3117140084853699E-3</v>
      </c>
      <c r="F70" s="838">
        <v>5104.92</v>
      </c>
      <c r="G70" s="814">
        <f t="shared" si="25"/>
        <v>6.1671820767379495E-3</v>
      </c>
      <c r="H70" s="819">
        <f t="shared" si="26"/>
        <v>2.5963823477424546E-3</v>
      </c>
      <c r="I70" s="821">
        <v>349809.33</v>
      </c>
      <c r="J70" s="822">
        <v>400000</v>
      </c>
      <c r="K70" s="822">
        <f t="shared" si="20"/>
        <v>-1700.6199999999953</v>
      </c>
      <c r="L70" s="814">
        <f t="shared" si="28"/>
        <v>-4.8380422801687275E-3</v>
      </c>
      <c r="M70" s="839">
        <f t="shared" si="22"/>
        <v>-50190.669999999984</v>
      </c>
      <c r="N70" s="824">
        <f t="shared" si="23"/>
        <v>-0.12547667499999995</v>
      </c>
      <c r="O70" s="808">
        <f t="shared" si="10"/>
        <v>-0.48242479519736825</v>
      </c>
      <c r="P70" s="839" t="b">
        <f t="shared" si="21"/>
        <v>0</v>
      </c>
      <c r="Q70" s="824">
        <f>COUNTIF(P$2:P70, TRUE)/(COUNTIF(P$2:P70,FALSE) + COUNTIF(P$2:P70, TRUE))</f>
        <v>0.43478260869565216</v>
      </c>
      <c r="R70" s="825"/>
      <c r="S70" s="825"/>
      <c r="T70" s="825"/>
      <c r="U70" s="825"/>
      <c r="V70" s="824">
        <f>STDEV(D$2:D70)*SQRT(252)</f>
        <v>0.21439176321013317</v>
      </c>
      <c r="W70" s="824">
        <f>STDEV(L$2:L70)*SQRT(252)</f>
        <v>0.30426600271918647</v>
      </c>
      <c r="X70" s="823">
        <f t="shared" si="11"/>
        <v>-0.11318942025524899</v>
      </c>
      <c r="Y70" s="823">
        <f t="shared" si="12"/>
        <v>-1.5855363099590469</v>
      </c>
      <c r="Z70" s="829">
        <f t="shared" si="13"/>
        <v>-0.11916496099151458</v>
      </c>
    </row>
    <row r="71" spans="1:26" ht="20.100000000000001" customHeight="1" x14ac:dyDescent="0.2">
      <c r="A71" s="798">
        <f t="shared" ref="A71:A134" si="29">B71-$B$2</f>
        <v>98</v>
      </c>
      <c r="B71" s="800">
        <v>42331</v>
      </c>
      <c r="C71" s="801">
        <v>2086.59</v>
      </c>
      <c r="D71" s="814">
        <f t="shared" si="27"/>
        <v>-1.2349401915592924E-3</v>
      </c>
      <c r="E71" s="802">
        <f t="shared" si="24"/>
        <v>-7.5388596107379561E-3</v>
      </c>
      <c r="F71" s="803">
        <v>5102.47</v>
      </c>
      <c r="G71" s="814">
        <f t="shared" si="25"/>
        <v>-4.7992916637279687E-4</v>
      </c>
      <c r="H71" s="815">
        <f t="shared" si="26"/>
        <v>2.1152071017539204E-3</v>
      </c>
      <c r="I71" s="804">
        <v>352380.62</v>
      </c>
      <c r="J71" s="805">
        <v>400000</v>
      </c>
      <c r="K71" s="805">
        <f t="shared" si="20"/>
        <v>2571.289999999979</v>
      </c>
      <c r="L71" s="814">
        <f t="shared" si="28"/>
        <v>7.3505472252554807E-3</v>
      </c>
      <c r="M71" s="833">
        <f t="shared" si="22"/>
        <v>-47619.380000000005</v>
      </c>
      <c r="N71" s="808">
        <f t="shared" si="23"/>
        <v>-0.11904845000000001</v>
      </c>
      <c r="O71" s="808">
        <f t="shared" ref="O71:O134" si="30">N71/(A71/365.25)</f>
        <v>-0.44369843227040823</v>
      </c>
      <c r="P71" s="833" t="b">
        <f t="shared" si="21"/>
        <v>1</v>
      </c>
      <c r="Q71" s="808">
        <f>COUNTIF(P$2:P71, TRUE)/(COUNTIF(P$2:P71,FALSE) + COUNTIF(P$2:P71, TRUE))</f>
        <v>0.44285714285714284</v>
      </c>
      <c r="R71" s="809"/>
      <c r="S71" s="809"/>
      <c r="T71" s="809"/>
      <c r="U71" s="809"/>
      <c r="V71" s="808">
        <f>STDEV(D$2:D71)*SQRT(252)</f>
        <v>0.21282253565490999</v>
      </c>
      <c r="W71" s="808">
        <f>STDEV(L$2:L71)*SQRT(252)</f>
        <v>0.30238621984250691</v>
      </c>
      <c r="X71" s="823">
        <f t="shared" si="11"/>
        <v>-0.13202378869940726</v>
      </c>
      <c r="Y71" s="823">
        <f t="shared" si="12"/>
        <v>-1.4673235853852784</v>
      </c>
      <c r="Z71" s="829">
        <f t="shared" si="13"/>
        <v>-0.11150959038926206</v>
      </c>
    </row>
    <row r="72" spans="1:26" ht="20.100000000000001" customHeight="1" x14ac:dyDescent="0.2">
      <c r="A72" s="798">
        <f t="shared" si="29"/>
        <v>99</v>
      </c>
      <c r="B72" s="800">
        <v>42332</v>
      </c>
      <c r="C72" s="801">
        <v>2089.14</v>
      </c>
      <c r="D72" s="814">
        <f t="shared" si="27"/>
        <v>1.2220896294910485E-3</v>
      </c>
      <c r="E72" s="802">
        <f t="shared" si="24"/>
        <v>-6.3259831433953792E-3</v>
      </c>
      <c r="F72" s="803">
        <v>5102.8</v>
      </c>
      <c r="G72" s="814">
        <f t="shared" si="25"/>
        <v>6.4674559576034202E-5</v>
      </c>
      <c r="H72" s="815">
        <f t="shared" si="26"/>
        <v>2.1800184614176729E-3</v>
      </c>
      <c r="I72" s="804">
        <v>356994.69</v>
      </c>
      <c r="J72" s="805">
        <v>400000</v>
      </c>
      <c r="K72" s="805">
        <f t="shared" si="20"/>
        <v>4614.070000000007</v>
      </c>
      <c r="L72" s="814">
        <f t="shared" si="28"/>
        <v>1.309399478325456E-2</v>
      </c>
      <c r="M72" s="833">
        <f t="shared" si="22"/>
        <v>-43005.31</v>
      </c>
      <c r="N72" s="808">
        <f t="shared" si="23"/>
        <v>-0.10751327499999999</v>
      </c>
      <c r="O72" s="808">
        <f t="shared" si="30"/>
        <v>-0.39665882518939388</v>
      </c>
      <c r="P72" s="833" t="b">
        <f t="shared" si="21"/>
        <v>1</v>
      </c>
      <c r="Q72" s="808">
        <f>COUNTIF(P$2:P72, TRUE)/(COUNTIF(P$2:P72,FALSE) + COUNTIF(P$2:P72, TRUE))</f>
        <v>0.45070422535211269</v>
      </c>
      <c r="R72" s="809"/>
      <c r="S72" s="809"/>
      <c r="T72" s="809"/>
      <c r="U72" s="809"/>
      <c r="V72" s="808">
        <f>STDEV(D$2:D72)*SQRT(252)</f>
        <v>0.21128787806615651</v>
      </c>
      <c r="W72" s="808">
        <f>STDEV(L$2:L72)*SQRT(252)</f>
        <v>0.30126350583982381</v>
      </c>
      <c r="X72" s="823">
        <f t="shared" si="11"/>
        <v>-0.11046087491419374</v>
      </c>
      <c r="Y72" s="823">
        <f t="shared" si="12"/>
        <v>-1.3166507641993983</v>
      </c>
      <c r="Z72" s="829">
        <f t="shared" si="13"/>
        <v>-0.10118729185660461</v>
      </c>
    </row>
    <row r="73" spans="1:26" ht="20.100000000000001" customHeight="1" x14ac:dyDescent="0.2">
      <c r="A73" s="798">
        <f t="shared" si="29"/>
        <v>100</v>
      </c>
      <c r="B73" s="800">
        <v>42333</v>
      </c>
      <c r="C73" s="801">
        <v>2088.87</v>
      </c>
      <c r="D73" s="814">
        <f t="shared" si="27"/>
        <v>-1.2923978287715607E-4</v>
      </c>
      <c r="E73" s="802">
        <f t="shared" si="24"/>
        <v>-6.4544053575845989E-3</v>
      </c>
      <c r="F73" s="803">
        <v>5116.1400000000003</v>
      </c>
      <c r="G73" s="814">
        <f t="shared" si="25"/>
        <v>2.6142509994513102E-3</v>
      </c>
      <c r="H73" s="815">
        <f t="shared" si="26"/>
        <v>4.7999685763105661E-3</v>
      </c>
      <c r="I73" s="804">
        <v>357953.42</v>
      </c>
      <c r="J73" s="805">
        <v>400000</v>
      </c>
      <c r="K73" s="805">
        <f t="shared" si="20"/>
        <v>958.72999999998137</v>
      </c>
      <c r="L73" s="814">
        <f t="shared" si="28"/>
        <v>2.6855581521394098E-3</v>
      </c>
      <c r="M73" s="833">
        <f t="shared" si="22"/>
        <v>-42046.580000000016</v>
      </c>
      <c r="N73" s="808">
        <f t="shared" si="23"/>
        <v>-0.10511645000000004</v>
      </c>
      <c r="O73" s="808">
        <f t="shared" si="30"/>
        <v>-0.38393783362500017</v>
      </c>
      <c r="P73" s="833" t="b">
        <f t="shared" si="21"/>
        <v>1</v>
      </c>
      <c r="Q73" s="808">
        <f>COUNTIF(P$2:P73, TRUE)/(COUNTIF(P$2:P73,FALSE) + COUNTIF(P$2:P73, TRUE))</f>
        <v>0.45833333333333331</v>
      </c>
      <c r="R73" s="809"/>
      <c r="S73" s="809"/>
      <c r="T73" s="809"/>
      <c r="U73" s="809"/>
      <c r="V73" s="808">
        <f>STDEV(D$2:D73)*SQRT(252)</f>
        <v>0.20977338456133537</v>
      </c>
      <c r="W73" s="808">
        <f>STDEV(L$2:L73)*SQRT(252)</f>
        <v>0.29915075312421052</v>
      </c>
      <c r="X73" s="823">
        <f t="shared" si="11"/>
        <v>-0.11238182392811977</v>
      </c>
      <c r="Y73" s="823">
        <f t="shared" si="12"/>
        <v>-1.2834259302886835</v>
      </c>
      <c r="Z73" s="829">
        <f t="shared" si="13"/>
        <v>-9.8662044642415445E-2</v>
      </c>
    </row>
    <row r="74" spans="1:26" ht="20.100000000000001" customHeight="1" x14ac:dyDescent="0.2">
      <c r="A74" s="798">
        <f t="shared" si="29"/>
        <v>102</v>
      </c>
      <c r="B74" s="800">
        <v>42335</v>
      </c>
      <c r="C74" s="834">
        <v>2090.11</v>
      </c>
      <c r="D74" s="814">
        <f t="shared" si="27"/>
        <v>5.9362238913873841E-4</v>
      </c>
      <c r="E74" s="802">
        <f t="shared" si="24"/>
        <v>-5.8646144479746996E-3</v>
      </c>
      <c r="F74" s="803">
        <v>5127.5200000000004</v>
      </c>
      <c r="G74" s="814">
        <f t="shared" si="25"/>
        <v>2.2243331886930592E-3</v>
      </c>
      <c r="H74" s="815">
        <f t="shared" si="26"/>
        <v>7.0349784944125967E-3</v>
      </c>
      <c r="I74" s="804">
        <v>355463.47</v>
      </c>
      <c r="J74" s="805">
        <v>400000</v>
      </c>
      <c r="K74" s="805">
        <f t="shared" si="20"/>
        <v>-2489.9500000000116</v>
      </c>
      <c r="L74" s="814">
        <f t="shared" si="28"/>
        <v>-6.9560726644265942E-3</v>
      </c>
      <c r="M74" s="833">
        <f t="shared" si="22"/>
        <v>-44536.530000000028</v>
      </c>
      <c r="N74" s="808">
        <f t="shared" si="23"/>
        <v>-0.11134132500000007</v>
      </c>
      <c r="O74" s="808">
        <f t="shared" si="30"/>
        <v>-0.39870018584558853</v>
      </c>
      <c r="P74" s="833" t="b">
        <f t="shared" si="21"/>
        <v>0</v>
      </c>
      <c r="Q74" s="808">
        <f>COUNTIF(P$2:P74, TRUE)/(COUNTIF(P$2:P74,FALSE) + COUNTIF(P$2:P74, TRUE))</f>
        <v>0.45205479452054792</v>
      </c>
      <c r="R74" s="809"/>
      <c r="S74" s="809"/>
      <c r="T74" s="809"/>
      <c r="U74" s="809"/>
      <c r="V74" s="808">
        <f>STDEV(D$2:D74)*SQRT(252)</f>
        <v>0.20829387869007757</v>
      </c>
      <c r="W74" s="808">
        <f>STDEV(L$2:L74)*SQRT(252)</f>
        <v>0.29731455796464418</v>
      </c>
      <c r="X74" s="823">
        <f t="shared" si="11"/>
        <v>-0.10082146684110337</v>
      </c>
      <c r="Y74" s="823">
        <f t="shared" si="12"/>
        <v>-1.3410045864387201</v>
      </c>
      <c r="Z74" s="829">
        <f t="shared" si="13"/>
        <v>-0.10547671055202537</v>
      </c>
    </row>
    <row r="75" spans="1:26" ht="20.100000000000001" customHeight="1" x14ac:dyDescent="0.2">
      <c r="A75" s="798">
        <f t="shared" si="29"/>
        <v>105</v>
      </c>
      <c r="B75" s="817">
        <v>42338</v>
      </c>
      <c r="C75" s="840">
        <v>2080.41</v>
      </c>
      <c r="D75" s="814">
        <f t="shared" si="27"/>
        <v>-4.6409040672501789E-3</v>
      </c>
      <c r="E75" s="841">
        <f t="shared" si="24"/>
        <v>-1.0478301402180418E-2</v>
      </c>
      <c r="F75" s="838">
        <v>5108.66</v>
      </c>
      <c r="G75" s="814">
        <f t="shared" si="25"/>
        <v>-3.6781914063720045E-3</v>
      </c>
      <c r="H75" s="819">
        <f t="shared" si="26"/>
        <v>3.3309110905984322E-3</v>
      </c>
      <c r="I75" s="844">
        <v>358262.29</v>
      </c>
      <c r="J75" s="822">
        <v>400000</v>
      </c>
      <c r="K75" s="822">
        <f t="shared" si="20"/>
        <v>2798.820000000007</v>
      </c>
      <c r="L75" s="814">
        <f t="shared" si="28"/>
        <v>7.8737204697855653E-3</v>
      </c>
      <c r="M75" s="839">
        <f t="shared" si="22"/>
        <v>-41737.710000000021</v>
      </c>
      <c r="N75" s="824">
        <f t="shared" si="23"/>
        <v>-0.10434427500000006</v>
      </c>
      <c r="O75" s="808">
        <f t="shared" si="30"/>
        <v>-0.36296901375000024</v>
      </c>
      <c r="P75" s="839" t="b">
        <f t="shared" si="21"/>
        <v>1</v>
      </c>
      <c r="Q75" s="824">
        <f>COUNTIF(P$2:P75, TRUE)/(COUNTIF(P$2:P75,FALSE) + COUNTIF(P$2:P75, TRUE))</f>
        <v>0.45945945945945948</v>
      </c>
      <c r="R75" s="825"/>
      <c r="S75" s="825"/>
      <c r="T75" s="825"/>
      <c r="U75" s="825"/>
      <c r="V75" s="824">
        <f>STDEV(D$2:D75)*SQRT(252)</f>
        <v>0.20702224585874895</v>
      </c>
      <c r="W75" s="824">
        <f>STDEV(L$2:L75)*SQRT(252)</f>
        <v>0.29562170062555598</v>
      </c>
      <c r="X75" s="823">
        <f t="shared" si="11"/>
        <v>-0.17606571567412233</v>
      </c>
      <c r="Y75" s="823">
        <f t="shared" si="12"/>
        <v>-1.2278158639299235</v>
      </c>
      <c r="Z75" s="829">
        <f t="shared" si="13"/>
        <v>-9.3865973597819632E-2</v>
      </c>
    </row>
    <row r="76" spans="1:26" ht="20.100000000000001" customHeight="1" x14ac:dyDescent="0.2">
      <c r="A76" s="798">
        <f t="shared" si="29"/>
        <v>106</v>
      </c>
      <c r="B76" s="817">
        <v>42339</v>
      </c>
      <c r="C76" s="840">
        <v>2102.63</v>
      </c>
      <c r="D76" s="814">
        <f t="shared" si="27"/>
        <v>1.0680586999678072E-2</v>
      </c>
      <c r="E76" s="841">
        <f t="shared" si="24"/>
        <v>9.0371187762815854E-5</v>
      </c>
      <c r="F76" s="838">
        <v>5156.3</v>
      </c>
      <c r="G76" s="814">
        <f t="shared" si="25"/>
        <v>9.3253416747249435E-3</v>
      </c>
      <c r="H76" s="819">
        <f t="shared" si="26"/>
        <v>1.2687314649331337E-2</v>
      </c>
      <c r="I76" s="821">
        <v>361281.91</v>
      </c>
      <c r="J76" s="822">
        <v>400000</v>
      </c>
      <c r="K76" s="822">
        <f t="shared" si="20"/>
        <v>3019.6199999999953</v>
      </c>
      <c r="L76" s="814">
        <f t="shared" si="28"/>
        <v>8.4285175534382795E-3</v>
      </c>
      <c r="M76" s="839">
        <f t="shared" si="22"/>
        <v>-38718.090000000026</v>
      </c>
      <c r="N76" s="824">
        <f t="shared" si="23"/>
        <v>-9.6795225000000068E-2</v>
      </c>
      <c r="O76" s="808">
        <f t="shared" si="30"/>
        <v>-0.33353260312500022</v>
      </c>
      <c r="P76" s="839" t="b">
        <f t="shared" si="21"/>
        <v>0</v>
      </c>
      <c r="Q76" s="824">
        <f>COUNTIF(P$2:P76, TRUE)/(COUNTIF(P$2:P76,FALSE) + COUNTIF(P$2:P76, TRUE))</f>
        <v>0.45333333333333331</v>
      </c>
      <c r="R76" s="825"/>
      <c r="S76" s="825"/>
      <c r="T76" s="825"/>
      <c r="U76" s="825"/>
      <c r="V76" s="824">
        <f>STDEV(D$2:D76)*SQRT(252)</f>
        <v>0.20655260318517649</v>
      </c>
      <c r="W76" s="824">
        <f>STDEV(L$2:L76)*SQRT(252)</f>
        <v>0.29400855496408335</v>
      </c>
      <c r="X76" s="823">
        <f t="shared" si="11"/>
        <v>1.5075914886133863E-3</v>
      </c>
      <c r="Y76" s="823">
        <f t="shared" si="12"/>
        <v>-1.134431626201303</v>
      </c>
      <c r="Z76" s="829">
        <f t="shared" si="13"/>
        <v>-9.6885596187762879E-2</v>
      </c>
    </row>
    <row r="77" spans="1:26" ht="20.100000000000001" customHeight="1" x14ac:dyDescent="0.2">
      <c r="A77" s="798">
        <f t="shared" si="29"/>
        <v>107</v>
      </c>
      <c r="B77" s="817">
        <v>42340</v>
      </c>
      <c r="C77" s="840">
        <v>2079.5100000000002</v>
      </c>
      <c r="D77" s="814">
        <f t="shared" si="27"/>
        <v>-1.0995752937987135E-2</v>
      </c>
      <c r="E77" s="841">
        <f t="shared" si="24"/>
        <v>-1.0906375449477671E-2</v>
      </c>
      <c r="F77" s="838">
        <v>5123.22</v>
      </c>
      <c r="G77" s="814">
        <f t="shared" si="25"/>
        <v>-6.415452941062375E-3</v>
      </c>
      <c r="H77" s="819">
        <f t="shared" si="26"/>
        <v>6.1904668381877245E-3</v>
      </c>
      <c r="I77" s="821">
        <v>349641.2</v>
      </c>
      <c r="J77" s="822">
        <v>400000</v>
      </c>
      <c r="K77" s="822">
        <f t="shared" si="20"/>
        <v>-11640.709999999963</v>
      </c>
      <c r="L77" s="814">
        <f t="shared" si="28"/>
        <v>-3.2220572571707129E-2</v>
      </c>
      <c r="M77" s="839">
        <f t="shared" si="22"/>
        <v>-50358.799999999988</v>
      </c>
      <c r="N77" s="824">
        <f t="shared" si="23"/>
        <v>-0.12589699999999998</v>
      </c>
      <c r="O77" s="808">
        <f t="shared" si="30"/>
        <v>-0.42975588084112148</v>
      </c>
      <c r="P77" s="839" t="b">
        <f t="shared" si="21"/>
        <v>0</v>
      </c>
      <c r="Q77" s="824">
        <f>COUNTIF(P$2:P77, TRUE)/(COUNTIF(P$2:P77,FALSE) + COUNTIF(P$2:P77, TRUE))</f>
        <v>0.44736842105263158</v>
      </c>
      <c r="R77" s="825"/>
      <c r="S77" s="825"/>
      <c r="T77" s="825"/>
      <c r="U77" s="825"/>
      <c r="V77" s="824">
        <f>STDEV(D$2:D77)*SQRT(252)</f>
        <v>0.20615523591080137</v>
      </c>
      <c r="W77" s="824">
        <f>STDEV(L$2:L77)*SQRT(252)</f>
        <v>0.29794414920309426</v>
      </c>
      <c r="X77" s="823">
        <f t="shared" si="11"/>
        <v>-0.18058951081399757</v>
      </c>
      <c r="Y77" s="823">
        <f t="shared" si="12"/>
        <v>-1.4424041619564663</v>
      </c>
      <c r="Z77" s="829">
        <f t="shared" si="13"/>
        <v>-0.11499062455052231</v>
      </c>
    </row>
    <row r="78" spans="1:26" ht="20.100000000000001" customHeight="1" x14ac:dyDescent="0.2">
      <c r="A78" s="798">
        <f t="shared" si="29"/>
        <v>108</v>
      </c>
      <c r="B78" s="817">
        <v>42341</v>
      </c>
      <c r="C78" s="840">
        <v>2049.62</v>
      </c>
      <c r="D78" s="814">
        <f t="shared" si="27"/>
        <v>-1.4373578391063435E-2</v>
      </c>
      <c r="E78" s="841">
        <f t="shared" si="24"/>
        <v>-2.5123190198055669E-2</v>
      </c>
      <c r="F78" s="838">
        <v>5037.5200000000004</v>
      </c>
      <c r="G78" s="814">
        <f t="shared" si="25"/>
        <v>-1.6727761056523009E-2</v>
      </c>
      <c r="H78" s="819">
        <f t="shared" si="26"/>
        <v>-1.0640846868432819E-2</v>
      </c>
      <c r="I78" s="821">
        <v>344430.58</v>
      </c>
      <c r="J78" s="822">
        <v>400000</v>
      </c>
      <c r="K78" s="822">
        <f t="shared" si="20"/>
        <v>-5210.6199999999953</v>
      </c>
      <c r="L78" s="814">
        <f t="shared" si="28"/>
        <v>-1.4902763175506763E-2</v>
      </c>
      <c r="M78" s="839">
        <f t="shared" si="22"/>
        <v>-55569.419999999984</v>
      </c>
      <c r="N78" s="824">
        <f t="shared" si="23"/>
        <v>-0.13892354999999995</v>
      </c>
      <c r="O78" s="808">
        <f t="shared" si="30"/>
        <v>-0.46983172812499985</v>
      </c>
      <c r="P78" s="839" t="b">
        <f t="shared" si="21"/>
        <v>0</v>
      </c>
      <c r="Q78" s="824">
        <f>COUNTIF(P$2:P78, TRUE)/(COUNTIF(P$2:P78,FALSE) + COUNTIF(P$2:P78, TRUE))</f>
        <v>0.44155844155844154</v>
      </c>
      <c r="R78" s="825"/>
      <c r="S78" s="825"/>
      <c r="T78" s="825"/>
      <c r="U78" s="825"/>
      <c r="V78" s="824">
        <f>STDEV(D$2:D78)*SQRT(252)</f>
        <v>0.20642766070992974</v>
      </c>
      <c r="W78" s="824">
        <f>STDEV(L$2:L78)*SQRT(252)</f>
        <v>0.29712936975574017</v>
      </c>
      <c r="X78" s="823">
        <f t="shared" si="11"/>
        <v>-0.41159810281640435</v>
      </c>
      <c r="Y78" s="823">
        <f t="shared" si="12"/>
        <v>-1.5812362423520514</v>
      </c>
      <c r="Z78" s="829">
        <f t="shared" si="13"/>
        <v>-0.11380035980194428</v>
      </c>
    </row>
    <row r="79" spans="1:26" ht="20.100000000000001" customHeight="1" x14ac:dyDescent="0.2">
      <c r="A79" s="798">
        <f t="shared" si="29"/>
        <v>109</v>
      </c>
      <c r="B79" s="817">
        <v>42342</v>
      </c>
      <c r="C79" s="840">
        <v>2091.69</v>
      </c>
      <c r="D79" s="814">
        <f t="shared" si="27"/>
        <v>2.0525755993794054E-2</v>
      </c>
      <c r="E79" s="841">
        <f t="shared" si="24"/>
        <v>-5.1131066760525864E-3</v>
      </c>
      <c r="F79" s="838">
        <v>5142.2700000000004</v>
      </c>
      <c r="G79" s="814">
        <f t="shared" si="25"/>
        <v>2.0793962108339021E-2</v>
      </c>
      <c r="H79" s="819">
        <f t="shared" si="26"/>
        <v>9.9318498733233732E-3</v>
      </c>
      <c r="I79" s="821">
        <v>341064.65</v>
      </c>
      <c r="J79" s="822">
        <v>400000</v>
      </c>
      <c r="K79" s="822">
        <f t="shared" si="20"/>
        <v>-3365.929999999993</v>
      </c>
      <c r="L79" s="814">
        <f t="shared" si="28"/>
        <v>-9.7724481955115388E-3</v>
      </c>
      <c r="M79" s="839">
        <f t="shared" si="22"/>
        <v>-58935.349999999977</v>
      </c>
      <c r="N79" s="824">
        <f t="shared" si="23"/>
        <v>-0.14733837499999994</v>
      </c>
      <c r="O79" s="808">
        <f t="shared" si="30"/>
        <v>-0.4937187290711007</v>
      </c>
      <c r="P79" s="839" t="b">
        <f t="shared" si="21"/>
        <v>0</v>
      </c>
      <c r="Q79" s="824">
        <f>COUNTIF(P$2:P79, TRUE)/(COUNTIF(P$2:P79,FALSE) + COUNTIF(P$2:P79, TRUE))</f>
        <v>0.4358974358974359</v>
      </c>
      <c r="R79" s="825"/>
      <c r="S79" s="825"/>
      <c r="T79" s="825"/>
      <c r="U79" s="825"/>
      <c r="V79" s="824">
        <f>STDEV(D$2:D79)*SQRT(252)</f>
        <v>0.2084813160993948</v>
      </c>
      <c r="W79" s="824">
        <f>STDEV(L$2:L79)*SQRT(252)</f>
        <v>0.29563649002359699</v>
      </c>
      <c r="X79" s="823">
        <f t="shared" si="11"/>
        <v>-8.218289585318822E-2</v>
      </c>
      <c r="Y79" s="823">
        <f t="shared" si="12"/>
        <v>-1.6700195873374537</v>
      </c>
      <c r="Z79" s="829">
        <f t="shared" si="13"/>
        <v>-0.14222526832394736</v>
      </c>
    </row>
    <row r="80" spans="1:26" ht="20.100000000000001" customHeight="1" x14ac:dyDescent="0.2">
      <c r="A80" s="798">
        <f t="shared" si="29"/>
        <v>112</v>
      </c>
      <c r="B80" s="800">
        <v>42345</v>
      </c>
      <c r="C80" s="801">
        <v>2077.0700000000002</v>
      </c>
      <c r="D80" s="814">
        <f t="shared" si="27"/>
        <v>-6.9895634630370131E-3</v>
      </c>
      <c r="E80" s="802">
        <f t="shared" si="24"/>
        <v>-1.2066931755484052E-2</v>
      </c>
      <c r="F80" s="803">
        <v>5101.8100000000004</v>
      </c>
      <c r="G80" s="814">
        <f t="shared" si="25"/>
        <v>-7.8681204993125663E-3</v>
      </c>
      <c r="H80" s="815">
        <f t="shared" si="26"/>
        <v>1.9855843824264159E-3</v>
      </c>
      <c r="I80" s="804">
        <v>323555.34000000003</v>
      </c>
      <c r="J80" s="805">
        <v>400000</v>
      </c>
      <c r="K80" s="805">
        <f t="shared" si="20"/>
        <v>-17509.309999999998</v>
      </c>
      <c r="L80" s="814">
        <f t="shared" si="28"/>
        <v>-5.1337217152231981E-2</v>
      </c>
      <c r="M80" s="833">
        <f t="shared" si="22"/>
        <v>-76444.659999999974</v>
      </c>
      <c r="N80" s="808">
        <f t="shared" si="23"/>
        <v>-0.19111164999999994</v>
      </c>
      <c r="O80" s="808">
        <f t="shared" si="30"/>
        <v>-0.6232458050223213</v>
      </c>
      <c r="P80" s="833" t="b">
        <f t="shared" si="21"/>
        <v>0</v>
      </c>
      <c r="Q80" s="808">
        <f>COUNTIF(P$2:P80, TRUE)/(COUNTIF(P$2:P80,FALSE) + COUNTIF(P$2:P80, TRUE))</f>
        <v>0.43037974683544306</v>
      </c>
      <c r="R80" s="809"/>
      <c r="S80" s="809"/>
      <c r="T80" s="809"/>
      <c r="U80" s="809"/>
      <c r="V80" s="808">
        <f>STDEV(D$2:D80)*SQRT(252)</f>
        <v>0.20750582350249624</v>
      </c>
      <c r="W80" s="808">
        <f>STDEV(L$2:L80)*SQRT(252)</f>
        <v>0.3074916653921197</v>
      </c>
      <c r="X80" s="823">
        <f t="shared" si="11"/>
        <v>-0.18964385248917093</v>
      </c>
      <c r="Y80" s="823">
        <f t="shared" si="12"/>
        <v>-2.0268705632315123</v>
      </c>
      <c r="Z80" s="829">
        <f t="shared" si="13"/>
        <v>-0.1790447182445159</v>
      </c>
    </row>
    <row r="81" spans="1:26" ht="20.100000000000001" customHeight="1" x14ac:dyDescent="0.2">
      <c r="A81" s="798">
        <f t="shared" si="29"/>
        <v>113</v>
      </c>
      <c r="B81" s="800">
        <v>42346</v>
      </c>
      <c r="C81" s="801">
        <v>2063.59</v>
      </c>
      <c r="D81" s="814">
        <f t="shared" si="27"/>
        <v>-6.489911269239851E-3</v>
      </c>
      <c r="E81" s="802">
        <f t="shared" si="24"/>
        <v>-1.8478529708338839E-2</v>
      </c>
      <c r="F81" s="803">
        <v>5098.24</v>
      </c>
      <c r="G81" s="814">
        <f t="shared" si="25"/>
        <v>-6.9975165676507318E-4</v>
      </c>
      <c r="H81" s="815">
        <f t="shared" si="26"/>
        <v>1.284443309700093E-3</v>
      </c>
      <c r="I81" s="804">
        <v>320909.52</v>
      </c>
      <c r="J81" s="805">
        <v>400000</v>
      </c>
      <c r="K81" s="805">
        <f t="shared" si="20"/>
        <v>-2645.820000000007</v>
      </c>
      <c r="L81" s="814">
        <f t="shared" si="28"/>
        <v>-8.1773337445149464E-3</v>
      </c>
      <c r="M81" s="833">
        <f t="shared" si="22"/>
        <v>-79090.479999999981</v>
      </c>
      <c r="N81" s="808">
        <f t="shared" si="23"/>
        <v>-0.19772619999999996</v>
      </c>
      <c r="O81" s="808">
        <f t="shared" si="30"/>
        <v>-0.63911057123893789</v>
      </c>
      <c r="P81" s="833" t="b">
        <f t="shared" si="21"/>
        <v>0</v>
      </c>
      <c r="Q81" s="808">
        <f>COUNTIF(P$2:P81, TRUE)/(COUNTIF(P$2:P81,FALSE) + COUNTIF(P$2:P81, TRUE))</f>
        <v>0.42499999999999999</v>
      </c>
      <c r="R81" s="809"/>
      <c r="S81" s="809"/>
      <c r="T81" s="809"/>
      <c r="U81" s="809"/>
      <c r="V81" s="808">
        <f>STDEV(D$2:D81)*SQRT(252)</f>
        <v>0.20648984597109604</v>
      </c>
      <c r="W81" s="808">
        <f>STDEV(L$2:L81)*SQRT(252)</f>
        <v>0.3057577572819663</v>
      </c>
      <c r="X81" s="823">
        <f t="shared" si="11"/>
        <v>-0.28925474590796779</v>
      </c>
      <c r="Y81" s="823">
        <f t="shared" si="12"/>
        <v>-2.0902513706285379</v>
      </c>
      <c r="Z81" s="829">
        <f t="shared" si="13"/>
        <v>-0.17924767029166111</v>
      </c>
    </row>
    <row r="82" spans="1:26" ht="20.100000000000001" customHeight="1" x14ac:dyDescent="0.2">
      <c r="A82" s="798">
        <f t="shared" si="29"/>
        <v>114</v>
      </c>
      <c r="B82" s="800">
        <v>42347</v>
      </c>
      <c r="C82" s="801">
        <v>2047.62</v>
      </c>
      <c r="D82" s="814">
        <f t="shared" si="27"/>
        <v>-7.7389403902908297E-3</v>
      </c>
      <c r="E82" s="802">
        <f t="shared" si="24"/>
        <v>-2.6074465858716617E-2</v>
      </c>
      <c r="F82" s="803">
        <v>5022.8599999999997</v>
      </c>
      <c r="G82" s="814">
        <f t="shared" si="25"/>
        <v>-1.4785494602058772E-2</v>
      </c>
      <c r="H82" s="815">
        <f t="shared" si="26"/>
        <v>-1.3520042421980899E-2</v>
      </c>
      <c r="I82" s="804">
        <v>319453.12</v>
      </c>
      <c r="J82" s="805">
        <v>400000</v>
      </c>
      <c r="K82" s="805">
        <f t="shared" si="20"/>
        <v>-1456.4000000000233</v>
      </c>
      <c r="L82" s="814">
        <f t="shared" si="28"/>
        <v>-4.5383508722334669E-3</v>
      </c>
      <c r="M82" s="833">
        <f t="shared" si="22"/>
        <v>-80546.880000000005</v>
      </c>
      <c r="N82" s="808">
        <f t="shared" si="23"/>
        <v>-0.20136720000000002</v>
      </c>
      <c r="O82" s="808">
        <f t="shared" si="30"/>
        <v>-0.64516991052631578</v>
      </c>
      <c r="P82" s="833" t="b">
        <f t="shared" si="21"/>
        <v>1</v>
      </c>
      <c r="Q82" s="808">
        <f>COUNTIF(P$2:P82, TRUE)/(COUNTIF(P$2:P82,FALSE) + COUNTIF(P$2:P82, TRUE))</f>
        <v>0.43209876543209874</v>
      </c>
      <c r="R82" s="809"/>
      <c r="S82" s="809"/>
      <c r="T82" s="809"/>
      <c r="U82" s="809"/>
      <c r="V82" s="808">
        <f>STDEV(D$2:D82)*SQRT(252)</f>
        <v>0.20562012018240991</v>
      </c>
      <c r="W82" s="808">
        <f>STDEV(L$2:L82)*SQRT(252)</f>
        <v>0.30386643217647319</v>
      </c>
      <c r="X82" s="823">
        <f t="shared" si="11"/>
        <v>-0.40628911313206373</v>
      </c>
      <c r="Y82" s="823">
        <f t="shared" si="12"/>
        <v>-2.1232023093344758</v>
      </c>
      <c r="Z82" s="829">
        <f t="shared" si="13"/>
        <v>-0.17529273414128341</v>
      </c>
    </row>
    <row r="83" spans="1:26" ht="20.100000000000001" customHeight="1" x14ac:dyDescent="0.2">
      <c r="A83" s="798">
        <f t="shared" si="29"/>
        <v>115</v>
      </c>
      <c r="B83" s="800">
        <v>42348</v>
      </c>
      <c r="C83" s="834">
        <v>2052.23</v>
      </c>
      <c r="D83" s="814">
        <f t="shared" si="27"/>
        <v>2.2513943016771315E-3</v>
      </c>
      <c r="E83" s="802">
        <f t="shared" si="24"/>
        <v>-2.3881775460893075E-2</v>
      </c>
      <c r="F83" s="803">
        <v>5045.17</v>
      </c>
      <c r="G83" s="814">
        <f t="shared" si="25"/>
        <v>4.4416925815173825E-3</v>
      </c>
      <c r="H83" s="815">
        <f t="shared" si="26"/>
        <v>-9.1384017125910304E-3</v>
      </c>
      <c r="I83" s="804">
        <v>324246.53999999998</v>
      </c>
      <c r="J83" s="805">
        <v>400000</v>
      </c>
      <c r="K83" s="805">
        <f t="shared" si="20"/>
        <v>4793.4199999999837</v>
      </c>
      <c r="L83" s="814">
        <f t="shared" si="28"/>
        <v>1.5005081183742965E-2</v>
      </c>
      <c r="M83" s="833">
        <f t="shared" si="22"/>
        <v>-75753.460000000021</v>
      </c>
      <c r="N83" s="808">
        <f t="shared" si="23"/>
        <v>-0.18938365000000004</v>
      </c>
      <c r="O83" s="808">
        <f t="shared" si="30"/>
        <v>-0.60149894054347841</v>
      </c>
      <c r="P83" s="833" t="b">
        <f t="shared" si="21"/>
        <v>1</v>
      </c>
      <c r="Q83" s="808">
        <f>COUNTIF(P$2:P83, TRUE)/(COUNTIF(P$2:P83,FALSE) + COUNTIF(P$2:P83, TRUE))</f>
        <v>0.43902439024390244</v>
      </c>
      <c r="R83" s="809"/>
      <c r="S83" s="809"/>
      <c r="T83" s="809"/>
      <c r="U83" s="809"/>
      <c r="V83" s="808">
        <f>STDEV(D$2:D83)*SQRT(252)</f>
        <v>0.20437847650239915</v>
      </c>
      <c r="W83" s="808">
        <f>STDEV(L$2:L83)*SQRT(252)</f>
        <v>0.30335650462124281</v>
      </c>
      <c r="X83" s="823">
        <f t="shared" si="11"/>
        <v>-0.37112809938688945</v>
      </c>
      <c r="Y83" s="823">
        <f t="shared" si="12"/>
        <v>-1.9828120754967253</v>
      </c>
      <c r="Z83" s="829">
        <f t="shared" si="13"/>
        <v>-0.16550187453910697</v>
      </c>
    </row>
    <row r="84" spans="1:26" ht="20.100000000000001" customHeight="1" x14ac:dyDescent="0.2">
      <c r="A84" s="798">
        <f t="shared" si="29"/>
        <v>116</v>
      </c>
      <c r="B84" s="800">
        <v>42349</v>
      </c>
      <c r="C84" s="834">
        <v>2012.37</v>
      </c>
      <c r="D84" s="814">
        <f t="shared" si="27"/>
        <v>-1.9422774250449575E-2</v>
      </c>
      <c r="E84" s="802">
        <f t="shared" si="24"/>
        <v>-4.2840699377865797E-2</v>
      </c>
      <c r="F84" s="803">
        <v>4933.47</v>
      </c>
      <c r="G84" s="814">
        <f t="shared" si="25"/>
        <v>-2.2139987354241743E-2</v>
      </c>
      <c r="H84" s="815">
        <f t="shared" si="26"/>
        <v>-3.1076064968478027E-2</v>
      </c>
      <c r="I84" s="804">
        <v>314974.52</v>
      </c>
      <c r="J84" s="805">
        <v>400000</v>
      </c>
      <c r="K84" s="805">
        <f t="shared" si="20"/>
        <v>-9272.0199999999604</v>
      </c>
      <c r="L84" s="814">
        <f t="shared" si="28"/>
        <v>-2.8595586555834832E-2</v>
      </c>
      <c r="M84" s="833">
        <f t="shared" si="22"/>
        <v>-85025.479999999981</v>
      </c>
      <c r="N84" s="808">
        <f t="shared" si="23"/>
        <v>-0.21256369999999997</v>
      </c>
      <c r="O84" s="808">
        <f t="shared" si="30"/>
        <v>-0.66930078814655158</v>
      </c>
      <c r="P84" s="833" t="b">
        <f t="shared" si="21"/>
        <v>0</v>
      </c>
      <c r="Q84" s="808">
        <f>COUNTIF(P$2:P84, TRUE)/(COUNTIF(P$2:P84,FALSE) + COUNTIF(P$2:P84, TRUE))</f>
        <v>0.43373493975903615</v>
      </c>
      <c r="R84" s="809"/>
      <c r="S84" s="809"/>
      <c r="T84" s="809"/>
      <c r="U84" s="809"/>
      <c r="V84" s="808">
        <f>STDEV(D$2:D84)*SQRT(252)</f>
        <v>0.20588473038733746</v>
      </c>
      <c r="W84" s="808">
        <f>STDEV(L$2:L84)*SQRT(252)</f>
        <v>0.3052608066855817</v>
      </c>
      <c r="X84" s="823">
        <f t="shared" si="11"/>
        <v>-0.65518606129948087</v>
      </c>
      <c r="Y84" s="823">
        <f t="shared" si="12"/>
        <v>-2.1925539521879425</v>
      </c>
      <c r="Z84" s="829">
        <f t="shared" si="13"/>
        <v>-0.16972300062213416</v>
      </c>
    </row>
    <row r="85" spans="1:26" ht="20.100000000000001" customHeight="1" x14ac:dyDescent="0.2">
      <c r="A85" s="798">
        <f t="shared" si="29"/>
        <v>119</v>
      </c>
      <c r="B85" s="817">
        <v>42352</v>
      </c>
      <c r="C85" s="840">
        <v>2021.94</v>
      </c>
      <c r="D85" s="814">
        <f t="shared" si="27"/>
        <v>4.7555866962835681E-3</v>
      </c>
      <c r="E85" s="841">
        <f t="shared" ref="E85:E95" si="31">(C85-$C$2)/$C$2</f>
        <v>-3.8288845341603088E-2</v>
      </c>
      <c r="F85" s="838">
        <v>4871.59</v>
      </c>
      <c r="G85" s="814">
        <f t="shared" si="25"/>
        <v>-1.2542895771130685E-2</v>
      </c>
      <c r="H85" s="819">
        <f t="shared" ref="H85:H106" si="32">(F85-F$2)/F$2</f>
        <v>-4.3229176895732205E-2</v>
      </c>
      <c r="I85" s="821">
        <f>400000-82872.25</f>
        <v>317127.75</v>
      </c>
      <c r="J85" s="822">
        <v>400000</v>
      </c>
      <c r="K85" s="822">
        <f t="shared" si="20"/>
        <v>2153.2299999999814</v>
      </c>
      <c r="L85" s="814">
        <f t="shared" si="28"/>
        <v>6.8362037665776303E-3</v>
      </c>
      <c r="M85" s="839">
        <f t="shared" si="22"/>
        <v>-82872.25</v>
      </c>
      <c r="N85" s="824">
        <f t="shared" si="23"/>
        <v>-0.20718062500000001</v>
      </c>
      <c r="O85" s="808">
        <f t="shared" si="30"/>
        <v>-0.63590523765756302</v>
      </c>
      <c r="P85" s="839" t="b">
        <f t="shared" si="21"/>
        <v>1</v>
      </c>
      <c r="Q85" s="824">
        <f>COUNTIF(P$2:P85, TRUE)/(COUNTIF(P$2:P85,FALSE) + COUNTIF(P$2:P85, TRUE))</f>
        <v>0.44047619047619047</v>
      </c>
      <c r="R85" s="825"/>
      <c r="S85" s="825"/>
      <c r="T85" s="825"/>
      <c r="U85" s="825"/>
      <c r="V85" s="824">
        <f>STDEV(D$2:D85)*SQRT(252)</f>
        <v>0.20482646913198044</v>
      </c>
      <c r="W85" s="824">
        <f>STDEV(L$2:L85)*SQRT(252)</f>
        <v>0.30374972032355096</v>
      </c>
      <c r="X85" s="823">
        <f t="shared" si="11"/>
        <v>-0.57375892528209749</v>
      </c>
      <c r="Y85" s="823">
        <f t="shared" si="12"/>
        <v>-2.093517113300396</v>
      </c>
      <c r="Z85" s="829">
        <f t="shared" si="13"/>
        <v>-0.16889177965839691</v>
      </c>
    </row>
    <row r="86" spans="1:26" ht="20.100000000000001" customHeight="1" x14ac:dyDescent="0.2">
      <c r="A86" s="798">
        <f t="shared" si="29"/>
        <v>120</v>
      </c>
      <c r="B86" s="817">
        <v>42353</v>
      </c>
      <c r="C86" s="840">
        <v>2043.41</v>
      </c>
      <c r="D86" s="814">
        <f t="shared" si="27"/>
        <v>1.0618514891638736E-2</v>
      </c>
      <c r="E86" s="841">
        <f t="shared" si="31"/>
        <v>-2.8076901124407819E-2</v>
      </c>
      <c r="F86" s="838">
        <v>4986.99</v>
      </c>
      <c r="G86" s="814">
        <f t="shared" si="25"/>
        <v>2.3688364579120911E-2</v>
      </c>
      <c r="H86" s="819">
        <f t="shared" si="32"/>
        <v>-2.0564840819372713E-2</v>
      </c>
      <c r="I86" s="821">
        <v>315111.13</v>
      </c>
      <c r="J86" s="822">
        <v>400000</v>
      </c>
      <c r="K86" s="822">
        <f t="shared" si="20"/>
        <v>-2016.6199999999953</v>
      </c>
      <c r="L86" s="814">
        <f t="shared" si="28"/>
        <v>-6.3590146242326487E-3</v>
      </c>
      <c r="M86" s="839">
        <f t="shared" si="22"/>
        <v>-84888.87</v>
      </c>
      <c r="N86" s="824">
        <f t="shared" si="23"/>
        <v>-0.21222217499999999</v>
      </c>
      <c r="O86" s="808">
        <f t="shared" si="30"/>
        <v>-0.64595124515625002</v>
      </c>
      <c r="P86" s="839" t="b">
        <f t="shared" si="21"/>
        <v>0</v>
      </c>
      <c r="Q86" s="824">
        <f>COUNTIF(P$2:P86, TRUE)/(COUNTIF(P$2:P86,FALSE) + COUNTIF(P$2:P86, TRUE))</f>
        <v>0.43529411764705883</v>
      </c>
      <c r="R86" s="825"/>
      <c r="S86" s="825"/>
      <c r="T86" s="825"/>
      <c r="U86" s="825"/>
      <c r="V86" s="824">
        <f>STDEV(D$2:D86)*SQRT(252)</f>
        <v>0.20447942963510182</v>
      </c>
      <c r="W86" s="824">
        <f>STDEV(L$2:L86)*SQRT(252)</f>
        <v>0.30203167512176549</v>
      </c>
      <c r="X86" s="823">
        <f t="shared" si="11"/>
        <v>-0.41793479153340729</v>
      </c>
      <c r="Y86" s="823">
        <f t="shared" si="12"/>
        <v>-2.1386870926561983</v>
      </c>
      <c r="Z86" s="829">
        <f t="shared" si="13"/>
        <v>-0.18414527387559215</v>
      </c>
    </row>
    <row r="87" spans="1:26" ht="20.100000000000001" customHeight="1" x14ac:dyDescent="0.2">
      <c r="A87" s="798">
        <f t="shared" si="29"/>
        <v>121</v>
      </c>
      <c r="B87" s="817">
        <v>42354</v>
      </c>
      <c r="C87" s="840">
        <v>2073.0700000000002</v>
      </c>
      <c r="D87" s="814">
        <f t="shared" si="27"/>
        <v>1.4514952946300586E-2</v>
      </c>
      <c r="E87" s="841">
        <f t="shared" si="31"/>
        <v>-1.3969483076805945E-2</v>
      </c>
      <c r="F87" s="838">
        <v>4992.63</v>
      </c>
      <c r="G87" s="814">
        <f t="shared" si="25"/>
        <v>1.1309427129391331E-3</v>
      </c>
      <c r="H87" s="819">
        <f t="shared" si="32"/>
        <v>-1.9457155763301003E-2</v>
      </c>
      <c r="I87" s="821">
        <v>320067.34000000003</v>
      </c>
      <c r="J87" s="822">
        <v>400000</v>
      </c>
      <c r="K87" s="822">
        <f t="shared" si="20"/>
        <v>4956.210000000021</v>
      </c>
      <c r="L87" s="814">
        <f t="shared" si="28"/>
        <v>1.5728451102314352E-2</v>
      </c>
      <c r="M87" s="839">
        <f t="shared" si="22"/>
        <v>-79932.659999999974</v>
      </c>
      <c r="N87" s="824">
        <f t="shared" si="23"/>
        <v>-0.19983164999999994</v>
      </c>
      <c r="O87" s="808">
        <f t="shared" si="30"/>
        <v>-0.60321082778925605</v>
      </c>
      <c r="P87" s="839" t="b">
        <f t="shared" si="21"/>
        <v>1</v>
      </c>
      <c r="Q87" s="824">
        <f>COUNTIF(P$2:P87, TRUE)/(COUNTIF(P$2:P87,FALSE) + COUNTIF(P$2:P87, TRUE))</f>
        <v>0.44186046511627908</v>
      </c>
      <c r="R87" s="825"/>
      <c r="S87" s="825"/>
      <c r="T87" s="825"/>
      <c r="U87" s="825"/>
      <c r="V87" s="824">
        <f>STDEV(D$2:D87)*SQRT(252)</f>
        <v>0.20484383238315154</v>
      </c>
      <c r="W87" s="824">
        <f>STDEV(L$2:L87)*SQRT(252)</f>
        <v>0.30170012255410639</v>
      </c>
      <c r="X87" s="823">
        <f t="shared" si="11"/>
        <v>-0.20585541607427355</v>
      </c>
      <c r="Y87" s="823">
        <f t="shared" si="12"/>
        <v>-1.9993721669141093</v>
      </c>
      <c r="Z87" s="829">
        <f t="shared" si="13"/>
        <v>-0.18586216692319399</v>
      </c>
    </row>
    <row r="88" spans="1:26" ht="20.100000000000001" customHeight="1" x14ac:dyDescent="0.2">
      <c r="A88" s="798">
        <f t="shared" si="29"/>
        <v>122</v>
      </c>
      <c r="B88" s="817">
        <v>42355</v>
      </c>
      <c r="C88" s="840">
        <v>2041.89</v>
      </c>
      <c r="D88" s="814">
        <f t="shared" si="27"/>
        <v>-1.5040495497016531E-2</v>
      </c>
      <c r="E88" s="841">
        <f t="shared" si="31"/>
        <v>-2.8799870626510127E-2</v>
      </c>
      <c r="F88" s="838">
        <v>5002.55</v>
      </c>
      <c r="G88" s="814">
        <f t="shared" si="25"/>
        <v>1.9869287329523865E-3</v>
      </c>
      <c r="H88" s="819">
        <f t="shared" si="32"/>
        <v>-1.7508887012196248E-2</v>
      </c>
      <c r="I88" s="821">
        <v>314862.69</v>
      </c>
      <c r="J88" s="822">
        <v>400000</v>
      </c>
      <c r="K88" s="822">
        <f t="shared" ref="K88:K119" si="33">I88-I87-J88+J87</f>
        <v>-5204.6500000000233</v>
      </c>
      <c r="L88" s="814">
        <f t="shared" si="28"/>
        <v>-1.6261109302811161E-2</v>
      </c>
      <c r="M88" s="839">
        <f t="shared" si="22"/>
        <v>-85137.31</v>
      </c>
      <c r="N88" s="824">
        <f t="shared" si="23"/>
        <v>-0.212843275</v>
      </c>
      <c r="O88" s="808">
        <f t="shared" si="30"/>
        <v>-0.63722136224385251</v>
      </c>
      <c r="P88" s="839" t="b">
        <f t="shared" si="21"/>
        <v>0</v>
      </c>
      <c r="Q88" s="824">
        <f>COUNTIF(P$2:P88, TRUE)/(COUNTIF(P$2:P88,FALSE) + COUNTIF(P$2:P88, TRUE))</f>
        <v>0.43678160919540232</v>
      </c>
      <c r="R88" s="825"/>
      <c r="S88" s="825"/>
      <c r="T88" s="825"/>
      <c r="U88" s="825"/>
      <c r="V88" s="824">
        <f>STDEV(D$2:D88)*SQRT(252)</f>
        <v>0.20523864420055984</v>
      </c>
      <c r="W88" s="824">
        <f>STDEV(L$2:L88)*SQRT(252)</f>
        <v>0.30100381031831397</v>
      </c>
      <c r="X88" s="823">
        <f t="shared" si="11"/>
        <v>-0.42010881445053005</v>
      </c>
      <c r="Y88" s="823">
        <f t="shared" si="12"/>
        <v>-2.1169876938434293</v>
      </c>
      <c r="Z88" s="829">
        <f t="shared" si="13"/>
        <v>-0.18404340437348987</v>
      </c>
    </row>
    <row r="89" spans="1:26" ht="20.100000000000001" customHeight="1" x14ac:dyDescent="0.2">
      <c r="A89" s="798">
        <f t="shared" si="29"/>
        <v>123</v>
      </c>
      <c r="B89" s="817">
        <v>42356</v>
      </c>
      <c r="C89" s="840">
        <v>2005.52</v>
      </c>
      <c r="D89" s="814">
        <f t="shared" si="27"/>
        <v>-1.7811929144077358E-2</v>
      </c>
      <c r="E89" s="841">
        <f t="shared" si="31"/>
        <v>-4.609881851562949E-2</v>
      </c>
      <c r="F89" s="838">
        <v>4923.08</v>
      </c>
      <c r="G89" s="814">
        <f t="shared" si="25"/>
        <v>-1.5885898191922172E-2</v>
      </c>
      <c r="H89" s="819">
        <f t="shared" si="32"/>
        <v>-3.3116640807588804E-2</v>
      </c>
      <c r="I89" s="821">
        <v>315502.05</v>
      </c>
      <c r="J89" s="822">
        <v>400000</v>
      </c>
      <c r="K89" s="822">
        <f t="shared" si="33"/>
        <v>639.35999999998603</v>
      </c>
      <c r="L89" s="814">
        <f t="shared" si="28"/>
        <v>2.0305994336769022E-3</v>
      </c>
      <c r="M89" s="839">
        <f t="shared" si="22"/>
        <v>-84497.950000000012</v>
      </c>
      <c r="N89" s="824">
        <f t="shared" si="23"/>
        <v>-0.21124487500000003</v>
      </c>
      <c r="O89" s="808">
        <f t="shared" si="30"/>
        <v>-0.62729423246951233</v>
      </c>
      <c r="P89" s="839" t="b">
        <f t="shared" si="21"/>
        <v>1</v>
      </c>
      <c r="Q89" s="824">
        <f>COUNTIF(P$2:P89, TRUE)/(COUNTIF(P$2:P89,FALSE) + COUNTIF(P$2:P89, TRUE))</f>
        <v>0.44318181818181818</v>
      </c>
      <c r="R89" s="825"/>
      <c r="S89" s="825"/>
      <c r="T89" s="825"/>
      <c r="U89" s="825"/>
      <c r="V89" s="824">
        <f>STDEV(D$2:D89)*SQRT(252)</f>
        <v>0.20621771492919441</v>
      </c>
      <c r="W89" s="824">
        <f>STDEV(L$2:L89)*SQRT(252)</f>
        <v>0.29930992001467371</v>
      </c>
      <c r="X89" s="823">
        <f t="shared" si="11"/>
        <v>-0.66381786748959659</v>
      </c>
      <c r="Y89" s="823">
        <f t="shared" si="12"/>
        <v>-2.0958016775346406</v>
      </c>
      <c r="Z89" s="829">
        <f t="shared" si="13"/>
        <v>-0.16514605648437053</v>
      </c>
    </row>
    <row r="90" spans="1:26" ht="20.100000000000001" customHeight="1" x14ac:dyDescent="0.2">
      <c r="A90" s="798">
        <f t="shared" si="29"/>
        <v>126</v>
      </c>
      <c r="B90" s="800">
        <v>42359</v>
      </c>
      <c r="C90" s="801">
        <v>2021.15</v>
      </c>
      <c r="D90" s="814">
        <f t="shared" si="27"/>
        <v>7.7934899676892324E-3</v>
      </c>
      <c r="E90" s="802">
        <f t="shared" si="31"/>
        <v>-3.8664599227564142E-2</v>
      </c>
      <c r="F90" s="803">
        <v>4968.92</v>
      </c>
      <c r="G90" s="814">
        <f t="shared" si="25"/>
        <v>9.3112441804724163E-3</v>
      </c>
      <c r="H90" s="815">
        <f t="shared" si="32"/>
        <v>-2.4113753756112841E-2</v>
      </c>
      <c r="I90" s="804">
        <v>320825.06</v>
      </c>
      <c r="J90" s="805">
        <v>400000</v>
      </c>
      <c r="K90" s="805">
        <f t="shared" si="33"/>
        <v>5323.0100000000093</v>
      </c>
      <c r="L90" s="814">
        <f t="shared" si="28"/>
        <v>1.6871554400359711E-2</v>
      </c>
      <c r="M90" s="833">
        <f t="shared" si="22"/>
        <v>-79174.94</v>
      </c>
      <c r="N90" s="808">
        <f t="shared" si="23"/>
        <v>-0.19793735000000001</v>
      </c>
      <c r="O90" s="808">
        <f t="shared" si="30"/>
        <v>-0.57378267529761906</v>
      </c>
      <c r="P90" s="833" t="b">
        <f t="shared" si="21"/>
        <v>1</v>
      </c>
      <c r="Q90" s="808">
        <f>COUNTIF(P$2:P90, TRUE)/(COUNTIF(P$2:P90,FALSE) + COUNTIF(P$2:P90, TRUE))</f>
        <v>0.449438202247191</v>
      </c>
      <c r="R90" s="809"/>
      <c r="S90" s="809"/>
      <c r="T90" s="809"/>
      <c r="U90" s="809"/>
      <c r="V90" s="808">
        <f>STDEV(D$2:D90)*SQRT(252)</f>
        <v>0.20550415563548391</v>
      </c>
      <c r="W90" s="808">
        <f>STDEV(L$2:L90)*SQRT(252)</f>
        <v>0.29920187088435746</v>
      </c>
      <c r="X90" s="823">
        <f t="shared" si="11"/>
        <v>-0.54539679807715036</v>
      </c>
      <c r="Y90" s="823">
        <f t="shared" si="12"/>
        <v>-1.9177108538849612</v>
      </c>
      <c r="Z90" s="829">
        <f t="shared" si="13"/>
        <v>-0.15927275077243586</v>
      </c>
    </row>
    <row r="91" spans="1:26" ht="20.100000000000001" customHeight="1" x14ac:dyDescent="0.2">
      <c r="A91" s="798">
        <f t="shared" si="29"/>
        <v>127</v>
      </c>
      <c r="B91" s="800">
        <v>42360</v>
      </c>
      <c r="C91" s="801">
        <v>2038.97</v>
      </c>
      <c r="D91" s="814">
        <f t="shared" si="27"/>
        <v>8.8167627340869983E-3</v>
      </c>
      <c r="E91" s="802">
        <f t="shared" si="31"/>
        <v>-3.0188733091075143E-2</v>
      </c>
      <c r="F91" s="803">
        <v>5001.1099999999997</v>
      </c>
      <c r="G91" s="814">
        <f t="shared" si="25"/>
        <v>6.4782689196041798E-3</v>
      </c>
      <c r="H91" s="815">
        <f t="shared" si="32"/>
        <v>-1.7791700218001874E-2</v>
      </c>
      <c r="I91" s="804">
        <v>321902.78000000003</v>
      </c>
      <c r="J91" s="805">
        <v>400000</v>
      </c>
      <c r="K91" s="805">
        <f t="shared" si="33"/>
        <v>1077.7200000000303</v>
      </c>
      <c r="L91" s="814">
        <f t="shared" si="28"/>
        <v>3.3592138968197506E-3</v>
      </c>
      <c r="M91" s="833">
        <f t="shared" si="22"/>
        <v>-78097.219999999972</v>
      </c>
      <c r="N91" s="808">
        <f t="shared" si="23"/>
        <v>-0.19524304999999992</v>
      </c>
      <c r="O91" s="808">
        <f t="shared" si="30"/>
        <v>-0.56151593710629899</v>
      </c>
      <c r="P91" s="833" t="b">
        <f t="shared" ref="P91:P122" si="34">L91&gt;D91</f>
        <v>0</v>
      </c>
      <c r="Q91" s="808">
        <f>COUNTIF(P$2:P91, TRUE)/(COUNTIF(P$2:P91,FALSE) + COUNTIF(P$2:P91, TRUE))</f>
        <v>0.44444444444444442</v>
      </c>
      <c r="R91" s="809"/>
      <c r="S91" s="809"/>
      <c r="T91" s="809"/>
      <c r="U91" s="809"/>
      <c r="V91" s="808">
        <f>STDEV(D$2:D91)*SQRT(252)</f>
        <v>0.20491645962952909</v>
      </c>
      <c r="W91" s="808">
        <f>STDEV(L$2:L91)*SQRT(252)</f>
        <v>0.29759929719842121</v>
      </c>
      <c r="X91" s="823">
        <f t="shared" ref="X91:X154" si="35">E91/(A91/365.25)/V91</f>
        <v>-0.42369617898815781</v>
      </c>
      <c r="Y91" s="823">
        <f t="shared" ref="Y91:Y154" si="36">O91/W91</f>
        <v>-1.8868187606367703</v>
      </c>
      <c r="Z91" s="829">
        <f t="shared" ref="Z91:Z154" si="37">-(E91-N91)</f>
        <v>-0.16505431690892478</v>
      </c>
    </row>
    <row r="92" spans="1:26" ht="20.100000000000001" customHeight="1" x14ac:dyDescent="0.2">
      <c r="A92" s="798">
        <f t="shared" si="29"/>
        <v>128</v>
      </c>
      <c r="B92" s="800">
        <v>42361</v>
      </c>
      <c r="C92" s="801">
        <v>2064.29</v>
      </c>
      <c r="D92" s="814">
        <f t="shared" si="27"/>
        <v>1.2418034595898879E-2</v>
      </c>
      <c r="E92" s="802">
        <f t="shared" si="31"/>
        <v>-1.8145583227107593E-2</v>
      </c>
      <c r="F92" s="803">
        <v>5045.93</v>
      </c>
      <c r="G92" s="814">
        <f t="shared" si="25"/>
        <v>8.9620104336838469E-3</v>
      </c>
      <c r="H92" s="815">
        <f t="shared" si="32"/>
        <v>-8.9891391873047361E-3</v>
      </c>
      <c r="I92" s="804">
        <v>330734.09999999998</v>
      </c>
      <c r="J92" s="805">
        <v>400000</v>
      </c>
      <c r="K92" s="805">
        <f t="shared" si="33"/>
        <v>8831.3199999999488</v>
      </c>
      <c r="L92" s="814">
        <f t="shared" si="28"/>
        <v>2.7434742874851679E-2</v>
      </c>
      <c r="M92" s="833">
        <f t="shared" si="22"/>
        <v>-69265.900000000023</v>
      </c>
      <c r="N92" s="808">
        <f t="shared" si="23"/>
        <v>-0.17316475000000006</v>
      </c>
      <c r="O92" s="808">
        <f t="shared" si="30"/>
        <v>-0.49412831982421895</v>
      </c>
      <c r="P92" s="833" t="b">
        <f t="shared" si="34"/>
        <v>1</v>
      </c>
      <c r="Q92" s="808">
        <f>COUNTIF(P$2:P92, TRUE)/(COUNTIF(P$2:P92,FALSE) + COUNTIF(P$2:P92, TRUE))</f>
        <v>0.45054945054945056</v>
      </c>
      <c r="R92" s="809"/>
      <c r="S92" s="809"/>
      <c r="T92" s="809"/>
      <c r="U92" s="809"/>
      <c r="V92" s="808">
        <f>STDEV(D$2:D92)*SQRT(252)</f>
        <v>0.20486368921422393</v>
      </c>
      <c r="W92" s="808">
        <f>STDEV(L$2:L92)*SQRT(252)</f>
        <v>0.29978352577242878</v>
      </c>
      <c r="X92" s="823">
        <f t="shared" si="35"/>
        <v>-0.25274710936765843</v>
      </c>
      <c r="Y92" s="823">
        <f t="shared" si="36"/>
        <v>-1.6482837692666303</v>
      </c>
      <c r="Z92" s="829">
        <f t="shared" si="37"/>
        <v>-0.15501916677289246</v>
      </c>
    </row>
    <row r="93" spans="1:26" ht="20.100000000000001" customHeight="1" x14ac:dyDescent="0.2">
      <c r="A93" s="798">
        <f t="shared" si="29"/>
        <v>129</v>
      </c>
      <c r="B93" s="800">
        <v>42362</v>
      </c>
      <c r="C93" s="834">
        <v>2060.9899999999998</v>
      </c>
      <c r="D93" s="814">
        <f t="shared" si="27"/>
        <v>-1.5986125980362168E-3</v>
      </c>
      <c r="E93" s="802">
        <f t="shared" si="31"/>
        <v>-1.9715188067198242E-2</v>
      </c>
      <c r="F93" s="803">
        <v>5048.49</v>
      </c>
      <c r="G93" s="814">
        <f t="shared" si="25"/>
        <v>5.0733957863059742E-4</v>
      </c>
      <c r="H93" s="815">
        <f t="shared" si="32"/>
        <v>-8.4863601547616793E-3</v>
      </c>
      <c r="I93" s="804">
        <v>331472.32</v>
      </c>
      <c r="J93" s="805">
        <v>400000</v>
      </c>
      <c r="K93" s="805">
        <f t="shared" si="33"/>
        <v>738.22000000003027</v>
      </c>
      <c r="L93" s="814">
        <f t="shared" si="28"/>
        <v>2.2320649730403676E-3</v>
      </c>
      <c r="M93" s="833">
        <f t="shared" si="22"/>
        <v>-68527.679999999993</v>
      </c>
      <c r="N93" s="808">
        <f t="shared" si="23"/>
        <v>-0.17131919999999998</v>
      </c>
      <c r="O93" s="808">
        <f t="shared" si="30"/>
        <v>-0.48507238604651154</v>
      </c>
      <c r="P93" s="833" t="b">
        <f t="shared" si="34"/>
        <v>1</v>
      </c>
      <c r="Q93" s="808">
        <f>COUNTIF(P$2:P93, TRUE)/(COUNTIF(P$2:P93,FALSE) + COUNTIF(P$2:P93, TRUE))</f>
        <v>0.45652173913043476</v>
      </c>
      <c r="R93" s="809"/>
      <c r="S93" s="809"/>
      <c r="T93" s="809"/>
      <c r="U93" s="809"/>
      <c r="V93" s="808">
        <f>STDEV(D$2:D93)*SQRT(252)</f>
        <v>0.20373721805124861</v>
      </c>
      <c r="W93" s="808">
        <f>STDEV(L$2:L93)*SQRT(252)</f>
        <v>0.29815917239051543</v>
      </c>
      <c r="X93" s="823">
        <f t="shared" si="35"/>
        <v>-0.27398770008175166</v>
      </c>
      <c r="Y93" s="823">
        <f t="shared" si="36"/>
        <v>-1.6268907045770358</v>
      </c>
      <c r="Z93" s="829">
        <f t="shared" si="37"/>
        <v>-0.15160401193280174</v>
      </c>
    </row>
    <row r="94" spans="1:26" ht="20.100000000000001" customHeight="1" x14ac:dyDescent="0.2">
      <c r="A94" s="798">
        <f t="shared" si="29"/>
        <v>133</v>
      </c>
      <c r="B94" s="817">
        <v>42366</v>
      </c>
      <c r="C94" s="842">
        <v>2056.5</v>
      </c>
      <c r="D94" s="814">
        <f t="shared" si="27"/>
        <v>-2.178564670376752E-3</v>
      </c>
      <c r="E94" s="841">
        <f t="shared" si="31"/>
        <v>-2.1850801925381962E-2</v>
      </c>
      <c r="F94" s="838">
        <v>5040.99</v>
      </c>
      <c r="G94" s="814">
        <f t="shared" si="25"/>
        <v>-1.4855927217841374E-3</v>
      </c>
      <c r="H94" s="819">
        <f t="shared" si="32"/>
        <v>-9.9593456016654636E-3</v>
      </c>
      <c r="I94" s="821">
        <v>324433.87</v>
      </c>
      <c r="J94" s="822">
        <v>400000</v>
      </c>
      <c r="K94" s="822">
        <f t="shared" si="33"/>
        <v>-7038.4500000000116</v>
      </c>
      <c r="L94" s="814">
        <f t="shared" si="28"/>
        <v>-2.1233899711445021E-2</v>
      </c>
      <c r="M94" s="839">
        <f t="shared" ref="M94:M125" si="38">I94-J94</f>
        <v>-75566.13</v>
      </c>
      <c r="N94" s="824">
        <f t="shared" ref="N94:N125" si="39">M94/J94</f>
        <v>-0.18891532500000002</v>
      </c>
      <c r="O94" s="808">
        <f t="shared" si="30"/>
        <v>-0.51880693576127823</v>
      </c>
      <c r="P94" s="839" t="b">
        <f t="shared" si="34"/>
        <v>0</v>
      </c>
      <c r="Q94" s="824">
        <f>COUNTIF(P$2:P94, TRUE)/(COUNTIF(P$2:P94,FALSE) + COUNTIF(P$2:P94, TRUE))</f>
        <v>0.45161290322580644</v>
      </c>
      <c r="R94" s="825"/>
      <c r="S94" s="825"/>
      <c r="T94" s="825"/>
      <c r="U94" s="825"/>
      <c r="V94" s="824">
        <f>STDEV(D$2:D94)*SQRT(252)</f>
        <v>0.20264285644820698</v>
      </c>
      <c r="W94" s="824">
        <f>STDEV(L$2:L94)*SQRT(252)</f>
        <v>0.29842518034690152</v>
      </c>
      <c r="X94" s="823">
        <f t="shared" si="35"/>
        <v>-0.29612472146649621</v>
      </c>
      <c r="Y94" s="823">
        <f t="shared" si="36"/>
        <v>-1.7384824402491641</v>
      </c>
      <c r="Z94" s="829">
        <f t="shared" si="37"/>
        <v>-0.16706452307461805</v>
      </c>
    </row>
    <row r="95" spans="1:26" ht="20.100000000000001" customHeight="1" x14ac:dyDescent="0.2">
      <c r="A95" s="798">
        <f t="shared" si="29"/>
        <v>134</v>
      </c>
      <c r="B95" s="817">
        <v>42367</v>
      </c>
      <c r="C95" s="840">
        <v>2078.36</v>
      </c>
      <c r="D95" s="814">
        <f t="shared" si="27"/>
        <v>1.0629710673474412E-2</v>
      </c>
      <c r="E95" s="841">
        <f t="shared" si="31"/>
        <v>-1.1453358954357758E-2</v>
      </c>
      <c r="F95" s="838">
        <v>5107.9399999999996</v>
      </c>
      <c r="G95" s="814">
        <f t="shared" si="25"/>
        <v>1.3281121367033027E-2</v>
      </c>
      <c r="H95" s="819">
        <f t="shared" si="32"/>
        <v>3.1895044876956188E-3</v>
      </c>
      <c r="I95" s="821">
        <v>326263</v>
      </c>
      <c r="J95" s="822">
        <v>400000</v>
      </c>
      <c r="K95" s="822">
        <f t="shared" si="33"/>
        <v>1829.1300000000047</v>
      </c>
      <c r="L95" s="814">
        <f t="shared" si="28"/>
        <v>5.6379132055478813E-3</v>
      </c>
      <c r="M95" s="839">
        <f t="shared" si="38"/>
        <v>-73737</v>
      </c>
      <c r="N95" s="824">
        <f t="shared" si="39"/>
        <v>-0.18434249999999999</v>
      </c>
      <c r="O95" s="808">
        <f t="shared" si="30"/>
        <v>-0.50247088152985075</v>
      </c>
      <c r="P95" s="839" t="b">
        <f t="shared" si="34"/>
        <v>0</v>
      </c>
      <c r="Q95" s="824">
        <f>COUNTIF(P$2:P95, TRUE)/(COUNTIF(P$2:P95,FALSE) + COUNTIF(P$2:P95, TRUE))</f>
        <v>0.44680851063829785</v>
      </c>
      <c r="R95" s="825"/>
      <c r="S95" s="825"/>
      <c r="T95" s="825"/>
      <c r="U95" s="825"/>
      <c r="V95" s="824">
        <f>STDEV(D$2:D95)*SQRT(252)</f>
        <v>0.2023195411541808</v>
      </c>
      <c r="W95" s="824">
        <f>STDEV(L$2:L95)*SQRT(252)</f>
        <v>0.29700566198828871</v>
      </c>
      <c r="X95" s="823">
        <f t="shared" si="35"/>
        <v>-0.1543051662500349</v>
      </c>
      <c r="Y95" s="823">
        <f t="shared" si="36"/>
        <v>-1.6917888977808908</v>
      </c>
      <c r="Z95" s="829">
        <f t="shared" si="37"/>
        <v>-0.17288914104564224</v>
      </c>
    </row>
    <row r="96" spans="1:26" ht="20.100000000000001" customHeight="1" x14ac:dyDescent="0.2">
      <c r="A96" s="798">
        <f t="shared" si="29"/>
        <v>135</v>
      </c>
      <c r="B96" s="817">
        <v>42368</v>
      </c>
      <c r="C96" s="840">
        <v>2063.36</v>
      </c>
      <c r="D96" s="814">
        <f t="shared" si="27"/>
        <v>-7.2172289689947837E-3</v>
      </c>
      <c r="E96" s="841">
        <f>(C96-$C$2)/$C$2</f>
        <v>-1.8587926409314857E-2</v>
      </c>
      <c r="F96" s="838">
        <v>5065.84</v>
      </c>
      <c r="G96" s="814">
        <f t="shared" si="25"/>
        <v>-8.242070188764836E-3</v>
      </c>
      <c r="H96" s="819">
        <f t="shared" si="32"/>
        <v>-5.0788538209241849E-3</v>
      </c>
      <c r="I96" s="821">
        <v>318053.19</v>
      </c>
      <c r="J96" s="822">
        <v>400000</v>
      </c>
      <c r="K96" s="822">
        <f t="shared" si="33"/>
        <v>-8209.8099999999977</v>
      </c>
      <c r="L96" s="814">
        <f t="shared" si="28"/>
        <v>-2.5163165912162881E-2</v>
      </c>
      <c r="M96" s="839">
        <f t="shared" si="38"/>
        <v>-81946.81</v>
      </c>
      <c r="N96" s="824">
        <f t="shared" si="39"/>
        <v>-0.20486702499999998</v>
      </c>
      <c r="O96" s="808">
        <f t="shared" si="30"/>
        <v>-0.55427911763888882</v>
      </c>
      <c r="P96" s="839" t="b">
        <f t="shared" si="34"/>
        <v>0</v>
      </c>
      <c r="Q96" s="824">
        <f>COUNTIF(P$2:P96, TRUE)/(COUNTIF(P$2:P96,FALSE) + COUNTIF(P$2:P96, TRUE))</f>
        <v>0.44210526315789472</v>
      </c>
      <c r="R96" s="825"/>
      <c r="S96" s="825"/>
      <c r="T96" s="825"/>
      <c r="U96" s="825"/>
      <c r="V96" s="824">
        <f>STDEV(D$2:D96)*SQRT(252)</f>
        <v>0.20157138397467259</v>
      </c>
      <c r="W96" s="824">
        <f>STDEV(L$2:L96)*SQRT(252)</f>
        <v>0.29803742324397353</v>
      </c>
      <c r="X96" s="823">
        <f t="shared" si="35"/>
        <v>-0.24949309059315017</v>
      </c>
      <c r="Y96" s="823">
        <f t="shared" si="36"/>
        <v>-1.8597634874367968</v>
      </c>
      <c r="Z96" s="829">
        <f t="shared" si="37"/>
        <v>-0.18627909859068512</v>
      </c>
    </row>
    <row r="97" spans="1:26" ht="20.100000000000001" customHeight="1" x14ac:dyDescent="0.2">
      <c r="A97" s="798">
        <f t="shared" si="29"/>
        <v>136</v>
      </c>
      <c r="B97" s="817">
        <v>42369</v>
      </c>
      <c r="C97" s="840">
        <v>2043.94</v>
      </c>
      <c r="D97" s="814">
        <f t="shared" si="27"/>
        <v>-9.4118331265509031E-3</v>
      </c>
      <c r="E97" s="841">
        <f>(C97-$C$2)/$C$2</f>
        <v>-2.7824813074332679E-2</v>
      </c>
      <c r="F97" s="838">
        <v>5007.41</v>
      </c>
      <c r="G97" s="814">
        <f t="shared" si="25"/>
        <v>-1.1534118724634076E-2</v>
      </c>
      <c r="H97" s="819">
        <f t="shared" si="32"/>
        <v>-1.655439244260266E-2</v>
      </c>
      <c r="I97" s="845">
        <v>320884.32</v>
      </c>
      <c r="J97" s="822">
        <v>400000</v>
      </c>
      <c r="K97" s="822">
        <f t="shared" si="33"/>
        <v>2831.1300000000047</v>
      </c>
      <c r="L97" s="814">
        <f t="shared" si="28"/>
        <v>8.9014356372278634E-3</v>
      </c>
      <c r="M97" s="839">
        <f t="shared" si="38"/>
        <v>-79115.679999999993</v>
      </c>
      <c r="N97" s="824">
        <f t="shared" si="39"/>
        <v>-0.19778919999999997</v>
      </c>
      <c r="O97" s="808">
        <f t="shared" si="30"/>
        <v>-0.53119489191176461</v>
      </c>
      <c r="P97" s="839" t="b">
        <f t="shared" si="34"/>
        <v>1</v>
      </c>
      <c r="Q97" s="824">
        <f>COUNTIF(P$2:P97, TRUE)/(COUNTIF(P$2:P97,FALSE) + COUNTIF(P$2:P97, TRUE))</f>
        <v>0.44791666666666669</v>
      </c>
      <c r="R97" s="825"/>
      <c r="S97" s="825"/>
      <c r="T97" s="825"/>
      <c r="U97" s="825"/>
      <c r="V97" s="824">
        <f>STDEV(D$2:D97)*SQRT(252)</f>
        <v>0.20106669704355981</v>
      </c>
      <c r="W97" s="824">
        <f>STDEV(L$2:L97)*SQRT(252)</f>
        <v>0.29691114338787766</v>
      </c>
      <c r="X97" s="823">
        <f t="shared" si="35"/>
        <v>-0.37165795073280716</v>
      </c>
      <c r="Y97" s="823">
        <f t="shared" si="36"/>
        <v>-1.7890702445540221</v>
      </c>
      <c r="Z97" s="829">
        <f t="shared" si="37"/>
        <v>-0.16996438692566729</v>
      </c>
    </row>
    <row r="98" spans="1:26" ht="20.100000000000001" customHeight="1" x14ac:dyDescent="0.2">
      <c r="A98" s="798">
        <f t="shared" si="29"/>
        <v>140</v>
      </c>
      <c r="B98" s="800">
        <v>42373</v>
      </c>
      <c r="C98" s="801">
        <v>2012.66</v>
      </c>
      <c r="D98" s="814">
        <f t="shared" si="27"/>
        <v>-1.5303776040392561E-2</v>
      </c>
      <c r="E98" s="802">
        <f t="shared" ref="E98:E103" si="40">(C98-$C$2)/$C$2</f>
        <v>-4.2702764407069868E-2</v>
      </c>
      <c r="F98" s="803">
        <v>4903.08</v>
      </c>
      <c r="G98" s="814">
        <f t="shared" si="25"/>
        <v>-2.0835122348679243E-2</v>
      </c>
      <c r="H98" s="815">
        <f t="shared" si="32"/>
        <v>-3.7044601999332225E-2</v>
      </c>
      <c r="I98" s="804">
        <v>323756.46999999997</v>
      </c>
      <c r="J98" s="805">
        <v>400000</v>
      </c>
      <c r="K98" s="805">
        <f t="shared" si="33"/>
        <v>2872.1499999999651</v>
      </c>
      <c r="L98" s="814">
        <f t="shared" si="28"/>
        <v>8.950733398253816E-3</v>
      </c>
      <c r="M98" s="833">
        <f t="shared" si="38"/>
        <v>-76243.530000000028</v>
      </c>
      <c r="N98" s="808">
        <f t="shared" si="39"/>
        <v>-0.19060882500000007</v>
      </c>
      <c r="O98" s="808">
        <f t="shared" si="30"/>
        <v>-0.49728480950892878</v>
      </c>
      <c r="P98" s="833" t="b">
        <f t="shared" si="34"/>
        <v>1</v>
      </c>
      <c r="Q98" s="808">
        <f>COUNTIF(P$2:P98, TRUE)/(COUNTIF(P$2:P98,FALSE) + COUNTIF(P$2:P98, TRUE))</f>
        <v>0.45360824742268041</v>
      </c>
      <c r="R98" s="809"/>
      <c r="S98" s="809"/>
      <c r="T98" s="809"/>
      <c r="U98" s="809"/>
      <c r="V98" s="808">
        <f>STDEV(D$2:D98)*SQRT(252)</f>
        <v>0.20149367115092381</v>
      </c>
      <c r="W98" s="808">
        <f>STDEV(L$2:L98)*SQRT(252)</f>
        <v>0.29579926006722401</v>
      </c>
      <c r="X98" s="823">
        <f t="shared" si="35"/>
        <v>-0.55291296001619772</v>
      </c>
      <c r="Y98" s="823">
        <f t="shared" si="36"/>
        <v>-1.6811563673144914</v>
      </c>
      <c r="Z98" s="829">
        <f t="shared" si="37"/>
        <v>-0.14790606059293021</v>
      </c>
    </row>
    <row r="99" spans="1:26" ht="20.100000000000001" customHeight="1" x14ac:dyDescent="0.2">
      <c r="A99" s="798">
        <f t="shared" si="29"/>
        <v>141</v>
      </c>
      <c r="B99" s="800">
        <v>42374</v>
      </c>
      <c r="C99" s="801">
        <v>2016.71</v>
      </c>
      <c r="D99" s="814">
        <f t="shared" si="27"/>
        <v>2.0122623791400209E-3</v>
      </c>
      <c r="E99" s="802">
        <f t="shared" si="40"/>
        <v>-4.0776431194231473E-2</v>
      </c>
      <c r="F99" s="803">
        <v>4891.43</v>
      </c>
      <c r="G99" s="814">
        <f t="shared" si="25"/>
        <v>-2.3760574985518565E-3</v>
      </c>
      <c r="H99" s="815">
        <f t="shared" si="32"/>
        <v>-3.9332639393522703E-2</v>
      </c>
      <c r="I99" s="804">
        <v>326120.51</v>
      </c>
      <c r="J99" s="805">
        <v>400000</v>
      </c>
      <c r="K99" s="805">
        <f t="shared" si="33"/>
        <v>2364.0400000000373</v>
      </c>
      <c r="L99" s="814">
        <f t="shared" si="28"/>
        <v>7.3019081286623787E-3</v>
      </c>
      <c r="M99" s="833">
        <f t="shared" si="38"/>
        <v>-73879.489999999991</v>
      </c>
      <c r="N99" s="808">
        <f t="shared" si="39"/>
        <v>-0.18469872499999998</v>
      </c>
      <c r="O99" s="808">
        <f t="shared" si="30"/>
        <v>-0.4784482929521276</v>
      </c>
      <c r="P99" s="833" t="b">
        <f t="shared" si="34"/>
        <v>1</v>
      </c>
      <c r="Q99" s="808">
        <f>COUNTIF(P$2:P99, TRUE)/(COUNTIF(P$2:P99,FALSE) + COUNTIF(P$2:P99, TRUE))</f>
        <v>0.45918367346938777</v>
      </c>
      <c r="R99" s="809"/>
      <c r="S99" s="809"/>
      <c r="T99" s="809"/>
      <c r="U99" s="809"/>
      <c r="V99" s="808">
        <f>STDEV(D$2:D99)*SQRT(252)</f>
        <v>0.20047839614181759</v>
      </c>
      <c r="W99" s="808">
        <f>STDEV(L$2:L99)*SQRT(252)</f>
        <v>0.29456352660323443</v>
      </c>
      <c r="X99" s="823">
        <f t="shared" si="35"/>
        <v>-0.52688125253749085</v>
      </c>
      <c r="Y99" s="823">
        <f t="shared" si="36"/>
        <v>-1.6242618306121068</v>
      </c>
      <c r="Z99" s="829">
        <f t="shared" si="37"/>
        <v>-0.14392229380576851</v>
      </c>
    </row>
    <row r="100" spans="1:26" ht="20.100000000000001" customHeight="1" x14ac:dyDescent="0.2">
      <c r="A100" s="798">
        <f t="shared" si="29"/>
        <v>142</v>
      </c>
      <c r="B100" s="800">
        <v>42375</v>
      </c>
      <c r="C100" s="801">
        <v>1990.26</v>
      </c>
      <c r="D100" s="814">
        <f t="shared" si="27"/>
        <v>-1.3115420660382527E-2</v>
      </c>
      <c r="E100" s="802">
        <f t="shared" si="40"/>
        <v>-5.3357051806472509E-2</v>
      </c>
      <c r="F100" s="803">
        <v>4835.76</v>
      </c>
      <c r="G100" s="814">
        <f t="shared" si="25"/>
        <v>-1.1381129853641996E-2</v>
      </c>
      <c r="H100" s="815">
        <f t="shared" si="32"/>
        <v>-5.026611937074054E-2</v>
      </c>
      <c r="I100" s="804">
        <v>307215.3</v>
      </c>
      <c r="J100" s="805">
        <v>400000</v>
      </c>
      <c r="K100" s="805">
        <f t="shared" si="33"/>
        <v>-18905.210000000021</v>
      </c>
      <c r="L100" s="814">
        <f t="shared" si="28"/>
        <v>-5.7970012373646844E-2</v>
      </c>
      <c r="M100" s="833">
        <f t="shared" si="38"/>
        <v>-92784.700000000012</v>
      </c>
      <c r="N100" s="808">
        <f t="shared" si="39"/>
        <v>-0.23196175000000002</v>
      </c>
      <c r="O100" s="808">
        <f t="shared" si="30"/>
        <v>-0.59664809286971832</v>
      </c>
      <c r="P100" s="833" t="b">
        <f t="shared" si="34"/>
        <v>0</v>
      </c>
      <c r="Q100" s="808">
        <f>COUNTIF(P$2:P100, TRUE)/(COUNTIF(P$2:P100,FALSE) + COUNTIF(P$2:P100, TRUE))</f>
        <v>0.45454545454545453</v>
      </c>
      <c r="R100" s="809"/>
      <c r="S100" s="809"/>
      <c r="T100" s="809"/>
      <c r="U100" s="809"/>
      <c r="V100" s="808">
        <f>STDEV(D$2:D100)*SQRT(252)</f>
        <v>0.20049006957671658</v>
      </c>
      <c r="W100" s="808">
        <f>STDEV(L$2:L100)*SQRT(252)</f>
        <v>0.30696087260477756</v>
      </c>
      <c r="X100" s="823">
        <f t="shared" si="35"/>
        <v>-0.68454316533999937</v>
      </c>
      <c r="Y100" s="823">
        <f t="shared" si="36"/>
        <v>-1.9437268594096122</v>
      </c>
      <c r="Z100" s="829">
        <f t="shared" si="37"/>
        <v>-0.17860469819352751</v>
      </c>
    </row>
    <row r="101" spans="1:26" ht="20.100000000000001" customHeight="1" x14ac:dyDescent="0.2">
      <c r="A101" s="798">
        <f t="shared" si="29"/>
        <v>143</v>
      </c>
      <c r="B101" s="800">
        <v>42376</v>
      </c>
      <c r="C101" s="834">
        <v>1943.09</v>
      </c>
      <c r="D101" s="814">
        <f t="shared" si="27"/>
        <v>-2.3700421050516049E-2</v>
      </c>
      <c r="E101" s="802">
        <f t="shared" si="40"/>
        <v>-7.5792888263160968E-2</v>
      </c>
      <c r="F101" s="803">
        <v>4689.42</v>
      </c>
      <c r="G101" s="814">
        <f t="shared" si="25"/>
        <v>-3.0262047744304958E-2</v>
      </c>
      <c r="H101" s="815">
        <f t="shared" si="32"/>
        <v>-7.9007011410727218E-2</v>
      </c>
      <c r="I101" s="804">
        <v>296450.84999999998</v>
      </c>
      <c r="J101" s="805">
        <v>400000</v>
      </c>
      <c r="K101" s="805">
        <f t="shared" si="33"/>
        <v>-10764.450000000012</v>
      </c>
      <c r="L101" s="814">
        <f t="shared" si="28"/>
        <v>-3.503878224814979E-2</v>
      </c>
      <c r="M101" s="833">
        <f t="shared" si="38"/>
        <v>-103549.15000000002</v>
      </c>
      <c r="N101" s="808">
        <f t="shared" si="39"/>
        <v>-0.25887287500000006</v>
      </c>
      <c r="O101" s="808">
        <f t="shared" si="30"/>
        <v>-0.66121201114510508</v>
      </c>
      <c r="P101" s="833" t="b">
        <f t="shared" si="34"/>
        <v>0</v>
      </c>
      <c r="Q101" s="808">
        <f>COUNTIF(P$2:P101, TRUE)/(COUNTIF(P$2:P101,FALSE) + COUNTIF(P$2:P101, TRUE))</f>
        <v>0.45</v>
      </c>
      <c r="R101" s="809"/>
      <c r="S101" s="809"/>
      <c r="T101" s="809"/>
      <c r="U101" s="809"/>
      <c r="V101" s="808">
        <f>STDEV(D$2:D101)*SQRT(252)</f>
        <v>0.20287568849216503</v>
      </c>
      <c r="W101" s="808">
        <f>STDEV(L$2:L101)*SQRT(252)</f>
        <v>0.3100263800011836</v>
      </c>
      <c r="X101" s="823">
        <f t="shared" si="35"/>
        <v>-0.95422905833846872</v>
      </c>
      <c r="Y101" s="823">
        <f t="shared" si="36"/>
        <v>-2.132760480390671</v>
      </c>
      <c r="Z101" s="829">
        <f t="shared" si="37"/>
        <v>-0.18307998673683909</v>
      </c>
    </row>
    <row r="102" spans="1:26" ht="20.100000000000001" customHeight="1" x14ac:dyDescent="0.2">
      <c r="A102" s="798">
        <f t="shared" si="29"/>
        <v>144</v>
      </c>
      <c r="B102" s="800">
        <v>42377</v>
      </c>
      <c r="C102" s="834">
        <v>1922.03</v>
      </c>
      <c r="D102" s="814">
        <f t="shared" si="27"/>
        <v>-1.0838406867412187E-2</v>
      </c>
      <c r="E102" s="802">
        <f t="shared" si="40"/>
        <v>-8.5809820969920694E-2</v>
      </c>
      <c r="F102" s="803">
        <v>4643.63</v>
      </c>
      <c r="G102" s="814">
        <f t="shared" si="25"/>
        <v>-9.7645337802969162E-3</v>
      </c>
      <c r="H102" s="815">
        <f t="shared" si="32"/>
        <v>-8.8000078559223788E-2</v>
      </c>
      <c r="I102" s="804">
        <v>291709.24</v>
      </c>
      <c r="J102" s="805">
        <v>400000</v>
      </c>
      <c r="K102" s="805">
        <f t="shared" si="33"/>
        <v>-4741.609999999986</v>
      </c>
      <c r="L102" s="814">
        <f t="shared" si="28"/>
        <v>-1.5994590671607068E-2</v>
      </c>
      <c r="M102" s="833">
        <f t="shared" si="38"/>
        <v>-108290.76000000001</v>
      </c>
      <c r="N102" s="808">
        <f t="shared" si="39"/>
        <v>-0.27072690000000005</v>
      </c>
      <c r="O102" s="808">
        <f t="shared" si="30"/>
        <v>-0.68668750156250014</v>
      </c>
      <c r="P102" s="833" t="b">
        <f t="shared" si="34"/>
        <v>0</v>
      </c>
      <c r="Q102" s="808">
        <f>COUNTIF(P$2:P102, TRUE)/(COUNTIF(P$2:P102,FALSE) + COUNTIF(P$2:P102, TRUE))</f>
        <v>0.44554455445544555</v>
      </c>
      <c r="R102" s="809"/>
      <c r="S102" s="809"/>
      <c r="T102" s="809"/>
      <c r="U102" s="809"/>
      <c r="V102" s="808">
        <f>STDEV(D$2:D102)*SQRT(252)</f>
        <v>0.20248720457618641</v>
      </c>
      <c r="W102" s="808">
        <f>STDEV(L$2:L102)*SQRT(252)</f>
        <v>0.30926714125463156</v>
      </c>
      <c r="X102" s="823">
        <f t="shared" si="35"/>
        <v>-1.0748977247058797</v>
      </c>
      <c r="Y102" s="823">
        <f t="shared" si="36"/>
        <v>-2.2203700618719266</v>
      </c>
      <c r="Z102" s="829">
        <f t="shared" si="37"/>
        <v>-0.18491707903007937</v>
      </c>
    </row>
    <row r="103" spans="1:26" ht="20.100000000000001" customHeight="1" x14ac:dyDescent="0.2">
      <c r="A103" s="798">
        <f t="shared" si="29"/>
        <v>147</v>
      </c>
      <c r="B103" s="817">
        <v>42380</v>
      </c>
      <c r="C103" s="842">
        <v>1923.67</v>
      </c>
      <c r="D103" s="814">
        <f t="shared" si="27"/>
        <v>8.5326451720321749E-4</v>
      </c>
      <c r="E103" s="841">
        <f t="shared" si="40"/>
        <v>-8.5029774928178675E-2</v>
      </c>
      <c r="F103" s="838">
        <v>4637.9799999999996</v>
      </c>
      <c r="G103" s="814">
        <f t="shared" si="25"/>
        <v>-1.2167205397502698E-3</v>
      </c>
      <c r="H103" s="819">
        <f t="shared" si="32"/>
        <v>-8.9109727595891405E-2</v>
      </c>
      <c r="I103" s="821">
        <v>278511.46999999997</v>
      </c>
      <c r="J103" s="822">
        <v>400000</v>
      </c>
      <c r="K103" s="822">
        <f t="shared" si="33"/>
        <v>-13197.770000000019</v>
      </c>
      <c r="L103" s="814">
        <f t="shared" si="28"/>
        <v>-4.5242893231630298E-2</v>
      </c>
      <c r="M103" s="839">
        <f t="shared" si="38"/>
        <v>-121488.53000000003</v>
      </c>
      <c r="N103" s="824">
        <f t="shared" si="39"/>
        <v>-0.3037213250000001</v>
      </c>
      <c r="O103" s="808">
        <f t="shared" si="30"/>
        <v>-0.75465451670918382</v>
      </c>
      <c r="P103" s="839" t="b">
        <f t="shared" si="34"/>
        <v>0</v>
      </c>
      <c r="Q103" s="824">
        <f>COUNTIF(P$2:P103, TRUE)/(COUNTIF(P$2:P103,FALSE) + COUNTIF(P$2:P103, TRUE))</f>
        <v>0.44117647058823528</v>
      </c>
      <c r="R103" s="825"/>
      <c r="S103" s="825"/>
      <c r="T103" s="825"/>
      <c r="U103" s="825"/>
      <c r="V103" s="824">
        <f>STDEV(D$2:D103)*SQRT(252)</f>
        <v>0.20148947946934948</v>
      </c>
      <c r="W103" s="824">
        <f>STDEV(L$2:L103)*SQRT(252)</f>
        <v>0.31519307674971891</v>
      </c>
      <c r="X103" s="823">
        <f t="shared" si="35"/>
        <v>-1.0485557942280832</v>
      </c>
      <c r="Y103" s="823">
        <f t="shared" si="36"/>
        <v>-2.3942610811481182</v>
      </c>
      <c r="Z103" s="829">
        <f t="shared" si="37"/>
        <v>-0.21869155007182142</v>
      </c>
    </row>
    <row r="104" spans="1:26" ht="20.100000000000001" customHeight="1" x14ac:dyDescent="0.2">
      <c r="A104" s="798">
        <f t="shared" si="29"/>
        <v>148</v>
      </c>
      <c r="B104" s="817">
        <v>42381</v>
      </c>
      <c r="C104" s="840">
        <v>1938.68</v>
      </c>
      <c r="D104" s="814">
        <f t="shared" si="27"/>
        <v>7.8027936184480659E-3</v>
      </c>
      <c r="E104" s="841">
        <f>(C104-$C$2)/$C$2</f>
        <v>-7.7890451094918281E-2</v>
      </c>
      <c r="F104" s="838">
        <v>4685.6099999999997</v>
      </c>
      <c r="G104" s="814">
        <f t="shared" si="25"/>
        <v>1.0269557005420487E-2</v>
      </c>
      <c r="H104" s="819">
        <f t="shared" si="32"/>
        <v>-7.9755288017754417E-2</v>
      </c>
      <c r="I104" s="821">
        <v>272280.59000000003</v>
      </c>
      <c r="J104" s="822">
        <v>400000</v>
      </c>
      <c r="K104" s="822">
        <f t="shared" si="33"/>
        <v>-6230.8799999999464</v>
      </c>
      <c r="L104" s="814">
        <f t="shared" si="28"/>
        <v>-2.2372076812491589E-2</v>
      </c>
      <c r="M104" s="839">
        <f t="shared" si="38"/>
        <v>-127719.40999999997</v>
      </c>
      <c r="N104" s="824">
        <f t="shared" si="39"/>
        <v>-0.31929852499999994</v>
      </c>
      <c r="O104" s="808">
        <f t="shared" si="30"/>
        <v>-0.78799855578547284</v>
      </c>
      <c r="P104" s="839" t="b">
        <f t="shared" si="34"/>
        <v>0</v>
      </c>
      <c r="Q104" s="824">
        <f>COUNTIF(P$2:P104, TRUE)/(COUNTIF(P$2:P104,FALSE) + COUNTIF(P$2:P104, TRUE))</f>
        <v>0.43689320388349512</v>
      </c>
      <c r="R104" s="825"/>
      <c r="S104" s="825"/>
      <c r="T104" s="825"/>
      <c r="U104" s="825"/>
      <c r="V104" s="824">
        <f>STDEV(D$2:D104)*SQRT(252)</f>
        <v>0.20094495344626548</v>
      </c>
      <c r="W104" s="824">
        <f>STDEV(L$2:L104)*SQRT(252)</f>
        <v>0.31518540993187888</v>
      </c>
      <c r="X104" s="823">
        <f t="shared" si="35"/>
        <v>-0.95661155948371346</v>
      </c>
      <c r="Y104" s="823">
        <f t="shared" si="36"/>
        <v>-2.5001111439637489</v>
      </c>
      <c r="Z104" s="829">
        <f t="shared" si="37"/>
        <v>-0.24140807390508168</v>
      </c>
    </row>
    <row r="105" spans="1:26" ht="20.100000000000001" customHeight="1" x14ac:dyDescent="0.2">
      <c r="A105" s="798">
        <f t="shared" si="29"/>
        <v>149</v>
      </c>
      <c r="B105" s="817">
        <v>42382</v>
      </c>
      <c r="C105" s="840">
        <v>1890.28</v>
      </c>
      <c r="D105" s="814">
        <f t="shared" si="27"/>
        <v>-2.4965440402748309E-2</v>
      </c>
      <c r="E105" s="841">
        <f>(C105-$C$2)/$C$2</f>
        <v>-0.10091132208291323</v>
      </c>
      <c r="F105" s="838">
        <v>4526.0600000000004</v>
      </c>
      <c r="G105" s="814">
        <f t="shared" si="25"/>
        <v>-3.4051062721822623E-2</v>
      </c>
      <c r="H105" s="819">
        <f t="shared" si="32"/>
        <v>-0.11109059842488746</v>
      </c>
      <c r="I105" s="821">
        <v>259060.64</v>
      </c>
      <c r="J105" s="822">
        <v>400000</v>
      </c>
      <c r="K105" s="822">
        <f t="shared" si="33"/>
        <v>-13219.950000000012</v>
      </c>
      <c r="L105" s="814">
        <f t="shared" si="28"/>
        <v>-4.8552671345394142E-2</v>
      </c>
      <c r="M105" s="839">
        <f t="shared" si="38"/>
        <v>-140939.35999999999</v>
      </c>
      <c r="N105" s="824">
        <f t="shared" si="39"/>
        <v>-0.35234839999999995</v>
      </c>
      <c r="O105" s="808">
        <f t="shared" si="30"/>
        <v>-0.86372653087248308</v>
      </c>
      <c r="P105" s="839" t="b">
        <f t="shared" si="34"/>
        <v>0</v>
      </c>
      <c r="Q105" s="824">
        <f>COUNTIF(P$2:P105, TRUE)/(COUNTIF(P$2:P105,FALSE) + COUNTIF(P$2:P105, TRUE))</f>
        <v>0.43269230769230771</v>
      </c>
      <c r="R105" s="825"/>
      <c r="S105" s="825"/>
      <c r="T105" s="825"/>
      <c r="U105" s="825"/>
      <c r="V105" s="824">
        <f>STDEV(D$2:D105)*SQRT(252)</f>
        <v>0.20352342454405692</v>
      </c>
      <c r="W105" s="824">
        <f>STDEV(L$2:L105)*SQRT(252)</f>
        <v>0.32174542830097441</v>
      </c>
      <c r="X105" s="823">
        <f t="shared" si="35"/>
        <v>-1.2154285979431663</v>
      </c>
      <c r="Y105" s="823">
        <f t="shared" si="36"/>
        <v>-2.6845028861280862</v>
      </c>
      <c r="Z105" s="829">
        <f t="shared" si="37"/>
        <v>-0.25143707791708669</v>
      </c>
    </row>
    <row r="106" spans="1:26" ht="20.100000000000001" customHeight="1" x14ac:dyDescent="0.2">
      <c r="A106" s="798">
        <f t="shared" si="29"/>
        <v>150</v>
      </c>
      <c r="B106" s="817">
        <v>42383</v>
      </c>
      <c r="C106" s="840">
        <v>1921.84</v>
      </c>
      <c r="D106" s="814">
        <f t="shared" si="27"/>
        <v>1.6695939225934753E-2</v>
      </c>
      <c r="E106" s="841">
        <f t="shared" ref="E106:E113" si="41">(C106-$C$2)/$C$2</f>
        <v>-8.5900192157683519E-2</v>
      </c>
      <c r="F106" s="838">
        <v>4615</v>
      </c>
      <c r="G106" s="814">
        <f t="shared" si="25"/>
        <v>1.9650645373680331E-2</v>
      </c>
      <c r="H106" s="819">
        <f t="shared" si="32"/>
        <v>-9.3622955005204511E-2</v>
      </c>
      <c r="I106" s="821">
        <v>267077.40000000002</v>
      </c>
      <c r="J106" s="822">
        <v>400000</v>
      </c>
      <c r="K106" s="822">
        <f t="shared" si="33"/>
        <v>8016.7600000000093</v>
      </c>
      <c r="L106" s="814">
        <f t="shared" si="28"/>
        <v>3.0945496004333228E-2</v>
      </c>
      <c r="M106" s="839">
        <f t="shared" si="38"/>
        <v>-132922.59999999998</v>
      </c>
      <c r="N106" s="824">
        <f t="shared" si="39"/>
        <v>-0.33230649999999995</v>
      </c>
      <c r="O106" s="808">
        <f t="shared" si="30"/>
        <v>-0.80916632749999995</v>
      </c>
      <c r="P106" s="839" t="b">
        <f t="shared" si="34"/>
        <v>1</v>
      </c>
      <c r="Q106" s="824">
        <f>COUNTIF(P$2:P106, TRUE)/(COUNTIF(P$2:P106,FALSE) + COUNTIF(P$2:P106, TRUE))</f>
        <v>0.43809523809523809</v>
      </c>
      <c r="R106" s="825"/>
      <c r="S106" s="825"/>
      <c r="T106" s="825"/>
      <c r="U106" s="825"/>
      <c r="V106" s="824">
        <f>STDEV(D$2:D106)*SQRT(252)</f>
        <v>0.20438733546247476</v>
      </c>
      <c r="W106" s="824">
        <f>STDEV(L$2:L106)*SQRT(252)</f>
        <v>0.32453820781135018</v>
      </c>
      <c r="X106" s="823">
        <f t="shared" si="35"/>
        <v>-1.0233851692947098</v>
      </c>
      <c r="Y106" s="823">
        <f t="shared" si="36"/>
        <v>-2.4932852527809537</v>
      </c>
      <c r="Z106" s="829">
        <f t="shared" si="37"/>
        <v>-0.24640630784231643</v>
      </c>
    </row>
    <row r="107" spans="1:26" ht="20.100000000000001" customHeight="1" x14ac:dyDescent="0.2">
      <c r="A107" s="798">
        <f t="shared" si="29"/>
        <v>151</v>
      </c>
      <c r="B107" s="817">
        <v>42384</v>
      </c>
      <c r="C107" s="840">
        <v>1880.33</v>
      </c>
      <c r="D107" s="814">
        <f t="shared" si="27"/>
        <v>-2.1599092536319357E-2</v>
      </c>
      <c r="E107" s="841">
        <f t="shared" si="41"/>
        <v>-0.10564391849470145</v>
      </c>
      <c r="F107" s="838">
        <v>4488.41</v>
      </c>
      <c r="G107" s="814">
        <f t="shared" si="25"/>
        <v>-2.7430119176598083E-2</v>
      </c>
      <c r="H107" s="819">
        <f t="shared" ref="H107:H121" si="42">(F107-F$2)/F$2</f>
        <v>-0.11848498536834456</v>
      </c>
      <c r="I107" s="821">
        <v>249397.57</v>
      </c>
      <c r="J107" s="822">
        <v>400000</v>
      </c>
      <c r="K107" s="822">
        <f t="shared" si="33"/>
        <v>-17679.830000000016</v>
      </c>
      <c r="L107" s="814">
        <f t="shared" si="28"/>
        <v>-6.619740195164403E-2</v>
      </c>
      <c r="M107" s="839">
        <f t="shared" si="38"/>
        <v>-150602.43</v>
      </c>
      <c r="N107" s="824">
        <f t="shared" si="39"/>
        <v>-0.376506075</v>
      </c>
      <c r="O107" s="808">
        <f t="shared" si="30"/>
        <v>-0.91072082048841063</v>
      </c>
      <c r="P107" s="839" t="b">
        <f t="shared" si="34"/>
        <v>0</v>
      </c>
      <c r="Q107" s="824">
        <f>COUNTIF(P$2:P107, TRUE)/(COUNTIF(P$2:P107,FALSE) + COUNTIF(P$2:P107, TRUE))</f>
        <v>0.43396226415094341</v>
      </c>
      <c r="R107" s="825"/>
      <c r="S107" s="825"/>
      <c r="T107" s="825"/>
      <c r="U107" s="825"/>
      <c r="V107" s="824">
        <f>STDEV(D$2:D107)*SQRT(252)</f>
        <v>0.20594332584152428</v>
      </c>
      <c r="W107" s="824">
        <f>STDEV(L$2:L107)*SQRT(252)</f>
        <v>0.33758588878684614</v>
      </c>
      <c r="X107" s="823">
        <f t="shared" si="35"/>
        <v>-1.2408236336434444</v>
      </c>
      <c r="Y107" s="823">
        <f t="shared" si="36"/>
        <v>-2.6977455241425847</v>
      </c>
      <c r="Z107" s="829">
        <f t="shared" si="37"/>
        <v>-0.27086215650529855</v>
      </c>
    </row>
    <row r="108" spans="1:26" ht="20.100000000000001" customHeight="1" x14ac:dyDescent="0.2">
      <c r="A108" s="798">
        <f t="shared" si="29"/>
        <v>155</v>
      </c>
      <c r="B108" s="800">
        <v>42388</v>
      </c>
      <c r="C108" s="801">
        <v>1881.33</v>
      </c>
      <c r="D108" s="814">
        <f t="shared" si="27"/>
        <v>5.3182154196337883E-4</v>
      </c>
      <c r="E108" s="802">
        <f t="shared" si="41"/>
        <v>-0.10516828066437098</v>
      </c>
      <c r="F108" s="803">
        <v>4476.95</v>
      </c>
      <c r="G108" s="814">
        <f t="shared" si="25"/>
        <v>-2.5532426850488339E-3</v>
      </c>
      <c r="H108" s="815">
        <f t="shared" si="42"/>
        <v>-0.12073570713121355</v>
      </c>
      <c r="I108" s="804">
        <v>241697.04</v>
      </c>
      <c r="J108" s="805">
        <v>400000</v>
      </c>
      <c r="K108" s="805">
        <f t="shared" si="33"/>
        <v>-7700.5300000000279</v>
      </c>
      <c r="L108" s="814">
        <f t="shared" si="28"/>
        <v>-3.0876523776875723E-2</v>
      </c>
      <c r="M108" s="833">
        <f t="shared" si="38"/>
        <v>-158302.96</v>
      </c>
      <c r="N108" s="808">
        <f t="shared" si="39"/>
        <v>-0.39575739999999998</v>
      </c>
      <c r="O108" s="808">
        <f t="shared" si="30"/>
        <v>-0.93258316354838711</v>
      </c>
      <c r="P108" s="833" t="b">
        <f t="shared" si="34"/>
        <v>0</v>
      </c>
      <c r="Q108" s="808">
        <f>COUNTIF(P$2:P108, TRUE)/(COUNTIF(P$2:P108,FALSE) + COUNTIF(P$2:P108, TRUE))</f>
        <v>0.42990654205607476</v>
      </c>
      <c r="R108" s="809"/>
      <c r="S108" s="809"/>
      <c r="T108" s="809"/>
      <c r="U108" s="809"/>
      <c r="V108" s="808">
        <f>STDEV(D$2:D108)*SQRT(252)</f>
        <v>0.20497353903003479</v>
      </c>
      <c r="W108" s="808">
        <f>STDEV(L$2:L108)*SQRT(252)</f>
        <v>0.33863790038958375</v>
      </c>
      <c r="X108" s="823">
        <f t="shared" si="35"/>
        <v>-1.2090534503651345</v>
      </c>
      <c r="Y108" s="823">
        <f t="shared" si="36"/>
        <v>-2.7539243613178055</v>
      </c>
      <c r="Z108" s="829">
        <f t="shared" si="37"/>
        <v>-0.29058911933562903</v>
      </c>
    </row>
    <row r="109" spans="1:26" ht="20.100000000000001" customHeight="1" x14ac:dyDescent="0.2">
      <c r="A109" s="798">
        <f t="shared" si="29"/>
        <v>156</v>
      </c>
      <c r="B109" s="800">
        <v>42389</v>
      </c>
      <c r="C109" s="801">
        <v>1859.33</v>
      </c>
      <c r="D109" s="814">
        <f t="shared" si="27"/>
        <v>-1.1693854879260949E-2</v>
      </c>
      <c r="E109" s="802">
        <f t="shared" si="41"/>
        <v>-0.11563231293164139</v>
      </c>
      <c r="F109" s="803">
        <v>4471.68</v>
      </c>
      <c r="G109" s="814">
        <f t="shared" si="25"/>
        <v>-1.1771406872981666E-3</v>
      </c>
      <c r="H109" s="815">
        <f t="shared" si="42"/>
        <v>-0.12177072490523785</v>
      </c>
      <c r="I109" s="804">
        <v>239001.56</v>
      </c>
      <c r="J109" s="805">
        <v>400000</v>
      </c>
      <c r="K109" s="805">
        <f t="shared" si="33"/>
        <v>-2695.4799999999814</v>
      </c>
      <c r="L109" s="814">
        <f t="shared" si="28"/>
        <v>-1.1152308691906121E-2</v>
      </c>
      <c r="M109" s="833">
        <f t="shared" si="38"/>
        <v>-160998.44</v>
      </c>
      <c r="N109" s="808">
        <f t="shared" si="39"/>
        <v>-0.40249610000000002</v>
      </c>
      <c r="O109" s="808">
        <f t="shared" si="30"/>
        <v>-0.94238269567307698</v>
      </c>
      <c r="P109" s="833" t="b">
        <f t="shared" si="34"/>
        <v>1</v>
      </c>
      <c r="Q109" s="808">
        <f>COUNTIF(P$2:P109, TRUE)/(COUNTIF(P$2:P109,FALSE) + COUNTIF(P$2:P109, TRUE))</f>
        <v>0.43518518518518517</v>
      </c>
      <c r="R109" s="809"/>
      <c r="S109" s="809"/>
      <c r="T109" s="809"/>
      <c r="U109" s="809"/>
      <c r="V109" s="808">
        <f>STDEV(D$2:D109)*SQRT(252)</f>
        <v>0.20466775158586656</v>
      </c>
      <c r="W109" s="808">
        <f>STDEV(L$2:L109)*SQRT(252)</f>
        <v>0.33723365750596535</v>
      </c>
      <c r="X109" s="823">
        <f t="shared" si="35"/>
        <v>-1.3228037589949722</v>
      </c>
      <c r="Y109" s="823">
        <f t="shared" si="36"/>
        <v>-2.794450300846401</v>
      </c>
      <c r="Z109" s="829">
        <f t="shared" si="37"/>
        <v>-0.28686378706835863</v>
      </c>
    </row>
    <row r="110" spans="1:26" ht="20.100000000000001" customHeight="1" x14ac:dyDescent="0.2">
      <c r="A110" s="798">
        <f t="shared" si="29"/>
        <v>157</v>
      </c>
      <c r="B110" s="800">
        <v>42390</v>
      </c>
      <c r="C110" s="801">
        <v>1868.99</v>
      </c>
      <c r="D110" s="814">
        <f t="shared" si="27"/>
        <v>5.1954198555394055E-3</v>
      </c>
      <c r="E110" s="802">
        <f t="shared" si="41"/>
        <v>-0.11103765149064898</v>
      </c>
      <c r="F110" s="803">
        <v>4472.0600000000004</v>
      </c>
      <c r="G110" s="814">
        <f t="shared" si="25"/>
        <v>8.4979247173346285E-5</v>
      </c>
      <c r="H110" s="815">
        <f t="shared" si="42"/>
        <v>-0.1216960936425947</v>
      </c>
      <c r="I110" s="804">
        <v>254991.51</v>
      </c>
      <c r="J110" s="805">
        <v>400000</v>
      </c>
      <c r="K110" s="805">
        <f t="shared" si="33"/>
        <v>15989.950000000012</v>
      </c>
      <c r="L110" s="814">
        <f t="shared" si="28"/>
        <v>6.6903119795536106E-2</v>
      </c>
      <c r="M110" s="833">
        <f t="shared" si="38"/>
        <v>-145008.49</v>
      </c>
      <c r="N110" s="808">
        <f t="shared" si="39"/>
        <v>-0.362521225</v>
      </c>
      <c r="O110" s="808">
        <f t="shared" si="30"/>
        <v>-0.84338138491242032</v>
      </c>
      <c r="P110" s="833" t="b">
        <f t="shared" si="34"/>
        <v>1</v>
      </c>
      <c r="Q110" s="808">
        <f>COUNTIF(P$2:P110, TRUE)/(COUNTIF(P$2:P110,FALSE) + COUNTIF(P$2:P110, TRUE))</f>
        <v>0.44036697247706424</v>
      </c>
      <c r="R110" s="809"/>
      <c r="S110" s="809"/>
      <c r="T110" s="809"/>
      <c r="U110" s="809"/>
      <c r="V110" s="808">
        <f>STDEV(D$2:D110)*SQRT(252)</f>
        <v>0.20393347244728127</v>
      </c>
      <c r="W110" s="808">
        <f>STDEV(L$2:L110)*SQRT(252)</f>
        <v>0.35256157198523613</v>
      </c>
      <c r="X110" s="823">
        <f t="shared" si="35"/>
        <v>-1.2666957856798184</v>
      </c>
      <c r="Y110" s="823">
        <f t="shared" si="36"/>
        <v>-2.3921534617724527</v>
      </c>
      <c r="Z110" s="829">
        <f t="shared" si="37"/>
        <v>-0.25148357350935102</v>
      </c>
    </row>
    <row r="111" spans="1:26" ht="20.100000000000001" customHeight="1" x14ac:dyDescent="0.2">
      <c r="A111" s="798">
        <f t="shared" si="29"/>
        <v>158</v>
      </c>
      <c r="B111" s="800">
        <v>42391</v>
      </c>
      <c r="C111" s="834">
        <v>1906.9</v>
      </c>
      <c r="D111" s="814">
        <f t="shared" si="27"/>
        <v>2.0283682630725729E-2</v>
      </c>
      <c r="E111" s="802">
        <f t="shared" si="41"/>
        <v>-9.3006221342820702E-2</v>
      </c>
      <c r="F111" s="803">
        <v>4591.18</v>
      </c>
      <c r="G111" s="814">
        <f t="shared" si="25"/>
        <v>2.6636494143638476E-2</v>
      </c>
      <c r="H111" s="815">
        <f t="shared" si="42"/>
        <v>-9.8301156784570881E-2</v>
      </c>
      <c r="I111" s="804">
        <v>260098.81</v>
      </c>
      <c r="J111" s="805">
        <v>400000</v>
      </c>
      <c r="K111" s="805">
        <f t="shared" si="33"/>
        <v>5107.2999999999884</v>
      </c>
      <c r="L111" s="814">
        <f t="shared" si="28"/>
        <v>2.0029294308661447E-2</v>
      </c>
      <c r="M111" s="833">
        <f t="shared" si="38"/>
        <v>-139901.19</v>
      </c>
      <c r="N111" s="808">
        <f t="shared" si="39"/>
        <v>-0.34975297500000002</v>
      </c>
      <c r="O111" s="808">
        <f t="shared" si="30"/>
        <v>-0.80852705138449377</v>
      </c>
      <c r="P111" s="833" t="b">
        <f t="shared" si="34"/>
        <v>0</v>
      </c>
      <c r="Q111" s="808">
        <f>COUNTIF(P$2:P111, TRUE)/(COUNTIF(P$2:P111,FALSE) + COUNTIF(P$2:P111, TRUE))</f>
        <v>0.43636363636363634</v>
      </c>
      <c r="R111" s="809"/>
      <c r="S111" s="809"/>
      <c r="T111" s="809"/>
      <c r="U111" s="809"/>
      <c r="V111" s="808">
        <f>STDEV(D$2:D111)*SQRT(252)</f>
        <v>0.20555239783673285</v>
      </c>
      <c r="W111" s="808">
        <f>STDEV(L$2:L111)*SQRT(252)</f>
        <v>0.35267737853182896</v>
      </c>
      <c r="X111" s="823">
        <f t="shared" si="35"/>
        <v>-1.0459780972962973</v>
      </c>
      <c r="Y111" s="823">
        <f t="shared" si="36"/>
        <v>-2.2925401531290008</v>
      </c>
      <c r="Z111" s="829">
        <f t="shared" si="37"/>
        <v>-0.25674675365717931</v>
      </c>
    </row>
    <row r="112" spans="1:26" ht="20.100000000000001" customHeight="1" x14ac:dyDescent="0.2">
      <c r="A112" s="798">
        <f t="shared" si="29"/>
        <v>161</v>
      </c>
      <c r="B112" s="817">
        <v>42394</v>
      </c>
      <c r="C112" s="842">
        <v>1877.08</v>
      </c>
      <c r="D112" s="814">
        <f t="shared" si="27"/>
        <v>-1.5637946405160294E-2</v>
      </c>
      <c r="E112" s="841">
        <f t="shared" si="41"/>
        <v>-0.10718974144327549</v>
      </c>
      <c r="F112" s="838">
        <v>4518.49</v>
      </c>
      <c r="G112" s="814">
        <f t="shared" si="25"/>
        <v>-1.5832531070443873E-2</v>
      </c>
      <c r="H112" s="819">
        <f t="shared" si="42"/>
        <v>-0.11257733173596246</v>
      </c>
      <c r="I112" s="821">
        <v>241845.81</v>
      </c>
      <c r="J112" s="822">
        <v>400000</v>
      </c>
      <c r="K112" s="822">
        <f t="shared" si="33"/>
        <v>-18253</v>
      </c>
      <c r="L112" s="814">
        <f t="shared" si="28"/>
        <v>-7.0177176127795435E-2</v>
      </c>
      <c r="M112" s="839">
        <f t="shared" si="38"/>
        <v>-158154.19</v>
      </c>
      <c r="N112" s="824">
        <f t="shared" si="39"/>
        <v>-0.39538547499999999</v>
      </c>
      <c r="O112" s="808">
        <f t="shared" si="30"/>
        <v>-0.89698474996118005</v>
      </c>
      <c r="P112" s="839" t="b">
        <f t="shared" si="34"/>
        <v>0</v>
      </c>
      <c r="Q112" s="824">
        <f>COUNTIF(P$2:P112, TRUE)/(COUNTIF(P$2:P112,FALSE) + COUNTIF(P$2:P112, TRUE))</f>
        <v>0.43243243243243246</v>
      </c>
      <c r="R112" s="825"/>
      <c r="S112" s="825"/>
      <c r="T112" s="825"/>
      <c r="U112" s="825"/>
      <c r="V112" s="824">
        <f>STDEV(D$2:D112)*SQRT(252)</f>
        <v>0.2058342089719612</v>
      </c>
      <c r="W112" s="824">
        <f>STDEV(L$2:L112)*SQRT(252)</f>
        <v>0.36554774877731538</v>
      </c>
      <c r="X112" s="823">
        <f t="shared" si="35"/>
        <v>-1.1814082986332684</v>
      </c>
      <c r="Y112" s="823">
        <f t="shared" si="36"/>
        <v>-2.4538100780579715</v>
      </c>
      <c r="Z112" s="829">
        <f t="shared" si="37"/>
        <v>-0.28819573355672451</v>
      </c>
    </row>
    <row r="113" spans="1:26" ht="20.100000000000001" customHeight="1" x14ac:dyDescent="0.2">
      <c r="A113" s="798">
        <f t="shared" si="29"/>
        <v>162</v>
      </c>
      <c r="B113" s="817">
        <v>42395</v>
      </c>
      <c r="C113" s="840">
        <v>1903.63</v>
      </c>
      <c r="D113" s="814">
        <f t="shared" si="27"/>
        <v>1.4144309246276229E-2</v>
      </c>
      <c r="E113" s="841">
        <f t="shared" si="41"/>
        <v>-9.4561557048001343E-2</v>
      </c>
      <c r="F113" s="838">
        <v>4567.67</v>
      </c>
      <c r="G113" s="814">
        <f t="shared" si="25"/>
        <v>1.0884167055808532E-2</v>
      </c>
      <c r="H113" s="819">
        <f t="shared" si="42"/>
        <v>-0.10291847516546532</v>
      </c>
      <c r="I113" s="821">
        <v>248055.57</v>
      </c>
      <c r="J113" s="822">
        <v>400000</v>
      </c>
      <c r="K113" s="822">
        <f t="shared" si="33"/>
        <v>6209.7600000000093</v>
      </c>
      <c r="L113" s="814">
        <f t="shared" si="28"/>
        <v>2.5676525055364861E-2</v>
      </c>
      <c r="M113" s="839">
        <f t="shared" si="38"/>
        <v>-151944.43</v>
      </c>
      <c r="N113" s="824">
        <f t="shared" si="39"/>
        <v>-0.37986107499999999</v>
      </c>
      <c r="O113" s="808">
        <f t="shared" si="30"/>
        <v>-0.85644603483796289</v>
      </c>
      <c r="P113" s="839" t="b">
        <f t="shared" si="34"/>
        <v>1</v>
      </c>
      <c r="Q113" s="824">
        <f>COUNTIF(P$2:P113, TRUE)/(COUNTIF(P$2:P113,FALSE) + COUNTIF(P$2:P113, TRUE))</f>
        <v>0.4375</v>
      </c>
      <c r="R113" s="825"/>
      <c r="S113" s="825"/>
      <c r="T113" s="825"/>
      <c r="U113" s="825"/>
      <c r="V113" s="824">
        <f>STDEV(D$2:D113)*SQRT(252)</f>
        <v>0.20615429037873539</v>
      </c>
      <c r="W113" s="824">
        <f>STDEV(L$2:L113)*SQRT(252)</f>
        <v>0.36652123813825849</v>
      </c>
      <c r="X113" s="823">
        <f t="shared" si="35"/>
        <v>-1.034183125428312</v>
      </c>
      <c r="Y113" s="823">
        <f t="shared" si="36"/>
        <v>-2.3366886982819146</v>
      </c>
      <c r="Z113" s="829">
        <f t="shared" si="37"/>
        <v>-0.28529951795199865</v>
      </c>
    </row>
    <row r="114" spans="1:26" ht="20.100000000000001" customHeight="1" x14ac:dyDescent="0.2">
      <c r="A114" s="798">
        <f t="shared" si="29"/>
        <v>163</v>
      </c>
      <c r="B114" s="817">
        <v>42396</v>
      </c>
      <c r="C114" s="840">
        <v>1882.95</v>
      </c>
      <c r="D114" s="814">
        <f t="shared" si="27"/>
        <v>-1.0863455608495382E-2</v>
      </c>
      <c r="E114" s="841">
        <f>(C114-$C$2)/$C$2</f>
        <v>-0.10439774737923556</v>
      </c>
      <c r="F114" s="838">
        <v>4468.16</v>
      </c>
      <c r="G114" s="814">
        <f t="shared" si="25"/>
        <v>-2.1785724450321547E-2</v>
      </c>
      <c r="H114" s="819">
        <f t="shared" si="42"/>
        <v>-0.12246204607498477</v>
      </c>
      <c r="I114" s="821">
        <v>251585.76</v>
      </c>
      <c r="J114" s="822">
        <v>400000</v>
      </c>
      <c r="K114" s="822">
        <f t="shared" si="33"/>
        <v>3530.1900000000023</v>
      </c>
      <c r="L114" s="814">
        <f t="shared" si="28"/>
        <v>1.4231448219445353E-2</v>
      </c>
      <c r="M114" s="839">
        <f t="shared" si="38"/>
        <v>-148414.24</v>
      </c>
      <c r="N114" s="824">
        <f t="shared" si="39"/>
        <v>-0.37103559999999997</v>
      </c>
      <c r="O114" s="808">
        <f t="shared" si="30"/>
        <v>-0.83141566196319017</v>
      </c>
      <c r="P114" s="839" t="b">
        <f t="shared" si="34"/>
        <v>1</v>
      </c>
      <c r="Q114" s="824">
        <f>COUNTIF(P$2:P114, TRUE)/(COUNTIF(P$2:P114,FALSE) + COUNTIF(P$2:P114, TRUE))</f>
        <v>0.44247787610619471</v>
      </c>
      <c r="R114" s="825"/>
      <c r="S114" s="825"/>
      <c r="T114" s="825"/>
      <c r="U114" s="825"/>
      <c r="V114" s="824">
        <f>STDEV(D$2:D114)*SQRT(252)</f>
        <v>0.20577679311518093</v>
      </c>
      <c r="W114" s="824">
        <f>STDEV(L$2:L114)*SQRT(252)</f>
        <v>0.36580201811385399</v>
      </c>
      <c r="X114" s="823">
        <f t="shared" si="35"/>
        <v>-1.136834783918798</v>
      </c>
      <c r="Y114" s="823">
        <f t="shared" si="36"/>
        <v>-2.272856957569918</v>
      </c>
      <c r="Z114" s="829">
        <f t="shared" si="37"/>
        <v>-0.26663785262076439</v>
      </c>
    </row>
    <row r="115" spans="1:26" ht="20.100000000000001" customHeight="1" x14ac:dyDescent="0.2">
      <c r="A115" s="798">
        <f t="shared" si="29"/>
        <v>164</v>
      </c>
      <c r="B115" s="817">
        <v>42397</v>
      </c>
      <c r="C115" s="840">
        <v>1893.36</v>
      </c>
      <c r="D115" s="814">
        <f t="shared" si="27"/>
        <v>5.5285589102205867E-3</v>
      </c>
      <c r="E115" s="841">
        <f t="shared" ref="E115:E124" si="43">(C115-$C$2)/$C$2</f>
        <v>-9.94463575654954E-2</v>
      </c>
      <c r="F115" s="838">
        <v>4506.67</v>
      </c>
      <c r="G115" s="814">
        <f t="shared" si="25"/>
        <v>8.6187602950655792E-3</v>
      </c>
      <c r="H115" s="819">
        <f t="shared" si="42"/>
        <v>-0.11489875680028276</v>
      </c>
      <c r="I115" s="821">
        <v>256687.6</v>
      </c>
      <c r="J115" s="822">
        <v>400000</v>
      </c>
      <c r="K115" s="822">
        <f t="shared" si="33"/>
        <v>5101.8399999999674</v>
      </c>
      <c r="L115" s="814">
        <f t="shared" si="28"/>
        <v>2.027873119686888E-2</v>
      </c>
      <c r="M115" s="839">
        <f t="shared" si="38"/>
        <v>-143312.4</v>
      </c>
      <c r="N115" s="824">
        <f t="shared" si="39"/>
        <v>-0.35828099999999996</v>
      </c>
      <c r="O115" s="808">
        <f t="shared" si="30"/>
        <v>-0.79793984908536575</v>
      </c>
      <c r="P115" s="839" t="b">
        <f t="shared" si="34"/>
        <v>1</v>
      </c>
      <c r="Q115" s="824">
        <f>COUNTIF(P$2:P115, TRUE)/(COUNTIF(P$2:P115,FALSE) + COUNTIF(P$2:P115, TRUE))</f>
        <v>0.44736842105263158</v>
      </c>
      <c r="R115" s="825"/>
      <c r="S115" s="825"/>
      <c r="T115" s="825"/>
      <c r="U115" s="825"/>
      <c r="V115" s="824">
        <f>STDEV(D$2:D115)*SQRT(252)</f>
        <v>0.20508094349641362</v>
      </c>
      <c r="W115" s="824">
        <f>STDEV(L$2:L115)*SQRT(252)</f>
        <v>0.36582687593251006</v>
      </c>
      <c r="X115" s="823">
        <f t="shared" si="35"/>
        <v>-1.079965670565928</v>
      </c>
      <c r="Y115" s="823">
        <f t="shared" si="36"/>
        <v>-2.18119526361036</v>
      </c>
      <c r="Z115" s="829">
        <f t="shared" si="37"/>
        <v>-0.25883464243450455</v>
      </c>
    </row>
    <row r="116" spans="1:26" ht="20.100000000000001" customHeight="1" x14ac:dyDescent="0.2">
      <c r="A116" s="798">
        <f t="shared" si="29"/>
        <v>165</v>
      </c>
      <c r="B116" s="817">
        <v>42398</v>
      </c>
      <c r="C116" s="840">
        <v>1940.24</v>
      </c>
      <c r="D116" s="814">
        <f t="shared" si="27"/>
        <v>2.4760214644864217E-2</v>
      </c>
      <c r="E116" s="841">
        <f t="shared" si="43"/>
        <v>-7.7148456079602773E-2</v>
      </c>
      <c r="F116" s="838">
        <v>4613.95</v>
      </c>
      <c r="G116" s="814">
        <f t="shared" si="25"/>
        <v>2.3804716120772042E-2</v>
      </c>
      <c r="H116" s="819">
        <f t="shared" si="42"/>
        <v>-9.3829172967771088E-2</v>
      </c>
      <c r="I116" s="845">
        <v>272541.61</v>
      </c>
      <c r="J116" s="822">
        <v>400000</v>
      </c>
      <c r="K116" s="822">
        <f t="shared" si="33"/>
        <v>15854.010000000009</v>
      </c>
      <c r="L116" s="814">
        <f t="shared" si="28"/>
        <v>6.1763832767924937E-2</v>
      </c>
      <c r="M116" s="839">
        <f t="shared" si="38"/>
        <v>-127458.39000000001</v>
      </c>
      <c r="N116" s="824">
        <f t="shared" si="39"/>
        <v>-0.31864597500000003</v>
      </c>
      <c r="O116" s="808">
        <f t="shared" si="30"/>
        <v>-0.70536631738636368</v>
      </c>
      <c r="P116" s="839" t="b">
        <f t="shared" si="34"/>
        <v>1</v>
      </c>
      <c r="Q116" s="824">
        <f>COUNTIF(P$2:P116, TRUE)/(COUNTIF(P$2:P116,FALSE) + COUNTIF(P$2:P116, TRUE))</f>
        <v>0.45217391304347826</v>
      </c>
      <c r="R116" s="825"/>
      <c r="S116" s="825"/>
      <c r="T116" s="825"/>
      <c r="U116" s="825"/>
      <c r="V116" s="824">
        <f>STDEV(D$2:D116)*SQRT(252)</f>
        <v>0.2076899725605586</v>
      </c>
      <c r="W116" s="824">
        <f>STDEV(L$2:L116)*SQRT(252)</f>
        <v>0.37665623164224904</v>
      </c>
      <c r="X116" s="823">
        <f t="shared" si="35"/>
        <v>-0.82227671211433029</v>
      </c>
      <c r="Y116" s="823">
        <f t="shared" si="36"/>
        <v>-1.8727058206654761</v>
      </c>
      <c r="Z116" s="829">
        <f t="shared" si="37"/>
        <v>-0.24149751892039725</v>
      </c>
    </row>
    <row r="117" spans="1:26" ht="20.100000000000001" customHeight="1" x14ac:dyDescent="0.2">
      <c r="A117" s="798">
        <f t="shared" si="29"/>
        <v>168</v>
      </c>
      <c r="B117" s="846">
        <v>42401</v>
      </c>
      <c r="C117" s="847">
        <v>1939.38</v>
      </c>
      <c r="D117" s="814">
        <f t="shared" si="27"/>
        <v>-4.4324413474616542E-4</v>
      </c>
      <c r="E117" s="848">
        <f t="shared" si="43"/>
        <v>-7.755750461368692E-2</v>
      </c>
      <c r="F117" s="849">
        <v>4620.3599999999997</v>
      </c>
      <c r="G117" s="814">
        <f t="shared" si="25"/>
        <v>1.3892651632548803E-3</v>
      </c>
      <c r="H117" s="850">
        <f t="shared" si="42"/>
        <v>-9.2570261405817339E-2</v>
      </c>
      <c r="I117" s="851">
        <v>271687.27</v>
      </c>
      <c r="J117" s="852">
        <v>400000</v>
      </c>
      <c r="K117" s="852">
        <f t="shared" si="33"/>
        <v>-854.3399999999674</v>
      </c>
      <c r="L117" s="814">
        <f t="shared" si="28"/>
        <v>-3.1347139983504443E-3</v>
      </c>
      <c r="M117" s="853">
        <f t="shared" si="38"/>
        <v>-128312.72999999998</v>
      </c>
      <c r="N117" s="854">
        <f t="shared" si="39"/>
        <v>-0.32078182499999996</v>
      </c>
      <c r="O117" s="808">
        <f t="shared" si="30"/>
        <v>-0.69741405703124992</v>
      </c>
      <c r="P117" s="853" t="b">
        <f t="shared" si="34"/>
        <v>0</v>
      </c>
      <c r="Q117" s="854">
        <f>COUNTIF(P$2:P117, TRUE)/(COUNTIF(P$2:P117,FALSE) + COUNTIF(P$2:P117, TRUE))</f>
        <v>0.44827586206896552</v>
      </c>
      <c r="R117" s="855"/>
      <c r="S117" s="855"/>
      <c r="T117" s="855"/>
      <c r="U117" s="855"/>
      <c r="V117" s="854">
        <f>STDEV(D$2:D117)*SQRT(252)</f>
        <v>0.20677720896061949</v>
      </c>
      <c r="W117" s="854">
        <f>STDEV(L$2:L117)*SQRT(252)</f>
        <v>0.37500277790793834</v>
      </c>
      <c r="X117" s="823">
        <f t="shared" si="35"/>
        <v>-0.81545894545324737</v>
      </c>
      <c r="Y117" s="823">
        <f t="shared" si="36"/>
        <v>-1.8597570421263978</v>
      </c>
      <c r="Z117" s="829">
        <f t="shared" si="37"/>
        <v>-0.24322432038631303</v>
      </c>
    </row>
    <row r="118" spans="1:26" ht="20.100000000000001" customHeight="1" x14ac:dyDescent="0.2">
      <c r="A118" s="798">
        <f t="shared" si="29"/>
        <v>169</v>
      </c>
      <c r="B118" s="846">
        <v>42402</v>
      </c>
      <c r="C118" s="847">
        <v>1903.03</v>
      </c>
      <c r="D118" s="814">
        <f t="shared" si="27"/>
        <v>-1.8743103466056232E-2</v>
      </c>
      <c r="E118" s="848">
        <f t="shared" si="43"/>
        <v>-9.484693974619969E-2</v>
      </c>
      <c r="F118" s="849">
        <v>4516.9399999999996</v>
      </c>
      <c r="G118" s="814">
        <f t="shared" si="25"/>
        <v>-2.2383537213550478E-2</v>
      </c>
      <c r="H118" s="850">
        <f t="shared" si="42"/>
        <v>-0.11288174872832261</v>
      </c>
      <c r="I118" s="851">
        <v>258167.62</v>
      </c>
      <c r="J118" s="852">
        <v>400000</v>
      </c>
      <c r="K118" s="852">
        <f t="shared" si="33"/>
        <v>-13519.650000000023</v>
      </c>
      <c r="L118" s="814">
        <f t="shared" si="28"/>
        <v>-4.9761808862078899E-2</v>
      </c>
      <c r="M118" s="853">
        <f t="shared" si="38"/>
        <v>-141832.38</v>
      </c>
      <c r="N118" s="854">
        <f t="shared" si="39"/>
        <v>-0.35458095000000001</v>
      </c>
      <c r="O118" s="808">
        <f t="shared" si="30"/>
        <v>-0.76633545554733729</v>
      </c>
      <c r="P118" s="853" t="b">
        <f t="shared" si="34"/>
        <v>0</v>
      </c>
      <c r="Q118" s="854">
        <f>COUNTIF(P$2:P118, TRUE)/(COUNTIF(P$2:P118,FALSE) + COUNTIF(P$2:P118, TRUE))</f>
        <v>0.44444444444444442</v>
      </c>
      <c r="R118" s="855"/>
      <c r="S118" s="855"/>
      <c r="T118" s="855"/>
      <c r="U118" s="855"/>
      <c r="V118" s="854">
        <f>STDEV(D$2:D118)*SQRT(252)</f>
        <v>0.20760234411553996</v>
      </c>
      <c r="W118" s="854">
        <f>STDEV(L$2:L118)*SQRT(252)</f>
        <v>0.37987177172236325</v>
      </c>
      <c r="X118" s="823">
        <f t="shared" si="35"/>
        <v>-0.98740333530034763</v>
      </c>
      <c r="Y118" s="823">
        <f t="shared" si="36"/>
        <v>-2.0173529927552201</v>
      </c>
      <c r="Z118" s="829">
        <f t="shared" si="37"/>
        <v>-0.25973401025380033</v>
      </c>
    </row>
    <row r="119" spans="1:26" ht="20.100000000000001" customHeight="1" x14ac:dyDescent="0.2">
      <c r="A119" s="798">
        <f t="shared" si="29"/>
        <v>170</v>
      </c>
      <c r="B119" s="846">
        <v>42403</v>
      </c>
      <c r="C119" s="847">
        <v>1912.53</v>
      </c>
      <c r="D119" s="814">
        <f t="shared" si="27"/>
        <v>4.9920390114711801E-3</v>
      </c>
      <c r="E119" s="848">
        <f t="shared" si="43"/>
        <v>-9.0328380358060192E-2</v>
      </c>
      <c r="F119" s="849">
        <v>4504.2299999999996</v>
      </c>
      <c r="G119" s="814">
        <f t="shared" si="25"/>
        <v>-2.8138518554596779E-3</v>
      </c>
      <c r="H119" s="850">
        <f t="shared" si="42"/>
        <v>-0.11537796806567556</v>
      </c>
      <c r="I119" s="851">
        <v>270997.09999999998</v>
      </c>
      <c r="J119" s="852">
        <v>400000</v>
      </c>
      <c r="K119" s="852">
        <f t="shared" si="33"/>
        <v>12829.479999999981</v>
      </c>
      <c r="L119" s="814">
        <f t="shared" si="28"/>
        <v>4.9694380728303504E-2</v>
      </c>
      <c r="M119" s="853">
        <f t="shared" si="38"/>
        <v>-129002.90000000002</v>
      </c>
      <c r="N119" s="854">
        <f t="shared" si="39"/>
        <v>-0.32250725000000008</v>
      </c>
      <c r="O119" s="808">
        <f t="shared" si="30"/>
        <v>-0.69291631213235316</v>
      </c>
      <c r="P119" s="853" t="b">
        <f t="shared" si="34"/>
        <v>1</v>
      </c>
      <c r="Q119" s="854">
        <f>COUNTIF(P$2:P119, TRUE)/(COUNTIF(P$2:P119,FALSE) + COUNTIF(P$2:P119, TRUE))</f>
        <v>0.44915254237288138</v>
      </c>
      <c r="R119" s="855"/>
      <c r="S119" s="855"/>
      <c r="T119" s="855"/>
      <c r="U119" s="855"/>
      <c r="V119" s="854">
        <f>STDEV(D$2:D119)*SQRT(252)</f>
        <v>0.20687869960829744</v>
      </c>
      <c r="W119" s="854">
        <f>STDEV(L$2:L119)*SQRT(252)</f>
        <v>0.38596402182857842</v>
      </c>
      <c r="X119" s="823">
        <f t="shared" si="35"/>
        <v>-0.93810132354765563</v>
      </c>
      <c r="Y119" s="823">
        <f t="shared" si="36"/>
        <v>-1.7952873142152721</v>
      </c>
      <c r="Z119" s="829">
        <f t="shared" si="37"/>
        <v>-0.2321788696419399</v>
      </c>
    </row>
    <row r="120" spans="1:26" ht="20.100000000000001" customHeight="1" x14ac:dyDescent="0.2">
      <c r="A120" s="798">
        <f t="shared" si="29"/>
        <v>171</v>
      </c>
      <c r="B120" s="846">
        <v>42404</v>
      </c>
      <c r="C120" s="847">
        <v>1915.45</v>
      </c>
      <c r="D120" s="814">
        <f t="shared" si="27"/>
        <v>1.5267734362337181E-3</v>
      </c>
      <c r="E120" s="848">
        <f t="shared" si="43"/>
        <v>-8.8939517893495176E-2</v>
      </c>
      <c r="F120" s="849">
        <v>4509.55</v>
      </c>
      <c r="G120" s="814">
        <f t="shared" si="25"/>
        <v>1.1811119769640137E-3</v>
      </c>
      <c r="H120" s="850">
        <f t="shared" si="42"/>
        <v>-0.1143331303886717</v>
      </c>
      <c r="I120" s="851">
        <v>272162.3</v>
      </c>
      <c r="J120" s="852">
        <v>400000</v>
      </c>
      <c r="K120" s="852">
        <f t="shared" ref="K120:K151" si="44">I120-I119-J120+J119</f>
        <v>1165.2000000000116</v>
      </c>
      <c r="L120" s="814">
        <f t="shared" si="28"/>
        <v>4.2996770076137777E-3</v>
      </c>
      <c r="M120" s="853">
        <f t="shared" si="38"/>
        <v>-127837.70000000001</v>
      </c>
      <c r="N120" s="854">
        <f t="shared" si="39"/>
        <v>-0.31959425000000002</v>
      </c>
      <c r="O120" s="808">
        <f t="shared" si="30"/>
        <v>-0.68264210416666671</v>
      </c>
      <c r="P120" s="853" t="b">
        <f t="shared" si="34"/>
        <v>1</v>
      </c>
      <c r="Q120" s="854">
        <f>COUNTIF(P$2:P120, TRUE)/(COUNTIF(P$2:P120,FALSE) + COUNTIF(P$2:P120, TRUE))</f>
        <v>0.45378151260504201</v>
      </c>
      <c r="R120" s="855"/>
      <c r="S120" s="855"/>
      <c r="T120" s="855"/>
      <c r="U120" s="855"/>
      <c r="V120" s="854">
        <f>STDEV(D$2:D120)*SQRT(252)</f>
        <v>0.20601897567851155</v>
      </c>
      <c r="W120" s="854">
        <f>STDEV(L$2:L120)*SQRT(252)</f>
        <v>0.38442983265447928</v>
      </c>
      <c r="X120" s="823">
        <f t="shared" si="35"/>
        <v>-0.92210772774695426</v>
      </c>
      <c r="Y120" s="823">
        <f t="shared" si="36"/>
        <v>-1.7757261434499982</v>
      </c>
      <c r="Z120" s="829">
        <f t="shared" si="37"/>
        <v>-0.23065473210650483</v>
      </c>
    </row>
    <row r="121" spans="1:26" ht="20.100000000000001" customHeight="1" x14ac:dyDescent="0.2">
      <c r="A121" s="798">
        <f t="shared" si="29"/>
        <v>172</v>
      </c>
      <c r="B121" s="846">
        <v>42405</v>
      </c>
      <c r="C121" s="847">
        <v>1880.02</v>
      </c>
      <c r="D121" s="814">
        <f t="shared" si="27"/>
        <v>-1.8496958939152711E-2</v>
      </c>
      <c r="E121" s="848">
        <f t="shared" si="43"/>
        <v>-0.10579136622210387</v>
      </c>
      <c r="F121" s="849">
        <v>4363.1400000000003</v>
      </c>
      <c r="G121" s="814">
        <f t="shared" si="25"/>
        <v>-3.2466654100741725E-2</v>
      </c>
      <c r="H121" s="850">
        <f t="shared" si="42"/>
        <v>-0.1430877702928294</v>
      </c>
      <c r="I121" s="851">
        <v>257957.43</v>
      </c>
      <c r="J121" s="852">
        <v>400000</v>
      </c>
      <c r="K121" s="852">
        <f t="shared" si="44"/>
        <v>-14204.869999999995</v>
      </c>
      <c r="L121" s="814">
        <f t="shared" si="28"/>
        <v>-5.2192643874629206E-2</v>
      </c>
      <c r="M121" s="853">
        <f t="shared" si="38"/>
        <v>-142042.57</v>
      </c>
      <c r="N121" s="854">
        <f t="shared" si="39"/>
        <v>-0.355106425</v>
      </c>
      <c r="O121" s="808">
        <f t="shared" si="30"/>
        <v>-0.75408501006540696</v>
      </c>
      <c r="P121" s="853" t="b">
        <f t="shared" si="34"/>
        <v>0</v>
      </c>
      <c r="Q121" s="854">
        <f>COUNTIF(P$2:P121, TRUE)/(COUNTIF(P$2:P121,FALSE) + COUNTIF(P$2:P121, TRUE))</f>
        <v>0.45</v>
      </c>
      <c r="R121" s="855"/>
      <c r="S121" s="855"/>
      <c r="T121" s="855"/>
      <c r="U121" s="855"/>
      <c r="V121" s="854">
        <f>STDEV(D$2:D121)*SQRT(252)</f>
        <v>0.20677147424628983</v>
      </c>
      <c r="W121" s="854">
        <f>STDEV(L$2:L121)*SQRT(252)</f>
        <v>0.38965360022711565</v>
      </c>
      <c r="X121" s="823">
        <f t="shared" si="35"/>
        <v>-1.0864791070440902</v>
      </c>
      <c r="Y121" s="823">
        <f t="shared" si="36"/>
        <v>-1.935270223670144</v>
      </c>
      <c r="Z121" s="829">
        <f t="shared" si="37"/>
        <v>-0.24931505877789611</v>
      </c>
    </row>
    <row r="122" spans="1:26" ht="20.100000000000001" customHeight="1" x14ac:dyDescent="0.2">
      <c r="A122" s="798">
        <f t="shared" si="29"/>
        <v>175</v>
      </c>
      <c r="B122" s="817">
        <v>42408</v>
      </c>
      <c r="C122" s="842">
        <v>1853.44</v>
      </c>
      <c r="D122" s="814">
        <f t="shared" si="27"/>
        <v>-1.4138147466516275E-2</v>
      </c>
      <c r="E122" s="841">
        <f t="shared" si="43"/>
        <v>-0.11843381975228781</v>
      </c>
      <c r="F122" s="838">
        <v>4283.75</v>
      </c>
      <c r="G122" s="814">
        <f t="shared" si="25"/>
        <v>-1.8195611417465476E-2</v>
      </c>
      <c r="H122" s="819">
        <f t="shared" ref="H122:H127" si="45">(F122-F$2)/F$2</f>
        <v>-0.15867981224345501</v>
      </c>
      <c r="I122" s="821">
        <v>244544.61</v>
      </c>
      <c r="J122" s="822">
        <v>400000</v>
      </c>
      <c r="K122" s="822">
        <f t="shared" si="44"/>
        <v>-13412.820000000007</v>
      </c>
      <c r="L122" s="814">
        <f t="shared" si="28"/>
        <v>-5.1996253800481756E-2</v>
      </c>
      <c r="M122" s="839">
        <f t="shared" si="38"/>
        <v>-155455.39000000001</v>
      </c>
      <c r="N122" s="824">
        <f t="shared" si="39"/>
        <v>-0.38863847500000004</v>
      </c>
      <c r="O122" s="808">
        <f t="shared" si="30"/>
        <v>-0.81114401710714301</v>
      </c>
      <c r="P122" s="839" t="b">
        <f t="shared" si="34"/>
        <v>0</v>
      </c>
      <c r="Q122" s="824">
        <f>COUNTIF(P$2:P122, TRUE)/(COUNTIF(P$2:P122,FALSE) + COUNTIF(P$2:P122, TRUE))</f>
        <v>0.4462809917355372</v>
      </c>
      <c r="R122" s="825"/>
      <c r="S122" s="825"/>
      <c r="T122" s="825"/>
      <c r="U122" s="825"/>
      <c r="V122" s="824">
        <f>STDEV(D$2:D122)*SQRT(252)</f>
        <v>0.20679867923754305</v>
      </c>
      <c r="W122" s="824">
        <f>STDEV(L$2:L122)*SQRT(252)</f>
        <v>0.39455956732672759</v>
      </c>
      <c r="X122" s="823">
        <f t="shared" si="35"/>
        <v>-1.1953088958377476</v>
      </c>
      <c r="Y122" s="823">
        <f t="shared" si="36"/>
        <v>-2.0558214380731248</v>
      </c>
      <c r="Z122" s="829">
        <f t="shared" si="37"/>
        <v>-0.2702046552477122</v>
      </c>
    </row>
    <row r="123" spans="1:26" ht="20.100000000000001" customHeight="1" x14ac:dyDescent="0.2">
      <c r="A123" s="798">
        <f t="shared" si="29"/>
        <v>176</v>
      </c>
      <c r="B123" s="817">
        <v>42409</v>
      </c>
      <c r="C123" s="840">
        <v>1852.21</v>
      </c>
      <c r="D123" s="814">
        <f t="shared" si="27"/>
        <v>-6.6363087016575565E-4</v>
      </c>
      <c r="E123" s="841">
        <f t="shared" si="43"/>
        <v>-0.11901885428359431</v>
      </c>
      <c r="F123" s="838">
        <v>4268.76</v>
      </c>
      <c r="G123" s="814">
        <f t="shared" si="25"/>
        <v>-3.4992704989786475E-3</v>
      </c>
      <c r="H123" s="819">
        <f t="shared" si="45"/>
        <v>-0.16162381915666665</v>
      </c>
      <c r="I123" s="821">
        <v>239055.86</v>
      </c>
      <c r="J123" s="822">
        <v>400000</v>
      </c>
      <c r="K123" s="822">
        <f t="shared" si="44"/>
        <v>-5488.75</v>
      </c>
      <c r="L123" s="814">
        <f t="shared" si="28"/>
        <v>-2.2444780115987838E-2</v>
      </c>
      <c r="M123" s="839">
        <f t="shared" si="38"/>
        <v>-160944.14000000001</v>
      </c>
      <c r="N123" s="824">
        <f t="shared" si="39"/>
        <v>-0.40236035000000003</v>
      </c>
      <c r="O123" s="808">
        <f t="shared" si="30"/>
        <v>-0.83501203316761374</v>
      </c>
      <c r="P123" s="839" t="b">
        <f t="shared" ref="P123:P154" si="46">L123&gt;D123</f>
        <v>0</v>
      </c>
      <c r="Q123" s="824">
        <f>COUNTIF(P$2:P123, TRUE)/(COUNTIF(P$2:P123,FALSE) + COUNTIF(P$2:P123, TRUE))</f>
        <v>0.44262295081967212</v>
      </c>
      <c r="R123" s="825"/>
      <c r="S123" s="825"/>
      <c r="T123" s="825"/>
      <c r="U123" s="825"/>
      <c r="V123" s="824">
        <f>STDEV(D$2:D123)*SQRT(252)</f>
        <v>0.20593567657799225</v>
      </c>
      <c r="W123" s="824">
        <f>STDEV(L$2:L123)*SQRT(252)</f>
        <v>0.39391134458203264</v>
      </c>
      <c r="X123" s="823">
        <f t="shared" si="35"/>
        <v>-1.1993936112348516</v>
      </c>
      <c r="Y123" s="823">
        <f t="shared" si="36"/>
        <v>-2.1197968645803273</v>
      </c>
      <c r="Z123" s="829">
        <f t="shared" si="37"/>
        <v>-0.28334149571640571</v>
      </c>
    </row>
    <row r="124" spans="1:26" ht="20.100000000000001" customHeight="1" x14ac:dyDescent="0.2">
      <c r="A124" s="798">
        <f t="shared" si="29"/>
        <v>177</v>
      </c>
      <c r="B124" s="817">
        <v>42410</v>
      </c>
      <c r="C124" s="840">
        <v>1851.86</v>
      </c>
      <c r="D124" s="814">
        <f t="shared" si="27"/>
        <v>-1.8896345446797955E-4</v>
      </c>
      <c r="E124" s="841">
        <f t="shared" si="43"/>
        <v>-0.11918532752421003</v>
      </c>
      <c r="F124" s="838">
        <v>4283.59</v>
      </c>
      <c r="G124" s="814">
        <f t="shared" si="25"/>
        <v>3.4740767810792659E-3</v>
      </c>
      <c r="H124" s="819">
        <f t="shared" si="45"/>
        <v>-0.15871123593298891</v>
      </c>
      <c r="I124" s="821">
        <v>235873.97</v>
      </c>
      <c r="J124" s="822">
        <v>400000</v>
      </c>
      <c r="K124" s="822">
        <f t="shared" si="44"/>
        <v>-3181.890000000014</v>
      </c>
      <c r="L124" s="814">
        <f t="shared" si="28"/>
        <v>-1.3310236360656518E-2</v>
      </c>
      <c r="M124" s="839">
        <f t="shared" si="38"/>
        <v>-164126.03</v>
      </c>
      <c r="N124" s="824">
        <f t="shared" si="39"/>
        <v>-0.41031507499999997</v>
      </c>
      <c r="O124" s="808">
        <f t="shared" si="30"/>
        <v>-0.84670949798728801</v>
      </c>
      <c r="P124" s="839" t="b">
        <f t="shared" si="46"/>
        <v>0</v>
      </c>
      <c r="Q124" s="824">
        <f>COUNTIF(P$2:P124, TRUE)/(COUNTIF(P$2:P124,FALSE) + COUNTIF(P$2:P124, TRUE))</f>
        <v>0.43902439024390244</v>
      </c>
      <c r="R124" s="825"/>
      <c r="S124" s="825"/>
      <c r="T124" s="825"/>
      <c r="U124" s="825"/>
      <c r="V124" s="824">
        <f>STDEV(D$2:D124)*SQRT(252)</f>
        <v>0.20508595535618429</v>
      </c>
      <c r="W124" s="824">
        <f>STDEV(L$2:L124)*SQRT(252)</f>
        <v>0.39255054022656277</v>
      </c>
      <c r="X124" s="823">
        <f t="shared" si="35"/>
        <v>-1.1992337224413965</v>
      </c>
      <c r="Y124" s="823">
        <f t="shared" si="36"/>
        <v>-2.156943912237657</v>
      </c>
      <c r="Z124" s="829">
        <f t="shared" si="37"/>
        <v>-0.29112974747578996</v>
      </c>
    </row>
    <row r="125" spans="1:26" ht="20.100000000000001" customHeight="1" x14ac:dyDescent="0.2">
      <c r="A125" s="798">
        <f t="shared" si="29"/>
        <v>178</v>
      </c>
      <c r="B125" s="817">
        <v>42411</v>
      </c>
      <c r="C125" s="840">
        <v>1829.08</v>
      </c>
      <c r="D125" s="814">
        <f t="shared" si="27"/>
        <v>-1.2301145874958137E-2</v>
      </c>
      <c r="E125" s="841">
        <f>(C125-$C$2)/$C$2</f>
        <v>-0.13002035729913819</v>
      </c>
      <c r="F125" s="838">
        <v>4266.83</v>
      </c>
      <c r="G125" s="814">
        <f t="shared" si="25"/>
        <v>-3.9126060150481761E-3</v>
      </c>
      <c r="H125" s="819">
        <f t="shared" si="45"/>
        <v>-0.16200286741166997</v>
      </c>
      <c r="I125" s="821">
        <v>230609.13</v>
      </c>
      <c r="J125" s="822">
        <v>400000</v>
      </c>
      <c r="K125" s="822">
        <f t="shared" si="44"/>
        <v>-5264.8399999999674</v>
      </c>
      <c r="L125" s="814">
        <f t="shared" si="28"/>
        <v>-2.2320563816346364E-2</v>
      </c>
      <c r="M125" s="839">
        <f t="shared" si="38"/>
        <v>-169390.87</v>
      </c>
      <c r="N125" s="824">
        <f t="shared" si="39"/>
        <v>-0.42347717499999998</v>
      </c>
      <c r="O125" s="808">
        <f t="shared" si="30"/>
        <v>-0.86896088858848308</v>
      </c>
      <c r="P125" s="839" t="b">
        <f t="shared" si="46"/>
        <v>0</v>
      </c>
      <c r="Q125" s="824">
        <f>COUNTIF(P$2:P125, TRUE)/(COUNTIF(P$2:P125,FALSE) + COUNTIF(P$2:P125, TRUE))</f>
        <v>0.43548387096774194</v>
      </c>
      <c r="R125" s="825"/>
      <c r="S125" s="825"/>
      <c r="T125" s="825"/>
      <c r="U125" s="825"/>
      <c r="V125" s="824">
        <f>STDEV(D$2:D125)*SQRT(252)</f>
        <v>0.20488816456150158</v>
      </c>
      <c r="W125" s="824">
        <f>STDEV(L$2:L125)*SQRT(252)</f>
        <v>0.39188934391979374</v>
      </c>
      <c r="X125" s="823">
        <f t="shared" si="35"/>
        <v>-1.3021610645014765</v>
      </c>
      <c r="Y125" s="823">
        <f t="shared" si="36"/>
        <v>-2.2173628910061138</v>
      </c>
      <c r="Z125" s="829">
        <f t="shared" si="37"/>
        <v>-0.29345681770086179</v>
      </c>
    </row>
    <row r="126" spans="1:26" ht="20.100000000000001" customHeight="1" x14ac:dyDescent="0.2">
      <c r="A126" s="798">
        <f t="shared" si="29"/>
        <v>179</v>
      </c>
      <c r="B126" s="817">
        <v>42412</v>
      </c>
      <c r="C126" s="840">
        <v>1864.78</v>
      </c>
      <c r="D126" s="814">
        <f t="shared" si="27"/>
        <v>1.9518009053731956E-2</v>
      </c>
      <c r="E126" s="841">
        <f>(C126-$C$2)/$C$2</f>
        <v>-0.11304008675634029</v>
      </c>
      <c r="F126" s="838">
        <v>4337.51</v>
      </c>
      <c r="G126" s="814">
        <f t="shared" si="25"/>
        <v>1.656499087144327E-2</v>
      </c>
      <c r="H126" s="819">
        <f t="shared" si="45"/>
        <v>-0.14812145256004863</v>
      </c>
      <c r="I126" s="821">
        <v>236989.83</v>
      </c>
      <c r="J126" s="822">
        <v>400000</v>
      </c>
      <c r="K126" s="822">
        <f t="shared" si="44"/>
        <v>6380.6999999999534</v>
      </c>
      <c r="L126" s="814">
        <f t="shared" si="28"/>
        <v>2.7668895849873563E-2</v>
      </c>
      <c r="M126" s="839">
        <f t="shared" ref="M126:M157" si="47">I126-J126</f>
        <v>-163010.17000000001</v>
      </c>
      <c r="N126" s="824">
        <f t="shared" ref="N126:N157" si="48">M126/J126</f>
        <v>-0.40752542500000005</v>
      </c>
      <c r="O126" s="808">
        <f t="shared" si="30"/>
        <v>-0.83155676805167611</v>
      </c>
      <c r="P126" s="839" t="b">
        <f t="shared" si="46"/>
        <v>1</v>
      </c>
      <c r="Q126" s="824">
        <f>COUNTIF(P$2:P126, TRUE)/(COUNTIF(P$2:P126,FALSE) + COUNTIF(P$2:P126, TRUE))</f>
        <v>0.44</v>
      </c>
      <c r="R126" s="825"/>
      <c r="S126" s="825"/>
      <c r="T126" s="825"/>
      <c r="U126" s="825"/>
      <c r="V126" s="824">
        <f>STDEV(D$2:D126)*SQRT(252)</f>
        <v>0.20614925630726783</v>
      </c>
      <c r="W126" s="824">
        <f>STDEV(L$2:L126)*SQRT(252)</f>
        <v>0.39280034902438915</v>
      </c>
      <c r="X126" s="823">
        <f t="shared" si="35"/>
        <v>-1.118891316478704</v>
      </c>
      <c r="Y126" s="823">
        <f t="shared" si="36"/>
        <v>-2.1169960009379838</v>
      </c>
      <c r="Z126" s="829">
        <f t="shared" si="37"/>
        <v>-0.29448533824365974</v>
      </c>
    </row>
    <row r="127" spans="1:26" ht="20.100000000000001" customHeight="1" x14ac:dyDescent="0.2">
      <c r="A127" s="798">
        <f t="shared" si="29"/>
        <v>183</v>
      </c>
      <c r="B127" s="846">
        <v>42416</v>
      </c>
      <c r="C127" s="847">
        <v>1895.58</v>
      </c>
      <c r="D127" s="814">
        <f t="shared" si="27"/>
        <v>1.651669365823312E-2</v>
      </c>
      <c r="E127" s="848">
        <f>(C127-$C$2)/$C$2</f>
        <v>-9.8390441582161731E-2</v>
      </c>
      <c r="F127" s="849">
        <v>4435.96</v>
      </c>
      <c r="G127" s="814">
        <f t="shared" si="25"/>
        <v>2.2697354011863905E-2</v>
      </c>
      <c r="H127" s="850">
        <f t="shared" si="45"/>
        <v>-0.12878606359369166</v>
      </c>
      <c r="I127" s="851">
        <v>243663.46</v>
      </c>
      <c r="J127" s="852">
        <v>400000</v>
      </c>
      <c r="K127" s="852">
        <f t="shared" si="44"/>
        <v>6673.6300000000047</v>
      </c>
      <c r="L127" s="814">
        <f t="shared" si="28"/>
        <v>2.8159984755463999E-2</v>
      </c>
      <c r="M127" s="853">
        <f t="shared" si="47"/>
        <v>-156336.54</v>
      </c>
      <c r="N127" s="854">
        <f t="shared" si="48"/>
        <v>-0.39084135000000003</v>
      </c>
      <c r="O127" s="808">
        <f t="shared" si="30"/>
        <v>-0.78008089118852464</v>
      </c>
      <c r="P127" s="853" t="b">
        <f t="shared" si="46"/>
        <v>1</v>
      </c>
      <c r="Q127" s="854">
        <f>COUNTIF(P$2:P127, TRUE)/(COUNTIF(P$2:P127,FALSE) + COUNTIF(P$2:P127, TRUE))</f>
        <v>0.44444444444444442</v>
      </c>
      <c r="R127" s="855"/>
      <c r="S127" s="855"/>
      <c r="T127" s="855"/>
      <c r="U127" s="855"/>
      <c r="V127" s="854">
        <f>STDEV(D$2:D127)*SQRT(252)</f>
        <v>0.2067973574201509</v>
      </c>
      <c r="W127" s="854">
        <f>STDEV(L$2:L127)*SQRT(252)</f>
        <v>0.39373317711022293</v>
      </c>
      <c r="X127" s="823">
        <f t="shared" si="35"/>
        <v>-0.949613893037624</v>
      </c>
      <c r="Y127" s="823">
        <f t="shared" si="36"/>
        <v>-1.9812424670785269</v>
      </c>
      <c r="Z127" s="829">
        <f t="shared" si="37"/>
        <v>-0.29245090841783827</v>
      </c>
    </row>
    <row r="128" spans="1:26" ht="20.100000000000001" customHeight="1" x14ac:dyDescent="0.2">
      <c r="A128" s="798">
        <f t="shared" si="29"/>
        <v>184</v>
      </c>
      <c r="B128" s="846">
        <v>42417</v>
      </c>
      <c r="C128" s="847">
        <v>1926.82</v>
      </c>
      <c r="D128" s="814">
        <f t="shared" si="27"/>
        <v>1.648044398020659E-2</v>
      </c>
      <c r="E128" s="848">
        <f t="shared" ref="E128:E133" si="49">(C128-$C$2)/$C$2</f>
        <v>-8.3531515762637745E-2</v>
      </c>
      <c r="F128" s="849">
        <v>4534.0600000000004</v>
      </c>
      <c r="G128" s="814">
        <f t="shared" si="25"/>
        <v>2.2114716994743044E-2</v>
      </c>
      <c r="H128" s="850">
        <f t="shared" ref="H128:H141" si="50">(F128-F$2)/F$2</f>
        <v>-0.10951941394819008</v>
      </c>
      <c r="I128" s="851">
        <v>249365.31</v>
      </c>
      <c r="J128" s="852">
        <v>400000</v>
      </c>
      <c r="K128" s="852">
        <f t="shared" si="44"/>
        <v>5701.8499999999767</v>
      </c>
      <c r="L128" s="814">
        <f t="shared" si="28"/>
        <v>2.3400513150391843E-2</v>
      </c>
      <c r="M128" s="853">
        <f t="shared" si="47"/>
        <v>-150634.69</v>
      </c>
      <c r="N128" s="854">
        <f t="shared" si="48"/>
        <v>-0.37658672500000001</v>
      </c>
      <c r="O128" s="808">
        <f t="shared" si="30"/>
        <v>-0.74754511579483707</v>
      </c>
      <c r="P128" s="853" t="b">
        <f t="shared" si="46"/>
        <v>1</v>
      </c>
      <c r="Q128" s="854">
        <f>COUNTIF(P$2:P128, TRUE)/(COUNTIF(P$2:P128,FALSE) + COUNTIF(P$2:P128, TRUE))</f>
        <v>0.44881889763779526</v>
      </c>
      <c r="R128" s="855"/>
      <c r="S128" s="855"/>
      <c r="T128" s="855"/>
      <c r="U128" s="855"/>
      <c r="V128" s="854">
        <f>STDEV(D$2:D128)*SQRT(252)</f>
        <v>0.20740391827467</v>
      </c>
      <c r="W128" s="854">
        <f>STDEV(L$2:L128)*SQRT(252)</f>
        <v>0.39391671411506929</v>
      </c>
      <c r="X128" s="823">
        <f t="shared" si="35"/>
        <v>-0.79947669226545248</v>
      </c>
      <c r="Y128" s="823">
        <f t="shared" si="36"/>
        <v>-1.8977237802010791</v>
      </c>
      <c r="Z128" s="829">
        <f t="shared" si="37"/>
        <v>-0.29305520923736228</v>
      </c>
    </row>
    <row r="129" spans="1:26" ht="20.100000000000001" customHeight="1" x14ac:dyDescent="0.2">
      <c r="A129" s="798">
        <f t="shared" si="29"/>
        <v>185</v>
      </c>
      <c r="B129" s="846">
        <v>42418</v>
      </c>
      <c r="C129" s="847">
        <v>1917.83</v>
      </c>
      <c r="D129" s="814">
        <f t="shared" si="27"/>
        <v>-4.6657186452289312E-3</v>
      </c>
      <c r="E129" s="848">
        <f t="shared" si="49"/>
        <v>-8.7807499857308707E-2</v>
      </c>
      <c r="F129" s="849">
        <v>4487.53</v>
      </c>
      <c r="G129" s="814">
        <f t="shared" si="25"/>
        <v>-1.0262325597808731E-2</v>
      </c>
      <c r="H129" s="850">
        <f t="shared" si="50"/>
        <v>-0.11865781566078129</v>
      </c>
      <c r="I129" s="851">
        <v>241680.12</v>
      </c>
      <c r="J129" s="852">
        <v>400000</v>
      </c>
      <c r="K129" s="852">
        <f t="shared" si="44"/>
        <v>-7685.1900000000023</v>
      </c>
      <c r="L129" s="814">
        <f t="shared" si="28"/>
        <v>-3.0819002049643562E-2</v>
      </c>
      <c r="M129" s="853">
        <f t="shared" si="47"/>
        <v>-158319.88</v>
      </c>
      <c r="N129" s="854">
        <f t="shared" si="48"/>
        <v>-0.39579970000000003</v>
      </c>
      <c r="O129" s="808">
        <f t="shared" si="30"/>
        <v>-0.78143697527027034</v>
      </c>
      <c r="P129" s="853" t="b">
        <f t="shared" si="46"/>
        <v>0</v>
      </c>
      <c r="Q129" s="854">
        <f>COUNTIF(P$2:P129, TRUE)/(COUNTIF(P$2:P129,FALSE) + COUNTIF(P$2:P129, TRUE))</f>
        <v>0.4453125</v>
      </c>
      <c r="R129" s="855"/>
      <c r="S129" s="855"/>
      <c r="T129" s="855"/>
      <c r="U129" s="855"/>
      <c r="V129" s="854">
        <f>STDEV(D$2:D129)*SQRT(252)</f>
        <v>0.20665833739123632</v>
      </c>
      <c r="W129" s="854">
        <f>STDEV(L$2:L129)*SQRT(252)</f>
        <v>0.39434419152440775</v>
      </c>
      <c r="X129" s="823">
        <f t="shared" si="35"/>
        <v>-0.83887485506181592</v>
      </c>
      <c r="Y129" s="823">
        <f t="shared" si="36"/>
        <v>-1.9816114756235828</v>
      </c>
      <c r="Z129" s="829">
        <f t="shared" si="37"/>
        <v>-0.30799220014269135</v>
      </c>
    </row>
    <row r="130" spans="1:26" ht="20.100000000000001" customHeight="1" x14ac:dyDescent="0.2">
      <c r="A130" s="798">
        <f t="shared" si="29"/>
        <v>186</v>
      </c>
      <c r="B130" s="846">
        <v>42419</v>
      </c>
      <c r="C130" s="847">
        <v>1917.78</v>
      </c>
      <c r="D130" s="814">
        <f t="shared" si="27"/>
        <v>-2.6071132477828863E-5</v>
      </c>
      <c r="E130" s="848">
        <f t="shared" si="49"/>
        <v>-8.7831281748825207E-2</v>
      </c>
      <c r="F130" s="849">
        <v>4504.43</v>
      </c>
      <c r="G130" s="814">
        <f t="shared" si="25"/>
        <v>3.7659915365469529E-3</v>
      </c>
      <c r="H130" s="850">
        <f t="shared" si="50"/>
        <v>-0.11533868845375798</v>
      </c>
      <c r="I130" s="851">
        <v>236145.17</v>
      </c>
      <c r="J130" s="852">
        <v>400000</v>
      </c>
      <c r="K130" s="852">
        <f t="shared" si="44"/>
        <v>-5534.9499999999534</v>
      </c>
      <c r="L130" s="814">
        <f t="shared" si="28"/>
        <v>-2.290196645052954E-2</v>
      </c>
      <c r="M130" s="853">
        <f t="shared" si="47"/>
        <v>-163854.82999999999</v>
      </c>
      <c r="N130" s="854">
        <f t="shared" si="48"/>
        <v>-0.40963707499999996</v>
      </c>
      <c r="O130" s="808">
        <f t="shared" si="30"/>
        <v>-0.80440828840725798</v>
      </c>
      <c r="P130" s="853" t="b">
        <f t="shared" si="46"/>
        <v>0</v>
      </c>
      <c r="Q130" s="854">
        <f>COUNTIF(P$2:P130, TRUE)/(COUNTIF(P$2:P130,FALSE) + COUNTIF(P$2:P130, TRUE))</f>
        <v>0.44186046511627908</v>
      </c>
      <c r="R130" s="855"/>
      <c r="S130" s="855"/>
      <c r="T130" s="855"/>
      <c r="U130" s="855"/>
      <c r="V130" s="854">
        <f>STDEV(D$2:D130)*SQRT(252)</f>
        <v>0.20584491170892685</v>
      </c>
      <c r="W130" s="854">
        <f>STDEV(L$2:L130)*SQRT(252)</f>
        <v>0.39378743351445816</v>
      </c>
      <c r="X130" s="823">
        <f t="shared" si="35"/>
        <v>-0.83788876061314033</v>
      </c>
      <c r="Y130" s="823">
        <f t="shared" si="36"/>
        <v>-2.0427474823868996</v>
      </c>
      <c r="Z130" s="829">
        <f t="shared" si="37"/>
        <v>-0.32180579325117475</v>
      </c>
    </row>
    <row r="131" spans="1:26" ht="20.100000000000001" customHeight="1" x14ac:dyDescent="0.2">
      <c r="A131" s="798">
        <f t="shared" si="29"/>
        <v>189</v>
      </c>
      <c r="B131" s="817">
        <v>42422</v>
      </c>
      <c r="C131" s="842">
        <v>1945.5</v>
      </c>
      <c r="D131" s="814">
        <f t="shared" si="27"/>
        <v>1.4454212683415213E-2</v>
      </c>
      <c r="E131" s="841">
        <f t="shared" si="49"/>
        <v>-7.4646601092064488E-2</v>
      </c>
      <c r="F131" s="838">
        <v>4570.6000000000004</v>
      </c>
      <c r="G131" s="814">
        <f t="shared" si="25"/>
        <v>1.4689982972318378E-2</v>
      </c>
      <c r="H131" s="819">
        <f t="shared" si="50"/>
        <v>-0.10234302885087485</v>
      </c>
      <c r="I131" s="821">
        <v>248415.23</v>
      </c>
      <c r="J131" s="822">
        <v>400000</v>
      </c>
      <c r="K131" s="822">
        <f t="shared" si="44"/>
        <v>12270.059999999998</v>
      </c>
      <c r="L131" s="814">
        <f t="shared" si="28"/>
        <v>5.1959817768028022E-2</v>
      </c>
      <c r="M131" s="839">
        <f t="shared" si="47"/>
        <v>-151584.76999999999</v>
      </c>
      <c r="N131" s="824">
        <f t="shared" si="48"/>
        <v>-0.37896192499999998</v>
      </c>
      <c r="O131" s="808">
        <f t="shared" si="30"/>
        <v>-0.73235895823412689</v>
      </c>
      <c r="P131" s="839" t="b">
        <f t="shared" si="46"/>
        <v>1</v>
      </c>
      <c r="Q131" s="824">
        <f>COUNTIF(P$2:P131, TRUE)/(COUNTIF(P$2:P131,FALSE) + COUNTIF(P$2:P131, TRUE))</f>
        <v>0.44615384615384618</v>
      </c>
      <c r="R131" s="825"/>
      <c r="S131" s="825"/>
      <c r="T131" s="825"/>
      <c r="U131" s="825"/>
      <c r="V131" s="824">
        <f>STDEV(D$2:D131)*SQRT(252)</f>
        <v>0.20612093442208271</v>
      </c>
      <c r="W131" s="824">
        <f>STDEV(L$2:L131)*SQRT(252)</f>
        <v>0.39971891584326358</v>
      </c>
      <c r="X131" s="823">
        <f t="shared" si="35"/>
        <v>-0.69986835243877887</v>
      </c>
      <c r="Y131" s="823">
        <f t="shared" si="36"/>
        <v>-1.8321848909479606</v>
      </c>
      <c r="Z131" s="829">
        <f t="shared" si="37"/>
        <v>-0.30431532390793548</v>
      </c>
    </row>
    <row r="132" spans="1:26" ht="20.100000000000001" customHeight="1" x14ac:dyDescent="0.2">
      <c r="A132" s="798">
        <f t="shared" si="29"/>
        <v>190</v>
      </c>
      <c r="B132" s="817">
        <v>42423</v>
      </c>
      <c r="C132" s="840">
        <v>1921.27</v>
      </c>
      <c r="D132" s="814">
        <f t="shared" si="27"/>
        <v>-1.2454381906964801E-2</v>
      </c>
      <c r="E132" s="841">
        <f t="shared" si="49"/>
        <v>-8.6171305720971855E-2</v>
      </c>
      <c r="F132" s="838">
        <v>4503.58</v>
      </c>
      <c r="G132" s="814">
        <f t="shared" ref="G132:G165" si="51">(F132-F131)/F131</f>
        <v>-1.4663282719993093E-2</v>
      </c>
      <c r="H132" s="819">
        <f t="shared" si="50"/>
        <v>-0.11550562680440715</v>
      </c>
      <c r="I132" s="821">
        <v>238794.23</v>
      </c>
      <c r="J132" s="822">
        <v>400000</v>
      </c>
      <c r="K132" s="822">
        <f t="shared" si="44"/>
        <v>-9621</v>
      </c>
      <c r="L132" s="814">
        <f t="shared" ref="L132:L195" si="52">K132/I131</f>
        <v>-3.8729509458820213E-2</v>
      </c>
      <c r="M132" s="839">
        <f t="shared" si="47"/>
        <v>-161205.76999999999</v>
      </c>
      <c r="N132" s="824">
        <f t="shared" si="48"/>
        <v>-0.40301442499999995</v>
      </c>
      <c r="O132" s="808">
        <f t="shared" si="30"/>
        <v>-0.7747422038486842</v>
      </c>
      <c r="P132" s="839" t="b">
        <f t="shared" si="46"/>
        <v>0</v>
      </c>
      <c r="Q132" s="824">
        <f>COUNTIF(P$2:P132, TRUE)/(COUNTIF(P$2:P132,FALSE) + COUNTIF(P$2:P132, TRUE))</f>
        <v>0.44274809160305345</v>
      </c>
      <c r="R132" s="825"/>
      <c r="S132" s="825"/>
      <c r="T132" s="825"/>
      <c r="U132" s="825"/>
      <c r="V132" s="824">
        <f>STDEV(D$2:D132)*SQRT(252)</f>
        <v>0.20599200020691141</v>
      </c>
      <c r="W132" s="824">
        <f>STDEV(L$2:L132)*SQRT(252)</f>
        <v>0.40132200578539856</v>
      </c>
      <c r="X132" s="823">
        <f t="shared" si="35"/>
        <v>-0.8041719909145788</v>
      </c>
      <c r="Y132" s="823">
        <f t="shared" si="36"/>
        <v>-1.9304752609628064</v>
      </c>
      <c r="Z132" s="829">
        <f t="shared" si="37"/>
        <v>-0.31684311927902808</v>
      </c>
    </row>
    <row r="133" spans="1:26" ht="20.100000000000001" customHeight="1" x14ac:dyDescent="0.2">
      <c r="A133" s="798">
        <f t="shared" si="29"/>
        <v>191</v>
      </c>
      <c r="B133" s="817">
        <v>42424</v>
      </c>
      <c r="C133" s="842">
        <v>1929.8</v>
      </c>
      <c r="D133" s="814">
        <f t="shared" ref="D133:D165" si="53">(C133-C132)/C132</f>
        <v>4.439771609404182E-3</v>
      </c>
      <c r="E133" s="841">
        <f t="shared" si="49"/>
        <v>-8.2114115028252929E-2</v>
      </c>
      <c r="F133" s="838">
        <v>4542.6000000000004</v>
      </c>
      <c r="G133" s="814">
        <f t="shared" si="51"/>
        <v>8.6642182441525276E-3</v>
      </c>
      <c r="H133" s="819">
        <f t="shared" si="50"/>
        <v>-0.10784217451931565</v>
      </c>
      <c r="I133" s="821">
        <v>242422.46</v>
      </c>
      <c r="J133" s="822">
        <v>400000</v>
      </c>
      <c r="K133" s="822">
        <f t="shared" si="44"/>
        <v>3628.2299999999814</v>
      </c>
      <c r="L133" s="814">
        <f t="shared" si="52"/>
        <v>1.5193960088566551E-2</v>
      </c>
      <c r="M133" s="839">
        <f t="shared" si="47"/>
        <v>-157577.54</v>
      </c>
      <c r="N133" s="824">
        <f t="shared" si="48"/>
        <v>-0.39394385000000004</v>
      </c>
      <c r="O133" s="808">
        <f t="shared" si="30"/>
        <v>-0.75334026812827226</v>
      </c>
      <c r="P133" s="839" t="b">
        <f t="shared" si="46"/>
        <v>1</v>
      </c>
      <c r="Q133" s="824">
        <f>COUNTIF(P$2:P133, TRUE)/(COUNTIF(P$2:P133,FALSE) + COUNTIF(P$2:P133, TRUE))</f>
        <v>0.44696969696969696</v>
      </c>
      <c r="R133" s="825"/>
      <c r="S133" s="825"/>
      <c r="T133" s="825"/>
      <c r="U133" s="825"/>
      <c r="V133" s="824">
        <f>STDEV(D$2:D133)*SQRT(252)</f>
        <v>0.2053176523633603</v>
      </c>
      <c r="W133" s="824">
        <f>STDEV(L$2:L133)*SQRT(252)</f>
        <v>0.40056518042041067</v>
      </c>
      <c r="X133" s="823">
        <f t="shared" si="35"/>
        <v>-0.76480088926992307</v>
      </c>
      <c r="Y133" s="823">
        <f t="shared" si="36"/>
        <v>-1.8806933426854744</v>
      </c>
      <c r="Z133" s="829">
        <f t="shared" si="37"/>
        <v>-0.3118297349717471</v>
      </c>
    </row>
    <row r="134" spans="1:26" ht="20.100000000000001" customHeight="1" x14ac:dyDescent="0.2">
      <c r="A134" s="798">
        <f t="shared" si="29"/>
        <v>192</v>
      </c>
      <c r="B134" s="817">
        <v>42425</v>
      </c>
      <c r="C134" s="842">
        <v>1951.7</v>
      </c>
      <c r="D134" s="814">
        <f t="shared" si="53"/>
        <v>1.1348326251425065E-2</v>
      </c>
      <c r="E134" s="841">
        <f t="shared" ref="E134:E139" si="54">(C134-$C$2)/$C$2</f>
        <v>-7.1697646544015531E-2</v>
      </c>
      <c r="F134" s="838">
        <v>4582.2</v>
      </c>
      <c r="G134" s="814">
        <f t="shared" si="51"/>
        <v>8.7174745740323713E-3</v>
      </c>
      <c r="H134" s="819">
        <f t="shared" si="50"/>
        <v>-0.10006481135966377</v>
      </c>
      <c r="I134" s="821">
        <v>244524.77</v>
      </c>
      <c r="J134" s="822">
        <v>400000</v>
      </c>
      <c r="K134" s="822">
        <f t="shared" si="44"/>
        <v>2102.3099999999977</v>
      </c>
      <c r="L134" s="814">
        <f t="shared" si="52"/>
        <v>8.6720925115601824E-3</v>
      </c>
      <c r="M134" s="839">
        <f t="shared" si="47"/>
        <v>-155475.23000000001</v>
      </c>
      <c r="N134" s="824">
        <f t="shared" si="48"/>
        <v>-0.38868807500000002</v>
      </c>
      <c r="O134" s="808">
        <f t="shared" si="30"/>
        <v>-0.73941833017578129</v>
      </c>
      <c r="P134" s="839" t="b">
        <f t="shared" si="46"/>
        <v>0</v>
      </c>
      <c r="Q134" s="824">
        <f>COUNTIF(P$2:P134, TRUE)/(COUNTIF(P$2:P134,FALSE) + COUNTIF(P$2:P134, TRUE))</f>
        <v>0.44360902255639095</v>
      </c>
      <c r="R134" s="825"/>
      <c r="S134" s="825"/>
      <c r="T134" s="825"/>
      <c r="U134" s="825"/>
      <c r="V134" s="824">
        <f>STDEV(D$2:D134)*SQRT(252)</f>
        <v>0.2051944315202551</v>
      </c>
      <c r="W134" s="824">
        <f>STDEV(L$2:L134)*SQRT(252)</f>
        <v>0.399347738080158</v>
      </c>
      <c r="X134" s="823">
        <f t="shared" si="35"/>
        <v>-0.66470405060311499</v>
      </c>
      <c r="Y134" s="823">
        <f t="shared" si="36"/>
        <v>-1.8515650889385118</v>
      </c>
      <c r="Z134" s="829">
        <f t="shared" si="37"/>
        <v>-0.31699042845598446</v>
      </c>
    </row>
    <row r="135" spans="1:26" ht="20.100000000000001" customHeight="1" x14ac:dyDescent="0.2">
      <c r="A135" s="798">
        <f t="shared" ref="A135:A198" si="55">B135-$B$2</f>
        <v>193</v>
      </c>
      <c r="B135" s="817">
        <v>42426</v>
      </c>
      <c r="C135" s="842">
        <v>1948.05</v>
      </c>
      <c r="D135" s="814">
        <f t="shared" si="53"/>
        <v>-1.8701644719988169E-3</v>
      </c>
      <c r="E135" s="841">
        <f t="shared" si="54"/>
        <v>-7.3433724624721794E-2</v>
      </c>
      <c r="F135" s="838">
        <v>4590.47</v>
      </c>
      <c r="G135" s="814">
        <f t="shared" si="51"/>
        <v>1.8048099166340266E-3</v>
      </c>
      <c r="H135" s="819">
        <f t="shared" si="50"/>
        <v>-9.8440599406877771E-2</v>
      </c>
      <c r="I135" s="821">
        <v>251916.67</v>
      </c>
      <c r="J135" s="822">
        <v>400000</v>
      </c>
      <c r="K135" s="822">
        <f t="shared" si="44"/>
        <v>7391.9000000000233</v>
      </c>
      <c r="L135" s="814">
        <f t="shared" si="52"/>
        <v>3.0229657306292623E-2</v>
      </c>
      <c r="M135" s="839">
        <f t="shared" si="47"/>
        <v>-148083.32999999999</v>
      </c>
      <c r="N135" s="824">
        <f t="shared" si="48"/>
        <v>-0.37020832499999995</v>
      </c>
      <c r="O135" s="808">
        <f t="shared" ref="O135:O198" si="56">N135/(A135/365.25)</f>
        <v>-0.70061445961787561</v>
      </c>
      <c r="P135" s="839" t="b">
        <f t="shared" si="46"/>
        <v>1</v>
      </c>
      <c r="Q135" s="824">
        <f>COUNTIF(P$2:P135, TRUE)/(COUNTIF(P$2:P135,FALSE) + COUNTIF(P$2:P135, TRUE))</f>
        <v>0.44776119402985076</v>
      </c>
      <c r="R135" s="825"/>
      <c r="S135" s="825"/>
      <c r="T135" s="825"/>
      <c r="U135" s="825"/>
      <c r="V135" s="824">
        <f>STDEV(D$2:D135)*SQRT(252)</f>
        <v>0.20442465292014791</v>
      </c>
      <c r="W135" s="824">
        <f>STDEV(L$2:L135)*SQRT(252)</f>
        <v>0.40040715107254371</v>
      </c>
      <c r="X135" s="823">
        <f t="shared" si="35"/>
        <v>-0.67982198161061158</v>
      </c>
      <c r="Y135" s="823">
        <f t="shared" si="36"/>
        <v>-1.7497551123679653</v>
      </c>
      <c r="Z135" s="829">
        <f t="shared" si="37"/>
        <v>-0.29677460037527814</v>
      </c>
    </row>
    <row r="136" spans="1:26" ht="20.100000000000001" customHeight="1" x14ac:dyDescent="0.2">
      <c r="A136" s="798">
        <f t="shared" si="55"/>
        <v>196</v>
      </c>
      <c r="B136" s="846">
        <v>42429</v>
      </c>
      <c r="C136" s="847">
        <v>1932.23</v>
      </c>
      <c r="D136" s="814">
        <f t="shared" si="53"/>
        <v>-8.1209414542747545E-3</v>
      </c>
      <c r="E136" s="848">
        <f t="shared" si="54"/>
        <v>-8.0958315100549849E-2</v>
      </c>
      <c r="F136" s="849">
        <v>4557.95</v>
      </c>
      <c r="G136" s="814">
        <f t="shared" si="51"/>
        <v>-7.0842419185835953E-3</v>
      </c>
      <c r="H136" s="850">
        <f t="shared" si="50"/>
        <v>-0.10482746430465267</v>
      </c>
      <c r="I136" s="856">
        <v>254134.09</v>
      </c>
      <c r="J136" s="852">
        <v>400000</v>
      </c>
      <c r="K136" s="852">
        <f t="shared" si="44"/>
        <v>2217.4199999999837</v>
      </c>
      <c r="L136" s="814">
        <f t="shared" si="52"/>
        <v>8.8021963770797042E-3</v>
      </c>
      <c r="M136" s="853">
        <f t="shared" si="47"/>
        <v>-145865.91</v>
      </c>
      <c r="N136" s="854">
        <f t="shared" si="48"/>
        <v>-0.364664775</v>
      </c>
      <c r="O136" s="808">
        <f t="shared" si="56"/>
        <v>-0.67956025035076528</v>
      </c>
      <c r="P136" s="853" t="b">
        <f t="shared" si="46"/>
        <v>1</v>
      </c>
      <c r="Q136" s="854">
        <f>COUNTIF(P$2:P136, TRUE)/(COUNTIF(P$2:P136,FALSE) + COUNTIF(P$2:P136, TRUE))</f>
        <v>0.45185185185185184</v>
      </c>
      <c r="R136" s="855"/>
      <c r="S136" s="855"/>
      <c r="T136" s="855"/>
      <c r="U136" s="855"/>
      <c r="V136" s="854">
        <f>STDEV(D$2:D136)*SQRT(252)</f>
        <v>0.20392331073233147</v>
      </c>
      <c r="W136" s="854">
        <f>STDEV(L$2:L136)*SQRT(252)</f>
        <v>0.39919785402030938</v>
      </c>
      <c r="X136" s="823">
        <f t="shared" si="35"/>
        <v>-0.73982455393937108</v>
      </c>
      <c r="Y136" s="823">
        <f t="shared" si="36"/>
        <v>-1.7023143874821338</v>
      </c>
      <c r="Z136" s="829">
        <f t="shared" si="37"/>
        <v>-0.28370645989945015</v>
      </c>
    </row>
    <row r="137" spans="1:26" ht="20.100000000000001" customHeight="1" x14ac:dyDescent="0.2">
      <c r="A137" s="798">
        <f t="shared" si="55"/>
        <v>197</v>
      </c>
      <c r="B137" s="846">
        <v>42430</v>
      </c>
      <c r="C137" s="847">
        <v>1978.35</v>
      </c>
      <c r="D137" s="814">
        <f t="shared" si="53"/>
        <v>2.3868794087660315E-2</v>
      </c>
      <c r="E137" s="848">
        <f t="shared" si="54"/>
        <v>-5.9021898365708481E-2</v>
      </c>
      <c r="F137" s="849">
        <v>4689.59</v>
      </c>
      <c r="G137" s="814">
        <f t="shared" si="51"/>
        <v>2.8881405017606672E-2</v>
      </c>
      <c r="H137" s="850">
        <f t="shared" si="50"/>
        <v>-7.8973623740597382E-2</v>
      </c>
      <c r="I137" s="851">
        <v>256289.63</v>
      </c>
      <c r="J137" s="852">
        <v>400000</v>
      </c>
      <c r="K137" s="852">
        <f t="shared" si="44"/>
        <v>2155.5400000000373</v>
      </c>
      <c r="L137" s="814">
        <f t="shared" si="52"/>
        <v>8.4819002440799547E-3</v>
      </c>
      <c r="M137" s="853">
        <f t="shared" si="47"/>
        <v>-143710.37</v>
      </c>
      <c r="N137" s="854">
        <f t="shared" si="48"/>
        <v>-0.359275925</v>
      </c>
      <c r="O137" s="808">
        <f t="shared" si="56"/>
        <v>-0.66611944977791882</v>
      </c>
      <c r="P137" s="853" t="b">
        <f t="shared" si="46"/>
        <v>0</v>
      </c>
      <c r="Q137" s="854">
        <f>COUNTIF(P$2:P137, TRUE)/(COUNTIF(P$2:P137,FALSE) + COUNTIF(P$2:P137, TRUE))</f>
        <v>0.4485294117647059</v>
      </c>
      <c r="R137" s="855"/>
      <c r="S137" s="855"/>
      <c r="T137" s="855"/>
      <c r="U137" s="855"/>
      <c r="V137" s="854">
        <f>STDEV(D$2:D137)*SQRT(252)</f>
        <v>0.205881606235845</v>
      </c>
      <c r="W137" s="854">
        <f>STDEV(L$2:L137)*SQRT(252)</f>
        <v>0.39798205719407453</v>
      </c>
      <c r="X137" s="823">
        <f t="shared" si="35"/>
        <v>-0.531520016835342</v>
      </c>
      <c r="Y137" s="823">
        <f t="shared" si="36"/>
        <v>-1.6737424156111842</v>
      </c>
      <c r="Z137" s="829">
        <f t="shared" si="37"/>
        <v>-0.30025402663429152</v>
      </c>
    </row>
    <row r="138" spans="1:26" ht="20.100000000000001" customHeight="1" x14ac:dyDescent="0.2">
      <c r="A138" s="798">
        <f t="shared" si="55"/>
        <v>198</v>
      </c>
      <c r="B138" s="846">
        <v>42431</v>
      </c>
      <c r="C138" s="857">
        <v>1986.4749999999999</v>
      </c>
      <c r="D138" s="814">
        <f t="shared" si="53"/>
        <v>4.1069578183840069E-3</v>
      </c>
      <c r="E138" s="848">
        <f t="shared" si="54"/>
        <v>-5.5157340994273385E-2</v>
      </c>
      <c r="F138" s="849">
        <v>4703.42</v>
      </c>
      <c r="G138" s="814">
        <f t="shared" si="51"/>
        <v>2.9490851012561711E-3</v>
      </c>
      <c r="H138" s="850">
        <f t="shared" si="50"/>
        <v>-7.6257438576506811E-2</v>
      </c>
      <c r="I138" s="851">
        <v>273591.05</v>
      </c>
      <c r="J138" s="852">
        <v>400000</v>
      </c>
      <c r="K138" s="852">
        <f t="shared" si="44"/>
        <v>17301.419999999984</v>
      </c>
      <c r="L138" s="814">
        <f t="shared" si="52"/>
        <v>6.7507296335009667E-2</v>
      </c>
      <c r="M138" s="853">
        <f t="shared" si="47"/>
        <v>-126408.95000000001</v>
      </c>
      <c r="N138" s="854">
        <f t="shared" si="48"/>
        <v>-0.31602237500000002</v>
      </c>
      <c r="O138" s="808">
        <f t="shared" si="56"/>
        <v>-0.58296551751893944</v>
      </c>
      <c r="P138" s="853" t="b">
        <f t="shared" si="46"/>
        <v>1</v>
      </c>
      <c r="Q138" s="854">
        <f>COUNTIF(P$2:P138, TRUE)/(COUNTIF(P$2:P138,FALSE) + COUNTIF(P$2:P138, TRUE))</f>
        <v>0.45255474452554745</v>
      </c>
      <c r="R138" s="855"/>
      <c r="S138" s="855"/>
      <c r="T138" s="855"/>
      <c r="U138" s="855"/>
      <c r="V138" s="854">
        <f>STDEV(D$2:D138)*SQRT(252)</f>
        <v>0.20520805198323436</v>
      </c>
      <c r="W138" s="854">
        <f>STDEV(L$2:L138)*SQRT(252)</f>
        <v>0.40773104370834762</v>
      </c>
      <c r="X138" s="823">
        <f t="shared" si="35"/>
        <v>-0.49583132243266692</v>
      </c>
      <c r="Y138" s="823">
        <f t="shared" si="36"/>
        <v>-1.4297795728694578</v>
      </c>
      <c r="Z138" s="829">
        <f t="shared" si="37"/>
        <v>-0.26086503400572664</v>
      </c>
    </row>
    <row r="139" spans="1:26" ht="20.100000000000001" customHeight="1" x14ac:dyDescent="0.2">
      <c r="A139" s="798">
        <f t="shared" si="55"/>
        <v>199</v>
      </c>
      <c r="B139" s="846">
        <v>42432</v>
      </c>
      <c r="C139" s="857">
        <v>1993.4</v>
      </c>
      <c r="D139" s="814">
        <f t="shared" si="53"/>
        <v>3.4860745793428975E-3</v>
      </c>
      <c r="E139" s="848">
        <f t="shared" si="54"/>
        <v>-5.1863549019234775E-2</v>
      </c>
      <c r="F139" s="849">
        <v>4707.42</v>
      </c>
      <c r="G139" s="814">
        <f t="shared" si="51"/>
        <v>8.5044499534381367E-4</v>
      </c>
      <c r="H139" s="850">
        <f t="shared" si="50"/>
        <v>-7.5471846338158136E-2</v>
      </c>
      <c r="I139" s="851">
        <v>284465.09999999998</v>
      </c>
      <c r="J139" s="852">
        <v>400000</v>
      </c>
      <c r="K139" s="852">
        <f t="shared" si="44"/>
        <v>10874.049999999988</v>
      </c>
      <c r="L139" s="814">
        <f t="shared" si="52"/>
        <v>3.9745634954067355E-2</v>
      </c>
      <c r="M139" s="853">
        <f t="shared" si="47"/>
        <v>-115534.90000000002</v>
      </c>
      <c r="N139" s="854">
        <f t="shared" si="48"/>
        <v>-0.28883725000000005</v>
      </c>
      <c r="O139" s="808">
        <f t="shared" si="56"/>
        <v>-0.53013972644472374</v>
      </c>
      <c r="P139" s="853" t="b">
        <f t="shared" si="46"/>
        <v>1</v>
      </c>
      <c r="Q139" s="854">
        <f>COUNTIF(P$2:P139, TRUE)/(COUNTIF(P$2:P139,FALSE) + COUNTIF(P$2:P139, TRUE))</f>
        <v>0.45652173913043476</v>
      </c>
      <c r="R139" s="855"/>
      <c r="S139" s="855"/>
      <c r="T139" s="855"/>
      <c r="U139" s="855"/>
      <c r="V139" s="854">
        <f>STDEV(D$2:D139)*SQRT(252)</f>
        <v>0.20451785527923064</v>
      </c>
      <c r="W139" s="854">
        <f>STDEV(L$2:L139)*SQRT(252)</f>
        <v>0.41011498593156359</v>
      </c>
      <c r="X139" s="823">
        <f t="shared" si="35"/>
        <v>-0.46544476565394993</v>
      </c>
      <c r="Y139" s="823">
        <f t="shared" si="36"/>
        <v>-1.2926611916912221</v>
      </c>
      <c r="Z139" s="829">
        <f t="shared" si="37"/>
        <v>-0.23697370098076526</v>
      </c>
    </row>
    <row r="140" spans="1:26" ht="20.100000000000001" customHeight="1" x14ac:dyDescent="0.2">
      <c r="A140" s="798">
        <f t="shared" si="55"/>
        <v>200</v>
      </c>
      <c r="B140" s="846">
        <v>42433</v>
      </c>
      <c r="C140" s="847">
        <v>1999.99</v>
      </c>
      <c r="D140" s="814">
        <f t="shared" si="53"/>
        <v>3.3059095013544286E-3</v>
      </c>
      <c r="E140" s="848">
        <f t="shared" ref="E140:E171" si="57">(C140-$C$2)/$C$2</f>
        <v>-4.8729095717356993E-2</v>
      </c>
      <c r="F140" s="849">
        <v>4717.0200000000004</v>
      </c>
      <c r="G140" s="814">
        <f t="shared" si="51"/>
        <v>2.0393336477306811E-3</v>
      </c>
      <c r="H140" s="850">
        <f t="shared" si="50"/>
        <v>-7.3586424966121222E-2</v>
      </c>
      <c r="I140" s="851">
        <v>295168.58</v>
      </c>
      <c r="J140" s="852">
        <v>400000</v>
      </c>
      <c r="K140" s="852">
        <f t="shared" si="44"/>
        <v>10703.48000000004</v>
      </c>
      <c r="L140" s="814">
        <f t="shared" si="52"/>
        <v>3.7626689530631495E-2</v>
      </c>
      <c r="M140" s="853">
        <f t="shared" si="47"/>
        <v>-104831.41999999998</v>
      </c>
      <c r="N140" s="854">
        <f t="shared" si="48"/>
        <v>-0.26207854999999997</v>
      </c>
      <c r="O140" s="808">
        <f t="shared" si="56"/>
        <v>-0.47862095193749998</v>
      </c>
      <c r="P140" s="853" t="b">
        <f t="shared" si="46"/>
        <v>1</v>
      </c>
      <c r="Q140" s="854">
        <f>COUNTIF(P$2:P140, TRUE)/(COUNTIF(P$2:P140,FALSE) + COUNTIF(P$2:P140, TRUE))</f>
        <v>0.46043165467625902</v>
      </c>
      <c r="R140" s="855"/>
      <c r="S140" s="855"/>
      <c r="T140" s="855"/>
      <c r="U140" s="855"/>
      <c r="V140" s="854">
        <f>STDEV(D$2:D140)*SQRT(252)</f>
        <v>0.20382852547723848</v>
      </c>
      <c r="W140" s="854">
        <f>STDEV(L$2:L140)*SQRT(252)</f>
        <v>0.41201829569755161</v>
      </c>
      <c r="X140" s="823">
        <f t="shared" si="35"/>
        <v>-0.4365998863282799</v>
      </c>
      <c r="Y140" s="823">
        <f t="shared" si="36"/>
        <v>-1.1616497542352806</v>
      </c>
      <c r="Z140" s="829">
        <f t="shared" si="37"/>
        <v>-0.21334945428264296</v>
      </c>
    </row>
    <row r="141" spans="1:26" ht="20.100000000000001" customHeight="1" x14ac:dyDescent="0.2">
      <c r="A141" s="798">
        <f t="shared" si="55"/>
        <v>203</v>
      </c>
      <c r="B141" s="817">
        <v>42436</v>
      </c>
      <c r="C141" s="842">
        <v>2001.76</v>
      </c>
      <c r="D141" s="814">
        <f t="shared" si="53"/>
        <v>8.8500442502211603E-4</v>
      </c>
      <c r="E141" s="841">
        <f t="shared" si="57"/>
        <v>-4.7887216757672067E-2</v>
      </c>
      <c r="F141" s="838">
        <v>4708.5200000000004</v>
      </c>
      <c r="G141" s="814">
        <f t="shared" si="51"/>
        <v>-1.8019851516423502E-3</v>
      </c>
      <c r="H141" s="819">
        <f t="shared" si="50"/>
        <v>-7.5255808472612165E-2</v>
      </c>
      <c r="I141" s="821">
        <v>295332.12</v>
      </c>
      <c r="J141" s="822">
        <v>400000</v>
      </c>
      <c r="K141" s="822">
        <f t="shared" si="44"/>
        <v>163.53999999997905</v>
      </c>
      <c r="L141" s="814">
        <f t="shared" si="52"/>
        <v>5.5405626167927171E-4</v>
      </c>
      <c r="M141" s="839">
        <f t="shared" si="47"/>
        <v>-104667.88</v>
      </c>
      <c r="N141" s="824">
        <f t="shared" si="48"/>
        <v>-0.26166970000000001</v>
      </c>
      <c r="O141" s="808">
        <f t="shared" si="56"/>
        <v>-0.47081210800492612</v>
      </c>
      <c r="P141" s="839" t="b">
        <f t="shared" si="46"/>
        <v>0</v>
      </c>
      <c r="Q141" s="824">
        <f>COUNTIF(P$2:P141, TRUE)/(COUNTIF(P$2:P141,FALSE) + COUNTIF(P$2:P141, TRUE))</f>
        <v>0.45714285714285713</v>
      </c>
      <c r="R141" s="825"/>
      <c r="S141" s="825"/>
      <c r="T141" s="825"/>
      <c r="U141" s="825"/>
      <c r="V141" s="824">
        <f>STDEV(D$2:D141)*SQRT(252)</f>
        <v>0.20309473146639889</v>
      </c>
      <c r="W141" s="824">
        <f>STDEV(L$2:L141)*SQRT(252)</f>
        <v>0.41052951691081185</v>
      </c>
      <c r="X141" s="823">
        <f t="shared" si="35"/>
        <v>-0.4242434301410738</v>
      </c>
      <c r="Y141" s="823">
        <f t="shared" si="36"/>
        <v>-1.1468410640670468</v>
      </c>
      <c r="Z141" s="829">
        <f t="shared" si="37"/>
        <v>-0.21378248324232793</v>
      </c>
    </row>
    <row r="142" spans="1:26" ht="20.100000000000001" customHeight="1" x14ac:dyDescent="0.2">
      <c r="A142" s="798">
        <f t="shared" si="55"/>
        <v>204</v>
      </c>
      <c r="B142" s="817">
        <v>42437</v>
      </c>
      <c r="C142" s="842">
        <v>1979.26</v>
      </c>
      <c r="D142" s="814">
        <f t="shared" si="53"/>
        <v>-1.124010870434018E-2</v>
      </c>
      <c r="E142" s="841">
        <f t="shared" si="57"/>
        <v>-5.8589067940107716E-2</v>
      </c>
      <c r="F142" s="838">
        <v>4648.82</v>
      </c>
      <c r="G142" s="814">
        <f t="shared" si="51"/>
        <v>-1.2679143340157994E-2</v>
      </c>
      <c r="H142" s="819">
        <f t="shared" ref="H142:H173" si="58">(F142-F$2)/F$2</f>
        <v>-8.6980772629966438E-2</v>
      </c>
      <c r="I142" s="821">
        <v>279655.23</v>
      </c>
      <c r="J142" s="822">
        <v>400000</v>
      </c>
      <c r="K142" s="822">
        <f t="shared" si="44"/>
        <v>-15676.890000000014</v>
      </c>
      <c r="L142" s="814">
        <f t="shared" si="52"/>
        <v>-5.3082238396555084E-2</v>
      </c>
      <c r="M142" s="839">
        <f t="shared" si="47"/>
        <v>-120344.77000000002</v>
      </c>
      <c r="N142" s="824">
        <f t="shared" si="48"/>
        <v>-0.30086192500000003</v>
      </c>
      <c r="O142" s="808">
        <f t="shared" si="56"/>
        <v>-0.53867557895220597</v>
      </c>
      <c r="P142" s="839" t="b">
        <f t="shared" si="46"/>
        <v>0</v>
      </c>
      <c r="Q142" s="824">
        <f>COUNTIF(P$2:P142, TRUE)/(COUNTIF(P$2:P142,FALSE) + COUNTIF(P$2:P142, TRUE))</f>
        <v>0.45390070921985815</v>
      </c>
      <c r="R142" s="825"/>
      <c r="S142" s="825"/>
      <c r="T142" s="825"/>
      <c r="U142" s="825"/>
      <c r="V142" s="824">
        <f>STDEV(D$2:D142)*SQRT(252)</f>
        <v>0.2028972139328496</v>
      </c>
      <c r="W142" s="824">
        <f>STDEV(L$2:L142)*SQRT(252)</f>
        <v>0.41493428525347442</v>
      </c>
      <c r="X142" s="823">
        <f t="shared" si="35"/>
        <v>-0.51701192785091299</v>
      </c>
      <c r="Y142" s="823">
        <f t="shared" si="36"/>
        <v>-1.2982190146643116</v>
      </c>
      <c r="Z142" s="829">
        <f t="shared" si="37"/>
        <v>-0.24227285705989232</v>
      </c>
    </row>
    <row r="143" spans="1:26" ht="20.100000000000001" customHeight="1" x14ac:dyDescent="0.2">
      <c r="A143" s="798">
        <f t="shared" si="55"/>
        <v>205</v>
      </c>
      <c r="B143" s="817">
        <v>42438</v>
      </c>
      <c r="C143" s="842">
        <v>1989.26</v>
      </c>
      <c r="D143" s="814">
        <f t="shared" si="53"/>
        <v>5.0523933187150757E-3</v>
      </c>
      <c r="E143" s="841">
        <f t="shared" si="57"/>
        <v>-5.3832689636802981E-2</v>
      </c>
      <c r="F143" s="838">
        <v>4674.37</v>
      </c>
      <c r="G143" s="814">
        <f t="shared" si="51"/>
        <v>5.4960183444401336E-3</v>
      </c>
      <c r="H143" s="819">
        <f t="shared" si="58"/>
        <v>-8.1962802207514174E-2</v>
      </c>
      <c r="I143" s="821">
        <v>284441.56</v>
      </c>
      <c r="J143" s="822">
        <v>400000</v>
      </c>
      <c r="K143" s="822">
        <f t="shared" si="44"/>
        <v>4786.3300000000163</v>
      </c>
      <c r="L143" s="814">
        <f t="shared" si="52"/>
        <v>1.7115109915877547E-2</v>
      </c>
      <c r="M143" s="839">
        <f t="shared" si="47"/>
        <v>-115558.44</v>
      </c>
      <c r="N143" s="824">
        <f t="shared" si="48"/>
        <v>-0.28889609999999999</v>
      </c>
      <c r="O143" s="808">
        <f t="shared" si="56"/>
        <v>-0.5147282952439024</v>
      </c>
      <c r="P143" s="839" t="b">
        <f t="shared" si="46"/>
        <v>1</v>
      </c>
      <c r="Q143" s="824">
        <f>COUNTIF(P$2:P143, TRUE)/(COUNTIF(P$2:P143,FALSE) + COUNTIF(P$2:P143, TRUE))</f>
        <v>0.45774647887323944</v>
      </c>
      <c r="R143" s="825"/>
      <c r="S143" s="825"/>
      <c r="T143" s="825"/>
      <c r="U143" s="825"/>
      <c r="V143" s="824">
        <f>STDEV(D$2:D143)*SQRT(252)</f>
        <v>0.20230024410689199</v>
      </c>
      <c r="W143" s="824">
        <f>STDEV(L$2:L143)*SQRT(252)</f>
        <v>0.41420228414527577</v>
      </c>
      <c r="X143" s="823">
        <f t="shared" si="35"/>
        <v>-0.47411755456380739</v>
      </c>
      <c r="Y143" s="823">
        <f t="shared" si="36"/>
        <v>-1.2426978675553815</v>
      </c>
      <c r="Z143" s="829">
        <f t="shared" si="37"/>
        <v>-0.235063410363197</v>
      </c>
    </row>
    <row r="144" spans="1:26" ht="20.100000000000001" customHeight="1" x14ac:dyDescent="0.2">
      <c r="A144" s="798">
        <f t="shared" si="55"/>
        <v>206</v>
      </c>
      <c r="B144" s="817">
        <v>42439</v>
      </c>
      <c r="C144" s="842">
        <v>1989.57</v>
      </c>
      <c r="D144" s="814">
        <f t="shared" si="53"/>
        <v>1.5583684385145504E-4</v>
      </c>
      <c r="E144" s="841">
        <f t="shared" si="57"/>
        <v>-5.3685241909400563E-2</v>
      </c>
      <c r="F144" s="838">
        <v>4662.1499999999996</v>
      </c>
      <c r="G144" s="814">
        <f t="shared" si="51"/>
        <v>-2.6142560387817514E-3</v>
      </c>
      <c r="H144" s="819">
        <f t="shared" si="58"/>
        <v>-8.4362786495669459E-2</v>
      </c>
      <c r="I144" s="821">
        <v>287418.99</v>
      </c>
      <c r="J144" s="822">
        <v>400000</v>
      </c>
      <c r="K144" s="822">
        <f t="shared" si="44"/>
        <v>2977.429999999993</v>
      </c>
      <c r="L144" s="814">
        <f t="shared" si="52"/>
        <v>1.0467633492095856E-2</v>
      </c>
      <c r="M144" s="839">
        <f t="shared" si="47"/>
        <v>-112581.01000000001</v>
      </c>
      <c r="N144" s="824">
        <f t="shared" si="48"/>
        <v>-0.28145252500000001</v>
      </c>
      <c r="O144" s="808">
        <f t="shared" si="56"/>
        <v>-0.49903172211771846</v>
      </c>
      <c r="P144" s="839" t="b">
        <f t="shared" si="46"/>
        <v>1</v>
      </c>
      <c r="Q144" s="824">
        <f>COUNTIF(P$2:P144, TRUE)/(COUNTIF(P$2:P144,FALSE) + COUNTIF(P$2:P144, TRUE))</f>
        <v>0.46153846153846156</v>
      </c>
      <c r="R144" s="825"/>
      <c r="S144" s="825"/>
      <c r="T144" s="825"/>
      <c r="U144" s="825"/>
      <c r="V144" s="824">
        <f>STDEV(D$2:D144)*SQRT(252)</f>
        <v>0.20158255288168328</v>
      </c>
      <c r="W144" s="824">
        <f>STDEV(L$2:L144)*SQRT(252)</f>
        <v>0.41303460915058671</v>
      </c>
      <c r="X144" s="823">
        <f t="shared" si="35"/>
        <v>-0.47219890729770364</v>
      </c>
      <c r="Y144" s="823">
        <f t="shared" si="36"/>
        <v>-1.2082080074209431</v>
      </c>
      <c r="Z144" s="829">
        <f t="shared" si="37"/>
        <v>-0.22776728309059946</v>
      </c>
    </row>
    <row r="145" spans="1:26" ht="20.100000000000001" customHeight="1" x14ac:dyDescent="0.2">
      <c r="A145" s="798">
        <f t="shared" si="55"/>
        <v>207</v>
      </c>
      <c r="B145" s="817">
        <v>42440</v>
      </c>
      <c r="C145" s="842">
        <v>2022.19</v>
      </c>
      <c r="D145" s="814">
        <f t="shared" si="53"/>
        <v>1.6395502545776285E-2</v>
      </c>
      <c r="E145" s="841">
        <f t="shared" si="57"/>
        <v>-3.816993588402047E-2</v>
      </c>
      <c r="F145" s="838">
        <v>4748.47</v>
      </c>
      <c r="G145" s="814">
        <f t="shared" si="51"/>
        <v>1.8515062792917564E-2</v>
      </c>
      <c r="H145" s="819">
        <f t="shared" si="58"/>
        <v>-6.7409705992104718E-2</v>
      </c>
      <c r="I145" s="821">
        <v>297529.25</v>
      </c>
      <c r="J145" s="822">
        <v>400000</v>
      </c>
      <c r="K145" s="822">
        <f t="shared" si="44"/>
        <v>10110.260000000009</v>
      </c>
      <c r="L145" s="814">
        <f t="shared" si="52"/>
        <v>3.5176033427714741E-2</v>
      </c>
      <c r="M145" s="839">
        <f t="shared" si="47"/>
        <v>-102470.75</v>
      </c>
      <c r="N145" s="824">
        <f t="shared" si="48"/>
        <v>-0.25617687500000003</v>
      </c>
      <c r="O145" s="808">
        <f t="shared" si="56"/>
        <v>-0.45202223958333343</v>
      </c>
      <c r="P145" s="839" t="b">
        <f t="shared" si="46"/>
        <v>1</v>
      </c>
      <c r="Q145" s="824">
        <f>COUNTIF(P$2:P145, TRUE)/(COUNTIF(P$2:P145,FALSE) + COUNTIF(P$2:P145, TRUE))</f>
        <v>0.46527777777777779</v>
      </c>
      <c r="R145" s="825"/>
      <c r="S145" s="825"/>
      <c r="T145" s="825"/>
      <c r="U145" s="825"/>
      <c r="V145" s="824">
        <f>STDEV(D$2:D145)*SQRT(252)</f>
        <v>0.20209170666788678</v>
      </c>
      <c r="W145" s="824">
        <f>STDEV(L$2:L145)*SQRT(252)</f>
        <v>0.41442203469244021</v>
      </c>
      <c r="X145" s="823">
        <f t="shared" si="35"/>
        <v>-0.33326738827683977</v>
      </c>
      <c r="Y145" s="823">
        <f t="shared" si="36"/>
        <v>-1.0907292608579511</v>
      </c>
      <c r="Z145" s="829">
        <f t="shared" si="37"/>
        <v>-0.21800693911597957</v>
      </c>
    </row>
    <row r="146" spans="1:26" ht="20.100000000000001" customHeight="1" x14ac:dyDescent="0.2">
      <c r="A146" s="798">
        <f t="shared" si="55"/>
        <v>210</v>
      </c>
      <c r="B146" s="846">
        <v>42443</v>
      </c>
      <c r="C146" s="847">
        <v>2019.64</v>
      </c>
      <c r="D146" s="814">
        <f t="shared" si="53"/>
        <v>-1.261009103991195E-3</v>
      </c>
      <c r="E146" s="848">
        <f t="shared" si="57"/>
        <v>-3.9382812351363157E-2</v>
      </c>
      <c r="F146" s="849">
        <v>4750.28</v>
      </c>
      <c r="G146" s="814">
        <f t="shared" si="51"/>
        <v>3.8117541018464697E-4</v>
      </c>
      <c r="H146" s="850">
        <f t="shared" si="58"/>
        <v>-6.7054225504252038E-2</v>
      </c>
      <c r="I146" s="851">
        <v>295383.49</v>
      </c>
      <c r="J146" s="852">
        <v>400000</v>
      </c>
      <c r="K146" s="852">
        <f t="shared" si="44"/>
        <v>-2145.7600000000093</v>
      </c>
      <c r="L146" s="814">
        <f t="shared" si="52"/>
        <v>-7.2119295833939327E-3</v>
      </c>
      <c r="M146" s="853">
        <f t="shared" si="47"/>
        <v>-104616.51000000001</v>
      </c>
      <c r="N146" s="854">
        <f t="shared" si="48"/>
        <v>-0.26154127500000002</v>
      </c>
      <c r="O146" s="808">
        <f t="shared" si="56"/>
        <v>-0.45489500330357147</v>
      </c>
      <c r="P146" s="853" t="b">
        <f t="shared" si="46"/>
        <v>0</v>
      </c>
      <c r="Q146" s="854">
        <f>COUNTIF(P$2:P146, TRUE)/(COUNTIF(P$2:P146,FALSE) + COUNTIF(P$2:P146, TRUE))</f>
        <v>0.46206896551724136</v>
      </c>
      <c r="R146" s="852"/>
      <c r="S146" s="852"/>
      <c r="T146" s="852"/>
      <c r="U146" s="852"/>
      <c r="V146" s="854">
        <f>STDEV(D$2:D146)*SQRT(252)</f>
        <v>0.20138882204680125</v>
      </c>
      <c r="W146" s="854">
        <f>STDEV(L$2:L146)*SQRT(252)</f>
        <v>0.41305007987980863</v>
      </c>
      <c r="X146" s="823">
        <f t="shared" si="35"/>
        <v>-0.34012792872487485</v>
      </c>
      <c r="Y146" s="823">
        <f t="shared" si="36"/>
        <v>-1.1013071427947407</v>
      </c>
      <c r="Z146" s="829">
        <f t="shared" si="37"/>
        <v>-0.22215846264863687</v>
      </c>
    </row>
    <row r="147" spans="1:26" ht="20.100000000000001" customHeight="1" x14ac:dyDescent="0.2">
      <c r="A147" s="798">
        <f t="shared" si="55"/>
        <v>211</v>
      </c>
      <c r="B147" s="846">
        <v>42444</v>
      </c>
      <c r="C147" s="847">
        <v>2015.93</v>
      </c>
      <c r="D147" s="814">
        <f t="shared" si="53"/>
        <v>-1.8369610425620587E-3</v>
      </c>
      <c r="E147" s="848">
        <f t="shared" si="57"/>
        <v>-4.1147428701889227E-2</v>
      </c>
      <c r="F147" s="849">
        <v>4728.66</v>
      </c>
      <c r="G147" s="814">
        <f t="shared" si="51"/>
        <v>-4.5513106595821496E-3</v>
      </c>
      <c r="H147" s="850">
        <f t="shared" si="58"/>
        <v>-7.1300351552526661E-2</v>
      </c>
      <c r="I147" s="851">
        <v>295669.06</v>
      </c>
      <c r="J147" s="852">
        <v>400000</v>
      </c>
      <c r="K147" s="852">
        <f t="shared" si="44"/>
        <v>285.57000000000698</v>
      </c>
      <c r="L147" s="814">
        <f t="shared" si="52"/>
        <v>9.6677712082014809E-4</v>
      </c>
      <c r="M147" s="853">
        <f t="shared" si="47"/>
        <v>-104330.94</v>
      </c>
      <c r="N147" s="854">
        <f t="shared" si="48"/>
        <v>-0.26082735000000001</v>
      </c>
      <c r="O147" s="808">
        <f t="shared" si="56"/>
        <v>-0.45150326818720377</v>
      </c>
      <c r="P147" s="853" t="b">
        <f t="shared" si="46"/>
        <v>1</v>
      </c>
      <c r="Q147" s="854">
        <f>COUNTIF(P$2:P147, TRUE)/(COUNTIF(P$2:P147,FALSE) + COUNTIF(P$2:P147, TRUE))</f>
        <v>0.46575342465753422</v>
      </c>
      <c r="R147" s="852"/>
      <c r="S147" s="852"/>
      <c r="T147" s="852"/>
      <c r="U147" s="852"/>
      <c r="V147" s="854">
        <f>STDEV(D$2:D147)*SQRT(252)</f>
        <v>0.20069995386729664</v>
      </c>
      <c r="W147" s="854">
        <f>STDEV(L$2:L147)*SQRT(252)</f>
        <v>0.41162261053938765</v>
      </c>
      <c r="X147" s="823">
        <f t="shared" si="35"/>
        <v>-0.35489771080695059</v>
      </c>
      <c r="Y147" s="823">
        <f t="shared" si="36"/>
        <v>-1.0968864601377382</v>
      </c>
      <c r="Z147" s="829">
        <f t="shared" si="37"/>
        <v>-0.21967992129811079</v>
      </c>
    </row>
    <row r="148" spans="1:26" ht="20.100000000000001" customHeight="1" x14ac:dyDescent="0.2">
      <c r="A148" s="798">
        <f t="shared" si="55"/>
        <v>212</v>
      </c>
      <c r="B148" s="846">
        <v>42445</v>
      </c>
      <c r="C148" s="847">
        <v>2027.22</v>
      </c>
      <c r="D148" s="814">
        <f t="shared" si="53"/>
        <v>5.6003928707841853E-3</v>
      </c>
      <c r="E148" s="848">
        <f t="shared" si="57"/>
        <v>-3.5777477597458203E-2</v>
      </c>
      <c r="F148" s="849">
        <v>4763.97</v>
      </c>
      <c r="G148" s="814">
        <f t="shared" si="51"/>
        <v>7.467231731611154E-3</v>
      </c>
      <c r="H148" s="850">
        <f t="shared" si="58"/>
        <v>-6.4365536068503565E-2</v>
      </c>
      <c r="I148" s="851">
        <v>297622.03999999998</v>
      </c>
      <c r="J148" s="852">
        <v>400000</v>
      </c>
      <c r="K148" s="852">
        <f t="shared" si="44"/>
        <v>1952.9799999999814</v>
      </c>
      <c r="L148" s="814">
        <f t="shared" si="52"/>
        <v>6.6052903878409917E-3</v>
      </c>
      <c r="M148" s="853">
        <f t="shared" si="47"/>
        <v>-102377.96000000002</v>
      </c>
      <c r="N148" s="854">
        <f t="shared" si="48"/>
        <v>-0.25594490000000003</v>
      </c>
      <c r="O148" s="808">
        <f t="shared" si="56"/>
        <v>-0.44096167323113211</v>
      </c>
      <c r="P148" s="853" t="b">
        <f t="shared" si="46"/>
        <v>1</v>
      </c>
      <c r="Q148" s="854">
        <f>COUNTIF(P$2:P148, TRUE)/(COUNTIF(P$2:P148,FALSE) + COUNTIF(P$2:P148, TRUE))</f>
        <v>0.46938775510204084</v>
      </c>
      <c r="R148" s="852">
        <v>208116.46</v>
      </c>
      <c r="S148" s="852">
        <f t="shared" ref="S148:S153" si="59">I148-R148</f>
        <v>89505.579999999987</v>
      </c>
      <c r="T148" s="852"/>
      <c r="U148" s="852"/>
      <c r="V148" s="854">
        <f>STDEV(D$2:D148)*SQRT(252)</f>
        <v>0.20015232316185677</v>
      </c>
      <c r="W148" s="854">
        <f>STDEV(L$2:L148)*SQRT(252)</f>
        <v>0.41032597832718526</v>
      </c>
      <c r="X148" s="823">
        <f t="shared" si="35"/>
        <v>-0.30796647834418456</v>
      </c>
      <c r="Y148" s="823">
        <f t="shared" si="36"/>
        <v>-1.0746618457569814</v>
      </c>
      <c r="Z148" s="829">
        <f t="shared" si="37"/>
        <v>-0.22016742240254183</v>
      </c>
    </row>
    <row r="149" spans="1:26" ht="20.100000000000001" customHeight="1" x14ac:dyDescent="0.2">
      <c r="A149" s="798">
        <f t="shared" si="55"/>
        <v>213</v>
      </c>
      <c r="B149" s="846">
        <v>42446</v>
      </c>
      <c r="C149" s="847">
        <v>2040.59</v>
      </c>
      <c r="D149" s="814">
        <f t="shared" si="53"/>
        <v>6.5952387999328593E-3</v>
      </c>
      <c r="E149" s="848">
        <f t="shared" si="57"/>
        <v>-2.9418199805939828E-2</v>
      </c>
      <c r="F149" s="849">
        <v>4774.9799999999996</v>
      </c>
      <c r="G149" s="814">
        <f t="shared" si="51"/>
        <v>2.3110976769373671E-3</v>
      </c>
      <c r="H149" s="850">
        <f t="shared" si="58"/>
        <v>-6.2203193432448942E-2</v>
      </c>
      <c r="I149" s="851">
        <v>298243.74</v>
      </c>
      <c r="J149" s="852">
        <v>400000</v>
      </c>
      <c r="K149" s="852">
        <f t="shared" si="44"/>
        <v>621.70000000001164</v>
      </c>
      <c r="L149" s="814">
        <f t="shared" si="52"/>
        <v>2.0888909974543946E-3</v>
      </c>
      <c r="M149" s="853">
        <f t="shared" si="47"/>
        <v>-101756.26000000001</v>
      </c>
      <c r="N149" s="854">
        <f t="shared" si="48"/>
        <v>-0.25439065</v>
      </c>
      <c r="O149" s="808">
        <f t="shared" si="56"/>
        <v>-0.43622622024647889</v>
      </c>
      <c r="P149" s="853" t="b">
        <f t="shared" si="46"/>
        <v>0</v>
      </c>
      <c r="Q149" s="854">
        <f>COUNTIF(P$2:P149, TRUE)/(COUNTIF(P$2:P149,FALSE) + COUNTIF(P$2:P149, TRUE))</f>
        <v>0.46621621621621623</v>
      </c>
      <c r="R149" s="852">
        <v>201345.75</v>
      </c>
      <c r="S149" s="852">
        <f t="shared" si="59"/>
        <v>96897.989999999991</v>
      </c>
      <c r="T149" s="852"/>
      <c r="U149" s="852"/>
      <c r="V149" s="854">
        <f>STDEV(D$2:D149)*SQRT(252)</f>
        <v>0.19966229894539708</v>
      </c>
      <c r="W149" s="854">
        <f>STDEV(L$2:L149)*SQRT(252)</f>
        <v>0.40893908230401166</v>
      </c>
      <c r="X149" s="823">
        <f t="shared" si="35"/>
        <v>-0.25265659977373867</v>
      </c>
      <c r="Y149" s="823">
        <f t="shared" si="36"/>
        <v>-1.0667266571557021</v>
      </c>
      <c r="Z149" s="829">
        <f t="shared" si="37"/>
        <v>-0.22497245019406018</v>
      </c>
    </row>
    <row r="150" spans="1:26" ht="20.100000000000001" customHeight="1" x14ac:dyDescent="0.2">
      <c r="A150" s="798">
        <f t="shared" si="55"/>
        <v>214</v>
      </c>
      <c r="B150" s="846">
        <v>42447</v>
      </c>
      <c r="C150" s="847">
        <v>2049.56</v>
      </c>
      <c r="D150" s="814">
        <f t="shared" si="53"/>
        <v>4.3957874928329688E-3</v>
      </c>
      <c r="E150" s="848">
        <f t="shared" si="57"/>
        <v>-2.5151728467875473E-2</v>
      </c>
      <c r="F150" s="849">
        <v>4795.6499999999996</v>
      </c>
      <c r="G150" s="814">
        <f t="shared" si="51"/>
        <v>4.3288139426762157E-3</v>
      </c>
      <c r="H150" s="850">
        <f t="shared" si="58"/>
        <v>-5.8143645540782093E-2</v>
      </c>
      <c r="I150" s="851">
        <v>302252.61</v>
      </c>
      <c r="J150" s="852">
        <v>400000</v>
      </c>
      <c r="K150" s="852">
        <f t="shared" si="44"/>
        <v>4008.8699999999953</v>
      </c>
      <c r="L150" s="814">
        <f t="shared" si="52"/>
        <v>1.3441589754742196E-2</v>
      </c>
      <c r="M150" s="853">
        <f t="shared" si="47"/>
        <v>-97747.390000000014</v>
      </c>
      <c r="N150" s="854">
        <f t="shared" si="48"/>
        <v>-0.24436847500000003</v>
      </c>
      <c r="O150" s="808">
        <f t="shared" si="56"/>
        <v>-0.41708217520443935</v>
      </c>
      <c r="P150" s="853" t="b">
        <f t="shared" si="46"/>
        <v>1</v>
      </c>
      <c r="Q150" s="854">
        <f>COUNTIF(P$2:P150, TRUE)/(COUNTIF(P$2:P150,FALSE) + COUNTIF(P$2:P150, TRUE))</f>
        <v>0.46979865771812079</v>
      </c>
      <c r="R150" s="852">
        <v>189023.24</v>
      </c>
      <c r="S150" s="852">
        <f t="shared" si="59"/>
        <v>113229.37</v>
      </c>
      <c r="T150" s="852"/>
      <c r="U150" s="852"/>
      <c r="V150" s="854">
        <f>STDEV(D$2:D150)*SQRT(252)</f>
        <v>0.19906941872329306</v>
      </c>
      <c r="W150" s="854">
        <f>STDEV(L$2:L150)*SQRT(252)</f>
        <v>0.40798335166369004</v>
      </c>
      <c r="X150" s="823">
        <f t="shared" si="35"/>
        <v>-0.21564517172346245</v>
      </c>
      <c r="Y150" s="823">
        <f t="shared" si="36"/>
        <v>-1.0223019481153968</v>
      </c>
      <c r="Z150" s="829">
        <f t="shared" si="37"/>
        <v>-0.21921674653212456</v>
      </c>
    </row>
    <row r="151" spans="1:26" ht="20.100000000000001" customHeight="1" x14ac:dyDescent="0.2">
      <c r="A151" s="798">
        <f t="shared" si="55"/>
        <v>217</v>
      </c>
      <c r="B151" s="817">
        <v>42450</v>
      </c>
      <c r="C151" s="842">
        <v>2051.6</v>
      </c>
      <c r="D151" s="814">
        <f t="shared" si="53"/>
        <v>9.9533558422293736E-4</v>
      </c>
      <c r="E151" s="841">
        <f t="shared" si="57"/>
        <v>-2.4181427294001325E-2</v>
      </c>
      <c r="F151" s="838">
        <v>4808.87</v>
      </c>
      <c r="G151" s="814">
        <f t="shared" si="51"/>
        <v>2.7566648942271132E-3</v>
      </c>
      <c r="H151" s="819">
        <f t="shared" si="58"/>
        <v>-5.5547263193039639E-2</v>
      </c>
      <c r="I151" s="821">
        <v>302397.02</v>
      </c>
      <c r="J151" s="822">
        <v>400000</v>
      </c>
      <c r="K151" s="822">
        <f t="shared" si="44"/>
        <v>144.4100000000326</v>
      </c>
      <c r="L151" s="814">
        <f t="shared" si="52"/>
        <v>4.7777916624121991E-4</v>
      </c>
      <c r="M151" s="839">
        <f t="shared" si="47"/>
        <v>-97602.979999999981</v>
      </c>
      <c r="N151" s="824">
        <f t="shared" si="48"/>
        <v>-0.24400744999999996</v>
      </c>
      <c r="O151" s="808">
        <f t="shared" si="56"/>
        <v>-0.41070839222350225</v>
      </c>
      <c r="P151" s="839" t="b">
        <f t="shared" si="46"/>
        <v>0</v>
      </c>
      <c r="Q151" s="824">
        <f>COUNTIF(P$2:P151, TRUE)/(COUNTIF(P$2:P151,FALSE) + COUNTIF(P$2:P151, TRUE))</f>
        <v>0.46666666666666667</v>
      </c>
      <c r="R151" s="822">
        <v>190702.94</v>
      </c>
      <c r="S151" s="822">
        <f t="shared" si="59"/>
        <v>111694.08000000002</v>
      </c>
      <c r="T151" s="822"/>
      <c r="U151" s="822"/>
      <c r="V151" s="824">
        <f>STDEV(D$2:D151)*SQRT(252)</f>
        <v>0.19840080405595206</v>
      </c>
      <c r="W151" s="824">
        <f>STDEV(L$2:L151)*SQRT(252)</f>
        <v>0.40660686098578552</v>
      </c>
      <c r="X151" s="823">
        <f t="shared" si="35"/>
        <v>-0.2051488062272657</v>
      </c>
      <c r="Y151" s="823">
        <f t="shared" si="36"/>
        <v>-1.0100872160095207</v>
      </c>
      <c r="Z151" s="829">
        <f t="shared" si="37"/>
        <v>-0.21982602270599863</v>
      </c>
    </row>
    <row r="152" spans="1:26" ht="20.100000000000001" customHeight="1" x14ac:dyDescent="0.2">
      <c r="A152" s="798">
        <f t="shared" si="55"/>
        <v>218</v>
      </c>
      <c r="B152" s="817">
        <v>42451</v>
      </c>
      <c r="C152" s="842">
        <v>2052.6</v>
      </c>
      <c r="D152" s="814">
        <f t="shared" si="53"/>
        <v>4.8742444921037243E-4</v>
      </c>
      <c r="E152" s="841">
        <f t="shared" si="57"/>
        <v>-2.370578946367085E-2</v>
      </c>
      <c r="F152" s="838">
        <v>4809.87</v>
      </c>
      <c r="G152" s="814">
        <f t="shared" si="51"/>
        <v>2.0794906079806691E-4</v>
      </c>
      <c r="H152" s="819">
        <f t="shared" si="58"/>
        <v>-5.535086513345247E-2</v>
      </c>
      <c r="I152" s="821">
        <v>300927.05</v>
      </c>
      <c r="J152" s="822">
        <v>400000</v>
      </c>
      <c r="K152" s="822">
        <f t="shared" ref="K152:K183" si="60">I152-I151-J152+J151</f>
        <v>-1469.9700000000303</v>
      </c>
      <c r="L152" s="814">
        <f t="shared" si="52"/>
        <v>-4.8610598080630228E-3</v>
      </c>
      <c r="M152" s="839">
        <f t="shared" si="47"/>
        <v>-99072.950000000012</v>
      </c>
      <c r="N152" s="824">
        <f t="shared" si="48"/>
        <v>-0.24768237500000004</v>
      </c>
      <c r="O152" s="808">
        <f t="shared" si="56"/>
        <v>-0.41498159389334865</v>
      </c>
      <c r="P152" s="839" t="b">
        <f t="shared" si="46"/>
        <v>0</v>
      </c>
      <c r="Q152" s="824">
        <f>COUNTIF(P$2:P152, TRUE)/(COUNTIF(P$2:P152,FALSE) + COUNTIF(P$2:P152, TRUE))</f>
        <v>0.46357615894039733</v>
      </c>
      <c r="R152" s="822">
        <v>208698.82</v>
      </c>
      <c r="S152" s="822">
        <f t="shared" si="59"/>
        <v>92228.229999999981</v>
      </c>
      <c r="T152" s="822"/>
      <c r="U152" s="822"/>
      <c r="V152" s="824">
        <f>STDEV(D$2:D152)*SQRT(252)</f>
        <v>0.19773530847085422</v>
      </c>
      <c r="W152" s="824">
        <f>STDEV(L$2:L152)*SQRT(252)</f>
        <v>0.40527216981287528</v>
      </c>
      <c r="X152" s="823">
        <f t="shared" si="35"/>
        <v>-0.20086484237008859</v>
      </c>
      <c r="Y152" s="823">
        <f t="shared" si="36"/>
        <v>-1.0239577864055074</v>
      </c>
      <c r="Z152" s="829">
        <f t="shared" si="37"/>
        <v>-0.22397658553632918</v>
      </c>
    </row>
    <row r="153" spans="1:26" ht="20.100000000000001" customHeight="1" x14ac:dyDescent="0.2">
      <c r="A153" s="798">
        <f t="shared" si="55"/>
        <v>219</v>
      </c>
      <c r="B153" s="817">
        <v>42452</v>
      </c>
      <c r="C153" s="842">
        <v>2036.71</v>
      </c>
      <c r="D153" s="814">
        <f t="shared" si="53"/>
        <v>-7.7414011497612166E-3</v>
      </c>
      <c r="E153" s="841">
        <f t="shared" si="57"/>
        <v>-3.1263674587622012E-2</v>
      </c>
      <c r="F153" s="838">
        <v>4768.8599999999997</v>
      </c>
      <c r="G153" s="814">
        <f t="shared" si="51"/>
        <v>-8.5262179643109306E-3</v>
      </c>
      <c r="H153" s="819">
        <f t="shared" si="58"/>
        <v>-6.3405149557122412E-2</v>
      </c>
      <c r="I153" s="821">
        <v>283106.53999999998</v>
      </c>
      <c r="J153" s="822">
        <v>400000</v>
      </c>
      <c r="K153" s="822">
        <f t="shared" si="60"/>
        <v>-17820.510000000009</v>
      </c>
      <c r="L153" s="814">
        <f t="shared" si="52"/>
        <v>-5.9218704333824458E-2</v>
      </c>
      <c r="M153" s="839">
        <f t="shared" si="47"/>
        <v>-116893.46000000002</v>
      </c>
      <c r="N153" s="824">
        <f t="shared" si="48"/>
        <v>-0.29223365000000007</v>
      </c>
      <c r="O153" s="808">
        <f t="shared" si="56"/>
        <v>-0.48738968339041105</v>
      </c>
      <c r="P153" s="839" t="b">
        <f t="shared" si="46"/>
        <v>0</v>
      </c>
      <c r="Q153" s="824">
        <f>COUNTIF(P$2:P153, TRUE)/(COUNTIF(P$2:P153,FALSE) + COUNTIF(P$2:P153, TRUE))</f>
        <v>0.46052631578947367</v>
      </c>
      <c r="R153" s="822">
        <v>233281.17</v>
      </c>
      <c r="S153" s="822">
        <f t="shared" si="59"/>
        <v>49825.369999999966</v>
      </c>
      <c r="T153" s="822"/>
      <c r="U153" s="822"/>
      <c r="V153" s="824">
        <f>STDEV(D$2:D153)*SQRT(252)</f>
        <v>0.19732328223466214</v>
      </c>
      <c r="W153" s="824">
        <f>STDEV(L$2:L153)*SQRT(252)</f>
        <v>0.41087213630897762</v>
      </c>
      <c r="X153" s="823">
        <f t="shared" si="35"/>
        <v>-0.26424562194813123</v>
      </c>
      <c r="Y153" s="823">
        <f t="shared" si="36"/>
        <v>-1.1862320179918258</v>
      </c>
      <c r="Z153" s="829">
        <f t="shared" si="37"/>
        <v>-0.26096997541237804</v>
      </c>
    </row>
    <row r="154" spans="1:26" ht="20.100000000000001" customHeight="1" x14ac:dyDescent="0.2">
      <c r="A154" s="798">
        <f t="shared" si="55"/>
        <v>220</v>
      </c>
      <c r="B154" s="817">
        <v>42453</v>
      </c>
      <c r="C154" s="842">
        <v>2035.94</v>
      </c>
      <c r="D154" s="814">
        <f t="shared" si="53"/>
        <v>-3.7806069592626431E-4</v>
      </c>
      <c r="E154" s="841">
        <f t="shared" si="57"/>
        <v>-3.1629915716976466E-2</v>
      </c>
      <c r="F154" s="838">
        <v>4773.5</v>
      </c>
      <c r="G154" s="814">
        <f t="shared" si="51"/>
        <v>9.7297886706683098E-4</v>
      </c>
      <c r="H154" s="819">
        <f t="shared" si="58"/>
        <v>-6.2493862560637867E-2</v>
      </c>
      <c r="I154" s="821">
        <v>283603.99</v>
      </c>
      <c r="J154" s="822">
        <v>400000</v>
      </c>
      <c r="K154" s="822">
        <f t="shared" si="60"/>
        <v>497.45000000001164</v>
      </c>
      <c r="L154" s="814">
        <f t="shared" si="52"/>
        <v>1.7571123577717832E-3</v>
      </c>
      <c r="M154" s="839">
        <f t="shared" si="47"/>
        <v>-116396.01000000001</v>
      </c>
      <c r="N154" s="824">
        <f t="shared" si="48"/>
        <v>-0.29099002500000004</v>
      </c>
      <c r="O154" s="808">
        <f t="shared" si="56"/>
        <v>-0.48310957559659101</v>
      </c>
      <c r="P154" s="839" t="b">
        <f t="shared" si="46"/>
        <v>1</v>
      </c>
      <c r="Q154" s="824">
        <f>COUNTIF(P$2:P154, TRUE)/(COUNTIF(P$2:P154,FALSE) + COUNTIF(P$2:P154, TRUE))</f>
        <v>0.46405228758169936</v>
      </c>
      <c r="R154" s="822">
        <v>233282.17</v>
      </c>
      <c r="S154" s="822">
        <f t="shared" ref="S154:S191" si="61">I154-R154</f>
        <v>50321.819999999978</v>
      </c>
      <c r="T154" s="822"/>
      <c r="U154" s="822"/>
      <c r="V154" s="824">
        <f>STDEV(D$2:D154)*SQRT(252)</f>
        <v>0.19666906063244452</v>
      </c>
      <c r="W154" s="824">
        <f>STDEV(L$2:L154)*SQRT(252)</f>
        <v>0.40952879368350692</v>
      </c>
      <c r="X154" s="823">
        <f t="shared" si="35"/>
        <v>-0.26701123470320931</v>
      </c>
      <c r="Y154" s="823">
        <f t="shared" si="36"/>
        <v>-1.1796718156280581</v>
      </c>
      <c r="Z154" s="829">
        <f t="shared" si="37"/>
        <v>-0.25936010928302355</v>
      </c>
    </row>
    <row r="155" spans="1:26" ht="20.100000000000001" customHeight="1" x14ac:dyDescent="0.2">
      <c r="A155" s="798">
        <f t="shared" si="55"/>
        <v>224</v>
      </c>
      <c r="B155" s="846">
        <v>42457</v>
      </c>
      <c r="C155" s="847">
        <v>2037.05</v>
      </c>
      <c r="D155" s="814">
        <f t="shared" si="53"/>
        <v>5.4520270734889045E-4</v>
      </c>
      <c r="E155" s="848">
        <f t="shared" si="57"/>
        <v>-3.1101957725309687E-2</v>
      </c>
      <c r="F155" s="849">
        <v>4766.78</v>
      </c>
      <c r="G155" s="814">
        <f t="shared" si="51"/>
        <v>-1.4077720749974348E-3</v>
      </c>
      <c r="H155" s="850">
        <f t="shared" si="58"/>
        <v>-6.3813657521063702E-2</v>
      </c>
      <c r="I155" s="851">
        <v>281306.2</v>
      </c>
      <c r="J155" s="852">
        <v>400000</v>
      </c>
      <c r="K155" s="852">
        <f t="shared" si="60"/>
        <v>-2297.789999999979</v>
      </c>
      <c r="L155" s="814">
        <f t="shared" si="52"/>
        <v>-8.1021074491934297E-3</v>
      </c>
      <c r="M155" s="853">
        <f t="shared" si="47"/>
        <v>-118693.79999999999</v>
      </c>
      <c r="N155" s="854">
        <f t="shared" si="48"/>
        <v>-0.29673449999999996</v>
      </c>
      <c r="O155" s="808">
        <f t="shared" si="56"/>
        <v>-0.48384944698660709</v>
      </c>
      <c r="P155" s="853" t="b">
        <f t="shared" ref="P155:P191" si="62">L155&gt;D155</f>
        <v>0</v>
      </c>
      <c r="Q155" s="854">
        <f>COUNTIF(P$2:P155, TRUE)/(COUNTIF(P$2:P155,FALSE) + COUNTIF(P$2:P155, TRUE))</f>
        <v>0.46103896103896103</v>
      </c>
      <c r="R155" s="852">
        <v>231480.83</v>
      </c>
      <c r="S155" s="852">
        <f t="shared" si="61"/>
        <v>49825.370000000024</v>
      </c>
      <c r="T155" s="852"/>
      <c r="U155" s="852"/>
      <c r="V155" s="854">
        <f>STDEV(D$2:D155)*SQRT(252)</f>
        <v>0.19602299974071929</v>
      </c>
      <c r="W155" s="854">
        <f>STDEV(L$2:L155)*SQRT(252)</f>
        <v>0.40827222780986738</v>
      </c>
      <c r="X155" s="823">
        <f t="shared" ref="X155:X218" si="63">E155/(A155/365.25)/V155</f>
        <v>-0.25871577010176117</v>
      </c>
      <c r="Y155" s="823">
        <f t="shared" ref="Y155:Y218" si="64">O155/W155</f>
        <v>-1.185114769089648</v>
      </c>
      <c r="Z155" s="829">
        <f t="shared" ref="Z155:Z218" si="65">-(E155-N155)</f>
        <v>-0.26563254227469024</v>
      </c>
    </row>
    <row r="156" spans="1:26" ht="20.100000000000001" customHeight="1" x14ac:dyDescent="0.2">
      <c r="A156" s="798">
        <f t="shared" si="55"/>
        <v>225</v>
      </c>
      <c r="B156" s="846">
        <v>42458</v>
      </c>
      <c r="C156" s="847">
        <v>2055.0100000000002</v>
      </c>
      <c r="D156" s="814">
        <f t="shared" si="53"/>
        <v>8.8166711666381598E-3</v>
      </c>
      <c r="E156" s="848">
        <f t="shared" si="57"/>
        <v>-2.2559502292574262E-2</v>
      </c>
      <c r="F156" s="849">
        <v>4846.62</v>
      </c>
      <c r="G156" s="814">
        <f t="shared" si="51"/>
        <v>1.6749252115683993E-2</v>
      </c>
      <c r="H156" s="850">
        <f t="shared" si="58"/>
        <v>-4.8133236443623925E-2</v>
      </c>
      <c r="I156" s="851">
        <v>285322.46999999997</v>
      </c>
      <c r="J156" s="852">
        <v>400000</v>
      </c>
      <c r="K156" s="852">
        <f t="shared" si="60"/>
        <v>4016.2699999999604</v>
      </c>
      <c r="L156" s="814">
        <f t="shared" si="52"/>
        <v>1.4277218205641967E-2</v>
      </c>
      <c r="M156" s="853">
        <f t="shared" si="47"/>
        <v>-114677.53000000003</v>
      </c>
      <c r="N156" s="854">
        <f t="shared" si="48"/>
        <v>-0.28669382500000007</v>
      </c>
      <c r="O156" s="808">
        <f t="shared" si="56"/>
        <v>-0.46539964258333344</v>
      </c>
      <c r="P156" s="853" t="b">
        <f t="shared" si="62"/>
        <v>1</v>
      </c>
      <c r="Q156" s="854">
        <f>COUNTIF(P$2:P156, TRUE)/(COUNTIF(P$2:P156,FALSE) + COUNTIF(P$2:P156, TRUE))</f>
        <v>0.46451612903225808</v>
      </c>
      <c r="R156" s="852">
        <v>235497.1</v>
      </c>
      <c r="S156" s="852">
        <f t="shared" si="61"/>
        <v>49825.369999999966</v>
      </c>
      <c r="T156" s="852"/>
      <c r="U156" s="852"/>
      <c r="V156" s="854">
        <f>STDEV(D$2:D156)*SQRT(252)</f>
        <v>0.19571630227727144</v>
      </c>
      <c r="W156" s="854">
        <f>STDEV(L$2:L156)*SQRT(252)</f>
        <v>0.4074274282139313</v>
      </c>
      <c r="X156" s="823">
        <f t="shared" si="63"/>
        <v>-0.18711569567191041</v>
      </c>
      <c r="Y156" s="823">
        <f t="shared" si="64"/>
        <v>-1.1422884429345836</v>
      </c>
      <c r="Z156" s="829">
        <f t="shared" si="65"/>
        <v>-0.26413432270742582</v>
      </c>
    </row>
    <row r="157" spans="1:26" ht="20.100000000000001" customHeight="1" x14ac:dyDescent="0.2">
      <c r="A157" s="798">
        <f t="shared" si="55"/>
        <v>226</v>
      </c>
      <c r="B157" s="846">
        <v>42459</v>
      </c>
      <c r="C157" s="847">
        <v>2063.9499999999998</v>
      </c>
      <c r="D157" s="814">
        <f t="shared" si="53"/>
        <v>4.3503437939472799E-3</v>
      </c>
      <c r="E157" s="848">
        <f t="shared" si="57"/>
        <v>-1.8307300089420026E-2</v>
      </c>
      <c r="F157" s="849">
        <v>4869.29</v>
      </c>
      <c r="G157" s="814">
        <f t="shared" si="51"/>
        <v>4.6774865782751845E-3</v>
      </c>
      <c r="H157" s="850">
        <f t="shared" si="58"/>
        <v>-4.3680892432782739E-2</v>
      </c>
      <c r="I157" s="851">
        <v>288126.49</v>
      </c>
      <c r="J157" s="852">
        <v>400000</v>
      </c>
      <c r="K157" s="852">
        <f t="shared" si="60"/>
        <v>2804.0200000000186</v>
      </c>
      <c r="L157" s="814">
        <f t="shared" si="52"/>
        <v>9.8275470557927635E-3</v>
      </c>
      <c r="M157" s="853">
        <f t="shared" si="47"/>
        <v>-111873.51000000001</v>
      </c>
      <c r="N157" s="854">
        <f t="shared" si="48"/>
        <v>-0.27968377500000002</v>
      </c>
      <c r="O157" s="808">
        <f t="shared" si="56"/>
        <v>-0.45201105672013281</v>
      </c>
      <c r="P157" s="853" t="b">
        <f t="shared" si="62"/>
        <v>1</v>
      </c>
      <c r="Q157" s="854">
        <f>COUNTIF(P$2:P157, TRUE)/(COUNTIF(P$2:P157,FALSE) + COUNTIF(P$2:P157, TRUE))</f>
        <v>0.46794871794871795</v>
      </c>
      <c r="R157" s="852">
        <v>216771.49</v>
      </c>
      <c r="S157" s="852">
        <f t="shared" si="61"/>
        <v>71355</v>
      </c>
      <c r="T157" s="852"/>
      <c r="U157" s="852"/>
      <c r="V157" s="854">
        <f>STDEV(D$2:D157)*SQRT(252)</f>
        <v>0.19516132328288105</v>
      </c>
      <c r="W157" s="854">
        <f>STDEV(L$2:L157)*SQRT(252)</f>
        <v>0.40634858436204313</v>
      </c>
      <c r="X157" s="823">
        <f t="shared" si="63"/>
        <v>-0.1516045835434584</v>
      </c>
      <c r="Y157" s="823">
        <f t="shared" si="64"/>
        <v>-1.1123726625743722</v>
      </c>
      <c r="Z157" s="829">
        <f t="shared" si="65"/>
        <v>-0.26137647491058003</v>
      </c>
    </row>
    <row r="158" spans="1:26" ht="20.100000000000001" customHeight="1" x14ac:dyDescent="0.2">
      <c r="A158" s="798">
        <f t="shared" si="55"/>
        <v>227</v>
      </c>
      <c r="B158" s="846">
        <v>42460</v>
      </c>
      <c r="C158" s="847">
        <v>2059.7399999999998</v>
      </c>
      <c r="D158" s="814">
        <f t="shared" si="53"/>
        <v>-2.0397780953996156E-3</v>
      </c>
      <c r="E158" s="848">
        <f t="shared" si="57"/>
        <v>-2.0309735355111335E-2</v>
      </c>
      <c r="F158" s="849">
        <v>4869.84</v>
      </c>
      <c r="G158" s="814">
        <f t="shared" si="51"/>
        <v>1.129528124223823E-4</v>
      </c>
      <c r="H158" s="850">
        <f t="shared" si="58"/>
        <v>-4.3572873500009754E-2</v>
      </c>
      <c r="I158" s="858">
        <v>295667.37</v>
      </c>
      <c r="J158" s="852">
        <v>400000</v>
      </c>
      <c r="K158" s="852">
        <f t="shared" si="60"/>
        <v>7540.8800000000047</v>
      </c>
      <c r="L158" s="814">
        <f t="shared" si="52"/>
        <v>2.6172116281290222E-2</v>
      </c>
      <c r="M158" s="853">
        <f t="shared" ref="M158:M191" si="66">I158-J158</f>
        <v>-104332.63</v>
      </c>
      <c r="N158" s="854">
        <f t="shared" ref="N158:N189" si="67">M158/J158</f>
        <v>-0.26083157500000004</v>
      </c>
      <c r="O158" s="808">
        <f t="shared" si="56"/>
        <v>-0.41968604743942739</v>
      </c>
      <c r="P158" s="853" t="b">
        <f t="shared" si="62"/>
        <v>1</v>
      </c>
      <c r="Q158" s="854">
        <f>COUNTIF(P$2:P158, TRUE)/(COUNTIF(P$2:P158,FALSE) + COUNTIF(P$2:P158, TRUE))</f>
        <v>0.4713375796178344</v>
      </c>
      <c r="R158" s="852">
        <v>202826.77</v>
      </c>
      <c r="S158" s="852">
        <f t="shared" si="61"/>
        <v>92840.6</v>
      </c>
      <c r="T158" s="852"/>
      <c r="U158" s="852"/>
      <c r="V158" s="854">
        <f>STDEV(D$2:D158)*SQRT(252)</f>
        <v>0.19454728889036682</v>
      </c>
      <c r="W158" s="854">
        <f>STDEV(L$2:L158)*SQRT(252)</f>
        <v>0.40652602523849884</v>
      </c>
      <c r="X158" s="823">
        <f t="shared" si="63"/>
        <v>-0.16797453546725258</v>
      </c>
      <c r="Y158" s="823">
        <f t="shared" si="64"/>
        <v>-1.0323719058163814</v>
      </c>
      <c r="Z158" s="829">
        <f t="shared" si="65"/>
        <v>-0.24052183964488871</v>
      </c>
    </row>
    <row r="159" spans="1:26" ht="20.100000000000001" customHeight="1" x14ac:dyDescent="0.2">
      <c r="A159" s="798">
        <f t="shared" si="55"/>
        <v>228</v>
      </c>
      <c r="B159" s="846">
        <v>42461</v>
      </c>
      <c r="C159" s="847">
        <v>2072.7800000000002</v>
      </c>
      <c r="D159" s="814">
        <f t="shared" si="53"/>
        <v>6.3308961325217843E-3</v>
      </c>
      <c r="E159" s="848">
        <f t="shared" si="57"/>
        <v>-1.4107418047601765E-2</v>
      </c>
      <c r="F159" s="849">
        <v>4914.54</v>
      </c>
      <c r="G159" s="814">
        <f t="shared" si="51"/>
        <v>9.1789463308855762E-3</v>
      </c>
      <c r="H159" s="850">
        <f t="shared" si="58"/>
        <v>-3.4793880236463237E-2</v>
      </c>
      <c r="I159" s="851">
        <v>293885.49</v>
      </c>
      <c r="J159" s="852">
        <v>400000</v>
      </c>
      <c r="K159" s="852">
        <f t="shared" si="60"/>
        <v>-1781.8800000000047</v>
      </c>
      <c r="L159" s="814">
        <f t="shared" si="52"/>
        <v>-6.026637298529103E-3</v>
      </c>
      <c r="M159" s="853">
        <f t="shared" si="66"/>
        <v>-106114.51000000001</v>
      </c>
      <c r="N159" s="854">
        <f t="shared" si="67"/>
        <v>-0.26528627500000002</v>
      </c>
      <c r="O159" s="808">
        <f t="shared" si="56"/>
        <v>-0.42498163133223682</v>
      </c>
      <c r="P159" s="853" t="b">
        <f t="shared" si="62"/>
        <v>0</v>
      </c>
      <c r="Q159" s="854">
        <f>COUNTIF(P$2:P159, TRUE)/(COUNTIF(P$2:P159,FALSE) + COUNTIF(P$2:P159, TRUE))</f>
        <v>0.46835443037974683</v>
      </c>
      <c r="R159" s="852">
        <v>199513.83</v>
      </c>
      <c r="S159" s="852">
        <f t="shared" si="61"/>
        <v>94371.66</v>
      </c>
      <c r="T159" s="852"/>
      <c r="U159" s="852"/>
      <c r="V159" s="854">
        <f>STDEV(D$2:D159)*SQRT(252)</f>
        <v>0.19409152607046717</v>
      </c>
      <c r="W159" s="854">
        <f>STDEV(L$2:L159)*SQRT(252)</f>
        <v>0.40527068703901437</v>
      </c>
      <c r="X159" s="823">
        <f t="shared" si="63"/>
        <v>-0.11643842944595932</v>
      </c>
      <c r="Y159" s="823">
        <f t="shared" si="64"/>
        <v>-1.0486364914206709</v>
      </c>
      <c r="Z159" s="829">
        <f t="shared" si="65"/>
        <v>-0.25117885695239828</v>
      </c>
    </row>
    <row r="160" spans="1:26" ht="20.100000000000001" customHeight="1" x14ac:dyDescent="0.2">
      <c r="A160" s="798">
        <f t="shared" si="55"/>
        <v>231</v>
      </c>
      <c r="B160" s="817">
        <v>42464</v>
      </c>
      <c r="C160" s="842">
        <v>2066.13</v>
      </c>
      <c r="D160" s="814">
        <f t="shared" si="53"/>
        <v>-3.2082517199124318E-3</v>
      </c>
      <c r="E160" s="841">
        <f t="shared" si="57"/>
        <v>-1.7270409619299456E-2</v>
      </c>
      <c r="F160" s="838">
        <v>4891.79</v>
      </c>
      <c r="G160" s="814">
        <f t="shared" si="51"/>
        <v>-4.6291209350213854E-3</v>
      </c>
      <c r="H160" s="819">
        <f t="shared" si="58"/>
        <v>-3.9261936092071383E-2</v>
      </c>
      <c r="I160" s="821">
        <v>291382.05</v>
      </c>
      <c r="J160" s="822">
        <v>400000</v>
      </c>
      <c r="K160" s="822">
        <f t="shared" si="60"/>
        <v>-2503.4400000000023</v>
      </c>
      <c r="L160" s="814">
        <f t="shared" si="52"/>
        <v>-8.5184198784363334E-3</v>
      </c>
      <c r="M160" s="839">
        <f t="shared" si="66"/>
        <v>-108617.95000000001</v>
      </c>
      <c r="N160" s="824">
        <f t="shared" si="67"/>
        <v>-0.27154487500000002</v>
      </c>
      <c r="O160" s="808">
        <f t="shared" si="56"/>
        <v>-0.42935829261363634</v>
      </c>
      <c r="P160" s="839" t="b">
        <f t="shared" si="62"/>
        <v>0</v>
      </c>
      <c r="Q160" s="824">
        <f>COUNTIF(P$2:P160, TRUE)/(COUNTIF(P$2:P160,FALSE) + COUNTIF(P$2:P160, TRUE))</f>
        <v>0.46540880503144655</v>
      </c>
      <c r="R160" s="822">
        <v>199541.39</v>
      </c>
      <c r="S160" s="822">
        <f t="shared" si="61"/>
        <v>91840.659999999974</v>
      </c>
      <c r="T160" s="822"/>
      <c r="U160" s="822"/>
      <c r="V160" s="824">
        <f>STDEV(D$2:D160)*SQRT(252)</f>
        <v>0.19351440870684267</v>
      </c>
      <c r="W160" s="824">
        <f>STDEV(L$2:L160)*SQRT(252)</f>
        <v>0.40408811296561892</v>
      </c>
      <c r="X160" s="823">
        <f t="shared" si="63"/>
        <v>-0.14111317898256878</v>
      </c>
      <c r="Y160" s="823">
        <f t="shared" si="64"/>
        <v>-1.0625363103669607</v>
      </c>
      <c r="Z160" s="829">
        <f t="shared" si="65"/>
        <v>-0.25427446538070059</v>
      </c>
    </row>
    <row r="161" spans="1:26" ht="20.100000000000001" customHeight="1" x14ac:dyDescent="0.2">
      <c r="A161" s="798">
        <f t="shared" si="55"/>
        <v>232</v>
      </c>
      <c r="B161" s="817">
        <v>42465</v>
      </c>
      <c r="C161" s="842">
        <v>2045.17</v>
      </c>
      <c r="D161" s="814">
        <f t="shared" si="53"/>
        <v>-1.0144569799577004E-2</v>
      </c>
      <c r="E161" s="841">
        <f t="shared" si="57"/>
        <v>-2.7239778543026189E-2</v>
      </c>
      <c r="F161" s="838">
        <v>4843.93</v>
      </c>
      <c r="G161" s="814">
        <f t="shared" si="51"/>
        <v>-9.7837396944676028E-3</v>
      </c>
      <c r="H161" s="819">
        <f t="shared" si="58"/>
        <v>-4.8661547223913339E-2</v>
      </c>
      <c r="I161" s="821">
        <v>289909.68</v>
      </c>
      <c r="J161" s="822">
        <v>400000</v>
      </c>
      <c r="K161" s="822">
        <f t="shared" si="60"/>
        <v>-1472.3699999999953</v>
      </c>
      <c r="L161" s="814">
        <f t="shared" si="52"/>
        <v>-5.0530566313195871E-3</v>
      </c>
      <c r="M161" s="839">
        <f t="shared" si="66"/>
        <v>-110090.32</v>
      </c>
      <c r="N161" s="824">
        <f t="shared" si="67"/>
        <v>-0.27522580000000002</v>
      </c>
      <c r="O161" s="808">
        <f t="shared" si="56"/>
        <v>-0.43330268728448279</v>
      </c>
      <c r="P161" s="839" t="b">
        <f t="shared" si="62"/>
        <v>1</v>
      </c>
      <c r="Q161" s="824">
        <f>COUNTIF(P$2:P161, TRUE)/(COUNTIF(P$2:P161,FALSE) + COUNTIF(P$2:P161, TRUE))</f>
        <v>0.46875</v>
      </c>
      <c r="R161" s="822">
        <v>198034.04</v>
      </c>
      <c r="S161" s="822">
        <f t="shared" si="61"/>
        <v>91875.639999999985</v>
      </c>
      <c r="T161" s="822"/>
      <c r="U161" s="822"/>
      <c r="V161" s="824">
        <f>STDEV(D$2:D161)*SQRT(252)</f>
        <v>0.19332034289533651</v>
      </c>
      <c r="W161" s="824">
        <f>STDEV(L$2:L161)*SQRT(252)</f>
        <v>0.40283814257892614</v>
      </c>
      <c r="X161" s="823">
        <f t="shared" si="63"/>
        <v>-0.22183407414449935</v>
      </c>
      <c r="Y161" s="823">
        <f t="shared" si="64"/>
        <v>-1.0756247770147234</v>
      </c>
      <c r="Z161" s="829">
        <f t="shared" si="65"/>
        <v>-0.24798602145697382</v>
      </c>
    </row>
    <row r="162" spans="1:26" ht="20.100000000000001" customHeight="1" x14ac:dyDescent="0.2">
      <c r="A162" s="798">
        <f t="shared" si="55"/>
        <v>233</v>
      </c>
      <c r="B162" s="817">
        <v>42466</v>
      </c>
      <c r="C162" s="842">
        <v>2066.66</v>
      </c>
      <c r="D162" s="814">
        <f t="shared" si="53"/>
        <v>1.0507683957812691E-2</v>
      </c>
      <c r="E162" s="841">
        <f t="shared" si="57"/>
        <v>-1.7018321569224424E-2</v>
      </c>
      <c r="F162" s="838">
        <v>4920.71</v>
      </c>
      <c r="G162" s="814">
        <f t="shared" si="51"/>
        <v>1.5850765803799755E-2</v>
      </c>
      <c r="H162" s="819">
        <f t="shared" si="58"/>
        <v>-3.3582104208810373E-2</v>
      </c>
      <c r="I162" s="821">
        <v>294800.27</v>
      </c>
      <c r="J162" s="822">
        <v>400000</v>
      </c>
      <c r="K162" s="822">
        <f t="shared" si="60"/>
        <v>4890.5900000000256</v>
      </c>
      <c r="L162" s="814">
        <f t="shared" si="52"/>
        <v>1.6869357380547022E-2</v>
      </c>
      <c r="M162" s="839">
        <f t="shared" si="66"/>
        <v>-105199.72999999998</v>
      </c>
      <c r="N162" s="824">
        <f t="shared" si="67"/>
        <v>-0.26299932499999995</v>
      </c>
      <c r="O162" s="808">
        <f t="shared" si="56"/>
        <v>-0.41227683886802569</v>
      </c>
      <c r="P162" s="839" t="b">
        <f t="shared" si="62"/>
        <v>1</v>
      </c>
      <c r="Q162" s="824">
        <f>COUNTIF(P$2:P162, TRUE)/(COUNTIF(P$2:P162,FALSE) + COUNTIF(P$2:P162, TRUE))</f>
        <v>0.47204968944099379</v>
      </c>
      <c r="R162" s="822">
        <v>206520.01</v>
      </c>
      <c r="S162" s="822">
        <f t="shared" si="61"/>
        <v>88280.260000000009</v>
      </c>
      <c r="T162" s="822"/>
      <c r="U162" s="822"/>
      <c r="V162" s="824">
        <f>STDEV(D$2:D162)*SQRT(252)</f>
        <v>0.19317071885367709</v>
      </c>
      <c r="W162" s="824">
        <f>STDEV(L$2:L162)*SQRT(252)</f>
        <v>0.40220348115797722</v>
      </c>
      <c r="X162" s="823">
        <f t="shared" si="63"/>
        <v>-0.1381051052572764</v>
      </c>
      <c r="Y162" s="823">
        <f t="shared" si="64"/>
        <v>-1.0250454264618656</v>
      </c>
      <c r="Z162" s="829">
        <f t="shared" si="65"/>
        <v>-0.24598100343077553</v>
      </c>
    </row>
    <row r="163" spans="1:26" ht="20.100000000000001" customHeight="1" x14ac:dyDescent="0.2">
      <c r="A163" s="798">
        <f t="shared" si="55"/>
        <v>234</v>
      </c>
      <c r="B163" s="817">
        <v>42467</v>
      </c>
      <c r="C163" s="842">
        <v>2041.91</v>
      </c>
      <c r="D163" s="814">
        <f t="shared" si="53"/>
        <v>-1.1975845083371128E-2</v>
      </c>
      <c r="E163" s="841">
        <f t="shared" si="57"/>
        <v>-2.8790357869903527E-2</v>
      </c>
      <c r="F163" s="838">
        <v>4848.3599999999997</v>
      </c>
      <c r="G163" s="814">
        <f t="shared" si="51"/>
        <v>-1.4703162754968361E-2</v>
      </c>
      <c r="H163" s="819">
        <f t="shared" si="58"/>
        <v>-4.7791503819942287E-2</v>
      </c>
      <c r="I163" s="821">
        <v>296412.12</v>
      </c>
      <c r="J163" s="822">
        <v>400000</v>
      </c>
      <c r="K163" s="822">
        <f t="shared" si="60"/>
        <v>1611.8499999999767</v>
      </c>
      <c r="L163" s="814">
        <f t="shared" si="52"/>
        <v>5.4676001483986991E-3</v>
      </c>
      <c r="M163" s="839">
        <f t="shared" si="66"/>
        <v>-103587.88</v>
      </c>
      <c r="N163" s="824">
        <f t="shared" si="67"/>
        <v>-0.25896970000000002</v>
      </c>
      <c r="O163" s="808">
        <f t="shared" si="56"/>
        <v>-0.40422514070512827</v>
      </c>
      <c r="P163" s="839" t="b">
        <f t="shared" si="62"/>
        <v>1</v>
      </c>
      <c r="Q163" s="824">
        <f>COUNTIF(P$2:P163, TRUE)/(COUNTIF(P$2:P163,FALSE) + COUNTIF(P$2:P163, TRUE))</f>
        <v>0.47530864197530864</v>
      </c>
      <c r="R163" s="822">
        <v>210406.8</v>
      </c>
      <c r="S163" s="822">
        <f t="shared" si="61"/>
        <v>86005.32</v>
      </c>
      <c r="T163" s="822"/>
      <c r="U163" s="822"/>
      <c r="V163" s="824">
        <f>STDEV(D$2:D163)*SQRT(252)</f>
        <v>0.19314485515344837</v>
      </c>
      <c r="W163" s="824">
        <f>STDEV(L$2:L163)*SQRT(252)</f>
        <v>0.40102645372059886</v>
      </c>
      <c r="X163" s="823">
        <f t="shared" si="63"/>
        <v>-0.23266887301760808</v>
      </c>
      <c r="Y163" s="823">
        <f t="shared" si="64"/>
        <v>-1.0079762493343094</v>
      </c>
      <c r="Z163" s="829">
        <f t="shared" si="65"/>
        <v>-0.2301793421300965</v>
      </c>
    </row>
    <row r="164" spans="1:26" ht="20.100000000000001" customHeight="1" x14ac:dyDescent="0.2">
      <c r="A164" s="798">
        <f t="shared" si="55"/>
        <v>235</v>
      </c>
      <c r="B164" s="817">
        <v>42468</v>
      </c>
      <c r="C164" s="842">
        <v>2047.6</v>
      </c>
      <c r="D164" s="814">
        <f t="shared" si="53"/>
        <v>2.7866066574921654E-3</v>
      </c>
      <c r="E164" s="841">
        <f t="shared" si="57"/>
        <v>-2.6083978615323217E-2</v>
      </c>
      <c r="F164" s="838">
        <v>4850.6899999999996</v>
      </c>
      <c r="G164" s="814">
        <f t="shared" si="51"/>
        <v>4.8057487480301122E-4</v>
      </c>
      <c r="H164" s="819">
        <f t="shared" si="58"/>
        <v>-4.7333896341104194E-2</v>
      </c>
      <c r="I164" s="821">
        <v>303561.17</v>
      </c>
      <c r="J164" s="822">
        <v>400000</v>
      </c>
      <c r="K164" s="822">
        <f t="shared" si="60"/>
        <v>7149.0499999999884</v>
      </c>
      <c r="L164" s="814">
        <f t="shared" si="52"/>
        <v>2.4118615662544394E-2</v>
      </c>
      <c r="M164" s="839">
        <f t="shared" si="66"/>
        <v>-96438.830000000016</v>
      </c>
      <c r="N164" s="824">
        <f t="shared" si="67"/>
        <v>-0.24109707500000005</v>
      </c>
      <c r="O164" s="808">
        <f t="shared" si="56"/>
        <v>-0.37472641125000006</v>
      </c>
      <c r="P164" s="839" t="b">
        <f t="shared" si="62"/>
        <v>1</v>
      </c>
      <c r="Q164" s="824">
        <f>COUNTIF(P$2:P164, TRUE)/(COUNTIF(P$2:P164,FALSE) + COUNTIF(P$2:P164, TRUE))</f>
        <v>0.4785276073619632</v>
      </c>
      <c r="R164" s="822">
        <v>199980.39</v>
      </c>
      <c r="S164" s="822">
        <f t="shared" si="61"/>
        <v>103580.77999999997</v>
      </c>
      <c r="T164" s="822"/>
      <c r="U164" s="822"/>
      <c r="V164" s="824">
        <f>STDEV(D$2:D164)*SQRT(252)</f>
        <v>0.19257792977422014</v>
      </c>
      <c r="W164" s="824">
        <f>STDEV(L$2:L164)*SQRT(252)</f>
        <v>0.40100153728117882</v>
      </c>
      <c r="X164" s="823">
        <f t="shared" si="63"/>
        <v>-0.21051821750791477</v>
      </c>
      <c r="Y164" s="823">
        <f t="shared" si="64"/>
        <v>-0.93447624612781754</v>
      </c>
      <c r="Z164" s="829">
        <f t="shared" si="65"/>
        <v>-0.21501309638467683</v>
      </c>
    </row>
    <row r="165" spans="1:26" ht="20.100000000000001" customHeight="1" x14ac:dyDescent="0.2">
      <c r="A165" s="798">
        <f t="shared" si="55"/>
        <v>238</v>
      </c>
      <c r="B165" s="846">
        <v>42471</v>
      </c>
      <c r="C165" s="847">
        <v>2041.99</v>
      </c>
      <c r="D165" s="814">
        <f t="shared" si="53"/>
        <v>-2.7397929283062613E-3</v>
      </c>
      <c r="E165" s="848">
        <f t="shared" si="57"/>
        <v>-2.8752306843477123E-2</v>
      </c>
      <c r="F165" s="849">
        <v>4833.3900000000003</v>
      </c>
      <c r="G165" s="814">
        <f t="shared" si="51"/>
        <v>-3.5665029098951436E-3</v>
      </c>
      <c r="H165" s="850">
        <f t="shared" si="58"/>
        <v>-5.0731582771962117E-2</v>
      </c>
      <c r="I165" s="851">
        <v>301374.21999999997</v>
      </c>
      <c r="J165" s="852">
        <v>400000</v>
      </c>
      <c r="K165" s="852">
        <f t="shared" si="60"/>
        <v>-2186.9500000000116</v>
      </c>
      <c r="L165" s="814">
        <f t="shared" si="52"/>
        <v>-7.2043140431960117E-3</v>
      </c>
      <c r="M165" s="853">
        <f t="shared" si="66"/>
        <v>-98625.780000000028</v>
      </c>
      <c r="N165" s="854">
        <f t="shared" si="67"/>
        <v>-0.24656445000000007</v>
      </c>
      <c r="O165" s="808">
        <f t="shared" si="56"/>
        <v>-0.3783935519432774</v>
      </c>
      <c r="P165" s="853" t="b">
        <f t="shared" si="62"/>
        <v>0</v>
      </c>
      <c r="Q165" s="854">
        <f>COUNTIF(P$2:P165, TRUE)/(COUNTIF(P$2:P165,FALSE) + COUNTIF(P$2:P165, TRUE))</f>
        <v>0.47560975609756095</v>
      </c>
      <c r="R165" s="852">
        <v>209823.35</v>
      </c>
      <c r="S165" s="852">
        <f t="shared" si="61"/>
        <v>91550.869999999966</v>
      </c>
      <c r="T165" s="852"/>
      <c r="U165" s="852"/>
      <c r="V165" s="854">
        <f>STDEV(D$2:D165)*SQRT(252)</f>
        <v>0.19201090434466217</v>
      </c>
      <c r="W165" s="854">
        <f>STDEV(L$2:L165)*SQRT(252)</f>
        <v>0.39984095752163645</v>
      </c>
      <c r="X165" s="823">
        <f t="shared" si="63"/>
        <v>-0.22980531503865212</v>
      </c>
      <c r="Y165" s="823">
        <f t="shared" si="64"/>
        <v>-0.9463601585207827</v>
      </c>
      <c r="Z165" s="829">
        <f t="shared" si="65"/>
        <v>-0.21781214315652295</v>
      </c>
    </row>
    <row r="166" spans="1:26" ht="20.100000000000001" customHeight="1" x14ac:dyDescent="0.2">
      <c r="A166" s="798">
        <f t="shared" si="55"/>
        <v>239</v>
      </c>
      <c r="B166" s="846">
        <v>42472</v>
      </c>
      <c r="C166" s="847">
        <v>2061.7199999999998</v>
      </c>
      <c r="D166" s="814">
        <f>(C166-C165)/C165</f>
        <v>9.6621433013872691E-3</v>
      </c>
      <c r="E166" s="848">
        <f t="shared" si="57"/>
        <v>-1.9367972451056988E-2</v>
      </c>
      <c r="F166" s="849">
        <v>4872.09</v>
      </c>
      <c r="G166" s="814">
        <f t="shared" ref="G166:G171" si="68">(F166-F165)/F165</f>
        <v>8.0068026788651069E-3</v>
      </c>
      <c r="H166" s="850">
        <f t="shared" si="58"/>
        <v>-4.313097786593862E-2</v>
      </c>
      <c r="I166" s="851">
        <v>314750.48</v>
      </c>
      <c r="J166" s="852">
        <v>400000</v>
      </c>
      <c r="K166" s="852">
        <f t="shared" si="60"/>
        <v>13376.260000000009</v>
      </c>
      <c r="L166" s="814">
        <f t="shared" si="52"/>
        <v>4.438422105248422E-2</v>
      </c>
      <c r="M166" s="853">
        <f t="shared" si="66"/>
        <v>-85249.520000000019</v>
      </c>
      <c r="N166" s="854">
        <f t="shared" si="67"/>
        <v>-0.21312380000000006</v>
      </c>
      <c r="O166" s="808">
        <f t="shared" si="56"/>
        <v>-0.32570488682008375</v>
      </c>
      <c r="P166" s="853" t="b">
        <f t="shared" si="62"/>
        <v>1</v>
      </c>
      <c r="Q166" s="854">
        <f>COUNTIF(P$2:P166, TRUE)/(COUNTIF(P$2:P166,FALSE) + COUNTIF(P$2:P166, TRUE))</f>
        <v>0.47878787878787876</v>
      </c>
      <c r="R166" s="852">
        <v>212987.96</v>
      </c>
      <c r="S166" s="852">
        <f t="shared" si="61"/>
        <v>101762.51999999999</v>
      </c>
      <c r="T166" s="852"/>
      <c r="U166" s="852"/>
      <c r="V166" s="854">
        <f>STDEV(D$2:D166)*SQRT(252)</f>
        <v>0.19180360559269574</v>
      </c>
      <c r="W166" s="854">
        <f>STDEV(L$2:L166)*SQRT(252)</f>
        <v>0.40253727965834457</v>
      </c>
      <c r="X166" s="823">
        <f t="shared" si="63"/>
        <v>-0.15431911194352002</v>
      </c>
      <c r="Y166" s="823">
        <f t="shared" si="64"/>
        <v>-0.80912974593689146</v>
      </c>
      <c r="Z166" s="829">
        <f t="shared" si="65"/>
        <v>-0.19375582754894308</v>
      </c>
    </row>
    <row r="167" spans="1:26" ht="20.100000000000001" customHeight="1" x14ac:dyDescent="0.2">
      <c r="A167" s="798">
        <f t="shared" si="55"/>
        <v>240</v>
      </c>
      <c r="B167" s="846">
        <v>42473</v>
      </c>
      <c r="C167" s="847">
        <v>2082.42</v>
      </c>
      <c r="D167" s="814">
        <f>(C167-C166)/C166</f>
        <v>1.0040160642570415E-2</v>
      </c>
      <c r="E167" s="848">
        <f t="shared" si="57"/>
        <v>-9.522269363216063E-3</v>
      </c>
      <c r="F167" s="849">
        <v>4947.42</v>
      </c>
      <c r="G167" s="814">
        <f t="shared" si="68"/>
        <v>1.5461537040571896E-2</v>
      </c>
      <c r="H167" s="850">
        <f t="shared" si="58"/>
        <v>-2.8336312037237021E-2</v>
      </c>
      <c r="I167" s="851">
        <v>317683.34999999998</v>
      </c>
      <c r="J167" s="852">
        <v>400000</v>
      </c>
      <c r="K167" s="852">
        <f t="shared" si="60"/>
        <v>2932.8699999999953</v>
      </c>
      <c r="L167" s="814">
        <f t="shared" si="52"/>
        <v>9.3180795149224102E-3</v>
      </c>
      <c r="M167" s="853">
        <f t="shared" si="66"/>
        <v>-82316.650000000023</v>
      </c>
      <c r="N167" s="854">
        <f t="shared" si="67"/>
        <v>-0.20579162500000006</v>
      </c>
      <c r="O167" s="808">
        <f t="shared" si="56"/>
        <v>-0.31318912929687509</v>
      </c>
      <c r="P167" s="853" t="b">
        <f t="shared" si="62"/>
        <v>0</v>
      </c>
      <c r="Q167" s="854">
        <f>COUNTIF(P$2:P167, TRUE)/(COUNTIF(P$2:P167,FALSE) + COUNTIF(P$2:P167, TRUE))</f>
        <v>0.4759036144578313</v>
      </c>
      <c r="R167" s="852">
        <v>219889.91</v>
      </c>
      <c r="S167" s="852">
        <f t="shared" si="61"/>
        <v>97793.439999999973</v>
      </c>
      <c r="T167" s="852"/>
      <c r="U167" s="852"/>
      <c r="V167" s="854">
        <f>STDEV(D$2:D167)*SQRT(252)</f>
        <v>0.19162382789500107</v>
      </c>
      <c r="W167" s="854">
        <f>STDEV(L$2:L167)*SQRT(252)</f>
        <v>0.40149438106382634</v>
      </c>
      <c r="X167" s="823">
        <f t="shared" si="63"/>
        <v>-7.5625791668690989E-2</v>
      </c>
      <c r="Y167" s="823">
        <f t="shared" si="64"/>
        <v>-0.78005856138516372</v>
      </c>
      <c r="Z167" s="829">
        <f t="shared" si="65"/>
        <v>-0.19626935563678399</v>
      </c>
    </row>
    <row r="168" spans="1:26" ht="20.100000000000001" customHeight="1" x14ac:dyDescent="0.2">
      <c r="A168" s="798">
        <f t="shared" si="55"/>
        <v>241</v>
      </c>
      <c r="B168" s="846">
        <v>42474</v>
      </c>
      <c r="C168" s="847">
        <v>2082.7800000000002</v>
      </c>
      <c r="D168" s="814">
        <f>(C168-C167)/C167</f>
        <v>1.728757887458473E-4</v>
      </c>
      <c r="E168" s="848">
        <f t="shared" si="57"/>
        <v>-9.3510397442970322E-3</v>
      </c>
      <c r="F168" s="849">
        <v>4945.88</v>
      </c>
      <c r="G168" s="814">
        <f t="shared" si="68"/>
        <v>-3.1127335055442304E-4</v>
      </c>
      <c r="H168" s="850">
        <f t="shared" si="58"/>
        <v>-2.8638765049001261E-2</v>
      </c>
      <c r="I168" s="851">
        <v>317242.28999999998</v>
      </c>
      <c r="J168" s="852">
        <v>400000</v>
      </c>
      <c r="K168" s="852">
        <f t="shared" si="60"/>
        <v>-441.05999999999767</v>
      </c>
      <c r="L168" s="814">
        <f t="shared" si="52"/>
        <v>-1.3883636016807229E-3</v>
      </c>
      <c r="M168" s="853">
        <f t="shared" si="66"/>
        <v>-82757.710000000021</v>
      </c>
      <c r="N168" s="854">
        <f t="shared" si="67"/>
        <v>-0.20689427500000004</v>
      </c>
      <c r="O168" s="808">
        <f t="shared" si="56"/>
        <v>-0.3135607217582988</v>
      </c>
      <c r="P168" s="853" t="b">
        <f t="shared" si="62"/>
        <v>0</v>
      </c>
      <c r="Q168" s="854">
        <f>COUNTIF(P$2:P168, TRUE)/(COUNTIF(P$2:P168,FALSE) + COUNTIF(P$2:P168, TRUE))</f>
        <v>0.47305389221556887</v>
      </c>
      <c r="R168" s="852">
        <v>220158.43</v>
      </c>
      <c r="S168" s="852">
        <f t="shared" si="61"/>
        <v>97083.859999999986</v>
      </c>
      <c r="T168" s="852"/>
      <c r="U168" s="852"/>
      <c r="V168" s="854">
        <f>STDEV(D$2:D168)*SQRT(252)</f>
        <v>0.19104236676485162</v>
      </c>
      <c r="W168" s="854">
        <f>STDEV(L$2:L168)*SQRT(252)</f>
        <v>0.40027732610236538</v>
      </c>
      <c r="X168" s="823">
        <f t="shared" si="63"/>
        <v>-7.4182829635640837E-2</v>
      </c>
      <c r="Y168" s="823">
        <f t="shared" si="64"/>
        <v>-0.78335868986521107</v>
      </c>
      <c r="Z168" s="829">
        <f t="shared" si="65"/>
        <v>-0.197543235255703</v>
      </c>
    </row>
    <row r="169" spans="1:26" ht="20.100000000000001" customHeight="1" x14ac:dyDescent="0.2">
      <c r="A169" s="798">
        <f t="shared" si="55"/>
        <v>242</v>
      </c>
      <c r="B169" s="846">
        <v>42475</v>
      </c>
      <c r="C169" s="847">
        <v>2080.73</v>
      </c>
      <c r="D169" s="814">
        <f>(C169-C168)/C168</f>
        <v>-9.8426141983319485E-4</v>
      </c>
      <c r="E169" s="848">
        <f t="shared" si="57"/>
        <v>-1.0326097296474589E-2</v>
      </c>
      <c r="F169" s="849">
        <v>4938.21</v>
      </c>
      <c r="G169" s="814">
        <f t="shared" si="68"/>
        <v>-1.5507857044651453E-3</v>
      </c>
      <c r="H169" s="850">
        <f t="shared" si="58"/>
        <v>-3.0145138166034879E-2</v>
      </c>
      <c r="I169" s="851">
        <v>317721.64</v>
      </c>
      <c r="J169" s="852">
        <v>400000</v>
      </c>
      <c r="K169" s="852">
        <f t="shared" si="60"/>
        <v>479.35000000003492</v>
      </c>
      <c r="L169" s="814">
        <f t="shared" si="52"/>
        <v>1.5109902276901196E-3</v>
      </c>
      <c r="M169" s="853">
        <f t="shared" si="66"/>
        <v>-82278.359999999986</v>
      </c>
      <c r="N169" s="854">
        <f t="shared" si="67"/>
        <v>-0.20569589999999996</v>
      </c>
      <c r="O169" s="808">
        <f t="shared" si="56"/>
        <v>-0.3104563118801652</v>
      </c>
      <c r="P169" s="853" t="b">
        <f t="shared" si="62"/>
        <v>1</v>
      </c>
      <c r="Q169" s="854">
        <f>COUNTIF(P$2:P169, TRUE)/(COUNTIF(P$2:P169,FALSE) + COUNTIF(P$2:P169, TRUE))</f>
        <v>0.47619047619047616</v>
      </c>
      <c r="R169" s="852">
        <v>227146.03</v>
      </c>
      <c r="S169" s="852">
        <f t="shared" si="61"/>
        <v>90575.610000000015</v>
      </c>
      <c r="T169" s="852"/>
      <c r="U169" s="852"/>
      <c r="V169" s="854">
        <f>STDEV(D$2:D169)*SQRT(252)</f>
        <v>0.1904700278981748</v>
      </c>
      <c r="W169" s="854">
        <f>STDEV(L$2:L169)*SQRT(252)</f>
        <v>0.39907765714792898</v>
      </c>
      <c r="X169" s="823">
        <f t="shared" si="63"/>
        <v>-8.1824700818581231E-2</v>
      </c>
      <c r="Y169" s="823">
        <f t="shared" si="64"/>
        <v>-0.77793458571168805</v>
      </c>
      <c r="Z169" s="829">
        <f t="shared" si="65"/>
        <v>-0.19536980270352536</v>
      </c>
    </row>
    <row r="170" spans="1:26" ht="20.100000000000001" customHeight="1" x14ac:dyDescent="0.2">
      <c r="A170" s="798">
        <f t="shared" si="55"/>
        <v>245</v>
      </c>
      <c r="B170" s="817">
        <v>42478</v>
      </c>
      <c r="C170" s="842">
        <v>2094.39</v>
      </c>
      <c r="D170" s="814">
        <f>(C170-C169)/C169</f>
        <v>6.5650036285341464E-3</v>
      </c>
      <c r="E170" s="841">
        <f t="shared" si="57"/>
        <v>-3.8288845341603954E-3</v>
      </c>
      <c r="F170" s="838">
        <v>4960.01</v>
      </c>
      <c r="G170" s="814">
        <f t="shared" si="68"/>
        <v>4.414555071574555E-3</v>
      </c>
      <c r="H170" s="819">
        <f t="shared" si="58"/>
        <v>-2.5863660467034508E-2</v>
      </c>
      <c r="I170" s="821">
        <v>322899.31</v>
      </c>
      <c r="J170" s="822">
        <v>400000</v>
      </c>
      <c r="K170" s="822">
        <f t="shared" si="60"/>
        <v>5177.6699999999837</v>
      </c>
      <c r="L170" s="814">
        <f t="shared" si="52"/>
        <v>1.6296245984377972E-2</v>
      </c>
      <c r="M170" s="839">
        <f t="shared" si="66"/>
        <v>-77100.69</v>
      </c>
      <c r="N170" s="824">
        <f t="shared" si="67"/>
        <v>-0.19275172500000001</v>
      </c>
      <c r="O170" s="808">
        <f t="shared" si="56"/>
        <v>-0.28735741859693881</v>
      </c>
      <c r="P170" s="839" t="b">
        <f t="shared" si="62"/>
        <v>1</v>
      </c>
      <c r="Q170" s="824">
        <f>COUNTIF(P$2:P170, TRUE)/(COUNTIF(P$2:P170,FALSE) + COUNTIF(P$2:P170, TRUE))</f>
        <v>0.47928994082840237</v>
      </c>
      <c r="R170" s="822">
        <v>221962.67</v>
      </c>
      <c r="S170" s="822">
        <f t="shared" si="61"/>
        <v>100936.63999999998</v>
      </c>
      <c r="T170" s="822"/>
      <c r="U170" s="822"/>
      <c r="V170" s="824">
        <f>STDEV(D$2:D170)*SQRT(252)</f>
        <v>0.19006855377528359</v>
      </c>
      <c r="W170" s="824">
        <f>STDEV(L$2:L170)*SQRT(252)</f>
        <v>0.39841300907192778</v>
      </c>
      <c r="X170" s="823">
        <f t="shared" si="63"/>
        <v>-3.0032130315862705E-2</v>
      </c>
      <c r="Y170" s="823">
        <f t="shared" si="64"/>
        <v>-0.72125510978247331</v>
      </c>
      <c r="Z170" s="829">
        <f t="shared" si="65"/>
        <v>-0.18892284046583963</v>
      </c>
    </row>
    <row r="171" spans="1:26" ht="20.100000000000001" customHeight="1" x14ac:dyDescent="0.2">
      <c r="A171" s="798">
        <f t="shared" si="55"/>
        <v>246</v>
      </c>
      <c r="B171" s="817">
        <v>42479</v>
      </c>
      <c r="C171" s="842">
        <v>2100.8000000000002</v>
      </c>
      <c r="D171" s="814">
        <f t="shared" ref="D171:D190" si="69">(C171-C170)/C170</f>
        <v>3.0605570118269806E-3</v>
      </c>
      <c r="E171" s="841">
        <f t="shared" si="57"/>
        <v>-7.8004604174191543E-4</v>
      </c>
      <c r="F171" s="838">
        <v>4940.33</v>
      </c>
      <c r="G171" s="814">
        <f t="shared" si="68"/>
        <v>-3.9677339360203491E-3</v>
      </c>
      <c r="H171" s="819">
        <f t="shared" si="58"/>
        <v>-2.9728774279710095E-2</v>
      </c>
      <c r="I171" s="821">
        <v>328320.36</v>
      </c>
      <c r="J171" s="822">
        <v>400000</v>
      </c>
      <c r="K171" s="822">
        <f t="shared" si="60"/>
        <v>5421.0499999999884</v>
      </c>
      <c r="L171" s="814">
        <f t="shared" si="52"/>
        <v>1.6788670127539103E-2</v>
      </c>
      <c r="M171" s="839">
        <f t="shared" si="66"/>
        <v>-71679.640000000014</v>
      </c>
      <c r="N171" s="824">
        <f t="shared" si="67"/>
        <v>-0.17919910000000003</v>
      </c>
      <c r="O171" s="808">
        <f t="shared" si="56"/>
        <v>-0.26606695640243905</v>
      </c>
      <c r="P171" s="839" t="b">
        <f t="shared" si="62"/>
        <v>1</v>
      </c>
      <c r="Q171" s="824">
        <f>COUNTIF(P$2:P171, TRUE)/(COUNTIF(P$2:P171,FALSE) + COUNTIF(P$2:P171, TRUE))</f>
        <v>0.4823529411764706</v>
      </c>
      <c r="R171" s="822">
        <v>219508.9</v>
      </c>
      <c r="S171" s="822">
        <f t="shared" si="61"/>
        <v>108811.45999999999</v>
      </c>
      <c r="T171" s="822"/>
      <c r="U171" s="822"/>
      <c r="V171" s="824">
        <f>STDEV(D$2:D171)*SQRT(252)</f>
        <v>0.18953771970498626</v>
      </c>
      <c r="W171" s="824">
        <f>STDEV(L$2:L171)*SQRT(252)</f>
        <v>0.39778020996769808</v>
      </c>
      <c r="X171" s="823">
        <f t="shared" si="63"/>
        <v>-6.1105415779893627E-3</v>
      </c>
      <c r="Y171" s="823">
        <f t="shared" si="64"/>
        <v>-0.66887932012516438</v>
      </c>
      <c r="Z171" s="829">
        <f t="shared" si="65"/>
        <v>-0.17841905395825811</v>
      </c>
    </row>
    <row r="172" spans="1:26" ht="20.100000000000001" customHeight="1" x14ac:dyDescent="0.2">
      <c r="A172" s="798">
        <f t="shared" si="55"/>
        <v>247</v>
      </c>
      <c r="B172" s="817">
        <v>42480</v>
      </c>
      <c r="C172" s="842">
        <v>2102.4</v>
      </c>
      <c r="D172" s="814">
        <f t="shared" si="69"/>
        <v>7.6161462300071826E-4</v>
      </c>
      <c r="E172" s="841">
        <f t="shared" ref="E172:E191" si="70">(C172-$C$2)/$C$2</f>
        <v>-1.9025513213201623E-5</v>
      </c>
      <c r="F172" s="838">
        <v>4948.13</v>
      </c>
      <c r="G172" s="814">
        <f t="shared" ref="G172:G190" si="71">(F172-F171)/F171</f>
        <v>1.5788418992253922E-3</v>
      </c>
      <c r="H172" s="819">
        <f t="shared" si="58"/>
        <v>-2.8196869414930124E-2</v>
      </c>
      <c r="I172" s="821">
        <v>329335.82</v>
      </c>
      <c r="J172" s="822">
        <v>400000</v>
      </c>
      <c r="K172" s="822">
        <f t="shared" si="60"/>
        <v>1015.460000000021</v>
      </c>
      <c r="L172" s="814">
        <f t="shared" si="52"/>
        <v>3.0928937821584411E-3</v>
      </c>
      <c r="M172" s="839">
        <f t="shared" si="66"/>
        <v>-70664.179999999993</v>
      </c>
      <c r="N172" s="824">
        <f t="shared" si="67"/>
        <v>-0.17666044999999997</v>
      </c>
      <c r="O172" s="808">
        <f t="shared" si="56"/>
        <v>-0.26123574640688257</v>
      </c>
      <c r="P172" s="839" t="b">
        <f t="shared" si="62"/>
        <v>1</v>
      </c>
      <c r="Q172" s="824">
        <f>COUNTIF(P$2:P172, TRUE)/(COUNTIF(P$2:P172,FALSE) + COUNTIF(P$2:P172, TRUE))</f>
        <v>0.4853801169590643</v>
      </c>
      <c r="R172" s="822">
        <v>225120.43</v>
      </c>
      <c r="S172" s="822">
        <f t="shared" si="61"/>
        <v>104215.39000000001</v>
      </c>
      <c r="T172" s="822"/>
      <c r="U172" s="822"/>
      <c r="V172" s="824">
        <f>STDEV(D$2:D172)*SQRT(252)</f>
        <v>0.18897802119908777</v>
      </c>
      <c r="W172" s="824">
        <f>STDEV(L$2:L172)*SQRT(252)</f>
        <v>0.39662320245584515</v>
      </c>
      <c r="X172" s="823">
        <f t="shared" si="63"/>
        <v>-1.4887382777397873E-4</v>
      </c>
      <c r="Y172" s="823">
        <f t="shared" si="64"/>
        <v>-0.65864968259380929</v>
      </c>
      <c r="Z172" s="829">
        <f t="shared" si="65"/>
        <v>-0.17664142448678677</v>
      </c>
    </row>
    <row r="173" spans="1:26" ht="20.100000000000001" customHeight="1" x14ac:dyDescent="0.2">
      <c r="A173" s="798">
        <f t="shared" si="55"/>
        <v>248</v>
      </c>
      <c r="B173" s="817">
        <v>42481</v>
      </c>
      <c r="C173" s="842">
        <v>2091.48</v>
      </c>
      <c r="D173" s="814">
        <f t="shared" si="69"/>
        <v>-5.194063926940674E-3</v>
      </c>
      <c r="E173" s="841">
        <f t="shared" si="70"/>
        <v>-5.2129906204220026E-3</v>
      </c>
      <c r="F173" s="838">
        <v>4945.88</v>
      </c>
      <c r="G173" s="814">
        <f t="shared" si="71"/>
        <v>-4.547172366126193E-4</v>
      </c>
      <c r="H173" s="819">
        <f t="shared" si="58"/>
        <v>-2.8638765049001261E-2</v>
      </c>
      <c r="I173" s="821">
        <v>327169.02</v>
      </c>
      <c r="J173" s="822">
        <v>400000</v>
      </c>
      <c r="K173" s="822">
        <f t="shared" si="60"/>
        <v>-2166.7999999999884</v>
      </c>
      <c r="L173" s="814">
        <f t="shared" si="52"/>
        <v>-6.5793025489908393E-3</v>
      </c>
      <c r="M173" s="839">
        <f t="shared" si="66"/>
        <v>-72830.979999999981</v>
      </c>
      <c r="N173" s="824">
        <f t="shared" si="67"/>
        <v>-0.18207744999999995</v>
      </c>
      <c r="O173" s="808">
        <f t="shared" si="56"/>
        <v>-0.26816043795362893</v>
      </c>
      <c r="P173" s="839" t="b">
        <f t="shared" si="62"/>
        <v>0</v>
      </c>
      <c r="Q173" s="824">
        <f>COUNTIF(P$2:P173, TRUE)/(COUNTIF(P$2:P173,FALSE) + COUNTIF(P$2:P173, TRUE))</f>
        <v>0.48255813953488375</v>
      </c>
      <c r="R173" s="822">
        <v>222953.63</v>
      </c>
      <c r="S173" s="822">
        <f t="shared" si="61"/>
        <v>104215.39000000001</v>
      </c>
      <c r="T173" s="822"/>
      <c r="U173" s="822"/>
      <c r="V173" s="824">
        <f>STDEV(D$2:D173)*SQRT(252)</f>
        <v>0.18852973440522966</v>
      </c>
      <c r="W173" s="824">
        <f>STDEV(L$2:L173)*SQRT(252)</f>
        <v>0.39552870627175002</v>
      </c>
      <c r="X173" s="823">
        <f t="shared" si="63"/>
        <v>-4.0723550168016834E-2</v>
      </c>
      <c r="Y173" s="823">
        <f t="shared" si="64"/>
        <v>-0.67797971095778808</v>
      </c>
      <c r="Z173" s="829">
        <f t="shared" si="65"/>
        <v>-0.17686445937957795</v>
      </c>
    </row>
    <row r="174" spans="1:26" ht="20.100000000000001" customHeight="1" x14ac:dyDescent="0.2">
      <c r="A174" s="798">
        <f t="shared" si="55"/>
        <v>249</v>
      </c>
      <c r="B174" s="817">
        <v>42482</v>
      </c>
      <c r="C174" s="842">
        <v>2091.58</v>
      </c>
      <c r="D174" s="814">
        <f t="shared" si="69"/>
        <v>4.7813031919936622E-5</v>
      </c>
      <c r="E174" s="841">
        <f t="shared" si="70"/>
        <v>-5.1654268373889992E-3</v>
      </c>
      <c r="F174" s="838">
        <v>4906.28</v>
      </c>
      <c r="G174" s="814">
        <f t="shared" si="71"/>
        <v>-8.006664132571022E-3</v>
      </c>
      <c r="H174" s="819">
        <f t="shared" ref="H174:H191" si="72">(F174-F$2)/F$2</f>
        <v>-3.6416128208653316E-2</v>
      </c>
      <c r="I174" s="821">
        <v>331471.71000000002</v>
      </c>
      <c r="J174" s="822">
        <v>400000</v>
      </c>
      <c r="K174" s="822">
        <f t="shared" si="60"/>
        <v>4302.6900000000023</v>
      </c>
      <c r="L174" s="814">
        <f t="shared" si="52"/>
        <v>1.3151275753431673E-2</v>
      </c>
      <c r="M174" s="839">
        <f t="shared" si="66"/>
        <v>-68528.289999999979</v>
      </c>
      <c r="N174" s="824">
        <f t="shared" si="67"/>
        <v>-0.17132072499999995</v>
      </c>
      <c r="O174" s="808">
        <f t="shared" si="56"/>
        <v>-0.25130479841867465</v>
      </c>
      <c r="P174" s="839" t="b">
        <f t="shared" si="62"/>
        <v>1</v>
      </c>
      <c r="Q174" s="824">
        <f>COUNTIF(P$2:P174, TRUE)/(COUNTIF(P$2:P174,FALSE) + COUNTIF(P$2:P174, TRUE))</f>
        <v>0.48554913294797686</v>
      </c>
      <c r="R174" s="822">
        <v>230600.27</v>
      </c>
      <c r="S174" s="822">
        <f t="shared" si="61"/>
        <v>100871.44000000003</v>
      </c>
      <c r="T174" s="822"/>
      <c r="U174" s="822"/>
      <c r="V174" s="824">
        <f>STDEV(D$2:D174)*SQRT(252)</f>
        <v>0.18797766983654679</v>
      </c>
      <c r="W174" s="824">
        <f>STDEV(L$2:L174)*SQRT(252)</f>
        <v>0.39470764282961784</v>
      </c>
      <c r="X174" s="823">
        <f t="shared" si="63"/>
        <v>-4.0307961059401515E-2</v>
      </c>
      <c r="Y174" s="823">
        <f t="shared" si="64"/>
        <v>-0.63668591927203844</v>
      </c>
      <c r="Z174" s="829">
        <f t="shared" si="65"/>
        <v>-0.16615529816261096</v>
      </c>
    </row>
    <row r="175" spans="1:26" ht="20.100000000000001" customHeight="1" x14ac:dyDescent="0.2">
      <c r="A175" s="798">
        <f t="shared" si="55"/>
        <v>252</v>
      </c>
      <c r="B175" s="846">
        <v>42485</v>
      </c>
      <c r="C175" s="847">
        <v>2087.79</v>
      </c>
      <c r="D175" s="814">
        <f t="shared" si="69"/>
        <v>-1.8120272712494688E-3</v>
      </c>
      <c r="E175" s="848">
        <f t="shared" si="70"/>
        <v>-6.9680942143414753E-3</v>
      </c>
      <c r="F175" s="849">
        <v>4895.78</v>
      </c>
      <c r="G175" s="814">
        <f t="shared" si="71"/>
        <v>-2.140114302485794E-3</v>
      </c>
      <c r="H175" s="850">
        <f t="shared" si="72"/>
        <v>-3.8478307834318611E-2</v>
      </c>
      <c r="I175" s="851">
        <v>325541.03000000003</v>
      </c>
      <c r="J175" s="852">
        <v>400000</v>
      </c>
      <c r="K175" s="852">
        <f t="shared" si="60"/>
        <v>-5930.679999999993</v>
      </c>
      <c r="L175" s="814">
        <f t="shared" si="52"/>
        <v>-1.7891964294630129E-2</v>
      </c>
      <c r="M175" s="853">
        <f t="shared" si="66"/>
        <v>-74458.969999999972</v>
      </c>
      <c r="N175" s="854">
        <f t="shared" si="67"/>
        <v>-0.18614742499999992</v>
      </c>
      <c r="O175" s="808">
        <f t="shared" si="56"/>
        <v>-0.26980296421130939</v>
      </c>
      <c r="P175" s="853" t="b">
        <f t="shared" si="62"/>
        <v>0</v>
      </c>
      <c r="Q175" s="854">
        <f>COUNTIF(P$2:P175, TRUE)/(COUNTIF(P$2:P175,FALSE) + COUNTIF(P$2:P175, TRUE))</f>
        <v>0.48275862068965519</v>
      </c>
      <c r="R175" s="852">
        <v>238708.14</v>
      </c>
      <c r="S175" s="852">
        <f t="shared" si="61"/>
        <v>86832.890000000014</v>
      </c>
      <c r="T175" s="852"/>
      <c r="U175" s="852"/>
      <c r="V175" s="854">
        <f>STDEV(D$2:D175)*SQRT(252)</f>
        <v>0.18744374998531149</v>
      </c>
      <c r="W175" s="854">
        <f>STDEV(L$2:L175)*SQRT(252)</f>
        <v>0.39413441432117591</v>
      </c>
      <c r="X175" s="823">
        <f t="shared" si="63"/>
        <v>-5.3880638519337033E-2</v>
      </c>
      <c r="Y175" s="823">
        <f t="shared" si="64"/>
        <v>-0.68454556214279183</v>
      </c>
      <c r="Z175" s="829">
        <f t="shared" si="65"/>
        <v>-0.17917933078565845</v>
      </c>
    </row>
    <row r="176" spans="1:26" ht="20.100000000000001" customHeight="1" x14ac:dyDescent="0.2">
      <c r="A176" s="798">
        <f t="shared" si="55"/>
        <v>253</v>
      </c>
      <c r="B176" s="846">
        <v>42486</v>
      </c>
      <c r="C176" s="857">
        <v>2091.6999999999998</v>
      </c>
      <c r="D176" s="814">
        <f t="shared" si="69"/>
        <v>1.8727937196748019E-3</v>
      </c>
      <c r="E176" s="848">
        <f t="shared" si="70"/>
        <v>-5.1083502977493939E-3</v>
      </c>
      <c r="F176" s="849">
        <v>4888.28</v>
      </c>
      <c r="G176" s="814">
        <f t="shared" si="71"/>
        <v>-1.5319315818929772E-3</v>
      </c>
      <c r="H176" s="850">
        <f t="shared" si="72"/>
        <v>-3.9951293281222398E-2</v>
      </c>
      <c r="I176" s="851">
        <v>336797.26</v>
      </c>
      <c r="J176" s="852">
        <v>400000</v>
      </c>
      <c r="K176" s="852">
        <f t="shared" si="60"/>
        <v>11256.229999999981</v>
      </c>
      <c r="L176" s="814">
        <f t="shared" si="52"/>
        <v>3.4576993259497826E-2</v>
      </c>
      <c r="M176" s="853">
        <f t="shared" si="66"/>
        <v>-63202.739999999991</v>
      </c>
      <c r="N176" s="854">
        <f t="shared" si="67"/>
        <v>-0.15800684999999998</v>
      </c>
      <c r="O176" s="808">
        <f t="shared" si="56"/>
        <v>-0.22811067969367585</v>
      </c>
      <c r="P176" s="853" t="b">
        <f t="shared" si="62"/>
        <v>1</v>
      </c>
      <c r="Q176" s="854">
        <f>COUNTIF(P$2:P176, TRUE)/(COUNTIF(P$2:P176,FALSE) + COUNTIF(P$2:P176, TRUE))</f>
        <v>0.48571428571428571</v>
      </c>
      <c r="R176" s="852">
        <v>231627.32</v>
      </c>
      <c r="S176" s="852">
        <f t="shared" si="61"/>
        <v>105169.94</v>
      </c>
      <c r="T176" s="852"/>
      <c r="U176" s="852"/>
      <c r="V176" s="854">
        <f>STDEV(D$2:D176)*SQRT(252)</f>
        <v>0.18691439115354258</v>
      </c>
      <c r="W176" s="854">
        <f>STDEV(L$2:L176)*SQRT(252)</f>
        <v>0.39523474671048564</v>
      </c>
      <c r="X176" s="823">
        <f t="shared" si="63"/>
        <v>-3.9455507484410512E-2</v>
      </c>
      <c r="Y176" s="823">
        <f t="shared" si="64"/>
        <v>-0.57715239257739082</v>
      </c>
      <c r="Z176" s="829">
        <f t="shared" si="65"/>
        <v>-0.15289849970225058</v>
      </c>
    </row>
    <row r="177" spans="1:26" ht="20.100000000000001" customHeight="1" x14ac:dyDescent="0.2">
      <c r="A177" s="798">
        <f t="shared" si="55"/>
        <v>254</v>
      </c>
      <c r="B177" s="846">
        <v>42487</v>
      </c>
      <c r="C177" s="857">
        <v>2095.15</v>
      </c>
      <c r="D177" s="814">
        <f t="shared" si="69"/>
        <v>1.6493761055602013E-3</v>
      </c>
      <c r="E177" s="848">
        <f t="shared" si="70"/>
        <v>-3.4673997831091321E-3</v>
      </c>
      <c r="F177" s="849">
        <v>4863.1400000000003</v>
      </c>
      <c r="G177" s="814">
        <f t="shared" si="71"/>
        <v>-5.1429132537414834E-3</v>
      </c>
      <c r="H177" s="850">
        <f t="shared" si="72"/>
        <v>-4.4888740499243768E-2</v>
      </c>
      <c r="I177" s="851">
        <v>341540.33</v>
      </c>
      <c r="J177" s="852">
        <v>400000</v>
      </c>
      <c r="K177" s="852">
        <f t="shared" si="60"/>
        <v>4743.070000000007</v>
      </c>
      <c r="L177" s="814">
        <f t="shared" si="52"/>
        <v>1.4082863975793648E-2</v>
      </c>
      <c r="M177" s="853">
        <f t="shared" si="66"/>
        <v>-58459.669999999984</v>
      </c>
      <c r="N177" s="854">
        <f t="shared" si="67"/>
        <v>-0.14614917499999996</v>
      </c>
      <c r="O177" s="808">
        <f t="shared" si="56"/>
        <v>-0.21016136286909445</v>
      </c>
      <c r="P177" s="853" t="b">
        <f t="shared" si="62"/>
        <v>1</v>
      </c>
      <c r="Q177" s="854">
        <f>COUNTIF(P$2:P177, TRUE)/(COUNTIF(P$2:P177,FALSE) + COUNTIF(P$2:P177, TRUE))</f>
        <v>0.48863636363636365</v>
      </c>
      <c r="R177" s="852">
        <v>245489.82</v>
      </c>
      <c r="S177" s="852">
        <f t="shared" si="61"/>
        <v>96050.510000000009</v>
      </c>
      <c r="T177" s="852"/>
      <c r="U177" s="852"/>
      <c r="V177" s="854">
        <f>STDEV(D$2:D177)*SQRT(252)</f>
        <v>0.18638651777551687</v>
      </c>
      <c r="W177" s="854">
        <f>STDEV(L$2:L177)*SQRT(252)</f>
        <v>0.39446713655061666</v>
      </c>
      <c r="X177" s="823">
        <f t="shared" si="63"/>
        <v>-2.6751364021702823E-2</v>
      </c>
      <c r="Y177" s="823">
        <f t="shared" si="64"/>
        <v>-0.53277280512346881</v>
      </c>
      <c r="Z177" s="829">
        <f t="shared" si="65"/>
        <v>-0.14268177521689082</v>
      </c>
    </row>
    <row r="178" spans="1:26" ht="20.100000000000001" customHeight="1" x14ac:dyDescent="0.2">
      <c r="A178" s="798">
        <f t="shared" si="55"/>
        <v>255</v>
      </c>
      <c r="B178" s="846">
        <v>42488</v>
      </c>
      <c r="C178" s="857">
        <v>2075.81</v>
      </c>
      <c r="D178" s="814">
        <f t="shared" si="69"/>
        <v>-9.2308426604301094E-3</v>
      </c>
      <c r="E178" s="848">
        <f t="shared" si="70"/>
        <v>-1.2666235421700553E-2</v>
      </c>
      <c r="F178" s="849">
        <v>4805.29</v>
      </c>
      <c r="G178" s="814">
        <f t="shared" si="71"/>
        <v>-1.1895606542275229E-2</v>
      </c>
      <c r="H178" s="850">
        <f t="shared" si="72"/>
        <v>-5.6250368246361697E-2</v>
      </c>
      <c r="I178" s="851">
        <v>336936.02</v>
      </c>
      <c r="J178" s="852">
        <v>400000</v>
      </c>
      <c r="K178" s="852">
        <f t="shared" si="60"/>
        <v>-4604.3099999999977</v>
      </c>
      <c r="L178" s="814">
        <f t="shared" si="52"/>
        <v>-1.3481014086974729E-2</v>
      </c>
      <c r="M178" s="853">
        <f t="shared" si="66"/>
        <v>-63063.979999999981</v>
      </c>
      <c r="N178" s="854">
        <f t="shared" si="67"/>
        <v>-0.15765994999999997</v>
      </c>
      <c r="O178" s="808">
        <f t="shared" si="56"/>
        <v>-0.22582469308823525</v>
      </c>
      <c r="P178" s="853" t="b">
        <f t="shared" si="62"/>
        <v>0</v>
      </c>
      <c r="Q178" s="854">
        <f>COUNTIF(P$2:P178, TRUE)/(COUNTIF(P$2:P178,FALSE) + COUNTIF(P$2:P178, TRUE))</f>
        <v>0.48587570621468928</v>
      </c>
      <c r="R178" s="852">
        <v>254190.85</v>
      </c>
      <c r="S178" s="852">
        <f t="shared" si="61"/>
        <v>82745.170000000013</v>
      </c>
      <c r="T178" s="852"/>
      <c r="U178" s="852"/>
      <c r="V178" s="854">
        <f>STDEV(D$2:D178)*SQRT(252)</f>
        <v>0.18618462851964468</v>
      </c>
      <c r="W178" s="854">
        <f>STDEV(L$2:L178)*SQRT(252)</f>
        <v>0.39366590594633838</v>
      </c>
      <c r="X178" s="823">
        <f t="shared" si="63"/>
        <v>-9.7443702544929095E-2</v>
      </c>
      <c r="Y178" s="823">
        <f t="shared" si="64"/>
        <v>-0.57364554480625507</v>
      </c>
      <c r="Z178" s="829">
        <f t="shared" si="65"/>
        <v>-0.1449937145782994</v>
      </c>
    </row>
    <row r="179" spans="1:26" ht="20.100000000000001" customHeight="1" x14ac:dyDescent="0.2">
      <c r="A179" s="798">
        <f t="shared" si="55"/>
        <v>256</v>
      </c>
      <c r="B179" s="846">
        <v>42489</v>
      </c>
      <c r="C179" s="857">
        <v>2065.3000000000002</v>
      </c>
      <c r="D179" s="814">
        <f t="shared" si="69"/>
        <v>-5.0630838082482326E-3</v>
      </c>
      <c r="E179" s="848">
        <f t="shared" si="70"/>
        <v>-1.7665189018473713E-2</v>
      </c>
      <c r="F179" s="849">
        <v>4775.3599999999997</v>
      </c>
      <c r="G179" s="814">
        <f t="shared" si="71"/>
        <v>-6.2285522830048323E-3</v>
      </c>
      <c r="H179" s="850">
        <f t="shared" si="72"/>
        <v>-6.2128562169805793E-2</v>
      </c>
      <c r="I179" s="858">
        <v>329545.53999999998</v>
      </c>
      <c r="J179" s="852">
        <v>400000</v>
      </c>
      <c r="K179" s="852">
        <f t="shared" si="60"/>
        <v>-7390.4800000000396</v>
      </c>
      <c r="L179" s="814">
        <f t="shared" si="52"/>
        <v>-2.1934371991454163E-2</v>
      </c>
      <c r="M179" s="853">
        <f t="shared" si="66"/>
        <v>-70454.460000000021</v>
      </c>
      <c r="N179" s="854">
        <f t="shared" si="67"/>
        <v>-0.17613615000000005</v>
      </c>
      <c r="O179" s="808">
        <f t="shared" si="56"/>
        <v>-0.25130362807617196</v>
      </c>
      <c r="P179" s="853" t="b">
        <f t="shared" si="62"/>
        <v>0</v>
      </c>
      <c r="Q179" s="854">
        <f>COUNTIF(P$2:P179, TRUE)/(COUNTIF(P$2:P179,FALSE) + COUNTIF(P$2:P179, TRUE))</f>
        <v>0.48314606741573035</v>
      </c>
      <c r="R179" s="852">
        <v>264639.32</v>
      </c>
      <c r="S179" s="852">
        <f t="shared" si="61"/>
        <v>64906.219999999972</v>
      </c>
      <c r="T179" s="852"/>
      <c r="U179" s="852"/>
      <c r="V179" s="854">
        <f>STDEV(D$2:D179)*SQRT(252)</f>
        <v>0.18575305494733241</v>
      </c>
      <c r="W179" s="854">
        <f>STDEV(L$2:L179)*SQRT(252)</f>
        <v>0.39340624271023572</v>
      </c>
      <c r="X179" s="823">
        <f t="shared" si="63"/>
        <v>-0.13568523246383643</v>
      </c>
      <c r="Y179" s="823">
        <f t="shared" si="64"/>
        <v>-0.6387891212526341</v>
      </c>
      <c r="Z179" s="829">
        <f t="shared" si="65"/>
        <v>-0.15847096098152633</v>
      </c>
    </row>
    <row r="180" spans="1:26" ht="20.100000000000001" customHeight="1" x14ac:dyDescent="0.2">
      <c r="A180" s="798">
        <f t="shared" si="55"/>
        <v>259</v>
      </c>
      <c r="B180" s="817">
        <v>42492</v>
      </c>
      <c r="C180" s="842">
        <v>2081.4299999999998</v>
      </c>
      <c r="D180" s="814">
        <f t="shared" si="69"/>
        <v>7.8100033893379424E-3</v>
      </c>
      <c r="E180" s="841">
        <f t="shared" si="70"/>
        <v>-9.9931508152433443E-3</v>
      </c>
      <c r="F180" s="838">
        <v>4817.59</v>
      </c>
      <c r="G180" s="814">
        <f t="shared" si="71"/>
        <v>8.8433123366616281E-3</v>
      </c>
      <c r="H180" s="819">
        <f t="shared" si="72"/>
        <v>-5.3834672113439459E-2</v>
      </c>
      <c r="I180" s="821">
        <v>323730.93</v>
      </c>
      <c r="J180" s="822">
        <v>400000</v>
      </c>
      <c r="K180" s="822">
        <f t="shared" si="60"/>
        <v>-5814.609999999986</v>
      </c>
      <c r="L180" s="814">
        <f t="shared" si="52"/>
        <v>-1.7644329217746314E-2</v>
      </c>
      <c r="M180" s="839">
        <f t="shared" si="66"/>
        <v>-76269.070000000007</v>
      </c>
      <c r="N180" s="824">
        <f t="shared" si="67"/>
        <v>-0.19067267500000001</v>
      </c>
      <c r="O180" s="808">
        <f t="shared" si="56"/>
        <v>-0.26889264302606181</v>
      </c>
      <c r="P180" s="839" t="b">
        <f t="shared" si="62"/>
        <v>0</v>
      </c>
      <c r="Q180" s="824">
        <f>COUNTIF(P$2:P180, TRUE)/(COUNTIF(P$2:P180,FALSE) + COUNTIF(P$2:P180, TRUE))</f>
        <v>0.48044692737430167</v>
      </c>
      <c r="R180" s="822">
        <v>258410.3</v>
      </c>
      <c r="S180" s="822">
        <f t="shared" si="61"/>
        <v>65320.630000000005</v>
      </c>
      <c r="T180" s="822"/>
      <c r="U180" s="822"/>
      <c r="V180" s="824">
        <f>STDEV(D$2:D180)*SQRT(252)</f>
        <v>0.18546248521467029</v>
      </c>
      <c r="W180" s="824">
        <f>STDEV(L$2:L180)*SQRT(252)</f>
        <v>0.39283799176483652</v>
      </c>
      <c r="X180" s="823">
        <f t="shared" si="63"/>
        <v>-7.5986567573565797E-2</v>
      </c>
      <c r="Y180" s="823">
        <f t="shared" si="64"/>
        <v>-0.68448736798101806</v>
      </c>
      <c r="Z180" s="829">
        <f t="shared" si="65"/>
        <v>-0.18067952418475666</v>
      </c>
    </row>
    <row r="181" spans="1:26" ht="20.100000000000001" customHeight="1" x14ac:dyDescent="0.2">
      <c r="A181" s="798">
        <f t="shared" si="55"/>
        <v>260</v>
      </c>
      <c r="B181" s="817">
        <v>42493</v>
      </c>
      <c r="C181" s="842">
        <v>2063.37</v>
      </c>
      <c r="D181" s="814">
        <f t="shared" si="69"/>
        <v>-8.6767270578400179E-3</v>
      </c>
      <c r="E181" s="841">
        <f t="shared" si="70"/>
        <v>-1.8583170031011665E-2</v>
      </c>
      <c r="F181" s="838">
        <v>4763.22</v>
      </c>
      <c r="G181" s="814">
        <f t="shared" si="71"/>
        <v>-1.1285725850477083E-2</v>
      </c>
      <c r="H181" s="819">
        <f t="shared" si="72"/>
        <v>-6.4512834613193945E-2</v>
      </c>
      <c r="I181" s="821">
        <v>314233.52</v>
      </c>
      <c r="J181" s="822">
        <v>400000</v>
      </c>
      <c r="K181" s="822">
        <f t="shared" si="60"/>
        <v>-9497.4099999999744</v>
      </c>
      <c r="L181" s="814">
        <f t="shared" si="52"/>
        <v>-2.9337357415925549E-2</v>
      </c>
      <c r="M181" s="839">
        <f t="shared" si="66"/>
        <v>-85766.479999999981</v>
      </c>
      <c r="N181" s="824">
        <f t="shared" si="67"/>
        <v>-0.21441619999999995</v>
      </c>
      <c r="O181" s="808">
        <f t="shared" si="56"/>
        <v>-0.30121352711538457</v>
      </c>
      <c r="P181" s="839" t="b">
        <f t="shared" si="62"/>
        <v>0</v>
      </c>
      <c r="Q181" s="824">
        <f>COUNTIF(P$2:P181, TRUE)/(COUNTIF(P$2:P181,FALSE) + COUNTIF(P$2:P181, TRUE))</f>
        <v>0.4777777777777778</v>
      </c>
      <c r="R181" s="822">
        <v>250705.72</v>
      </c>
      <c r="S181" s="822">
        <f t="shared" si="61"/>
        <v>63527.800000000017</v>
      </c>
      <c r="T181" s="822"/>
      <c r="U181" s="822"/>
      <c r="V181" s="824">
        <f>STDEV(D$2:D181)*SQRT(252)</f>
        <v>0.18522787612316166</v>
      </c>
      <c r="W181" s="824">
        <f>STDEV(L$2:L181)*SQRT(252)</f>
        <v>0.3932386492905699</v>
      </c>
      <c r="X181" s="823">
        <f t="shared" si="63"/>
        <v>-0.14093872236416896</v>
      </c>
      <c r="Y181" s="823">
        <f t="shared" si="64"/>
        <v>-0.7659814915415738</v>
      </c>
      <c r="Z181" s="829">
        <f t="shared" si="65"/>
        <v>-0.19583302996898827</v>
      </c>
    </row>
    <row r="182" spans="1:26" ht="20.100000000000001" customHeight="1" x14ac:dyDescent="0.2">
      <c r="A182" s="798">
        <f t="shared" si="55"/>
        <v>261</v>
      </c>
      <c r="B182" s="817">
        <v>42494</v>
      </c>
      <c r="C182" s="842">
        <v>2051.12</v>
      </c>
      <c r="D182" s="814">
        <f t="shared" si="69"/>
        <v>-5.9368896513955329E-3</v>
      </c>
      <c r="E182" s="841">
        <f t="shared" si="70"/>
        <v>-2.4409733452559961E-2</v>
      </c>
      <c r="F182" s="838">
        <v>4725.6400000000003</v>
      </c>
      <c r="G182" s="814">
        <f t="shared" si="71"/>
        <v>-7.8896208867110743E-3</v>
      </c>
      <c r="H182" s="819">
        <f t="shared" si="72"/>
        <v>-7.1893473692479823E-2</v>
      </c>
      <c r="I182" s="821">
        <v>304379.90999999997</v>
      </c>
      <c r="J182" s="822">
        <v>400000</v>
      </c>
      <c r="K182" s="822">
        <f t="shared" si="60"/>
        <v>-9853.6100000000442</v>
      </c>
      <c r="L182" s="814">
        <f t="shared" si="52"/>
        <v>-3.135760309721268E-2</v>
      </c>
      <c r="M182" s="839">
        <f t="shared" si="66"/>
        <v>-95620.090000000026</v>
      </c>
      <c r="N182" s="824">
        <f t="shared" si="67"/>
        <v>-0.23905022500000006</v>
      </c>
      <c r="O182" s="808">
        <f t="shared" si="56"/>
        <v>-0.33453292981321847</v>
      </c>
      <c r="P182" s="839" t="b">
        <f t="shared" si="62"/>
        <v>0</v>
      </c>
      <c r="Q182" s="824">
        <f>COUNTIF(P$2:P182, TRUE)/(COUNTIF(P$2:P182,FALSE) + COUNTIF(P$2:P182, TRUE))</f>
        <v>0.47513812154696133</v>
      </c>
      <c r="R182" s="822">
        <v>275717.40999999997</v>
      </c>
      <c r="S182" s="822">
        <f t="shared" si="61"/>
        <v>28662.5</v>
      </c>
      <c r="T182" s="822"/>
      <c r="U182" s="822"/>
      <c r="V182" s="824">
        <f>STDEV(D$2:D182)*SQRT(252)</f>
        <v>0.18484162325464118</v>
      </c>
      <c r="W182" s="824">
        <f>STDEV(L$2:L182)*SQRT(252)</f>
        <v>0.39383207665570702</v>
      </c>
      <c r="X182" s="823">
        <f t="shared" si="63"/>
        <v>-0.18480468657257493</v>
      </c>
      <c r="Y182" s="823">
        <f t="shared" si="64"/>
        <v>-0.84943037818037204</v>
      </c>
      <c r="Z182" s="829">
        <f t="shared" si="65"/>
        <v>-0.21464049154744011</v>
      </c>
    </row>
    <row r="183" spans="1:26" ht="20.100000000000001" customHeight="1" x14ac:dyDescent="0.2">
      <c r="A183" s="798">
        <f t="shared" si="55"/>
        <v>262</v>
      </c>
      <c r="B183" s="817">
        <v>42495</v>
      </c>
      <c r="C183" s="842">
        <v>2050.63</v>
      </c>
      <c r="D183" s="814">
        <f t="shared" si="69"/>
        <v>-2.3889387261583024E-4</v>
      </c>
      <c r="E183" s="841">
        <f t="shared" si="70"/>
        <v>-2.464279598942179E-2</v>
      </c>
      <c r="F183" s="838">
        <v>4717.09</v>
      </c>
      <c r="G183" s="814">
        <f t="shared" si="71"/>
        <v>-1.8092787431967271E-3</v>
      </c>
      <c r="H183" s="819">
        <f t="shared" si="72"/>
        <v>-7.3572677101950174E-2</v>
      </c>
      <c r="I183" s="821">
        <v>304854.58</v>
      </c>
      <c r="J183" s="822">
        <v>400000</v>
      </c>
      <c r="K183" s="822">
        <f t="shared" si="60"/>
        <v>474.67000000004191</v>
      </c>
      <c r="L183" s="814">
        <f t="shared" si="52"/>
        <v>1.5594656033640392E-3</v>
      </c>
      <c r="M183" s="839">
        <f t="shared" si="66"/>
        <v>-95145.419999999984</v>
      </c>
      <c r="N183" s="824">
        <f t="shared" si="67"/>
        <v>-0.23786354999999995</v>
      </c>
      <c r="O183" s="808">
        <f t="shared" si="56"/>
        <v>-0.33160176197519076</v>
      </c>
      <c r="P183" s="839" t="b">
        <f t="shared" si="62"/>
        <v>1</v>
      </c>
      <c r="Q183" s="824">
        <f>COUNTIF(P$2:P183, TRUE)/(COUNTIF(P$2:P183,FALSE) + COUNTIF(P$2:P183, TRUE))</f>
        <v>0.47802197802197804</v>
      </c>
      <c r="R183" s="822">
        <v>244688.61</v>
      </c>
      <c r="S183" s="822">
        <f t="shared" si="61"/>
        <v>60165.97000000003</v>
      </c>
      <c r="T183" s="822"/>
      <c r="U183" s="822"/>
      <c r="V183" s="824">
        <f>STDEV(D$2:D183)*SQRT(252)</f>
        <v>0.18432756719124724</v>
      </c>
      <c r="W183" s="824">
        <f>STDEV(L$2:L183)*SQRT(252)</f>
        <v>0.39274558948509919</v>
      </c>
      <c r="X183" s="823">
        <f t="shared" si="63"/>
        <v>-0.18637541511097749</v>
      </c>
      <c r="Y183" s="823">
        <f t="shared" si="64"/>
        <v>-0.84431695951043073</v>
      </c>
      <c r="Z183" s="829">
        <f t="shared" si="65"/>
        <v>-0.21322075401057816</v>
      </c>
    </row>
    <row r="184" spans="1:26" ht="20.100000000000001" customHeight="1" x14ac:dyDescent="0.2">
      <c r="A184" s="798">
        <f t="shared" si="55"/>
        <v>263</v>
      </c>
      <c r="B184" s="817">
        <v>42496</v>
      </c>
      <c r="C184" s="842">
        <v>2057.14</v>
      </c>
      <c r="D184" s="814">
        <f t="shared" si="69"/>
        <v>3.1746341368261281E-3</v>
      </c>
      <c r="E184" s="841">
        <f t="shared" si="70"/>
        <v>-2.1546393713970519E-2</v>
      </c>
      <c r="F184" s="838">
        <v>4736.1499999999996</v>
      </c>
      <c r="G184" s="814">
        <f t="shared" si="71"/>
        <v>4.0406267423346784E-3</v>
      </c>
      <c r="H184" s="819">
        <f t="shared" si="72"/>
        <v>-6.9829330086218791E-2</v>
      </c>
      <c r="I184" s="821">
        <v>304553.01</v>
      </c>
      <c r="J184" s="822">
        <v>400000</v>
      </c>
      <c r="K184" s="822">
        <f t="shared" ref="K184:K191" si="73">I184-I183-J184+J183</f>
        <v>-301.57000000000698</v>
      </c>
      <c r="L184" s="814">
        <f t="shared" si="52"/>
        <v>-9.8922574822397935E-4</v>
      </c>
      <c r="M184" s="839">
        <f t="shared" si="66"/>
        <v>-95446.989999999991</v>
      </c>
      <c r="N184" s="824">
        <f t="shared" si="67"/>
        <v>-0.23861747499999997</v>
      </c>
      <c r="O184" s="808">
        <f t="shared" si="56"/>
        <v>-0.33138795720057029</v>
      </c>
      <c r="P184" s="839" t="b">
        <f t="shared" si="62"/>
        <v>0</v>
      </c>
      <c r="Q184" s="824">
        <f>COUNTIF(P$2:P184, TRUE)/(COUNTIF(P$2:P184,FALSE) + COUNTIF(P$2:P184, TRUE))</f>
        <v>0.47540983606557374</v>
      </c>
      <c r="R184" s="822">
        <v>244387.04</v>
      </c>
      <c r="S184" s="822">
        <f t="shared" si="61"/>
        <v>60165.97</v>
      </c>
      <c r="T184" s="822"/>
      <c r="U184" s="822"/>
      <c r="V184" s="824">
        <f>STDEV(D$2:D184)*SQRT(252)</f>
        <v>0.18385733310568392</v>
      </c>
      <c r="W184" s="824">
        <f>STDEV(L$2:L184)*SQRT(252)</f>
        <v>0.39165931974206192</v>
      </c>
      <c r="X184" s="823">
        <f t="shared" si="63"/>
        <v>-0.16275266595309434</v>
      </c>
      <c r="Y184" s="823">
        <f t="shared" si="64"/>
        <v>-0.8461127834742066</v>
      </c>
      <c r="Z184" s="829">
        <f t="shared" si="65"/>
        <v>-0.21707108128602945</v>
      </c>
    </row>
    <row r="185" spans="1:26" ht="20.100000000000001" customHeight="1" x14ac:dyDescent="0.2">
      <c r="A185" s="798">
        <f t="shared" si="55"/>
        <v>266</v>
      </c>
      <c r="B185" s="846">
        <v>42499</v>
      </c>
      <c r="C185" s="847">
        <v>2058.69</v>
      </c>
      <c r="D185" s="814">
        <f t="shared" si="69"/>
        <v>7.5347326871296166E-4</v>
      </c>
      <c r="E185" s="848">
        <f t="shared" si="70"/>
        <v>-2.08091550769582E-2</v>
      </c>
      <c r="F185" s="849">
        <v>4750.2</v>
      </c>
      <c r="G185" s="814">
        <f t="shared" si="71"/>
        <v>2.9665445562324214E-3</v>
      </c>
      <c r="H185" s="850">
        <f t="shared" si="72"/>
        <v>-6.706993734901899E-2</v>
      </c>
      <c r="I185" s="851">
        <v>298140.64</v>
      </c>
      <c r="J185" s="852">
        <v>400000</v>
      </c>
      <c r="K185" s="852">
        <f t="shared" si="73"/>
        <v>-6412.3699999999953</v>
      </c>
      <c r="L185" s="814">
        <f t="shared" si="52"/>
        <v>-2.1055020930510572E-2</v>
      </c>
      <c r="M185" s="853">
        <f t="shared" si="66"/>
        <v>-101859.35999999999</v>
      </c>
      <c r="N185" s="854">
        <f t="shared" si="67"/>
        <v>-0.25464839999999994</v>
      </c>
      <c r="O185" s="808">
        <f t="shared" si="56"/>
        <v>-0.34966288759398489</v>
      </c>
      <c r="P185" s="853" t="b">
        <f t="shared" si="62"/>
        <v>0</v>
      </c>
      <c r="Q185" s="854">
        <f>COUNTIF(P$2:P185, TRUE)/(COUNTIF(P$2:P185,FALSE) + COUNTIF(P$2:P185, TRUE))</f>
        <v>0.47282608695652173</v>
      </c>
      <c r="R185" s="852">
        <v>244388.04</v>
      </c>
      <c r="S185" s="852">
        <f t="shared" si="61"/>
        <v>53752.600000000006</v>
      </c>
      <c r="T185" s="852"/>
      <c r="U185" s="852"/>
      <c r="V185" s="854">
        <f>STDEV(D$2:D185)*SQRT(252)</f>
        <v>0.18335397650588192</v>
      </c>
      <c r="W185" s="854">
        <f>STDEV(L$2:L185)*SQRT(252)</f>
        <v>0.39131263252933984</v>
      </c>
      <c r="X185" s="823">
        <f t="shared" si="63"/>
        <v>-0.15583776159198121</v>
      </c>
      <c r="Y185" s="823">
        <f t="shared" si="64"/>
        <v>-0.89356401640769378</v>
      </c>
      <c r="Z185" s="829">
        <f t="shared" si="65"/>
        <v>-0.23383924492304176</v>
      </c>
    </row>
    <row r="186" spans="1:26" ht="20.100000000000001" customHeight="1" x14ac:dyDescent="0.2">
      <c r="A186" s="798">
        <f t="shared" si="55"/>
        <v>267</v>
      </c>
      <c r="B186" s="846">
        <v>42500</v>
      </c>
      <c r="C186" s="847">
        <v>2084.39</v>
      </c>
      <c r="D186" s="814">
        <f t="shared" si="69"/>
        <v>1.2483666797817941E-2</v>
      </c>
      <c r="E186" s="848">
        <f t="shared" si="70"/>
        <v>-8.5852628374651265E-3</v>
      </c>
      <c r="F186" s="849">
        <v>4809.88</v>
      </c>
      <c r="G186" s="814">
        <f t="shared" si="71"/>
        <v>1.2563681529198832E-2</v>
      </c>
      <c r="H186" s="850">
        <f t="shared" si="72"/>
        <v>-5.5348901152856553E-2</v>
      </c>
      <c r="I186" s="851">
        <v>304800.26</v>
      </c>
      <c r="J186" s="852">
        <v>400000</v>
      </c>
      <c r="K186" s="852">
        <f t="shared" si="73"/>
        <v>6659.6199999999953</v>
      </c>
      <c r="L186" s="814">
        <f t="shared" si="52"/>
        <v>2.2337176172963186E-2</v>
      </c>
      <c r="M186" s="853">
        <f t="shared" si="66"/>
        <v>-95199.739999999991</v>
      </c>
      <c r="N186" s="854">
        <f t="shared" si="67"/>
        <v>-0.23799934999999997</v>
      </c>
      <c r="O186" s="808">
        <f t="shared" si="56"/>
        <v>-0.32557776249999998</v>
      </c>
      <c r="P186" s="853" t="b">
        <f t="shared" si="62"/>
        <v>1</v>
      </c>
      <c r="Q186" s="854">
        <f>COUNTIF(P$2:P186, TRUE)/(COUNTIF(P$2:P186,FALSE) + COUNTIF(P$2:P186, TRUE))</f>
        <v>0.4756756756756757</v>
      </c>
      <c r="R186" s="852">
        <v>245950.62</v>
      </c>
      <c r="S186" s="852">
        <f t="shared" si="61"/>
        <v>58849.640000000014</v>
      </c>
      <c r="T186" s="852"/>
      <c r="U186" s="852"/>
      <c r="V186" s="854">
        <f>STDEV(D$2:D186)*SQRT(252)</f>
        <v>0.1834395508093867</v>
      </c>
      <c r="W186" s="854">
        <f>STDEV(L$2:L186)*SQRT(252)</f>
        <v>0.39117995017069312</v>
      </c>
      <c r="X186" s="823">
        <f t="shared" si="63"/>
        <v>-6.4023524820998143E-2</v>
      </c>
      <c r="Y186" s="823">
        <f t="shared" si="64"/>
        <v>-0.83229665108841255</v>
      </c>
      <c r="Z186" s="829">
        <f t="shared" si="65"/>
        <v>-0.22941408716253484</v>
      </c>
    </row>
    <row r="187" spans="1:26" ht="20.100000000000001" customHeight="1" x14ac:dyDescent="0.2">
      <c r="A187" s="798">
        <f t="shared" si="55"/>
        <v>268</v>
      </c>
      <c r="B187" s="846">
        <v>42501</v>
      </c>
      <c r="C187" s="847">
        <v>2064.46</v>
      </c>
      <c r="D187" s="814">
        <f t="shared" si="69"/>
        <v>-9.5615503816463502E-3</v>
      </c>
      <c r="E187" s="848">
        <f t="shared" si="70"/>
        <v>-1.8064724795951378E-2</v>
      </c>
      <c r="F187" s="849">
        <v>4760.68</v>
      </c>
      <c r="G187" s="814">
        <f t="shared" si="71"/>
        <v>-1.0228945420675737E-2</v>
      </c>
      <c r="H187" s="850">
        <f t="shared" si="72"/>
        <v>-6.5011685684545351E-2</v>
      </c>
      <c r="I187" s="851">
        <v>308835.23</v>
      </c>
      <c r="J187" s="852">
        <v>400000</v>
      </c>
      <c r="K187" s="852">
        <f t="shared" si="73"/>
        <v>4034.9699999999721</v>
      </c>
      <c r="L187" s="814">
        <f t="shared" si="52"/>
        <v>1.3238079258856183E-2</v>
      </c>
      <c r="M187" s="853">
        <f t="shared" si="66"/>
        <v>-91164.770000000019</v>
      </c>
      <c r="N187" s="854">
        <f t="shared" si="67"/>
        <v>-0.22791192500000004</v>
      </c>
      <c r="O187" s="808">
        <f t="shared" si="56"/>
        <v>-0.31061503957555975</v>
      </c>
      <c r="P187" s="853" t="b">
        <f t="shared" si="62"/>
        <v>1</v>
      </c>
      <c r="Q187" s="854">
        <f>COUNTIF(P$2:P187, TRUE)/(COUNTIF(P$2:P187,FALSE) + COUNTIF(P$2:P187, TRUE))</f>
        <v>0.478494623655914</v>
      </c>
      <c r="R187" s="852">
        <v>248232.13</v>
      </c>
      <c r="S187" s="852">
        <f t="shared" si="61"/>
        <v>60603.099999999977</v>
      </c>
      <c r="T187" s="852"/>
      <c r="U187" s="852"/>
      <c r="V187" s="854">
        <f>STDEV(D$2:D187)*SQRT(252)</f>
        <v>0.18328184052807739</v>
      </c>
      <c r="W187" s="854">
        <f>STDEV(L$2:L187)*SQRT(252)</f>
        <v>0.39045309819153251</v>
      </c>
      <c r="X187" s="823">
        <f t="shared" si="63"/>
        <v>-0.13432824568163304</v>
      </c>
      <c r="Y187" s="823">
        <f t="shared" si="64"/>
        <v>-0.7955245867281886</v>
      </c>
      <c r="Z187" s="829">
        <f t="shared" si="65"/>
        <v>-0.20984720020404868</v>
      </c>
    </row>
    <row r="188" spans="1:26" ht="20.100000000000001" customHeight="1" x14ac:dyDescent="0.2">
      <c r="A188" s="798">
        <f t="shared" si="55"/>
        <v>269</v>
      </c>
      <c r="B188" s="846">
        <v>42502</v>
      </c>
      <c r="C188" s="847">
        <v>2064.11</v>
      </c>
      <c r="D188" s="814">
        <f t="shared" si="69"/>
        <v>-1.6953585925612947E-4</v>
      </c>
      <c r="E188" s="848">
        <f t="shared" si="70"/>
        <v>-1.8231198036567E-2</v>
      </c>
      <c r="F188" s="849">
        <v>4737.33</v>
      </c>
      <c r="G188" s="814">
        <f t="shared" si="71"/>
        <v>-4.9047615046590746E-3</v>
      </c>
      <c r="H188" s="850">
        <f t="shared" si="72"/>
        <v>-6.9597580375905868E-2</v>
      </c>
      <c r="I188" s="851">
        <v>304301.34000000003</v>
      </c>
      <c r="J188" s="852">
        <v>400000</v>
      </c>
      <c r="K188" s="852">
        <f t="shared" si="73"/>
        <v>-4533.8899999999558</v>
      </c>
      <c r="L188" s="814">
        <f t="shared" si="52"/>
        <v>-1.4680611405635154E-2</v>
      </c>
      <c r="M188" s="853">
        <f t="shared" si="66"/>
        <v>-95698.659999999974</v>
      </c>
      <c r="N188" s="854">
        <f t="shared" si="67"/>
        <v>-0.23924664999999995</v>
      </c>
      <c r="O188" s="808">
        <f t="shared" si="56"/>
        <v>-0.32485070227695162</v>
      </c>
      <c r="P188" s="853" t="b">
        <f t="shared" si="62"/>
        <v>0</v>
      </c>
      <c r="Q188" s="854">
        <f>COUNTIF(P$2:P188, TRUE)/(COUNTIF(P$2:P188,FALSE) + COUNTIF(P$2:P188, TRUE))</f>
        <v>0.47593582887700536</v>
      </c>
      <c r="R188" s="852">
        <v>280165.89</v>
      </c>
      <c r="S188" s="852">
        <f t="shared" si="61"/>
        <v>24135.450000000012</v>
      </c>
      <c r="T188" s="852"/>
      <c r="U188" s="852"/>
      <c r="V188" s="854">
        <f>STDEV(D$2:D188)*SQRT(252)</f>
        <v>0.1827858829252009</v>
      </c>
      <c r="W188" s="854">
        <f>STDEV(L$2:L188)*SQRT(252)</f>
        <v>0.38974137838139039</v>
      </c>
      <c r="X188" s="823">
        <f t="shared" si="63"/>
        <v>-0.13542863535761854</v>
      </c>
      <c r="Y188" s="823">
        <f t="shared" si="64"/>
        <v>-0.83350324162671152</v>
      </c>
      <c r="Z188" s="829">
        <f t="shared" si="65"/>
        <v>-0.22101545196343295</v>
      </c>
    </row>
    <row r="189" spans="1:26" ht="20.100000000000001" customHeight="1" x14ac:dyDescent="0.2">
      <c r="A189" s="798">
        <f t="shared" si="55"/>
        <v>270</v>
      </c>
      <c r="B189" s="846">
        <v>42503</v>
      </c>
      <c r="C189" s="847">
        <v>2046.61</v>
      </c>
      <c r="D189" s="814">
        <f t="shared" si="69"/>
        <v>-8.4782303268722235E-3</v>
      </c>
      <c r="E189" s="848">
        <f t="shared" si="70"/>
        <v>-2.6554860067350389E-2</v>
      </c>
      <c r="F189" s="849">
        <v>4717.68</v>
      </c>
      <c r="G189" s="814">
        <f t="shared" si="71"/>
        <v>-4.1479060990050592E-3</v>
      </c>
      <c r="H189" s="850">
        <f t="shared" si="72"/>
        <v>-7.3456802246793712E-2</v>
      </c>
      <c r="I189" s="851">
        <v>303736.26</v>
      </c>
      <c r="J189" s="852">
        <v>400000</v>
      </c>
      <c r="K189" s="852">
        <f t="shared" si="73"/>
        <v>-565.0800000000163</v>
      </c>
      <c r="L189" s="814">
        <f t="shared" si="52"/>
        <v>-1.8569750629425959E-3</v>
      </c>
      <c r="M189" s="853">
        <f t="shared" si="66"/>
        <v>-96263.739999999991</v>
      </c>
      <c r="N189" s="854">
        <f t="shared" si="67"/>
        <v>-0.24065934999999997</v>
      </c>
      <c r="O189" s="808">
        <f t="shared" si="56"/>
        <v>-0.32555862069444441</v>
      </c>
      <c r="P189" s="853" t="b">
        <f t="shared" si="62"/>
        <v>1</v>
      </c>
      <c r="Q189" s="854">
        <f>COUNTIF(P$2:P189, TRUE)/(COUNTIF(P$2:P189,FALSE) + COUNTIF(P$2:P189, TRUE))</f>
        <v>0.47872340425531917</v>
      </c>
      <c r="R189" s="852">
        <v>251738</v>
      </c>
      <c r="S189" s="852">
        <f t="shared" si="61"/>
        <v>51998.260000000009</v>
      </c>
      <c r="T189" s="852"/>
      <c r="U189" s="852"/>
      <c r="V189" s="854">
        <f>STDEV(D$2:D189)*SQRT(252)</f>
        <v>0.18255729754579855</v>
      </c>
      <c r="W189" s="854">
        <f>STDEV(L$2:L189)*SQRT(252)</f>
        <v>0.38869471253740751</v>
      </c>
      <c r="X189" s="823">
        <f t="shared" si="63"/>
        <v>-0.19677561551379819</v>
      </c>
      <c r="Y189" s="823">
        <f t="shared" si="64"/>
        <v>-0.83756894599669407</v>
      </c>
      <c r="Z189" s="829">
        <f t="shared" si="65"/>
        <v>-0.21410448993264958</v>
      </c>
    </row>
    <row r="190" spans="1:26" ht="20.100000000000001" customHeight="1" x14ac:dyDescent="0.2">
      <c r="A190" s="798">
        <f t="shared" si="55"/>
        <v>273</v>
      </c>
      <c r="B190" s="817">
        <v>42506</v>
      </c>
      <c r="C190" s="842">
        <v>2066.66</v>
      </c>
      <c r="D190" s="814">
        <f t="shared" si="69"/>
        <v>9.7966881819203239E-3</v>
      </c>
      <c r="E190" s="841">
        <f t="shared" si="70"/>
        <v>-1.7018321569224424E-2</v>
      </c>
      <c r="F190" s="838">
        <v>4775.45</v>
      </c>
      <c r="G190" s="814">
        <f t="shared" si="71"/>
        <v>1.224542571772556E-2</v>
      </c>
      <c r="H190" s="819">
        <f t="shared" si="72"/>
        <v>-6.2110886344442916E-2</v>
      </c>
      <c r="I190" s="821">
        <v>310136.52</v>
      </c>
      <c r="J190" s="822">
        <v>400000</v>
      </c>
      <c r="K190" s="822">
        <f t="shared" si="73"/>
        <v>6400.2600000000093</v>
      </c>
      <c r="L190" s="814">
        <f t="shared" si="52"/>
        <v>2.1071767987134657E-2</v>
      </c>
      <c r="M190" s="839">
        <f t="shared" si="66"/>
        <v>-89863.479999999981</v>
      </c>
      <c r="N190" s="824">
        <f t="shared" ref="N190:N221" si="74">M190/J190</f>
        <v>-0.22465869999999996</v>
      </c>
      <c r="O190" s="808">
        <f t="shared" si="56"/>
        <v>-0.30057359038461534</v>
      </c>
      <c r="P190" s="839" t="b">
        <f t="shared" si="62"/>
        <v>1</v>
      </c>
      <c r="Q190" s="824">
        <f>COUNTIF(P$2:P190, TRUE)/(COUNTIF(P$2:P190,FALSE) + COUNTIF(P$2:P190, TRUE))</f>
        <v>0.48148148148148145</v>
      </c>
      <c r="R190" s="822">
        <v>258123.64</v>
      </c>
      <c r="S190" s="822">
        <f t="shared" si="61"/>
        <v>52012.880000000005</v>
      </c>
      <c r="T190" s="822"/>
      <c r="U190" s="822"/>
      <c r="V190" s="824">
        <f>STDEV(D$2:D190)*SQRT(252)</f>
        <v>0.18242711588099725</v>
      </c>
      <c r="W190" s="824">
        <f>STDEV(L$2:L190)*SQRT(252)</f>
        <v>0.38847097955636578</v>
      </c>
      <c r="X190" s="823">
        <f t="shared" si="63"/>
        <v>-0.124811588636271</v>
      </c>
      <c r="Y190" s="823">
        <f t="shared" si="64"/>
        <v>-0.77373499232264575</v>
      </c>
      <c r="Z190" s="829">
        <f t="shared" si="65"/>
        <v>-0.20764037843077554</v>
      </c>
    </row>
    <row r="191" spans="1:26" ht="20.100000000000001" customHeight="1" x14ac:dyDescent="0.2">
      <c r="A191" s="798">
        <f t="shared" si="55"/>
        <v>274</v>
      </c>
      <c r="B191" s="817">
        <v>42507</v>
      </c>
      <c r="C191" s="842">
        <v>2047.21</v>
      </c>
      <c r="D191" s="814">
        <f>(C191-C190)/C190</f>
        <v>-9.4113206816795313E-3</v>
      </c>
      <c r="E191" s="841">
        <f t="shared" si="70"/>
        <v>-2.6269477369152042E-2</v>
      </c>
      <c r="F191" s="838">
        <v>4715.7299999999996</v>
      </c>
      <c r="G191" s="814">
        <f>(F191-F190)/F190</f>
        <v>-1.2505627741888252E-2</v>
      </c>
      <c r="H191" s="819">
        <f t="shared" si="72"/>
        <v>-7.3839778462988837E-2</v>
      </c>
      <c r="I191" s="821">
        <v>311039.01</v>
      </c>
      <c r="J191" s="822">
        <v>400000</v>
      </c>
      <c r="K191" s="822">
        <f t="shared" si="73"/>
        <v>902.48999999999069</v>
      </c>
      <c r="L191" s="814">
        <f t="shared" si="52"/>
        <v>2.9099765483922711E-3</v>
      </c>
      <c r="M191" s="839">
        <f t="shared" si="66"/>
        <v>-88960.989999999991</v>
      </c>
      <c r="N191" s="824">
        <f t="shared" si="74"/>
        <v>-0.22240247499999999</v>
      </c>
      <c r="O191" s="808">
        <f t="shared" si="56"/>
        <v>-0.29646899267791965</v>
      </c>
      <c r="P191" s="839" t="b">
        <f t="shared" si="62"/>
        <v>1</v>
      </c>
      <c r="Q191" s="824">
        <f>COUNTIF(P$2:P191, TRUE)/(COUNTIF(P$2:P191,FALSE) + COUNTIF(P$2:P191, TRUE))</f>
        <v>0.48421052631578948</v>
      </c>
      <c r="R191" s="822">
        <v>255974.63</v>
      </c>
      <c r="S191" s="822">
        <f t="shared" si="61"/>
        <v>55064.380000000005</v>
      </c>
      <c r="T191" s="822"/>
      <c r="U191" s="822"/>
      <c r="V191" s="824">
        <f>STDEV(D$2:D191)*SQRT(252)</f>
        <v>0.18226379341821147</v>
      </c>
      <c r="W191" s="824">
        <f>STDEV(L$2:L191)*SQRT(252)</f>
        <v>0.38745717293573728</v>
      </c>
      <c r="X191" s="823">
        <f t="shared" si="63"/>
        <v>-0.1921280121980645</v>
      </c>
      <c r="Y191" s="823">
        <f t="shared" si="64"/>
        <v>-0.76516583866958454</v>
      </c>
      <c r="Z191" s="829">
        <f t="shared" si="65"/>
        <v>-0.19613299763084796</v>
      </c>
    </row>
    <row r="192" spans="1:26" ht="20.100000000000001" customHeight="1" x14ac:dyDescent="0.2">
      <c r="A192" s="798">
        <f t="shared" si="55"/>
        <v>275</v>
      </c>
      <c r="B192" s="817">
        <v>42508</v>
      </c>
      <c r="C192" s="842">
        <v>2047.63</v>
      </c>
      <c r="D192" s="814">
        <f>(C192-C191)/C191</f>
        <v>2.051572628113739E-4</v>
      </c>
      <c r="E192" s="841">
        <f t="shared" ref="E192:E223" si="75">(C192-$C$2)/$C$2</f>
        <v>-2.6069709480413209E-2</v>
      </c>
      <c r="F192" s="838">
        <v>4739.1099999999997</v>
      </c>
      <c r="G192" s="814">
        <f t="shared" ref="G192:G255" si="76">(F192-F191)/F191</f>
        <v>4.9578750267721249E-3</v>
      </c>
      <c r="H192" s="819">
        <f t="shared" ref="H192:H223" si="77">(F192-F$2)/F$2</f>
        <v>-6.9247991829840747E-2</v>
      </c>
      <c r="I192" s="821">
        <v>310817.56</v>
      </c>
      <c r="J192" s="822">
        <v>400000</v>
      </c>
      <c r="K192" s="822">
        <f t="shared" ref="K192:K223" si="78">I192-I191-J192+J191</f>
        <v>-221.45000000001164</v>
      </c>
      <c r="L192" s="814">
        <f t="shared" si="52"/>
        <v>-7.1196857268807415E-4</v>
      </c>
      <c r="M192" s="839">
        <f t="shared" ref="M192:M223" si="79">I192-J192</f>
        <v>-89182.44</v>
      </c>
      <c r="N192" s="824">
        <f t="shared" si="74"/>
        <v>-0.22295610000000002</v>
      </c>
      <c r="O192" s="808">
        <f t="shared" si="56"/>
        <v>-0.29612623827272727</v>
      </c>
      <c r="P192" s="839" t="b">
        <f t="shared" ref="P192:P223" si="80">L192&gt;D192</f>
        <v>0</v>
      </c>
      <c r="Q192" s="824">
        <f>COUNTIF(P$2:P192, TRUE)/(COUNTIF(P$2:P192,FALSE) + COUNTIF(P$2:P192, TRUE))</f>
        <v>0.48167539267015708</v>
      </c>
      <c r="R192" s="822">
        <v>257102.48</v>
      </c>
      <c r="S192" s="822">
        <f t="shared" ref="S192:S236" si="81">I192-R192</f>
        <v>53715.079999999987</v>
      </c>
      <c r="T192" s="822"/>
      <c r="U192" s="822"/>
      <c r="V192" s="824">
        <f>STDEV(D$2:D192)*SQRT(252)</f>
        <v>0.18178126131382988</v>
      </c>
      <c r="W192" s="824">
        <f>STDEV(L$2:L192)*SQRT(252)</f>
        <v>0.38643084331736716</v>
      </c>
      <c r="X192" s="823">
        <f t="shared" si="63"/>
        <v>-0.19047790672653184</v>
      </c>
      <c r="Y192" s="823">
        <f t="shared" si="64"/>
        <v>-0.76631108358378452</v>
      </c>
      <c r="Z192" s="829">
        <f t="shared" si="65"/>
        <v>-0.19688639051958681</v>
      </c>
    </row>
    <row r="193" spans="1:26" ht="20.100000000000001" customHeight="1" x14ac:dyDescent="0.2">
      <c r="A193" s="798">
        <f t="shared" si="55"/>
        <v>276</v>
      </c>
      <c r="B193" s="817">
        <v>42509</v>
      </c>
      <c r="C193" s="842">
        <v>2040.04</v>
      </c>
      <c r="D193" s="814">
        <f t="shared" ref="D193:D256" si="82">(C193-C192)/C192</f>
        <v>-3.7067243593814046E-3</v>
      </c>
      <c r="E193" s="841">
        <f t="shared" si="75"/>
        <v>-2.9679800612621567E-2</v>
      </c>
      <c r="F193" s="838">
        <v>4712.53</v>
      </c>
      <c r="G193" s="814">
        <f t="shared" si="76"/>
        <v>-5.6086480372896869E-3</v>
      </c>
      <c r="H193" s="819">
        <f t="shared" si="77"/>
        <v>-7.4468252253667752E-2</v>
      </c>
      <c r="I193" s="821">
        <v>311569.3</v>
      </c>
      <c r="J193" s="822">
        <v>400000</v>
      </c>
      <c r="K193" s="822">
        <f t="shared" si="78"/>
        <v>751.73999999999069</v>
      </c>
      <c r="L193" s="814">
        <f t="shared" si="52"/>
        <v>2.4185892199912731E-3</v>
      </c>
      <c r="M193" s="839">
        <f t="shared" si="79"/>
        <v>-88430.700000000012</v>
      </c>
      <c r="N193" s="824">
        <f t="shared" si="74"/>
        <v>-0.22107675000000002</v>
      </c>
      <c r="O193" s="808">
        <f t="shared" si="56"/>
        <v>-0.29256624252717395</v>
      </c>
      <c r="P193" s="839" t="b">
        <f t="shared" si="80"/>
        <v>1</v>
      </c>
      <c r="Q193" s="824">
        <f>COUNTIF(P$2:P193, TRUE)/(COUNTIF(P$2:P193,FALSE) + COUNTIF(P$2:P193, TRUE))</f>
        <v>0.484375</v>
      </c>
      <c r="R193" s="822">
        <v>263424.27</v>
      </c>
      <c r="S193" s="822">
        <f t="shared" si="81"/>
        <v>48145.02999999997</v>
      </c>
      <c r="T193" s="822"/>
      <c r="U193" s="822"/>
      <c r="V193" s="824">
        <f>STDEV(D$2:D193)*SQRT(252)</f>
        <v>0.18135027686058963</v>
      </c>
      <c r="W193" s="824">
        <f>STDEV(L$2:L193)*SQRT(252)</f>
        <v>0.38542760333105391</v>
      </c>
      <c r="X193" s="823">
        <f t="shared" si="63"/>
        <v>-0.2165827674068441</v>
      </c>
      <c r="Y193" s="823">
        <f t="shared" si="64"/>
        <v>-0.75906925191313057</v>
      </c>
      <c r="Z193" s="829">
        <f t="shared" si="65"/>
        <v>-0.19139694938737845</v>
      </c>
    </row>
    <row r="194" spans="1:26" ht="20.100000000000001" customHeight="1" x14ac:dyDescent="0.2">
      <c r="A194" s="798">
        <f t="shared" si="55"/>
        <v>277</v>
      </c>
      <c r="B194" s="817">
        <v>42510</v>
      </c>
      <c r="C194" s="842">
        <v>2052.3200000000002</v>
      </c>
      <c r="D194" s="814">
        <f t="shared" si="82"/>
        <v>6.0194898139253154E-3</v>
      </c>
      <c r="E194" s="841">
        <f t="shared" si="75"/>
        <v>-2.3838968056163264E-2</v>
      </c>
      <c r="F194" s="838">
        <v>4769.55</v>
      </c>
      <c r="G194" s="814">
        <f t="shared" si="76"/>
        <v>1.209965772101195E-2</v>
      </c>
      <c r="H194" s="819">
        <f t="shared" si="77"/>
        <v>-6.3269634896007163E-2</v>
      </c>
      <c r="I194" s="821">
        <v>320418.83</v>
      </c>
      <c r="J194" s="822">
        <v>400000</v>
      </c>
      <c r="K194" s="822">
        <f t="shared" si="78"/>
        <v>8849.5300000000279</v>
      </c>
      <c r="L194" s="814">
        <f t="shared" si="52"/>
        <v>2.8403087210453752E-2</v>
      </c>
      <c r="M194" s="839">
        <f t="shared" si="79"/>
        <v>-79581.169999999984</v>
      </c>
      <c r="N194" s="824">
        <f t="shared" si="74"/>
        <v>-0.19895292499999995</v>
      </c>
      <c r="O194" s="808">
        <f t="shared" si="56"/>
        <v>-0.26233774677346566</v>
      </c>
      <c r="P194" s="839" t="b">
        <f t="shared" si="80"/>
        <v>1</v>
      </c>
      <c r="Q194" s="824">
        <f>COUNTIF(P$2:P194, TRUE)/(COUNTIF(P$2:P194,FALSE) + COUNTIF(P$2:P194, TRUE))</f>
        <v>0.48704663212435234</v>
      </c>
      <c r="R194" s="822">
        <v>264120.78000000003</v>
      </c>
      <c r="S194" s="822">
        <f t="shared" si="81"/>
        <v>56298.049999999988</v>
      </c>
      <c r="T194" s="822"/>
      <c r="U194" s="822"/>
      <c r="V194" s="824">
        <f>STDEV(D$2:D194)*SQRT(252)</f>
        <v>0.18101041145584279</v>
      </c>
      <c r="W194" s="824">
        <f>STDEV(L$2:L194)*SQRT(252)</f>
        <v>0.38584361102495252</v>
      </c>
      <c r="X194" s="823">
        <f t="shared" si="63"/>
        <v>-0.17365782272563243</v>
      </c>
      <c r="Y194" s="823">
        <f t="shared" si="64"/>
        <v>-0.67990693451316542</v>
      </c>
      <c r="Z194" s="829">
        <f t="shared" si="65"/>
        <v>-0.17511395694383669</v>
      </c>
    </row>
    <row r="195" spans="1:26" ht="20.100000000000001" customHeight="1" x14ac:dyDescent="0.2">
      <c r="A195" s="798">
        <f t="shared" si="55"/>
        <v>280</v>
      </c>
      <c r="B195" s="846">
        <v>42513</v>
      </c>
      <c r="C195" s="847">
        <v>2048.04</v>
      </c>
      <c r="D195" s="814">
        <f t="shared" si="82"/>
        <v>-2.085444764949033E-3</v>
      </c>
      <c r="E195" s="848">
        <f t="shared" si="75"/>
        <v>-2.5874697969977784E-2</v>
      </c>
      <c r="F195" s="849">
        <v>4765.78</v>
      </c>
      <c r="G195" s="814">
        <f t="shared" si="76"/>
        <v>-7.9043096308885254E-4</v>
      </c>
      <c r="H195" s="850">
        <f t="shared" si="77"/>
        <v>-6.4010055580650885E-2</v>
      </c>
      <c r="I195" s="851">
        <v>322945.12</v>
      </c>
      <c r="J195" s="852">
        <v>400000</v>
      </c>
      <c r="K195" s="852">
        <f t="shared" si="78"/>
        <v>2526.289999999979</v>
      </c>
      <c r="L195" s="814">
        <f t="shared" si="52"/>
        <v>7.8843368849451784E-3</v>
      </c>
      <c r="M195" s="853">
        <f t="shared" si="79"/>
        <v>-77054.880000000005</v>
      </c>
      <c r="N195" s="854">
        <f t="shared" si="74"/>
        <v>-0.19263720000000001</v>
      </c>
      <c r="O195" s="808">
        <f t="shared" si="56"/>
        <v>-0.25128834750000001</v>
      </c>
      <c r="P195" s="853" t="b">
        <f t="shared" si="80"/>
        <v>1</v>
      </c>
      <c r="Q195" s="854">
        <f>COUNTIF(P$2:P195, TRUE)/(COUNTIF(P$2:P195,FALSE) + COUNTIF(P$2:P195, TRUE))</f>
        <v>0.48969072164948452</v>
      </c>
      <c r="R195" s="852">
        <v>257529.17</v>
      </c>
      <c r="S195" s="852">
        <f t="shared" si="81"/>
        <v>65415.949999999983</v>
      </c>
      <c r="T195" s="852"/>
      <c r="U195" s="852"/>
      <c r="V195" s="854">
        <f>STDEV(D$2:D195)*SQRT(252)</f>
        <v>0.18055323575964988</v>
      </c>
      <c r="W195" s="854">
        <f>STDEV(L$2:L195)*SQRT(252)</f>
        <v>0.38495329027119468</v>
      </c>
      <c r="X195" s="823">
        <f t="shared" si="63"/>
        <v>-0.18693998622329316</v>
      </c>
      <c r="Y195" s="823">
        <f t="shared" si="64"/>
        <v>-0.65277620389468705</v>
      </c>
      <c r="Z195" s="829">
        <f t="shared" si="65"/>
        <v>-0.16676250203002221</v>
      </c>
    </row>
    <row r="196" spans="1:26" ht="20.100000000000001" customHeight="1" x14ac:dyDescent="0.2">
      <c r="A196" s="798">
        <f t="shared" si="55"/>
        <v>281</v>
      </c>
      <c r="B196" s="846">
        <v>42514</v>
      </c>
      <c r="C196" s="847">
        <v>2076.06</v>
      </c>
      <c r="D196" s="814">
        <f t="shared" si="82"/>
        <v>1.3681373410675565E-2</v>
      </c>
      <c r="E196" s="848">
        <f t="shared" si="75"/>
        <v>-1.2547325964117933E-2</v>
      </c>
      <c r="F196" s="849">
        <v>4861.05</v>
      </c>
      <c r="G196" s="814">
        <f t="shared" si="76"/>
        <v>1.9990431786612146E-2</v>
      </c>
      <c r="H196" s="850">
        <f t="shared" si="77"/>
        <v>-4.5299212443780983E-2</v>
      </c>
      <c r="I196" s="851">
        <v>324441.06</v>
      </c>
      <c r="J196" s="852">
        <v>400000</v>
      </c>
      <c r="K196" s="852">
        <f t="shared" si="78"/>
        <v>1495.9400000000023</v>
      </c>
      <c r="L196" s="814">
        <f t="shared" ref="L196:L219" si="83">K196/I195</f>
        <v>4.6321802292600125E-3</v>
      </c>
      <c r="M196" s="853">
        <f t="shared" si="79"/>
        <v>-75558.94</v>
      </c>
      <c r="N196" s="854">
        <f t="shared" si="74"/>
        <v>-0.18889735000000002</v>
      </c>
      <c r="O196" s="808">
        <f t="shared" si="56"/>
        <v>-0.24553294337188614</v>
      </c>
      <c r="P196" s="853" t="b">
        <f t="shared" si="80"/>
        <v>0</v>
      </c>
      <c r="Q196" s="854">
        <f>COUNTIF(P$2:P196, TRUE)/(COUNTIF(P$2:P196,FALSE) + COUNTIF(P$2:P196, TRUE))</f>
        <v>0.48717948717948717</v>
      </c>
      <c r="R196" s="852">
        <v>256296.81</v>
      </c>
      <c r="S196" s="852">
        <f t="shared" si="81"/>
        <v>68144.25</v>
      </c>
      <c r="T196" s="852"/>
      <c r="U196" s="852"/>
      <c r="V196" s="854">
        <f>STDEV(D$2:D196)*SQRT(252)</f>
        <v>0.18076572452731524</v>
      </c>
      <c r="W196" s="854">
        <f>STDEV(L$2:L196)*SQRT(252)</f>
        <v>0.38399644388523335</v>
      </c>
      <c r="X196" s="823">
        <f t="shared" si="63"/>
        <v>-9.0223360516614573E-2</v>
      </c>
      <c r="Y196" s="823">
        <f t="shared" si="64"/>
        <v>-0.63941462813460226</v>
      </c>
      <c r="Z196" s="829">
        <f t="shared" si="65"/>
        <v>-0.1763500240358821</v>
      </c>
    </row>
    <row r="197" spans="1:26" ht="20.100000000000001" customHeight="1" x14ac:dyDescent="0.2">
      <c r="A197" s="798">
        <f t="shared" si="55"/>
        <v>282</v>
      </c>
      <c r="B197" s="846">
        <v>42515</v>
      </c>
      <c r="C197" s="847">
        <v>2090.54</v>
      </c>
      <c r="D197" s="814">
        <f t="shared" si="82"/>
        <v>6.9747502480660573E-3</v>
      </c>
      <c r="E197" s="848">
        <f t="shared" si="75"/>
        <v>-5.6600901809326738E-3</v>
      </c>
      <c r="F197" s="849">
        <v>4894.8900000000003</v>
      </c>
      <c r="G197" s="814">
        <f t="shared" si="76"/>
        <v>6.9614589440553263E-3</v>
      </c>
      <c r="H197" s="850">
        <f t="shared" si="77"/>
        <v>-3.8653102107351081E-2</v>
      </c>
      <c r="I197" s="851">
        <v>329556.86</v>
      </c>
      <c r="J197" s="852">
        <v>400000</v>
      </c>
      <c r="K197" s="852">
        <f t="shared" si="78"/>
        <v>5115.7999999999884</v>
      </c>
      <c r="L197" s="814">
        <f t="shared" si="83"/>
        <v>1.5768041196758474E-2</v>
      </c>
      <c r="M197" s="853">
        <f t="shared" si="79"/>
        <v>-70443.140000000014</v>
      </c>
      <c r="N197" s="854">
        <f t="shared" si="74"/>
        <v>-0.17610785000000004</v>
      </c>
      <c r="O197" s="808">
        <f t="shared" si="56"/>
        <v>-0.22809713550531921</v>
      </c>
      <c r="P197" s="853" t="b">
        <f t="shared" si="80"/>
        <v>1</v>
      </c>
      <c r="Q197" s="854">
        <f>COUNTIF(P$2:P197, TRUE)/(COUNTIF(P$2:P197,FALSE) + COUNTIF(P$2:P197, TRUE))</f>
        <v>0.48979591836734693</v>
      </c>
      <c r="R197" s="852">
        <v>253103.72</v>
      </c>
      <c r="S197" s="852">
        <f t="shared" si="81"/>
        <v>76453.139999999985</v>
      </c>
      <c r="T197" s="852"/>
      <c r="U197" s="852"/>
      <c r="V197" s="854">
        <f>STDEV(D$2:D197)*SQRT(252)</f>
        <v>0.18047351369657114</v>
      </c>
      <c r="W197" s="854">
        <f>STDEV(L$2:L197)*SQRT(252)</f>
        <v>0.38344132562048239</v>
      </c>
      <c r="X197" s="823">
        <f t="shared" si="63"/>
        <v>-4.0621035788885831E-2</v>
      </c>
      <c r="Y197" s="823">
        <f t="shared" si="64"/>
        <v>-0.59486841992373629</v>
      </c>
      <c r="Z197" s="829">
        <f t="shared" si="65"/>
        <v>-0.17044775981906737</v>
      </c>
    </row>
    <row r="198" spans="1:26" ht="20.100000000000001" customHeight="1" x14ac:dyDescent="0.2">
      <c r="A198" s="798">
        <f t="shared" si="55"/>
        <v>283</v>
      </c>
      <c r="B198" s="846">
        <v>42516</v>
      </c>
      <c r="C198" s="847">
        <v>2090.1</v>
      </c>
      <c r="D198" s="814">
        <f t="shared" si="82"/>
        <v>-2.1047193548081098E-4</v>
      </c>
      <c r="E198" s="848">
        <f t="shared" si="75"/>
        <v>-5.8693708262781081E-3</v>
      </c>
      <c r="F198" s="849">
        <v>4901.76</v>
      </c>
      <c r="G198" s="814">
        <f t="shared" si="76"/>
        <v>1.4035044709891111E-3</v>
      </c>
      <c r="H198" s="850">
        <f t="shared" si="77"/>
        <v>-3.7303847437987238E-2</v>
      </c>
      <c r="I198" s="851">
        <v>327477.31</v>
      </c>
      <c r="J198" s="852">
        <v>400000</v>
      </c>
      <c r="K198" s="852">
        <f t="shared" si="78"/>
        <v>-2079.5499999999884</v>
      </c>
      <c r="L198" s="814">
        <f t="shared" si="83"/>
        <v>-6.3101402289122083E-3</v>
      </c>
      <c r="M198" s="853">
        <f t="shared" si="79"/>
        <v>-72522.69</v>
      </c>
      <c r="N198" s="854">
        <f t="shared" si="74"/>
        <v>-0.181306725</v>
      </c>
      <c r="O198" s="808">
        <f t="shared" si="56"/>
        <v>-0.23400099401501767</v>
      </c>
      <c r="P198" s="853" t="b">
        <f t="shared" si="80"/>
        <v>0</v>
      </c>
      <c r="Q198" s="854">
        <f>COUNTIF(P$2:P198, TRUE)/(COUNTIF(P$2:P198,FALSE) + COUNTIF(P$2:P198, TRUE))</f>
        <v>0.48730964467005078</v>
      </c>
      <c r="R198" s="852">
        <v>253608.16</v>
      </c>
      <c r="S198" s="852">
        <f t="shared" si="81"/>
        <v>73869.149999999994</v>
      </c>
      <c r="T198" s="852"/>
      <c r="U198" s="852"/>
      <c r="V198" s="854">
        <f>STDEV(D$2:D198)*SQRT(252)</f>
        <v>0.18001038194737823</v>
      </c>
      <c r="W198" s="854">
        <f>STDEV(L$2:L198)*SQRT(252)</f>
        <v>0.38251907030209392</v>
      </c>
      <c r="X198" s="823">
        <f t="shared" si="63"/>
        <v>-4.2082136889396882E-2</v>
      </c>
      <c r="Y198" s="823">
        <f t="shared" si="64"/>
        <v>-0.6117368052531752</v>
      </c>
      <c r="Z198" s="829">
        <f t="shared" si="65"/>
        <v>-0.17543735417372189</v>
      </c>
    </row>
    <row r="199" spans="1:26" ht="20.100000000000001" customHeight="1" x14ac:dyDescent="0.2">
      <c r="A199" s="798">
        <f t="shared" ref="A199:A250" si="84">B199-$B$2</f>
        <v>284</v>
      </c>
      <c r="B199" s="846">
        <v>42517</v>
      </c>
      <c r="C199" s="847">
        <v>2099.06</v>
      </c>
      <c r="D199" s="814">
        <f t="shared" si="82"/>
        <v>4.2868762260179112E-3</v>
      </c>
      <c r="E199" s="848">
        <f t="shared" si="75"/>
        <v>-1.6076558665170512E-3</v>
      </c>
      <c r="F199" s="849">
        <v>4933.5</v>
      </c>
      <c r="G199" s="814">
        <f t="shared" si="76"/>
        <v>6.4752252252251808E-3</v>
      </c>
      <c r="H199" s="850">
        <f t="shared" si="77"/>
        <v>-3.1070173026690462E-2</v>
      </c>
      <c r="I199" s="851">
        <v>327126.28999999998</v>
      </c>
      <c r="J199" s="852">
        <v>400000</v>
      </c>
      <c r="K199" s="852">
        <f t="shared" si="78"/>
        <v>-351.02000000001863</v>
      </c>
      <c r="L199" s="814">
        <f t="shared" si="83"/>
        <v>-1.0718910571239841E-3</v>
      </c>
      <c r="M199" s="853">
        <f t="shared" si="79"/>
        <v>-72873.710000000021</v>
      </c>
      <c r="N199" s="854">
        <f t="shared" si="74"/>
        <v>-0.18218427500000006</v>
      </c>
      <c r="O199" s="808">
        <f t="shared" ref="O199:O262" si="85">N199/(A199/365.25)</f>
        <v>-0.23430565649207752</v>
      </c>
      <c r="P199" s="853" t="b">
        <f t="shared" si="80"/>
        <v>0</v>
      </c>
      <c r="Q199" s="854">
        <f>COUNTIF(P$2:P199, TRUE)/(COUNTIF(P$2:P199,FALSE) + COUNTIF(P$2:P199, TRUE))</f>
        <v>0.48484848484848486</v>
      </c>
      <c r="R199" s="852">
        <v>252103.35</v>
      </c>
      <c r="S199" s="852">
        <f t="shared" si="81"/>
        <v>75022.939999999973</v>
      </c>
      <c r="T199" s="852">
        <v>-82653.611999999514</v>
      </c>
      <c r="U199" s="852">
        <f t="shared" ref="U199:U204" si="86">M199-T199</f>
        <v>9779.9019999994925</v>
      </c>
      <c r="V199" s="854">
        <f>STDEV(D$2:D199)*SQRT(252)</f>
        <v>0.17961500199880534</v>
      </c>
      <c r="W199" s="854">
        <f>STDEV(L$2:L199)*SQRT(252)</f>
        <v>0.38154311840719901</v>
      </c>
      <c r="X199" s="823">
        <f t="shared" si="63"/>
        <v>-1.1511246839599219E-2</v>
      </c>
      <c r="Y199" s="823">
        <f t="shared" si="64"/>
        <v>-0.61410007201864025</v>
      </c>
      <c r="Z199" s="829">
        <f t="shared" si="65"/>
        <v>-0.18057661913348302</v>
      </c>
    </row>
    <row r="200" spans="1:26" ht="20.100000000000001" customHeight="1" x14ac:dyDescent="0.2">
      <c r="A200" s="798">
        <f t="shared" si="84"/>
        <v>288</v>
      </c>
      <c r="B200" s="817">
        <v>42521</v>
      </c>
      <c r="C200" s="842">
        <v>2096.9499999999998</v>
      </c>
      <c r="D200" s="814">
        <f t="shared" si="82"/>
        <v>-1.0052118567359328E-3</v>
      </c>
      <c r="E200" s="841">
        <f t="shared" si="75"/>
        <v>-2.6112516885144102E-3</v>
      </c>
      <c r="F200" s="838">
        <v>4948.05</v>
      </c>
      <c r="G200" s="814">
        <f t="shared" si="76"/>
        <v>2.9492246883551601E-3</v>
      </c>
      <c r="H200" s="819">
        <f t="shared" si="77"/>
        <v>-2.8212581259697084E-2</v>
      </c>
      <c r="I200" s="844">
        <v>330773</v>
      </c>
      <c r="J200" s="822">
        <v>400000</v>
      </c>
      <c r="K200" s="822">
        <f t="shared" si="78"/>
        <v>3646.710000000021</v>
      </c>
      <c r="L200" s="814">
        <f t="shared" si="83"/>
        <v>1.1147713013221962E-2</v>
      </c>
      <c r="M200" s="839">
        <f t="shared" si="79"/>
        <v>-69227</v>
      </c>
      <c r="N200" s="824">
        <f t="shared" si="74"/>
        <v>-0.17306750000000001</v>
      </c>
      <c r="O200" s="808">
        <f t="shared" si="85"/>
        <v>-0.21948925130208335</v>
      </c>
      <c r="P200" s="839" t="b">
        <f t="shared" si="80"/>
        <v>1</v>
      </c>
      <c r="Q200" s="824">
        <f>COUNTIF(P$2:P200, TRUE)/(COUNTIF(P$2:P200,FALSE) + COUNTIF(P$2:P200, TRUE))</f>
        <v>0.48743718592964824</v>
      </c>
      <c r="R200" s="822">
        <v>253849.33</v>
      </c>
      <c r="S200" s="822">
        <f t="shared" si="81"/>
        <v>76923.670000000013</v>
      </c>
      <c r="T200" s="822">
        <v>-78775</v>
      </c>
      <c r="U200" s="822">
        <f t="shared" si="86"/>
        <v>9548</v>
      </c>
      <c r="V200" s="824">
        <f>STDEV(D$2:D200)*SQRT(252)</f>
        <v>0.17916254338672621</v>
      </c>
      <c r="W200" s="824">
        <f>STDEV(L$2:L200)*SQRT(252)</f>
        <v>0.38079113185082497</v>
      </c>
      <c r="X200" s="823">
        <f t="shared" si="63"/>
        <v>-1.8484140101389691E-2</v>
      </c>
      <c r="Y200" s="823">
        <f t="shared" si="64"/>
        <v>-0.57640326400266151</v>
      </c>
      <c r="Z200" s="829">
        <f t="shared" si="65"/>
        <v>-0.17045624831148559</v>
      </c>
    </row>
    <row r="201" spans="1:26" ht="20.100000000000001" customHeight="1" x14ac:dyDescent="0.2">
      <c r="A201" s="798">
        <f t="shared" si="84"/>
        <v>289</v>
      </c>
      <c r="B201" s="817">
        <v>42522</v>
      </c>
      <c r="C201" s="842">
        <v>2099.33</v>
      </c>
      <c r="D201" s="814">
        <f t="shared" si="82"/>
        <v>1.1349817592217789E-3</v>
      </c>
      <c r="E201" s="841">
        <f t="shared" si="75"/>
        <v>-1.4792336523278321E-3</v>
      </c>
      <c r="F201" s="838">
        <v>4952.25</v>
      </c>
      <c r="G201" s="814">
        <f t="shared" si="76"/>
        <v>8.4881923181855839E-4</v>
      </c>
      <c r="H201" s="819">
        <f t="shared" si="77"/>
        <v>-2.7387709409430999E-2</v>
      </c>
      <c r="I201" s="821">
        <v>334317.64</v>
      </c>
      <c r="J201" s="822">
        <v>400000</v>
      </c>
      <c r="K201" s="822">
        <f t="shared" si="78"/>
        <v>3544.640000000014</v>
      </c>
      <c r="L201" s="814">
        <f t="shared" si="83"/>
        <v>1.0716231373177417E-2</v>
      </c>
      <c r="M201" s="839">
        <f t="shared" si="79"/>
        <v>-65682.359999999986</v>
      </c>
      <c r="N201" s="824">
        <f t="shared" si="74"/>
        <v>-0.16420589999999996</v>
      </c>
      <c r="O201" s="808">
        <f t="shared" si="85"/>
        <v>-0.20753012102076121</v>
      </c>
      <c r="P201" s="839" t="b">
        <f t="shared" si="80"/>
        <v>1</v>
      </c>
      <c r="Q201" s="824">
        <f>COUNTIF(P$2:P201, TRUE)/(COUNTIF(P$2:P201,FALSE) + COUNTIF(P$2:P201, TRUE))</f>
        <v>0.49</v>
      </c>
      <c r="R201" s="822">
        <v>248634.19</v>
      </c>
      <c r="S201" s="822">
        <f t="shared" si="81"/>
        <v>85683.450000000012</v>
      </c>
      <c r="T201" s="822">
        <v>-75736.72</v>
      </c>
      <c r="U201" s="822">
        <f t="shared" si="86"/>
        <v>10054.360000000015</v>
      </c>
      <c r="V201" s="824">
        <f>STDEV(D$2:D201)*SQRT(252)</f>
        <v>0.17871370889489749</v>
      </c>
      <c r="W201" s="824">
        <f>STDEV(L$2:L201)*SQRT(252)</f>
        <v>0.3800270839694988</v>
      </c>
      <c r="X201" s="823">
        <f t="shared" si="63"/>
        <v>-1.0460953998144656E-2</v>
      </c>
      <c r="Y201" s="823">
        <f t="shared" si="64"/>
        <v>-0.54609297540860979</v>
      </c>
      <c r="Z201" s="829">
        <f t="shared" si="65"/>
        <v>-0.16272666634767213</v>
      </c>
    </row>
    <row r="202" spans="1:26" ht="20.100000000000001" customHeight="1" x14ac:dyDescent="0.2">
      <c r="A202" s="798">
        <f t="shared" si="84"/>
        <v>290</v>
      </c>
      <c r="B202" s="817">
        <v>42523</v>
      </c>
      <c r="C202" s="842">
        <v>2105.2600000000002</v>
      </c>
      <c r="D202" s="814">
        <f t="shared" si="82"/>
        <v>2.8247107410460915E-3</v>
      </c>
      <c r="E202" s="841">
        <f t="shared" si="75"/>
        <v>1.3412986815320121E-3</v>
      </c>
      <c r="F202" s="838">
        <v>4971.3599999999997</v>
      </c>
      <c r="G202" s="814">
        <f t="shared" si="76"/>
        <v>3.8588520369528339E-3</v>
      </c>
      <c r="H202" s="819">
        <f t="shared" si="77"/>
        <v>-2.3634542490720223E-2</v>
      </c>
      <c r="I202" s="821">
        <v>335688.99</v>
      </c>
      <c r="J202" s="822">
        <v>400000</v>
      </c>
      <c r="K202" s="822">
        <f t="shared" si="78"/>
        <v>1371.3499999999767</v>
      </c>
      <c r="L202" s="814">
        <f t="shared" si="83"/>
        <v>4.1019373072864974E-3</v>
      </c>
      <c r="M202" s="839">
        <f t="shared" si="79"/>
        <v>-64311.010000000009</v>
      </c>
      <c r="N202" s="824">
        <f t="shared" si="74"/>
        <v>-0.16077752500000003</v>
      </c>
      <c r="O202" s="808">
        <f t="shared" si="85"/>
        <v>-0.20249652071120694</v>
      </c>
      <c r="P202" s="839" t="b">
        <f t="shared" si="80"/>
        <v>1</v>
      </c>
      <c r="Q202" s="824">
        <f>COUNTIF(P$2:P202, TRUE)/(COUNTIF(P$2:P202,FALSE) + COUNTIF(P$2:P202, TRUE))</f>
        <v>0.4925373134328358</v>
      </c>
      <c r="R202" s="822">
        <v>250005.54</v>
      </c>
      <c r="S202" s="822">
        <f t="shared" si="81"/>
        <v>85683.449999999983</v>
      </c>
      <c r="T202" s="822">
        <v>-74052.52</v>
      </c>
      <c r="U202" s="822">
        <f t="shared" si="86"/>
        <v>9741.5099999999948</v>
      </c>
      <c r="V202" s="824">
        <f>STDEV(D$2:D202)*SQRT(252)</f>
        <v>0.17829120938366202</v>
      </c>
      <c r="W202" s="824">
        <f>STDEV(L$2:L202)*SQRT(252)</f>
        <v>0.37910108221879157</v>
      </c>
      <c r="X202" s="823">
        <f t="shared" si="63"/>
        <v>9.475187079554569E-3</v>
      </c>
      <c r="Y202" s="823">
        <f t="shared" si="64"/>
        <v>-0.53414914968335436</v>
      </c>
      <c r="Z202" s="829">
        <f t="shared" si="65"/>
        <v>-0.16211882368153205</v>
      </c>
    </row>
    <row r="203" spans="1:26" ht="20.100000000000001" customHeight="1" x14ac:dyDescent="0.2">
      <c r="A203" s="798">
        <f t="shared" si="84"/>
        <v>291</v>
      </c>
      <c r="B203" s="817">
        <v>42524</v>
      </c>
      <c r="C203" s="842">
        <v>2099.13</v>
      </c>
      <c r="D203" s="814">
        <f t="shared" si="82"/>
        <v>-2.911754367631603E-3</v>
      </c>
      <c r="E203" s="841">
        <f t="shared" si="75"/>
        <v>-1.5743612183938402E-3</v>
      </c>
      <c r="F203" s="838">
        <v>4942.51</v>
      </c>
      <c r="G203" s="814">
        <f t="shared" si="76"/>
        <v>-5.8032409642430755E-3</v>
      </c>
      <c r="H203" s="819">
        <f t="shared" si="77"/>
        <v>-2.9300626509810006E-2</v>
      </c>
      <c r="I203" s="821">
        <v>333931.11</v>
      </c>
      <c r="J203" s="822">
        <v>400000</v>
      </c>
      <c r="K203" s="822">
        <f t="shared" si="78"/>
        <v>-1757.8800000000047</v>
      </c>
      <c r="L203" s="814">
        <f t="shared" si="83"/>
        <v>-5.2366328725884179E-3</v>
      </c>
      <c r="M203" s="839">
        <f t="shared" si="79"/>
        <v>-66068.890000000014</v>
      </c>
      <c r="N203" s="824">
        <f t="shared" si="74"/>
        <v>-0.16517222500000003</v>
      </c>
      <c r="O203" s="808">
        <f t="shared" si="85"/>
        <v>-0.20731668447164953</v>
      </c>
      <c r="P203" s="839" t="b">
        <f t="shared" si="80"/>
        <v>0</v>
      </c>
      <c r="Q203" s="824">
        <f>COUNTIF(P$2:P203, TRUE)/(COUNTIF(P$2:P203,FALSE) + COUNTIF(P$2:P203, TRUE))</f>
        <v>0.49009900990099009</v>
      </c>
      <c r="R203" s="822">
        <v>260288.76</v>
      </c>
      <c r="S203" s="822">
        <f t="shared" si="81"/>
        <v>73642.349999999977</v>
      </c>
      <c r="T203" s="822">
        <v>-75134.75</v>
      </c>
      <c r="U203" s="822">
        <f t="shared" si="86"/>
        <v>9065.859999999986</v>
      </c>
      <c r="V203" s="824">
        <f>STDEV(D$2:D203)*SQRT(252)</f>
        <v>0.17787624865882645</v>
      </c>
      <c r="W203" s="824">
        <f>STDEV(L$2:L203)*SQRT(252)</f>
        <v>0.37819539294836535</v>
      </c>
      <c r="X203" s="823">
        <f t="shared" si="63"/>
        <v>-1.1109222293049436E-2</v>
      </c>
      <c r="Y203" s="823">
        <f t="shared" si="64"/>
        <v>-0.54817347946899575</v>
      </c>
      <c r="Z203" s="829">
        <f t="shared" si="65"/>
        <v>-0.16359786378160621</v>
      </c>
    </row>
    <row r="204" spans="1:26" ht="20.100000000000001" customHeight="1" x14ac:dyDescent="0.2">
      <c r="A204" s="798">
        <f t="shared" si="84"/>
        <v>294</v>
      </c>
      <c r="B204" s="846">
        <v>42527</v>
      </c>
      <c r="C204" s="847">
        <v>2109.41</v>
      </c>
      <c r="D204" s="814">
        <f t="shared" si="82"/>
        <v>4.8972669629797792E-3</v>
      </c>
      <c r="E204" s="848">
        <f t="shared" si="75"/>
        <v>3.3151956774033027E-3</v>
      </c>
      <c r="F204" s="849">
        <v>4968.71</v>
      </c>
      <c r="G204" s="814">
        <f t="shared" si="76"/>
        <v>5.300950326858179E-3</v>
      </c>
      <c r="H204" s="850">
        <f t="shared" si="77"/>
        <v>-2.4154997348626153E-2</v>
      </c>
      <c r="I204" s="851">
        <v>340934.25</v>
      </c>
      <c r="J204" s="852">
        <v>400000</v>
      </c>
      <c r="K204" s="852">
        <f t="shared" si="78"/>
        <v>7003.140000000014</v>
      </c>
      <c r="L204" s="814">
        <f t="shared" si="83"/>
        <v>2.0971810622855757E-2</v>
      </c>
      <c r="M204" s="853">
        <f t="shared" si="79"/>
        <v>-59065.75</v>
      </c>
      <c r="N204" s="854">
        <f t="shared" si="74"/>
        <v>-0.14766437499999999</v>
      </c>
      <c r="O204" s="808">
        <f t="shared" si="85"/>
        <v>-0.18345038424744894</v>
      </c>
      <c r="P204" s="853" t="b">
        <f t="shared" si="80"/>
        <v>1</v>
      </c>
      <c r="Q204" s="854">
        <f>COUNTIF(P$2:P204, TRUE)/(COUNTIF(P$2:P204,FALSE) + COUNTIF(P$2:P204, TRUE))</f>
        <v>0.49261083743842365</v>
      </c>
      <c r="R204" s="852">
        <v>226096.58</v>
      </c>
      <c r="S204" s="852">
        <f t="shared" si="81"/>
        <v>114837.67000000001</v>
      </c>
      <c r="T204" s="852">
        <v>-68552.800000000003</v>
      </c>
      <c r="U204" s="852">
        <f t="shared" si="86"/>
        <v>9487.0500000000029</v>
      </c>
      <c r="V204" s="854">
        <f>STDEV(D$2:D204)*SQRT(252)</f>
        <v>0.17751563901521938</v>
      </c>
      <c r="W204" s="854">
        <f>STDEV(L$2:L204)*SQRT(252)</f>
        <v>0.3779906391006832</v>
      </c>
      <c r="X204" s="823">
        <f t="shared" si="63"/>
        <v>2.3201466778432319E-2</v>
      </c>
      <c r="Y204" s="823">
        <f t="shared" si="64"/>
        <v>-0.48533049570728737</v>
      </c>
      <c r="Z204" s="829">
        <f t="shared" si="65"/>
        <v>-0.15097957067740328</v>
      </c>
    </row>
    <row r="205" spans="1:26" ht="20.100000000000001" customHeight="1" x14ac:dyDescent="0.2">
      <c r="A205" s="798">
        <f t="shared" si="84"/>
        <v>295</v>
      </c>
      <c r="B205" s="846">
        <v>42528</v>
      </c>
      <c r="C205" s="847">
        <v>2112.13</v>
      </c>
      <c r="D205" s="814">
        <f t="shared" si="82"/>
        <v>1.289460085995731E-3</v>
      </c>
      <c r="E205" s="848">
        <f t="shared" si="75"/>
        <v>4.6089305759023109E-3</v>
      </c>
      <c r="F205" s="849">
        <v>4961.75</v>
      </c>
      <c r="G205" s="814">
        <f t="shared" si="76"/>
        <v>-1.4007659935878802E-3</v>
      </c>
      <c r="H205" s="850">
        <f t="shared" si="77"/>
        <v>-2.5521927843352873E-2</v>
      </c>
      <c r="I205" s="851">
        <v>347691.97</v>
      </c>
      <c r="J205" s="852">
        <v>400000</v>
      </c>
      <c r="K205" s="852">
        <f t="shared" si="78"/>
        <v>6757.7199999999721</v>
      </c>
      <c r="L205" s="814">
        <f t="shared" si="83"/>
        <v>1.9821182530062532E-2</v>
      </c>
      <c r="M205" s="853">
        <f t="shared" si="79"/>
        <v>-52308.030000000028</v>
      </c>
      <c r="N205" s="854">
        <f t="shared" si="74"/>
        <v>-0.13077007500000007</v>
      </c>
      <c r="O205" s="808">
        <f t="shared" si="85"/>
        <v>-0.16191108438559329</v>
      </c>
      <c r="P205" s="853" t="b">
        <f t="shared" si="80"/>
        <v>1</v>
      </c>
      <c r="Q205" s="854">
        <f>COUNTIF(P$2:P205, TRUE)/(COUNTIF(P$2:P205,FALSE) + COUNTIF(P$2:P205, TRUE))</f>
        <v>0.49509803921568629</v>
      </c>
      <c r="R205" s="852">
        <v>221341.46</v>
      </c>
      <c r="S205" s="852">
        <f t="shared" si="81"/>
        <v>126350.50999999998</v>
      </c>
      <c r="T205" s="852">
        <v>-62220.480000000003</v>
      </c>
      <c r="U205" s="852">
        <f t="shared" ref="U205:U236" si="87">M205-T205</f>
        <v>9912.4499999999753</v>
      </c>
      <c r="V205" s="854">
        <f>STDEV(D$2:D205)*SQRT(252)</f>
        <v>0.1770808372915795</v>
      </c>
      <c r="W205" s="854">
        <f>STDEV(L$2:L205)*SQRT(252)</f>
        <v>0.37770326655936998</v>
      </c>
      <c r="X205" s="823">
        <f t="shared" si="63"/>
        <v>3.2225288066093413E-2</v>
      </c>
      <c r="Y205" s="823">
        <f t="shared" si="64"/>
        <v>-0.42867271406068974</v>
      </c>
      <c r="Z205" s="829">
        <f t="shared" si="65"/>
        <v>-0.13537900557590238</v>
      </c>
    </row>
    <row r="206" spans="1:26" ht="20.100000000000001" customHeight="1" x14ac:dyDescent="0.2">
      <c r="A206" s="798">
        <f t="shared" si="84"/>
        <v>296</v>
      </c>
      <c r="B206" s="846">
        <v>42529</v>
      </c>
      <c r="C206" s="847">
        <v>2119.12</v>
      </c>
      <c r="D206" s="814">
        <f t="shared" si="82"/>
        <v>3.3094553839014555E-3</v>
      </c>
      <c r="E206" s="848">
        <f t="shared" si="75"/>
        <v>7.9336390099122144E-3</v>
      </c>
      <c r="F206" s="849">
        <v>4974.6400000000003</v>
      </c>
      <c r="G206" s="814">
        <f t="shared" si="76"/>
        <v>2.5978737340656677E-3</v>
      </c>
      <c r="H206" s="850">
        <f t="shared" si="77"/>
        <v>-2.2990356855274171E-2</v>
      </c>
      <c r="I206" s="851">
        <v>345415.56</v>
      </c>
      <c r="J206" s="852">
        <v>400000</v>
      </c>
      <c r="K206" s="852">
        <f t="shared" si="78"/>
        <v>-2276.4099999999744</v>
      </c>
      <c r="L206" s="814">
        <f t="shared" si="83"/>
        <v>-6.5472032615535372E-3</v>
      </c>
      <c r="M206" s="853">
        <f t="shared" si="79"/>
        <v>-54584.44</v>
      </c>
      <c r="N206" s="854">
        <f t="shared" si="74"/>
        <v>-0.1364611</v>
      </c>
      <c r="O206" s="808">
        <f t="shared" si="85"/>
        <v>-0.16838654315878379</v>
      </c>
      <c r="P206" s="853" t="b">
        <f t="shared" si="80"/>
        <v>0</v>
      </c>
      <c r="Q206" s="854">
        <f>COUNTIF(P$2:P206, TRUE)/(COUNTIF(P$2:P206,FALSE) + COUNTIF(P$2:P206, TRUE))</f>
        <v>0.49268292682926829</v>
      </c>
      <c r="R206" s="852">
        <v>224599.69</v>
      </c>
      <c r="S206" s="852">
        <f t="shared" si="81"/>
        <v>120815.87</v>
      </c>
      <c r="T206" s="852">
        <v>-64591.5</v>
      </c>
      <c r="U206" s="852">
        <f t="shared" si="87"/>
        <v>10007.059999999998</v>
      </c>
      <c r="V206" s="854">
        <f>STDEV(D$2:D206)*SQRT(252)</f>
        <v>0.1766804976423699</v>
      </c>
      <c r="W206" s="854">
        <f>STDEV(L$2:L206)*SQRT(252)</f>
        <v>0.37684312307903423</v>
      </c>
      <c r="X206" s="823">
        <f t="shared" si="63"/>
        <v>5.5409258119505582E-2</v>
      </c>
      <c r="Y206" s="823">
        <f t="shared" si="64"/>
        <v>-0.44683459202589337</v>
      </c>
      <c r="Z206" s="829">
        <f t="shared" si="65"/>
        <v>-0.1443947390099122</v>
      </c>
    </row>
    <row r="207" spans="1:26" ht="20.100000000000001" customHeight="1" x14ac:dyDescent="0.2">
      <c r="A207" s="798">
        <f t="shared" si="84"/>
        <v>297</v>
      </c>
      <c r="B207" s="846">
        <v>42530</v>
      </c>
      <c r="C207" s="847">
        <v>2115.48</v>
      </c>
      <c r="D207" s="814">
        <f t="shared" si="82"/>
        <v>-1.7176941371889619E-3</v>
      </c>
      <c r="E207" s="848">
        <f t="shared" si="75"/>
        <v>6.2023173075093528E-3</v>
      </c>
      <c r="F207" s="849">
        <v>4958.6099999999997</v>
      </c>
      <c r="G207" s="814">
        <f t="shared" si="76"/>
        <v>-3.2223437273854296E-3</v>
      </c>
      <c r="H207" s="850">
        <f t="shared" si="77"/>
        <v>-2.6138617750456655E-2</v>
      </c>
      <c r="I207" s="851">
        <v>343338.01</v>
      </c>
      <c r="J207" s="852">
        <v>400000</v>
      </c>
      <c r="K207" s="852">
        <f t="shared" si="78"/>
        <v>-2077.5499999999884</v>
      </c>
      <c r="L207" s="814">
        <f t="shared" si="83"/>
        <v>-6.0146392941881031E-3</v>
      </c>
      <c r="M207" s="853">
        <f t="shared" si="79"/>
        <v>-56661.989999999991</v>
      </c>
      <c r="N207" s="854">
        <f t="shared" si="74"/>
        <v>-0.14165497499999999</v>
      </c>
      <c r="O207" s="808">
        <f t="shared" si="85"/>
        <v>-0.17420700208333334</v>
      </c>
      <c r="P207" s="853" t="b">
        <f t="shared" si="80"/>
        <v>0</v>
      </c>
      <c r="Q207" s="854">
        <f>COUNTIF(P$2:P207, TRUE)/(COUNTIF(P$2:P207,FALSE) + COUNTIF(P$2:P207, TRUE))</f>
        <v>0.49029126213592233</v>
      </c>
      <c r="R207" s="852">
        <v>224600.69</v>
      </c>
      <c r="S207" s="852">
        <f t="shared" si="81"/>
        <v>118737.32</v>
      </c>
      <c r="T207" s="852">
        <v>-66856.5</v>
      </c>
      <c r="U207" s="852">
        <f t="shared" si="87"/>
        <v>10194.510000000009</v>
      </c>
      <c r="V207" s="854">
        <f>STDEV(D$2:D207)*SQRT(252)</f>
        <v>0.17625845275295093</v>
      </c>
      <c r="W207" s="854">
        <f>STDEV(L$2:L207)*SQRT(252)</f>
        <v>0.37597781518957712</v>
      </c>
      <c r="X207" s="823">
        <f t="shared" si="63"/>
        <v>4.3275072348059891E-2</v>
      </c>
      <c r="Y207" s="823">
        <f t="shared" si="64"/>
        <v>-0.46334383318732236</v>
      </c>
      <c r="Z207" s="829">
        <f t="shared" si="65"/>
        <v>-0.14785729230750935</v>
      </c>
    </row>
    <row r="208" spans="1:26" ht="20.100000000000001" customHeight="1" x14ac:dyDescent="0.2">
      <c r="A208" s="798">
        <f t="shared" si="84"/>
        <v>298</v>
      </c>
      <c r="B208" s="846">
        <v>42531</v>
      </c>
      <c r="C208" s="847">
        <v>2096.0700000000002</v>
      </c>
      <c r="D208" s="814">
        <f t="shared" si="82"/>
        <v>-9.1752226445061431E-3</v>
      </c>
      <c r="E208" s="848">
        <f t="shared" si="75"/>
        <v>-3.0298129792050619E-3</v>
      </c>
      <c r="F208" s="849">
        <v>4894.54</v>
      </c>
      <c r="G208" s="814">
        <f t="shared" si="76"/>
        <v>-1.2920959704433242E-2</v>
      </c>
      <c r="H208" s="850">
        <f t="shared" si="77"/>
        <v>-3.8721841428206664E-2</v>
      </c>
      <c r="I208" s="851">
        <v>332939.06</v>
      </c>
      <c r="J208" s="852">
        <v>400000</v>
      </c>
      <c r="K208" s="852">
        <f t="shared" si="78"/>
        <v>-10398.950000000012</v>
      </c>
      <c r="L208" s="814">
        <f t="shared" si="83"/>
        <v>-3.0287791322609493E-2</v>
      </c>
      <c r="M208" s="853">
        <f t="shared" si="79"/>
        <v>-67060.94</v>
      </c>
      <c r="N208" s="854">
        <f t="shared" si="74"/>
        <v>-0.16765235000000001</v>
      </c>
      <c r="O208" s="808">
        <f t="shared" si="85"/>
        <v>-0.20548664710570469</v>
      </c>
      <c r="P208" s="853" t="b">
        <f t="shared" si="80"/>
        <v>0</v>
      </c>
      <c r="Q208" s="854">
        <f>COUNTIF(P$2:P208, TRUE)/(COUNTIF(P$2:P208,FALSE) + COUNTIF(P$2:P208, TRUE))</f>
        <v>0.48792270531400966</v>
      </c>
      <c r="R208" s="852">
        <v>258667.11</v>
      </c>
      <c r="S208" s="852">
        <f t="shared" si="81"/>
        <v>74271.950000000012</v>
      </c>
      <c r="T208" s="852">
        <v>-76706.92</v>
      </c>
      <c r="U208" s="852">
        <f t="shared" si="87"/>
        <v>9645.9799999999959</v>
      </c>
      <c r="V208" s="854">
        <f>STDEV(D$2:D208)*SQRT(252)</f>
        <v>0.17612650252391751</v>
      </c>
      <c r="W208" s="854">
        <f>STDEV(L$2:L208)*SQRT(252)</f>
        <v>0.37655142178170292</v>
      </c>
      <c r="X208" s="823">
        <f t="shared" si="63"/>
        <v>-2.1084585669051015E-2</v>
      </c>
      <c r="Y208" s="823">
        <f t="shared" si="64"/>
        <v>-0.54570673543979042</v>
      </c>
      <c r="Z208" s="829">
        <f t="shared" si="65"/>
        <v>-0.16462253702079493</v>
      </c>
    </row>
    <row r="209" spans="1:26" ht="20.100000000000001" customHeight="1" x14ac:dyDescent="0.2">
      <c r="A209" s="798">
        <f t="shared" si="84"/>
        <v>301</v>
      </c>
      <c r="B209" s="817">
        <v>42534</v>
      </c>
      <c r="C209" s="842">
        <v>2079.06</v>
      </c>
      <c r="D209" s="814">
        <f t="shared" si="82"/>
        <v>-8.1151869928009161E-3</v>
      </c>
      <c r="E209" s="841">
        <f t="shared" si="75"/>
        <v>-1.1120412473126515E-2</v>
      </c>
      <c r="F209" s="838">
        <v>4848.4399999999996</v>
      </c>
      <c r="G209" s="814">
        <f t="shared" si="76"/>
        <v>-9.4186583417441398E-3</v>
      </c>
      <c r="H209" s="819">
        <f t="shared" si="77"/>
        <v>-4.7775791975175327E-2</v>
      </c>
      <c r="I209" s="821">
        <v>329797.69</v>
      </c>
      <c r="J209" s="822">
        <v>400000</v>
      </c>
      <c r="K209" s="822">
        <f t="shared" si="78"/>
        <v>-3141.3699999999953</v>
      </c>
      <c r="L209" s="814">
        <f t="shared" si="83"/>
        <v>-9.4352702263290934E-3</v>
      </c>
      <c r="M209" s="839">
        <f t="shared" si="79"/>
        <v>-70202.31</v>
      </c>
      <c r="N209" s="824">
        <f t="shared" si="74"/>
        <v>-0.175505775</v>
      </c>
      <c r="O209" s="808">
        <f t="shared" si="85"/>
        <v>-0.21296838644102989</v>
      </c>
      <c r="P209" s="839" t="b">
        <f t="shared" si="80"/>
        <v>0</v>
      </c>
      <c r="Q209" s="824">
        <f>COUNTIF(P$2:P209, TRUE)/(COUNTIF(P$2:P209,FALSE) + COUNTIF(P$2:P209, TRUE))</f>
        <v>0.48557692307692307</v>
      </c>
      <c r="R209" s="822">
        <v>255528.93</v>
      </c>
      <c r="S209" s="822">
        <f t="shared" si="81"/>
        <v>74268.760000000009</v>
      </c>
      <c r="T209" s="822">
        <v>-78829.440000000002</v>
      </c>
      <c r="U209" s="822">
        <f t="shared" si="87"/>
        <v>8627.1300000000047</v>
      </c>
      <c r="V209" s="824">
        <f>STDEV(D$2:D209)*SQRT(252)</f>
        <v>0.17592912166326158</v>
      </c>
      <c r="W209" s="824">
        <f>STDEV(L$2:L209)*SQRT(252)</f>
        <v>0.3757757250288794</v>
      </c>
      <c r="X209" s="823">
        <f t="shared" si="63"/>
        <v>-7.6702035754639838E-2</v>
      </c>
      <c r="Y209" s="823">
        <f t="shared" si="64"/>
        <v>-0.56674333187611492</v>
      </c>
      <c r="Z209" s="829">
        <f t="shared" si="65"/>
        <v>-0.1643853625268735</v>
      </c>
    </row>
    <row r="210" spans="1:26" ht="20.100000000000001" customHeight="1" x14ac:dyDescent="0.2">
      <c r="A210" s="798">
        <f t="shared" si="84"/>
        <v>302</v>
      </c>
      <c r="B210" s="817">
        <v>42535</v>
      </c>
      <c r="C210" s="842">
        <v>2075.3200000000002</v>
      </c>
      <c r="D210" s="814">
        <f t="shared" si="82"/>
        <v>-1.7988898829277566E-3</v>
      </c>
      <c r="E210" s="841">
        <f t="shared" si="75"/>
        <v>-1.2899297958562379E-2</v>
      </c>
      <c r="F210" s="838">
        <v>4843.55</v>
      </c>
      <c r="G210" s="814">
        <f t="shared" si="76"/>
        <v>-1.0085718292893008E-3</v>
      </c>
      <c r="H210" s="819">
        <f t="shared" si="77"/>
        <v>-4.8736178486556481E-2</v>
      </c>
      <c r="I210" s="821">
        <v>327192.19</v>
      </c>
      <c r="J210" s="822">
        <v>400000</v>
      </c>
      <c r="K210" s="822">
        <f t="shared" si="78"/>
        <v>-2605.5</v>
      </c>
      <c r="L210" s="814">
        <f t="shared" si="83"/>
        <v>-7.9002979068773949E-3</v>
      </c>
      <c r="M210" s="839">
        <f t="shared" si="79"/>
        <v>-72807.81</v>
      </c>
      <c r="N210" s="824">
        <f t="shared" si="74"/>
        <v>-0.18201952499999999</v>
      </c>
      <c r="O210" s="808">
        <f t="shared" si="85"/>
        <v>-0.22014116392798011</v>
      </c>
      <c r="P210" s="839" t="b">
        <f t="shared" si="80"/>
        <v>0</v>
      </c>
      <c r="Q210" s="824">
        <f>COUNTIF(P$2:P210, TRUE)/(COUNTIF(P$2:P210,FALSE) + COUNTIF(P$2:P210, TRUE))</f>
        <v>0.48325358851674644</v>
      </c>
      <c r="R210" s="822">
        <v>272585.19</v>
      </c>
      <c r="S210" s="822">
        <f t="shared" si="81"/>
        <v>54607</v>
      </c>
      <c r="T210" s="822">
        <v>-80356</v>
      </c>
      <c r="U210" s="822">
        <f t="shared" si="87"/>
        <v>7548.1900000000023</v>
      </c>
      <c r="V210" s="824">
        <f>STDEV(D$2:D210)*SQRT(252)</f>
        <v>0.17551491583407813</v>
      </c>
      <c r="W210" s="824">
        <f>STDEV(L$2:L210)*SQRT(252)</f>
        <v>0.37496263559037396</v>
      </c>
      <c r="X210" s="823">
        <f t="shared" si="63"/>
        <v>-8.8886401828056558E-2</v>
      </c>
      <c r="Y210" s="823">
        <f t="shared" si="64"/>
        <v>-0.58710160168724712</v>
      </c>
      <c r="Z210" s="829">
        <f t="shared" si="65"/>
        <v>-0.16912022704143762</v>
      </c>
    </row>
    <row r="211" spans="1:26" ht="20.100000000000001" customHeight="1" x14ac:dyDescent="0.2">
      <c r="A211" s="798">
        <f t="shared" si="84"/>
        <v>303</v>
      </c>
      <c r="B211" s="817">
        <v>42536</v>
      </c>
      <c r="C211" s="842">
        <v>2071.5</v>
      </c>
      <c r="D211" s="814">
        <f t="shared" si="82"/>
        <v>-1.8406799915194588E-3</v>
      </c>
      <c r="E211" s="841">
        <f t="shared" si="75"/>
        <v>-1.4716234470424866E-2</v>
      </c>
      <c r="F211" s="838">
        <v>4834.93</v>
      </c>
      <c r="G211" s="814">
        <f t="shared" si="76"/>
        <v>-1.7796863870507976E-3</v>
      </c>
      <c r="H211" s="819">
        <f t="shared" si="77"/>
        <v>-5.042912976019788E-2</v>
      </c>
      <c r="I211" s="821">
        <v>325610.21000000002</v>
      </c>
      <c r="J211" s="822">
        <v>400000</v>
      </c>
      <c r="K211" s="822">
        <f t="shared" si="78"/>
        <v>-1581.9799999999814</v>
      </c>
      <c r="L211" s="814">
        <f t="shared" si="83"/>
        <v>-4.8350176084581403E-3</v>
      </c>
      <c r="M211" s="839">
        <f t="shared" si="79"/>
        <v>-74389.789999999979</v>
      </c>
      <c r="N211" s="824">
        <f t="shared" si="74"/>
        <v>-0.18597447499999994</v>
      </c>
      <c r="O211" s="808">
        <f t="shared" si="85"/>
        <v>-0.22418210228960389</v>
      </c>
      <c r="P211" s="839" t="b">
        <f t="shared" si="80"/>
        <v>0</v>
      </c>
      <c r="Q211" s="824">
        <f>COUNTIF(P$2:P211, TRUE)/(COUNTIF(P$2:P211,FALSE) + COUNTIF(P$2:P211, TRUE))</f>
        <v>0.48095238095238096</v>
      </c>
      <c r="R211" s="822">
        <v>269122.73</v>
      </c>
      <c r="S211" s="822">
        <f t="shared" si="81"/>
        <v>56487.48000000004</v>
      </c>
      <c r="T211" s="822">
        <v>-82018</v>
      </c>
      <c r="U211" s="822">
        <f t="shared" si="87"/>
        <v>7628.210000000021</v>
      </c>
      <c r="V211" s="824">
        <f>STDEV(D$2:D211)*SQRT(252)</f>
        <v>0.17510414280535444</v>
      </c>
      <c r="W211" s="824">
        <f>STDEV(L$2:L211)*SQRT(252)</f>
        <v>0.37409419523712373</v>
      </c>
      <c r="X211" s="823">
        <f t="shared" si="63"/>
        <v>-0.10130896385879168</v>
      </c>
      <c r="Y211" s="823">
        <f t="shared" si="64"/>
        <v>-0.59926645519720934</v>
      </c>
      <c r="Z211" s="829">
        <f t="shared" si="65"/>
        <v>-0.17125824052957508</v>
      </c>
    </row>
    <row r="212" spans="1:26" ht="20.100000000000001" customHeight="1" x14ac:dyDescent="0.2">
      <c r="A212" s="798">
        <f t="shared" si="84"/>
        <v>304</v>
      </c>
      <c r="B212" s="817">
        <v>42537</v>
      </c>
      <c r="C212" s="842">
        <v>2077.9899999999998</v>
      </c>
      <c r="D212" s="814">
        <f t="shared" si="82"/>
        <v>3.1329954139511377E-3</v>
      </c>
      <c r="E212" s="841">
        <f t="shared" si="75"/>
        <v>-1.1629344951580198E-2</v>
      </c>
      <c r="F212" s="838">
        <v>4844.91</v>
      </c>
      <c r="G212" s="814">
        <f t="shared" si="76"/>
        <v>2.0641457063493292E-3</v>
      </c>
      <c r="H212" s="819">
        <f t="shared" si="77"/>
        <v>-4.8469077125517991E-2</v>
      </c>
      <c r="I212" s="821">
        <v>321688.28999999998</v>
      </c>
      <c r="J212" s="822">
        <v>400000</v>
      </c>
      <c r="K212" s="822">
        <f t="shared" si="78"/>
        <v>-3921.9200000000419</v>
      </c>
      <c r="L212" s="814">
        <f t="shared" si="83"/>
        <v>-1.2044831149490188E-2</v>
      </c>
      <c r="M212" s="839">
        <f t="shared" si="79"/>
        <v>-78311.710000000021</v>
      </c>
      <c r="N212" s="824">
        <f t="shared" si="74"/>
        <v>-0.19577927500000006</v>
      </c>
      <c r="O212" s="808">
        <f t="shared" si="85"/>
        <v>-0.23522493484786189</v>
      </c>
      <c r="P212" s="839" t="b">
        <f t="shared" si="80"/>
        <v>0</v>
      </c>
      <c r="Q212" s="824">
        <f>COUNTIF(P$2:P212, TRUE)/(COUNTIF(P$2:P212,FALSE) + COUNTIF(P$2:P212, TRUE))</f>
        <v>0.47867298578199052</v>
      </c>
      <c r="R212" s="822">
        <v>270659.01</v>
      </c>
      <c r="S212" s="822">
        <f t="shared" si="81"/>
        <v>51029.27999999997</v>
      </c>
      <c r="T212" s="822">
        <v>-85365</v>
      </c>
      <c r="U212" s="822">
        <f t="shared" si="87"/>
        <v>7053.289999999979</v>
      </c>
      <c r="V212" s="824">
        <f>STDEV(D$2:D212)*SQRT(252)</f>
        <v>0.17471866463196331</v>
      </c>
      <c r="W212" s="824">
        <f>STDEV(L$2:L212)*SQRT(252)</f>
        <v>0.37342122618774559</v>
      </c>
      <c r="X212" s="823">
        <f t="shared" si="63"/>
        <v>-7.997101203933063E-2</v>
      </c>
      <c r="Y212" s="823">
        <f t="shared" si="64"/>
        <v>-0.62991848976897058</v>
      </c>
      <c r="Z212" s="829">
        <f t="shared" si="65"/>
        <v>-0.18414993004841987</v>
      </c>
    </row>
    <row r="213" spans="1:26" ht="20.100000000000001" customHeight="1" x14ac:dyDescent="0.2">
      <c r="A213" s="798">
        <f t="shared" si="84"/>
        <v>305</v>
      </c>
      <c r="B213" s="817">
        <v>42538</v>
      </c>
      <c r="C213" s="842">
        <v>2071.2199999999998</v>
      </c>
      <c r="D213" s="814">
        <f t="shared" si="82"/>
        <v>-3.2579560055630598E-3</v>
      </c>
      <c r="E213" s="841">
        <f t="shared" si="75"/>
        <v>-1.4849413062917493E-2</v>
      </c>
      <c r="F213" s="838">
        <v>4800.34</v>
      </c>
      <c r="G213" s="814">
        <f t="shared" si="76"/>
        <v>-9.1993452922757516E-3</v>
      </c>
      <c r="H213" s="819">
        <f t="shared" si="77"/>
        <v>-5.7222538641318162E-2</v>
      </c>
      <c r="I213" s="821">
        <v>328584.48</v>
      </c>
      <c r="J213" s="822">
        <v>400000</v>
      </c>
      <c r="K213" s="822">
        <f t="shared" si="78"/>
        <v>6896.1900000000023</v>
      </c>
      <c r="L213" s="814">
        <f t="shared" si="83"/>
        <v>2.1437491554324228E-2</v>
      </c>
      <c r="M213" s="839">
        <f t="shared" si="79"/>
        <v>-71415.520000000019</v>
      </c>
      <c r="N213" s="824">
        <f t="shared" si="74"/>
        <v>-0.17853880000000005</v>
      </c>
      <c r="O213" s="808">
        <f t="shared" si="85"/>
        <v>-0.21380753016393447</v>
      </c>
      <c r="P213" s="839" t="b">
        <f t="shared" si="80"/>
        <v>1</v>
      </c>
      <c r="Q213" s="824">
        <f>COUNTIF(P$2:P213, TRUE)/(COUNTIF(P$2:P213,FALSE) + COUNTIF(P$2:P213, TRUE))</f>
        <v>0.48113207547169812</v>
      </c>
      <c r="R213" s="822">
        <v>269293.38</v>
      </c>
      <c r="S213" s="822">
        <f t="shared" si="81"/>
        <v>59291.099999999977</v>
      </c>
      <c r="T213" s="822">
        <v>-78578</v>
      </c>
      <c r="U213" s="822">
        <f t="shared" si="87"/>
        <v>7162.4799999999814</v>
      </c>
      <c r="V213" s="824">
        <f>STDEV(D$2:D213)*SQRT(252)</f>
        <v>0.1743386358196137</v>
      </c>
      <c r="W213" s="824">
        <f>STDEV(L$2:L213)*SQRT(252)</f>
        <v>0.37328913049687473</v>
      </c>
      <c r="X213" s="823">
        <f t="shared" si="63"/>
        <v>-0.10200137589550677</v>
      </c>
      <c r="Y213" s="823">
        <f t="shared" si="64"/>
        <v>-0.5727665573314209</v>
      </c>
      <c r="Z213" s="829">
        <f t="shared" si="65"/>
        <v>-0.16368938693708257</v>
      </c>
    </row>
    <row r="214" spans="1:26" ht="20.100000000000001" customHeight="1" x14ac:dyDescent="0.2">
      <c r="A214" s="798">
        <f t="shared" si="84"/>
        <v>308</v>
      </c>
      <c r="B214" s="846">
        <v>42541</v>
      </c>
      <c r="C214" s="847">
        <v>2083.25</v>
      </c>
      <c r="D214" s="814">
        <f t="shared" si="82"/>
        <v>5.808171029634805E-3</v>
      </c>
      <c r="E214" s="848">
        <f t="shared" si="75"/>
        <v>-9.1274899640418055E-3</v>
      </c>
      <c r="F214" s="849">
        <v>4837.21</v>
      </c>
      <c r="G214" s="814">
        <f t="shared" si="76"/>
        <v>7.6807059499951853E-3</v>
      </c>
      <c r="H214" s="850">
        <f t="shared" si="77"/>
        <v>-4.9981342184339181E-2</v>
      </c>
      <c r="I214" s="851">
        <v>341742.75</v>
      </c>
      <c r="J214" s="852">
        <v>400000</v>
      </c>
      <c r="K214" s="852">
        <f t="shared" si="78"/>
        <v>13158.270000000019</v>
      </c>
      <c r="L214" s="814">
        <f t="shared" si="83"/>
        <v>4.0045318025976211E-2</v>
      </c>
      <c r="M214" s="853">
        <f t="shared" si="79"/>
        <v>-58257.25</v>
      </c>
      <c r="N214" s="854">
        <f t="shared" si="74"/>
        <v>-0.14564312500000001</v>
      </c>
      <c r="O214" s="808">
        <f t="shared" si="85"/>
        <v>-0.17271477729301948</v>
      </c>
      <c r="P214" s="853" t="b">
        <f t="shared" si="80"/>
        <v>1</v>
      </c>
      <c r="Q214" s="854">
        <f>COUNTIF(P$2:P214, TRUE)/(COUNTIF(P$2:P214,FALSE) + COUNTIF(P$2:P214, TRUE))</f>
        <v>0.48356807511737088</v>
      </c>
      <c r="R214" s="852">
        <v>253651.64</v>
      </c>
      <c r="S214" s="852">
        <f t="shared" si="81"/>
        <v>88091.109999999986</v>
      </c>
      <c r="T214" s="852">
        <v>-65989</v>
      </c>
      <c r="U214" s="852">
        <f t="shared" si="87"/>
        <v>7731.75</v>
      </c>
      <c r="V214" s="854">
        <f>STDEV(D$2:D214)*SQRT(252)</f>
        <v>0.1740406908760673</v>
      </c>
      <c r="W214" s="854">
        <f>STDEV(L$2:L214)*SQRT(252)</f>
        <v>0.37498171296802196</v>
      </c>
      <c r="X214" s="823">
        <f t="shared" si="63"/>
        <v>-6.219279482273278E-2</v>
      </c>
      <c r="Y214" s="823">
        <f t="shared" si="64"/>
        <v>-0.46059520056581643</v>
      </c>
      <c r="Z214" s="829">
        <f t="shared" si="65"/>
        <v>-0.1365156350359582</v>
      </c>
    </row>
    <row r="215" spans="1:26" ht="20.100000000000001" customHeight="1" x14ac:dyDescent="0.2">
      <c r="A215" s="798">
        <f t="shared" si="84"/>
        <v>309</v>
      </c>
      <c r="B215" s="846">
        <v>42542</v>
      </c>
      <c r="C215" s="847">
        <v>2088.9</v>
      </c>
      <c r="D215" s="814">
        <f t="shared" si="82"/>
        <v>2.7121084843394171E-3</v>
      </c>
      <c r="E215" s="848">
        <f t="shared" si="75"/>
        <v>-6.4401362226745888E-3</v>
      </c>
      <c r="F215" s="849">
        <v>4843.76</v>
      </c>
      <c r="G215" s="814">
        <f t="shared" si="76"/>
        <v>1.3540863431606611E-3</v>
      </c>
      <c r="H215" s="850">
        <f t="shared" si="77"/>
        <v>-4.8694934894043168E-2</v>
      </c>
      <c r="I215" s="851">
        <v>348811.35</v>
      </c>
      <c r="J215" s="852">
        <v>400000</v>
      </c>
      <c r="K215" s="852">
        <f t="shared" si="78"/>
        <v>7068.5999999999767</v>
      </c>
      <c r="L215" s="814">
        <f t="shared" si="83"/>
        <v>2.0683979396783039E-2</v>
      </c>
      <c r="M215" s="853">
        <f t="shared" si="79"/>
        <v>-51188.650000000023</v>
      </c>
      <c r="N215" s="854">
        <f t="shared" si="74"/>
        <v>-0.12797162500000006</v>
      </c>
      <c r="O215" s="808">
        <f t="shared" si="85"/>
        <v>-0.15126743052184474</v>
      </c>
      <c r="P215" s="853" t="b">
        <f t="shared" si="80"/>
        <v>1</v>
      </c>
      <c r="Q215" s="854">
        <f>COUNTIF(P$2:P215, TRUE)/(COUNTIF(P$2:P215,FALSE) + COUNTIF(P$2:P215, TRUE))</f>
        <v>0.48598130841121495</v>
      </c>
      <c r="R215" s="852">
        <v>239827.20000000001</v>
      </c>
      <c r="S215" s="852">
        <f t="shared" si="81"/>
        <v>108984.14999999997</v>
      </c>
      <c r="T215" s="852">
        <v>-59378</v>
      </c>
      <c r="U215" s="852">
        <f t="shared" si="87"/>
        <v>8189.3499999999767</v>
      </c>
      <c r="V215" s="854">
        <f>STDEV(D$2:D215)*SQRT(252)</f>
        <v>0.17365448408627729</v>
      </c>
      <c r="W215" s="854">
        <f>STDEV(L$2:L215)*SQRT(252)</f>
        <v>0.37477394701034494</v>
      </c>
      <c r="X215" s="823">
        <f t="shared" si="63"/>
        <v>-4.3836997113168734E-2</v>
      </c>
      <c r="Y215" s="823">
        <f t="shared" si="64"/>
        <v>-0.40362312196068761</v>
      </c>
      <c r="Z215" s="829">
        <f t="shared" si="65"/>
        <v>-0.12153148877732547</v>
      </c>
    </row>
    <row r="216" spans="1:26" ht="20.100000000000001" customHeight="1" x14ac:dyDescent="0.2">
      <c r="A216" s="798">
        <f t="shared" si="84"/>
        <v>310</v>
      </c>
      <c r="B216" s="846">
        <v>42543</v>
      </c>
      <c r="C216" s="847">
        <v>2085.4499999999998</v>
      </c>
      <c r="D216" s="814">
        <f t="shared" si="82"/>
        <v>-1.6515869596439622E-3</v>
      </c>
      <c r="E216" s="848">
        <f t="shared" si="75"/>
        <v>-8.081086737314851E-3</v>
      </c>
      <c r="F216" s="849">
        <v>4833.3100000000004</v>
      </c>
      <c r="G216" s="814">
        <f t="shared" si="76"/>
        <v>-2.1574149008208123E-3</v>
      </c>
      <c r="H216" s="850">
        <f t="shared" si="77"/>
        <v>-5.0747294616729076E-2</v>
      </c>
      <c r="I216" s="851">
        <v>345838.5</v>
      </c>
      <c r="J216" s="852">
        <v>400000</v>
      </c>
      <c r="K216" s="852">
        <f t="shared" si="78"/>
        <v>-2972.8499999999767</v>
      </c>
      <c r="L216" s="814">
        <f t="shared" si="83"/>
        <v>-8.5228017952970192E-3</v>
      </c>
      <c r="M216" s="853">
        <f t="shared" si="79"/>
        <v>-54161.5</v>
      </c>
      <c r="N216" s="854">
        <f t="shared" si="74"/>
        <v>-0.13540374999999999</v>
      </c>
      <c r="O216" s="808">
        <f t="shared" si="85"/>
        <v>-0.15953619254032259</v>
      </c>
      <c r="P216" s="853" t="b">
        <f t="shared" si="80"/>
        <v>0</v>
      </c>
      <c r="Q216" s="854">
        <f>COUNTIF(P$2:P216, TRUE)/(COUNTIF(P$2:P216,FALSE) + COUNTIF(P$2:P216, TRUE))</f>
        <v>0.48372093023255813</v>
      </c>
      <c r="R216" s="852">
        <v>250911.65</v>
      </c>
      <c r="S216" s="852">
        <f t="shared" si="81"/>
        <v>94926.85</v>
      </c>
      <c r="T216" s="852">
        <v>-62340</v>
      </c>
      <c r="U216" s="852">
        <f t="shared" si="87"/>
        <v>8178.5</v>
      </c>
      <c r="V216" s="854">
        <f>STDEV(D$2:D216)*SQRT(252)</f>
        <v>0.17325596668423277</v>
      </c>
      <c r="W216" s="854">
        <f>STDEV(L$2:L216)*SQRT(252)</f>
        <v>0.37400942044017926</v>
      </c>
      <c r="X216" s="823">
        <f t="shared" si="63"/>
        <v>-5.4955365291582292E-2</v>
      </c>
      <c r="Y216" s="823">
        <f t="shared" si="64"/>
        <v>-0.42655661547926044</v>
      </c>
      <c r="Z216" s="829">
        <f t="shared" si="65"/>
        <v>-0.12732266326268513</v>
      </c>
    </row>
    <row r="217" spans="1:26" ht="20.100000000000001" customHeight="1" x14ac:dyDescent="0.2">
      <c r="A217" s="798">
        <f t="shared" si="84"/>
        <v>311</v>
      </c>
      <c r="B217" s="846">
        <v>42544</v>
      </c>
      <c r="C217" s="847">
        <v>2113.3200000000002</v>
      </c>
      <c r="D217" s="814">
        <f t="shared" si="82"/>
        <v>1.3364022153492219E-2</v>
      </c>
      <c r="E217" s="848">
        <f t="shared" si="75"/>
        <v>5.1749395939956E-3</v>
      </c>
      <c r="F217" s="849">
        <v>4910.04</v>
      </c>
      <c r="G217" s="814">
        <f t="shared" si="76"/>
        <v>1.5875249052926369E-2</v>
      </c>
      <c r="H217" s="850">
        <f t="shared" si="77"/>
        <v>-3.5677671504605504E-2</v>
      </c>
      <c r="I217" s="851">
        <v>355595.65</v>
      </c>
      <c r="J217" s="852">
        <v>400000</v>
      </c>
      <c r="K217" s="852">
        <f t="shared" si="78"/>
        <v>9757.1500000000233</v>
      </c>
      <c r="L217" s="814">
        <f t="shared" si="83"/>
        <v>2.8213024287348065E-2</v>
      </c>
      <c r="M217" s="853">
        <f t="shared" si="79"/>
        <v>-44404.349999999977</v>
      </c>
      <c r="N217" s="854">
        <f t="shared" si="74"/>
        <v>-0.11101087499999994</v>
      </c>
      <c r="O217" s="808">
        <f t="shared" si="85"/>
        <v>-0.13037531219855297</v>
      </c>
      <c r="P217" s="853" t="b">
        <f t="shared" si="80"/>
        <v>1</v>
      </c>
      <c r="Q217" s="854">
        <f>COUNTIF(P$2:P217, TRUE)/(COUNTIF(P$2:P217,FALSE) + COUNTIF(P$2:P217, TRUE))</f>
        <v>0.4861111111111111</v>
      </c>
      <c r="R217" s="852">
        <v>222188.6</v>
      </c>
      <c r="S217" s="852">
        <f t="shared" si="81"/>
        <v>133407.05000000002</v>
      </c>
      <c r="T217" s="852">
        <v>-52883</v>
      </c>
      <c r="U217" s="852">
        <f t="shared" si="87"/>
        <v>8478.6500000000233</v>
      </c>
      <c r="V217" s="854">
        <f>STDEV(D$2:D217)*SQRT(252)</f>
        <v>0.17345322733352617</v>
      </c>
      <c r="W217" s="854">
        <f>STDEV(L$2:L217)*SQRT(252)</f>
        <v>0.37437996728891731</v>
      </c>
      <c r="X217" s="823">
        <f t="shared" si="63"/>
        <v>3.5039083289911545E-2</v>
      </c>
      <c r="Y217" s="823">
        <f t="shared" si="64"/>
        <v>-0.34824329181571689</v>
      </c>
      <c r="Z217" s="829">
        <f t="shared" si="65"/>
        <v>-0.11618581459399555</v>
      </c>
    </row>
    <row r="218" spans="1:26" ht="20.100000000000001" customHeight="1" x14ac:dyDescent="0.2">
      <c r="A218" s="798">
        <f t="shared" si="84"/>
        <v>312</v>
      </c>
      <c r="B218" s="846">
        <v>42545</v>
      </c>
      <c r="C218" s="847">
        <v>2037.3</v>
      </c>
      <c r="D218" s="814">
        <f t="shared" si="82"/>
        <v>-3.5971835784452996E-2</v>
      </c>
      <c r="E218" s="848">
        <f t="shared" si="75"/>
        <v>-3.0983048267727069E-2</v>
      </c>
      <c r="F218" s="849">
        <v>4707.9799999999996</v>
      </c>
      <c r="G218" s="814">
        <f t="shared" si="76"/>
        <v>-4.1152414236951311E-2</v>
      </c>
      <c r="H218" s="850">
        <f t="shared" si="77"/>
        <v>-7.5361863424789413E-2</v>
      </c>
      <c r="I218" s="851">
        <v>344597.21</v>
      </c>
      <c r="J218" s="852">
        <v>400000</v>
      </c>
      <c r="K218" s="852">
        <f t="shared" si="78"/>
        <v>-10998.440000000002</v>
      </c>
      <c r="L218" s="814">
        <f t="shared" si="83"/>
        <v>-3.092962470153952E-2</v>
      </c>
      <c r="M218" s="853">
        <f t="shared" si="79"/>
        <v>-55402.789999999979</v>
      </c>
      <c r="N218" s="854">
        <f t="shared" si="74"/>
        <v>-0.13850697499999995</v>
      </c>
      <c r="O218" s="808">
        <f t="shared" si="85"/>
        <v>-0.16214638659855762</v>
      </c>
      <c r="P218" s="853" t="b">
        <f t="shared" si="80"/>
        <v>1</v>
      </c>
      <c r="Q218" s="854">
        <f>COUNTIF(P$2:P218, TRUE)/(COUNTIF(P$2:P218,FALSE) + COUNTIF(P$2:P218, TRUE))</f>
        <v>0.48847926267281105</v>
      </c>
      <c r="R218" s="852">
        <v>292212.87</v>
      </c>
      <c r="S218" s="852">
        <f t="shared" si="81"/>
        <v>52384.340000000026</v>
      </c>
      <c r="T218" s="852">
        <v>-60319</v>
      </c>
      <c r="U218" s="852">
        <f t="shared" si="87"/>
        <v>4916.210000000021</v>
      </c>
      <c r="V218" s="854">
        <f>STDEV(D$2:D218)*SQRT(252)</f>
        <v>0.17737738991567559</v>
      </c>
      <c r="W218" s="854">
        <f>STDEV(L$2:L218)*SQRT(252)</f>
        <v>0.37501491948250398</v>
      </c>
      <c r="X218" s="823">
        <f t="shared" si="63"/>
        <v>-0.2044850274619518</v>
      </c>
      <c r="Y218" s="823">
        <f t="shared" si="64"/>
        <v>-0.43237316217261174</v>
      </c>
      <c r="Z218" s="829">
        <f t="shared" si="65"/>
        <v>-0.10752392673227287</v>
      </c>
    </row>
    <row r="219" spans="1:26" ht="20.100000000000001" customHeight="1" x14ac:dyDescent="0.2">
      <c r="A219" s="798">
        <f t="shared" si="84"/>
        <v>315</v>
      </c>
      <c r="B219" s="817">
        <v>42548</v>
      </c>
      <c r="C219" s="842">
        <v>2000.54</v>
      </c>
      <c r="D219" s="814">
        <f t="shared" si="82"/>
        <v>-1.8043488931428847E-2</v>
      </c>
      <c r="E219" s="841">
        <f t="shared" si="75"/>
        <v>-4.8467494910675257E-2</v>
      </c>
      <c r="F219" s="838">
        <v>4594.4399999999996</v>
      </c>
      <c r="G219" s="814">
        <f t="shared" si="76"/>
        <v>-2.4116500070093749E-2</v>
      </c>
      <c r="H219" s="819">
        <f t="shared" si="77"/>
        <v>-9.7660899110316834E-2</v>
      </c>
      <c r="I219" s="821">
        <v>328090.52</v>
      </c>
      <c r="J219" s="822">
        <v>400000</v>
      </c>
      <c r="K219" s="822">
        <f t="shared" si="78"/>
        <v>-16506.690000000002</v>
      </c>
      <c r="L219" s="814">
        <f t="shared" si="83"/>
        <v>-4.7901403496563424E-2</v>
      </c>
      <c r="M219" s="839">
        <f t="shared" si="79"/>
        <v>-71909.479999999981</v>
      </c>
      <c r="N219" s="824">
        <f t="shared" si="74"/>
        <v>-0.17977369999999995</v>
      </c>
      <c r="O219" s="808">
        <f t="shared" si="85"/>
        <v>-0.20845188547619042</v>
      </c>
      <c r="P219" s="839" t="b">
        <f t="shared" si="80"/>
        <v>0</v>
      </c>
      <c r="Q219" s="824">
        <f>COUNTIF(P$2:P219, TRUE)/(COUNTIF(P$2:P219,FALSE) + COUNTIF(P$2:P219, TRUE))</f>
        <v>0.48623853211009177</v>
      </c>
      <c r="R219" s="822">
        <v>330827.23</v>
      </c>
      <c r="S219" s="822">
        <f t="shared" si="81"/>
        <v>-2736.7099999999627</v>
      </c>
      <c r="T219" s="822">
        <v>-73004</v>
      </c>
      <c r="U219" s="822">
        <f t="shared" si="87"/>
        <v>1094.5200000000186</v>
      </c>
      <c r="V219" s="824">
        <f>STDEV(D$2:D219)*SQRT(252)</f>
        <v>0.17802153758815042</v>
      </c>
      <c r="W219" s="824">
        <f>STDEV(L$2:L219)*SQRT(252)</f>
        <v>0.37769251793384978</v>
      </c>
      <c r="X219" s="823">
        <f t="shared" ref="X219:X282" si="88">E219/(A219/365.25)/V219</f>
        <v>-0.31568772575663223</v>
      </c>
      <c r="Y219" s="823">
        <f t="shared" ref="Y219:Y282" si="89">O219/W219</f>
        <v>-0.55190896186272698</v>
      </c>
      <c r="Z219" s="829">
        <f t="shared" ref="Z219:Z282" si="90">-(E219-N219)</f>
        <v>-0.1313062050893247</v>
      </c>
    </row>
    <row r="220" spans="1:26" ht="20.100000000000001" customHeight="1" x14ac:dyDescent="0.2">
      <c r="A220" s="798">
        <f t="shared" si="84"/>
        <v>316</v>
      </c>
      <c r="B220" s="817">
        <v>42549</v>
      </c>
      <c r="C220" s="842">
        <v>2036.09</v>
      </c>
      <c r="D220" s="814">
        <f t="shared" si="82"/>
        <v>1.7770202045447707E-2</v>
      </c>
      <c r="E220" s="841">
        <f t="shared" si="75"/>
        <v>-3.1558570042426959E-2</v>
      </c>
      <c r="F220" s="838">
        <v>4691.8599999999997</v>
      </c>
      <c r="G220" s="814">
        <f t="shared" si="76"/>
        <v>2.1203889919119649E-2</v>
      </c>
      <c r="H220" s="819">
        <f t="shared" si="77"/>
        <v>-7.85278001453346E-2</v>
      </c>
      <c r="I220" s="821">
        <v>347315.97</v>
      </c>
      <c r="J220" s="822">
        <v>400000</v>
      </c>
      <c r="K220" s="822">
        <f t="shared" si="78"/>
        <v>19225.449999999953</v>
      </c>
      <c r="L220" s="814">
        <f t="shared" ref="L220:L247" si="91">K220/I219</f>
        <v>5.8598005209050091E-2</v>
      </c>
      <c r="M220" s="839">
        <f t="shared" si="79"/>
        <v>-52684.030000000028</v>
      </c>
      <c r="N220" s="824">
        <f t="shared" si="74"/>
        <v>-0.13171007500000007</v>
      </c>
      <c r="O220" s="808">
        <f t="shared" si="85"/>
        <v>-0.15223767371439881</v>
      </c>
      <c r="P220" s="839" t="b">
        <f t="shared" si="80"/>
        <v>1</v>
      </c>
      <c r="Q220" s="824">
        <f>COUNTIF(P$2:P220, TRUE)/(COUNTIF(P$2:P220,FALSE) + COUNTIF(P$2:P220, TRUE))</f>
        <v>0.48858447488584472</v>
      </c>
      <c r="R220" s="822">
        <v>324005.03999999998</v>
      </c>
      <c r="S220" s="822">
        <f t="shared" si="81"/>
        <v>23310.929999999993</v>
      </c>
      <c r="T220" s="822">
        <v>-57120</v>
      </c>
      <c r="U220" s="822">
        <f t="shared" si="87"/>
        <v>4435.9699999999721</v>
      </c>
      <c r="V220" s="824">
        <f>STDEV(D$2:D220)*SQRT(252)</f>
        <v>0.17865473175577545</v>
      </c>
      <c r="W220" s="824">
        <f>STDEV(L$2:L220)*SQRT(252)</f>
        <v>0.38208789279178124</v>
      </c>
      <c r="X220" s="823">
        <f t="shared" si="88"/>
        <v>-0.2041765848656821</v>
      </c>
      <c r="Y220" s="823">
        <f t="shared" si="89"/>
        <v>-0.39843626711658386</v>
      </c>
      <c r="Z220" s="829">
        <f t="shared" si="90"/>
        <v>-0.10015150495757311</v>
      </c>
    </row>
    <row r="221" spans="1:26" ht="20.100000000000001" customHeight="1" x14ac:dyDescent="0.2">
      <c r="A221" s="798">
        <f t="shared" si="84"/>
        <v>317</v>
      </c>
      <c r="B221" s="817">
        <v>42550</v>
      </c>
      <c r="C221" s="842">
        <v>2070.77</v>
      </c>
      <c r="D221" s="814">
        <f t="shared" si="82"/>
        <v>1.7032645904650614E-2</v>
      </c>
      <c r="E221" s="841">
        <f t="shared" si="75"/>
        <v>-1.506345008656612E-2</v>
      </c>
      <c r="F221" s="838">
        <v>4779.24</v>
      </c>
      <c r="G221" s="814">
        <f t="shared" si="76"/>
        <v>1.8623744101486428E-2</v>
      </c>
      <c r="H221" s="819">
        <f t="shared" si="77"/>
        <v>-6.1366537698607546E-2</v>
      </c>
      <c r="I221" s="821">
        <v>354799.59</v>
      </c>
      <c r="J221" s="822">
        <v>400000</v>
      </c>
      <c r="K221" s="822">
        <f t="shared" si="78"/>
        <v>7483.6200000000536</v>
      </c>
      <c r="L221" s="814">
        <f t="shared" si="91"/>
        <v>2.154700804572866E-2</v>
      </c>
      <c r="M221" s="839">
        <f t="shared" si="79"/>
        <v>-45200.409999999974</v>
      </c>
      <c r="N221" s="824">
        <f t="shared" si="74"/>
        <v>-0.11300102499999994</v>
      </c>
      <c r="O221" s="808">
        <f t="shared" si="85"/>
        <v>-0.13020070782728699</v>
      </c>
      <c r="P221" s="839" t="b">
        <f t="shared" si="80"/>
        <v>1</v>
      </c>
      <c r="Q221" s="824">
        <f>COUNTIF(P$2:P221, TRUE)/(COUNTIF(P$2:P221,FALSE) + COUNTIF(P$2:P221, TRUE))</f>
        <v>0.49090909090909091</v>
      </c>
      <c r="R221" s="822">
        <v>321658.87</v>
      </c>
      <c r="S221" s="822">
        <f t="shared" si="81"/>
        <v>33140.72000000003</v>
      </c>
      <c r="T221" s="822">
        <v>-52035</v>
      </c>
      <c r="U221" s="822">
        <f t="shared" si="87"/>
        <v>6834.5900000000256</v>
      </c>
      <c r="V221" s="824">
        <f>STDEV(D$2:D221)*SQRT(252)</f>
        <v>0.17918768492627107</v>
      </c>
      <c r="W221" s="824">
        <f>STDEV(L$2:L221)*SQRT(252)</f>
        <v>0.38190631702856759</v>
      </c>
      <c r="X221" s="823">
        <f t="shared" si="88"/>
        <v>-9.6860622679984312E-2</v>
      </c>
      <c r="Y221" s="823">
        <f t="shared" si="89"/>
        <v>-0.34092315843402937</v>
      </c>
      <c r="Z221" s="829">
        <f t="shared" si="90"/>
        <v>-9.7937574913433814E-2</v>
      </c>
    </row>
    <row r="222" spans="1:26" ht="20.100000000000001" customHeight="1" x14ac:dyDescent="0.2">
      <c r="A222" s="798">
        <f t="shared" si="84"/>
        <v>318</v>
      </c>
      <c r="B222" s="817">
        <v>42551</v>
      </c>
      <c r="C222" s="842">
        <v>2098.86</v>
      </c>
      <c r="D222" s="814">
        <f t="shared" si="82"/>
        <v>1.3565002390415229E-2</v>
      </c>
      <c r="E222" s="841">
        <f t="shared" si="75"/>
        <v>-1.7027834325830592E-3</v>
      </c>
      <c r="F222" s="838">
        <v>4842.67</v>
      </c>
      <c r="G222" s="814">
        <f t="shared" si="76"/>
        <v>1.3271984667018248E-2</v>
      </c>
      <c r="H222" s="819">
        <f t="shared" si="77"/>
        <v>-4.8909008778993214E-2</v>
      </c>
      <c r="I222" s="844">
        <v>358404.16</v>
      </c>
      <c r="J222" s="822">
        <v>400000</v>
      </c>
      <c r="K222" s="822">
        <f t="shared" si="78"/>
        <v>3604.5699999999488</v>
      </c>
      <c r="L222" s="814">
        <f t="shared" si="91"/>
        <v>1.0159453679188154E-2</v>
      </c>
      <c r="M222" s="839">
        <f t="shared" si="79"/>
        <v>-41595.840000000026</v>
      </c>
      <c r="N222" s="824">
        <f t="shared" ref="N222:N253" si="92">M222/J222</f>
        <v>-0.10398960000000007</v>
      </c>
      <c r="O222" s="808">
        <f t="shared" si="85"/>
        <v>-0.11944088490566046</v>
      </c>
      <c r="P222" s="839" t="b">
        <f t="shared" si="80"/>
        <v>0</v>
      </c>
      <c r="Q222" s="824">
        <f>COUNTIF(P$2:P222, TRUE)/(COUNTIF(P$2:P222,FALSE) + COUNTIF(P$2:P222, TRUE))</f>
        <v>0.48868778280542985</v>
      </c>
      <c r="R222" s="822">
        <v>320795.08</v>
      </c>
      <c r="S222" s="822">
        <f t="shared" si="81"/>
        <v>37609.079999999958</v>
      </c>
      <c r="T222" s="822">
        <v>-50056</v>
      </c>
      <c r="U222" s="822">
        <f t="shared" si="87"/>
        <v>8460.1599999999744</v>
      </c>
      <c r="V222" s="824">
        <f>STDEV(D$2:D222)*SQRT(252)</f>
        <v>0.17936712847918884</v>
      </c>
      <c r="W222" s="824">
        <f>STDEV(L$2:L222)*SQRT(252)</f>
        <v>0.38118352520471832</v>
      </c>
      <c r="X222" s="823">
        <f t="shared" si="88"/>
        <v>-1.0903844895417325E-2</v>
      </c>
      <c r="Y222" s="823">
        <f t="shared" si="89"/>
        <v>-0.31334220134911017</v>
      </c>
      <c r="Z222" s="829">
        <f t="shared" si="90"/>
        <v>-0.102286816567417</v>
      </c>
    </row>
    <row r="223" spans="1:26" ht="20.100000000000001" customHeight="1" x14ac:dyDescent="0.2">
      <c r="A223" s="798">
        <f t="shared" si="84"/>
        <v>319</v>
      </c>
      <c r="B223" s="817">
        <v>42552</v>
      </c>
      <c r="C223" s="842">
        <v>2102.9499999999998</v>
      </c>
      <c r="D223" s="814">
        <f t="shared" si="82"/>
        <v>1.9486769007936169E-3</v>
      </c>
      <c r="E223" s="841">
        <f t="shared" si="75"/>
        <v>2.4257529346842884E-4</v>
      </c>
      <c r="F223" s="838">
        <v>4862.59</v>
      </c>
      <c r="G223" s="814">
        <f t="shared" si="76"/>
        <v>4.1134332919649848E-3</v>
      </c>
      <c r="H223" s="819">
        <f t="shared" si="77"/>
        <v>-4.4996759432016746E-2</v>
      </c>
      <c r="I223" s="821">
        <v>358860.97</v>
      </c>
      <c r="J223" s="822">
        <v>400000</v>
      </c>
      <c r="K223" s="822">
        <f t="shared" si="78"/>
        <v>456.80999999999767</v>
      </c>
      <c r="L223" s="814">
        <f t="shared" si="91"/>
        <v>1.2745666791367535E-3</v>
      </c>
      <c r="M223" s="839">
        <f t="shared" si="79"/>
        <v>-41139.030000000028</v>
      </c>
      <c r="N223" s="824">
        <f t="shared" si="92"/>
        <v>-0.10284757500000007</v>
      </c>
      <c r="O223" s="808">
        <f t="shared" si="85"/>
        <v>-0.11775886134404397</v>
      </c>
      <c r="P223" s="839" t="b">
        <f t="shared" si="80"/>
        <v>0</v>
      </c>
      <c r="Q223" s="824">
        <f>COUNTIF(P$2:P223, TRUE)/(COUNTIF(P$2:P223,FALSE) + COUNTIF(P$2:P223, TRUE))</f>
        <v>0.48648648648648651</v>
      </c>
      <c r="R223" s="822">
        <v>272845.65000000002</v>
      </c>
      <c r="S223" s="822">
        <f t="shared" si="81"/>
        <v>86015.319999999949</v>
      </c>
      <c r="T223" s="822">
        <v>-51775</v>
      </c>
      <c r="U223" s="822">
        <f t="shared" si="87"/>
        <v>10635.969999999972</v>
      </c>
      <c r="V223" s="824">
        <f>STDEV(D$2:D223)*SQRT(252)</f>
        <v>0.17897042454940121</v>
      </c>
      <c r="W223" s="824">
        <f>STDEV(L$2:L223)*SQRT(252)</f>
        <v>0.3803179125579893</v>
      </c>
      <c r="X223" s="823">
        <f t="shared" si="88"/>
        <v>1.5519039506111125E-3</v>
      </c>
      <c r="Y223" s="823">
        <f t="shared" si="89"/>
        <v>-0.30963269795000409</v>
      </c>
      <c r="Z223" s="829">
        <f t="shared" si="90"/>
        <v>-0.10309015029346849</v>
      </c>
    </row>
    <row r="224" spans="1:26" ht="20.100000000000001" customHeight="1" x14ac:dyDescent="0.2">
      <c r="A224" s="798">
        <f t="shared" si="84"/>
        <v>323</v>
      </c>
      <c r="B224" s="846">
        <v>42556</v>
      </c>
      <c r="C224" s="847">
        <v>2088.5500000000002</v>
      </c>
      <c r="D224" s="814">
        <f t="shared" si="82"/>
        <v>-6.847523716683534E-3</v>
      </c>
      <c r="E224" s="848">
        <f t="shared" ref="E224:E255" si="93">(C224-$C$2)/$C$2</f>
        <v>-6.6066094632902111E-3</v>
      </c>
      <c r="F224" s="849">
        <v>4822.8999999999996</v>
      </c>
      <c r="G224" s="814">
        <f t="shared" si="76"/>
        <v>-8.1623167900235286E-3</v>
      </c>
      <c r="H224" s="850">
        <f t="shared" ref="H224:H255" si="94">(F224-F$2)/F$2</f>
        <v>-5.2791798417031674E-2</v>
      </c>
      <c r="I224" s="851">
        <v>346939.19</v>
      </c>
      <c r="J224" s="852">
        <v>400000</v>
      </c>
      <c r="K224" s="852">
        <f t="shared" ref="K224:K255" si="95">I224-I223-J224+J223</f>
        <v>-11921.77999999997</v>
      </c>
      <c r="L224" s="814">
        <f t="shared" si="91"/>
        <v>-3.3221166403245163E-2</v>
      </c>
      <c r="M224" s="853">
        <f t="shared" ref="M224:M253" si="96">I224-J224</f>
        <v>-53060.81</v>
      </c>
      <c r="N224" s="854">
        <f t="shared" si="92"/>
        <v>-0.13265202500000001</v>
      </c>
      <c r="O224" s="808">
        <f t="shared" si="85"/>
        <v>-0.15000356696981426</v>
      </c>
      <c r="P224" s="853" t="b">
        <f t="shared" ref="P224:P255" si="97">L224&gt;D224</f>
        <v>0</v>
      </c>
      <c r="Q224" s="854">
        <f>COUNTIF(P$2:P224, TRUE)/(COUNTIF(P$2:P224,FALSE) + COUNTIF(P$2:P224, TRUE))</f>
        <v>0.48430493273542602</v>
      </c>
      <c r="R224" s="852">
        <v>313798.31</v>
      </c>
      <c r="S224" s="852">
        <f t="shared" si="81"/>
        <v>33140.880000000005</v>
      </c>
      <c r="T224" s="852">
        <v>-60102</v>
      </c>
      <c r="U224" s="852">
        <f t="shared" si="87"/>
        <v>7041.1900000000023</v>
      </c>
      <c r="V224" s="854">
        <f>STDEV(D$2:D224)*SQRT(252)</f>
        <v>0.1787168459746149</v>
      </c>
      <c r="W224" s="854">
        <f>STDEV(L$2:L224)*SQRT(252)</f>
        <v>0.38112496311245453</v>
      </c>
      <c r="X224" s="823">
        <f t="shared" si="88"/>
        <v>-4.1802364329933145E-2</v>
      </c>
      <c r="Y224" s="823">
        <f t="shared" si="89"/>
        <v>-0.39358105998833326</v>
      </c>
      <c r="Z224" s="829">
        <f t="shared" si="90"/>
        <v>-0.12604541553670978</v>
      </c>
    </row>
    <row r="225" spans="1:26" ht="20.100000000000001" customHeight="1" x14ac:dyDescent="0.2">
      <c r="A225" s="798">
        <f t="shared" si="84"/>
        <v>324</v>
      </c>
      <c r="B225" s="846">
        <v>42557</v>
      </c>
      <c r="C225" s="847">
        <v>2088.5500000000002</v>
      </c>
      <c r="D225" s="814">
        <f t="shared" si="82"/>
        <v>0</v>
      </c>
      <c r="E225" s="848">
        <f t="shared" si="93"/>
        <v>-6.6066094632902111E-3</v>
      </c>
      <c r="F225" s="849">
        <v>4859.16</v>
      </c>
      <c r="G225" s="814">
        <f t="shared" si="76"/>
        <v>7.5182981193887954E-3</v>
      </c>
      <c r="H225" s="850">
        <f t="shared" si="94"/>
        <v>-4.5670404776400803E-2</v>
      </c>
      <c r="I225" s="851">
        <v>347494.51</v>
      </c>
      <c r="J225" s="852">
        <v>400000</v>
      </c>
      <c r="K225" s="852">
        <f t="shared" si="95"/>
        <v>555.32000000000698</v>
      </c>
      <c r="L225" s="814">
        <f t="shared" si="91"/>
        <v>1.6006263230164543E-3</v>
      </c>
      <c r="M225" s="853">
        <f t="shared" si="96"/>
        <v>-52505.489999999991</v>
      </c>
      <c r="N225" s="854">
        <f t="shared" si="92"/>
        <v>-0.13126372499999997</v>
      </c>
      <c r="O225" s="808">
        <f t="shared" si="85"/>
        <v>-0.14797554184027772</v>
      </c>
      <c r="P225" s="853" t="b">
        <f t="shared" si="97"/>
        <v>1</v>
      </c>
      <c r="Q225" s="854">
        <f>COUNTIF(P$2:P225, TRUE)/(COUNTIF(P$2:P225,FALSE) + COUNTIF(P$2:P225, TRUE))</f>
        <v>0.48660714285714285</v>
      </c>
      <c r="R225" s="852">
        <v>315793.82</v>
      </c>
      <c r="S225" s="852">
        <f t="shared" si="81"/>
        <v>31700.690000000002</v>
      </c>
      <c r="T225" s="852">
        <v>-60101</v>
      </c>
      <c r="U225" s="852">
        <f t="shared" si="87"/>
        <v>7595.5100000000093</v>
      </c>
      <c r="V225" s="854">
        <f>STDEV(D$2:D225)*SQRT(252)</f>
        <v>0.17831387977448732</v>
      </c>
      <c r="W225" s="854">
        <f>STDEV(L$2:L225)*SQRT(252)</f>
        <v>0.38026911407606601</v>
      </c>
      <c r="X225" s="823">
        <f t="shared" si="88"/>
        <v>-4.1767521031351645E-2</v>
      </c>
      <c r="Y225" s="823">
        <f t="shared" si="89"/>
        <v>-0.38913373808917301</v>
      </c>
      <c r="Z225" s="829">
        <f t="shared" si="90"/>
        <v>-0.12465711553670976</v>
      </c>
    </row>
    <row r="226" spans="1:26" ht="20.100000000000001" customHeight="1" x14ac:dyDescent="0.2">
      <c r="A226" s="798">
        <f t="shared" si="84"/>
        <v>325</v>
      </c>
      <c r="B226" s="846">
        <v>42558</v>
      </c>
      <c r="C226" s="847">
        <v>2088.5500000000002</v>
      </c>
      <c r="D226" s="814">
        <f t="shared" si="82"/>
        <v>0</v>
      </c>
      <c r="E226" s="848">
        <f t="shared" si="93"/>
        <v>-6.6066094632902111E-3</v>
      </c>
      <c r="F226" s="849">
        <v>4876.8</v>
      </c>
      <c r="G226" s="814">
        <f t="shared" si="76"/>
        <v>3.630257081470939E-3</v>
      </c>
      <c r="H226" s="850">
        <f t="shared" si="94"/>
        <v>-4.2205943005283041E-2</v>
      </c>
      <c r="I226" s="851">
        <v>350011.84</v>
      </c>
      <c r="J226" s="852">
        <v>400000</v>
      </c>
      <c r="K226" s="852">
        <f t="shared" si="95"/>
        <v>2517.3300000000163</v>
      </c>
      <c r="L226" s="814">
        <f t="shared" si="91"/>
        <v>7.2442295563173538E-3</v>
      </c>
      <c r="M226" s="853">
        <f t="shared" si="96"/>
        <v>-49988.159999999974</v>
      </c>
      <c r="N226" s="854">
        <f t="shared" si="92"/>
        <v>-0.12497039999999994</v>
      </c>
      <c r="O226" s="808">
        <f t="shared" si="85"/>
        <v>-0.14044750338461531</v>
      </c>
      <c r="P226" s="853" t="b">
        <f t="shared" si="97"/>
        <v>1</v>
      </c>
      <c r="Q226" s="854">
        <f>COUNTIF(P$2:P226, TRUE)/(COUNTIF(P$2:P226,FALSE) + COUNTIF(P$2:P226, TRUE))</f>
        <v>0.48888888888888887</v>
      </c>
      <c r="R226" s="852">
        <v>315794.82</v>
      </c>
      <c r="S226" s="852">
        <f t="shared" si="81"/>
        <v>34217.020000000019</v>
      </c>
      <c r="T226" s="852">
        <v>-60100</v>
      </c>
      <c r="U226" s="852">
        <f t="shared" si="87"/>
        <v>10111.840000000026</v>
      </c>
      <c r="V226" s="854">
        <f>STDEV(D$2:D226)*SQRT(252)</f>
        <v>0.17791362713368658</v>
      </c>
      <c r="W226" s="854">
        <f>STDEV(L$2:L226)*SQRT(252)</f>
        <v>0.3794918182893931</v>
      </c>
      <c r="X226" s="823">
        <f t="shared" si="88"/>
        <v>-4.1732680935694752E-2</v>
      </c>
      <c r="Y226" s="823">
        <f t="shared" si="89"/>
        <v>-0.37009362683417002</v>
      </c>
      <c r="Z226" s="829">
        <f t="shared" si="90"/>
        <v>-0.11836379053670973</v>
      </c>
    </row>
    <row r="227" spans="1:26" ht="20.100000000000001" customHeight="1" x14ac:dyDescent="0.2">
      <c r="A227" s="798">
        <f t="shared" si="84"/>
        <v>326</v>
      </c>
      <c r="B227" s="846">
        <v>42559</v>
      </c>
      <c r="C227" s="847">
        <v>2088.5500000000002</v>
      </c>
      <c r="D227" s="814">
        <f t="shared" si="82"/>
        <v>0</v>
      </c>
      <c r="E227" s="848">
        <f t="shared" si="93"/>
        <v>-6.6066094632902111E-3</v>
      </c>
      <c r="F227" s="849">
        <v>4956.75</v>
      </c>
      <c r="G227" s="814">
        <f t="shared" si="76"/>
        <v>1.6393946850393661E-2</v>
      </c>
      <c r="H227" s="850">
        <f t="shared" si="94"/>
        <v>-2.6503918141288729E-2</v>
      </c>
      <c r="I227" s="851">
        <f>356591.17-44.77</f>
        <v>356546.39999999997</v>
      </c>
      <c r="J227" s="852">
        <v>400000</v>
      </c>
      <c r="K227" s="852">
        <f t="shared" si="95"/>
        <v>6534.5599999999395</v>
      </c>
      <c r="L227" s="814">
        <f t="shared" si="91"/>
        <v>1.8669539864708401E-2</v>
      </c>
      <c r="M227" s="853">
        <f t="shared" si="96"/>
        <v>-43453.600000000035</v>
      </c>
      <c r="N227" s="854">
        <f t="shared" si="92"/>
        <v>-0.10863400000000009</v>
      </c>
      <c r="O227" s="808">
        <f t="shared" si="85"/>
        <v>-0.12171340030674857</v>
      </c>
      <c r="P227" s="853" t="b">
        <f t="shared" si="97"/>
        <v>1</v>
      </c>
      <c r="Q227" s="854">
        <f>COUNTIF(P$2:P227, TRUE)/(COUNTIF(P$2:P227,FALSE) + COUNTIF(P$2:P227, TRUE))</f>
        <v>0.49115044247787609</v>
      </c>
      <c r="R227" s="852">
        <v>317292.78000000003</v>
      </c>
      <c r="S227" s="852">
        <f t="shared" si="81"/>
        <v>39253.619999999937</v>
      </c>
      <c r="T227" s="852">
        <v>-54317</v>
      </c>
      <c r="U227" s="852">
        <f t="shared" si="87"/>
        <v>10863.399999999965</v>
      </c>
      <c r="V227" s="854">
        <f>STDEV(D$2:D227)*SQRT(252)</f>
        <v>0.17751605773328505</v>
      </c>
      <c r="W227" s="854">
        <f>STDEV(L$2:L227)*SQRT(252)</f>
        <v>0.37915328642285256</v>
      </c>
      <c r="X227" s="823">
        <f t="shared" si="88"/>
        <v>-4.169784542828521E-2</v>
      </c>
      <c r="Y227" s="823">
        <f t="shared" si="89"/>
        <v>-0.32101370254511552</v>
      </c>
      <c r="Z227" s="829">
        <f t="shared" si="90"/>
        <v>-0.10202739053670988</v>
      </c>
    </row>
    <row r="228" spans="1:26" ht="20.100000000000001" customHeight="1" x14ac:dyDescent="0.2">
      <c r="A228" s="798">
        <f t="shared" si="84"/>
        <v>329</v>
      </c>
      <c r="B228" s="817">
        <v>42562</v>
      </c>
      <c r="C228" s="842">
        <v>2137.16</v>
      </c>
      <c r="D228" s="814">
        <f t="shared" si="82"/>
        <v>2.3274520600416397E-2</v>
      </c>
      <c r="E228" s="841">
        <f t="shared" si="93"/>
        <v>1.6514145469073933E-2</v>
      </c>
      <c r="F228" s="838">
        <v>4988.63</v>
      </c>
      <c r="G228" s="814">
        <f t="shared" si="76"/>
        <v>6.4316336309073706E-3</v>
      </c>
      <c r="H228" s="819">
        <f t="shared" si="94"/>
        <v>-2.0242748001649689E-2</v>
      </c>
      <c r="I228" s="821">
        <v>356544.06</v>
      </c>
      <c r="J228" s="822">
        <v>400000</v>
      </c>
      <c r="K228" s="822">
        <f t="shared" si="95"/>
        <v>-2.3399999999674037</v>
      </c>
      <c r="L228" s="814">
        <f t="shared" si="91"/>
        <v>-6.5629606692632545E-6</v>
      </c>
      <c r="M228" s="839">
        <f t="shared" si="96"/>
        <v>-43455.94</v>
      </c>
      <c r="N228" s="824">
        <f t="shared" si="92"/>
        <v>-0.10863985000000001</v>
      </c>
      <c r="O228" s="808">
        <f t="shared" si="85"/>
        <v>-0.12061004623860183</v>
      </c>
      <c r="P228" s="839" t="b">
        <f t="shared" si="97"/>
        <v>0</v>
      </c>
      <c r="Q228" s="824">
        <f>COUNTIF(P$2:P228, TRUE)/(COUNTIF(P$2:P228,FALSE) + COUNTIF(P$2:P228, TRUE))</f>
        <v>0.48898678414096919</v>
      </c>
      <c r="R228" s="822">
        <v>315114.71999999997</v>
      </c>
      <c r="S228" s="822">
        <f t="shared" si="81"/>
        <v>41429.340000000026</v>
      </c>
      <c r="T228" s="822">
        <v>-55783</v>
      </c>
      <c r="U228" s="822">
        <f t="shared" si="87"/>
        <v>12327.059999999998</v>
      </c>
      <c r="V228" s="824">
        <f>STDEV(D$2:D228)*SQRT(252)</f>
        <v>0.17881334891320599</v>
      </c>
      <c r="W228" s="824">
        <f>STDEV(L$2:L228)*SQRT(252)</f>
        <v>0.37830983950867753</v>
      </c>
      <c r="X228" s="823">
        <f t="shared" si="88"/>
        <v>0.10252989097493433</v>
      </c>
      <c r="Y228" s="823">
        <f t="shared" si="89"/>
        <v>-0.31881287146864001</v>
      </c>
      <c r="Z228" s="829">
        <f t="shared" si="90"/>
        <v>-0.12515399546907394</v>
      </c>
    </row>
    <row r="229" spans="1:26" ht="20.100000000000001" customHeight="1" x14ac:dyDescent="0.2">
      <c r="A229" s="798">
        <f t="shared" si="84"/>
        <v>330</v>
      </c>
      <c r="B229" s="817">
        <v>42563</v>
      </c>
      <c r="C229" s="842">
        <v>2152.14</v>
      </c>
      <c r="D229" s="814">
        <f t="shared" si="82"/>
        <v>7.0093020644219524E-3</v>
      </c>
      <c r="E229" s="841">
        <f t="shared" si="93"/>
        <v>2.3639200167424428E-2</v>
      </c>
      <c r="F229" s="838">
        <v>5022.82</v>
      </c>
      <c r="G229" s="814">
        <f t="shared" si="76"/>
        <v>6.8535850524090985E-3</v>
      </c>
      <c r="H229" s="819">
        <f t="shared" si="94"/>
        <v>-1.3527898344364379E-2</v>
      </c>
      <c r="I229" s="821">
        <v>371135.11</v>
      </c>
      <c r="J229" s="822">
        <v>400000</v>
      </c>
      <c r="K229" s="822">
        <f t="shared" si="95"/>
        <v>14591.049999999988</v>
      </c>
      <c r="L229" s="814">
        <f t="shared" si="91"/>
        <v>4.092355373975376E-2</v>
      </c>
      <c r="M229" s="839">
        <f t="shared" si="96"/>
        <v>-28864.890000000014</v>
      </c>
      <c r="N229" s="824">
        <f t="shared" si="92"/>
        <v>-7.2162225000000038E-2</v>
      </c>
      <c r="O229" s="808">
        <f t="shared" si="85"/>
        <v>-7.9870462670454598E-2</v>
      </c>
      <c r="P229" s="839" t="b">
        <f t="shared" si="97"/>
        <v>1</v>
      </c>
      <c r="Q229" s="824">
        <f>COUNTIF(P$2:P229, TRUE)/(COUNTIF(P$2:P229,FALSE) + COUNTIF(P$2:P229, TRUE))</f>
        <v>0.49122807017543857</v>
      </c>
      <c r="R229" s="822">
        <v>321724.34999999998</v>
      </c>
      <c r="S229" s="822">
        <f t="shared" si="81"/>
        <v>49410.760000000009</v>
      </c>
      <c r="T229" s="822">
        <v>-44731</v>
      </c>
      <c r="U229" s="822">
        <f t="shared" si="87"/>
        <v>15866.109999999986</v>
      </c>
      <c r="V229" s="824">
        <f>STDEV(D$2:D229)*SQRT(252)</f>
        <v>0.17856422908432967</v>
      </c>
      <c r="W229" s="824">
        <f>STDEV(L$2:L229)*SQRT(252)</f>
        <v>0.37990463509326544</v>
      </c>
      <c r="X229" s="823">
        <f t="shared" si="88"/>
        <v>0.14652596818026906</v>
      </c>
      <c r="Y229" s="823">
        <f t="shared" si="89"/>
        <v>-0.21023818951523621</v>
      </c>
      <c r="Z229" s="829">
        <f t="shared" si="90"/>
        <v>-9.5801425167424459E-2</v>
      </c>
    </row>
    <row r="230" spans="1:26" ht="20.100000000000001" customHeight="1" x14ac:dyDescent="0.2">
      <c r="A230" s="798">
        <f t="shared" si="84"/>
        <v>331</v>
      </c>
      <c r="B230" s="817">
        <v>42564</v>
      </c>
      <c r="C230" s="842">
        <v>2152.4299999999998</v>
      </c>
      <c r="D230" s="814">
        <f t="shared" si="82"/>
        <v>1.347495980744578E-4</v>
      </c>
      <c r="E230" s="841">
        <f t="shared" si="93"/>
        <v>2.3777135138220249E-2</v>
      </c>
      <c r="F230" s="838">
        <v>5005.72</v>
      </c>
      <c r="G230" s="814">
        <f t="shared" si="76"/>
        <v>-3.4044620352709147E-3</v>
      </c>
      <c r="H230" s="819">
        <f t="shared" si="94"/>
        <v>-1.6886305163304902E-2</v>
      </c>
      <c r="I230" s="821">
        <v>368490.23999999999</v>
      </c>
      <c r="J230" s="822">
        <v>400000</v>
      </c>
      <c r="K230" s="822">
        <f t="shared" si="95"/>
        <v>-2644.8699999999953</v>
      </c>
      <c r="L230" s="814">
        <f t="shared" si="91"/>
        <v>-7.1264343597133547E-3</v>
      </c>
      <c r="M230" s="839">
        <f t="shared" si="96"/>
        <v>-31509.760000000009</v>
      </c>
      <c r="N230" s="824">
        <f t="shared" si="92"/>
        <v>-7.8774400000000022E-2</v>
      </c>
      <c r="O230" s="808">
        <f t="shared" si="85"/>
        <v>-8.6925527492447155E-2</v>
      </c>
      <c r="P230" s="839" t="b">
        <f t="shared" si="97"/>
        <v>0</v>
      </c>
      <c r="Q230" s="824">
        <f>COUNTIF(P$2:P230, TRUE)/(COUNTIF(P$2:P230,FALSE) + COUNTIF(P$2:P230, TRUE))</f>
        <v>0.48908296943231439</v>
      </c>
      <c r="R230" s="822">
        <v>319923.32</v>
      </c>
      <c r="S230" s="822">
        <f t="shared" si="81"/>
        <v>48566.919999999984</v>
      </c>
      <c r="T230" s="822">
        <v>-47124</v>
      </c>
      <c r="U230" s="822">
        <f t="shared" si="87"/>
        <v>15614.239999999991</v>
      </c>
      <c r="V230" s="824">
        <f>STDEV(D$2:D230)*SQRT(252)</f>
        <v>0.17817048471828337</v>
      </c>
      <c r="W230" s="824">
        <f>STDEV(L$2:L230)*SQRT(252)</f>
        <v>0.3791487014021947</v>
      </c>
      <c r="X230" s="823">
        <f t="shared" si="88"/>
        <v>0.1472604066572987</v>
      </c>
      <c r="Y230" s="823">
        <f t="shared" si="89"/>
        <v>-0.22926500122767923</v>
      </c>
      <c r="Z230" s="829">
        <f t="shared" si="90"/>
        <v>-0.10255153513822027</v>
      </c>
    </row>
    <row r="231" spans="1:26" ht="20.100000000000001" customHeight="1" x14ac:dyDescent="0.2">
      <c r="A231" s="798">
        <f t="shared" si="84"/>
        <v>332</v>
      </c>
      <c r="B231" s="817">
        <v>42565</v>
      </c>
      <c r="C231" s="842">
        <v>2163.75</v>
      </c>
      <c r="D231" s="814">
        <f t="shared" si="82"/>
        <v>5.2591721914302279E-3</v>
      </c>
      <c r="E231" s="841">
        <f t="shared" si="93"/>
        <v>2.9161355377561284E-2</v>
      </c>
      <c r="F231" s="838">
        <v>5034.05</v>
      </c>
      <c r="G231" s="814">
        <f t="shared" si="76"/>
        <v>5.6595255028247535E-3</v>
      </c>
      <c r="H231" s="819">
        <f t="shared" si="94"/>
        <v>-1.1322348135200354E-2</v>
      </c>
      <c r="I231" s="821">
        <v>370497.23</v>
      </c>
      <c r="J231" s="822">
        <v>400000</v>
      </c>
      <c r="K231" s="822">
        <f t="shared" si="95"/>
        <v>2006.9899999999907</v>
      </c>
      <c r="L231" s="814">
        <f t="shared" si="91"/>
        <v>5.4465214601070325E-3</v>
      </c>
      <c r="M231" s="839">
        <f t="shared" si="96"/>
        <v>-29502.770000000019</v>
      </c>
      <c r="N231" s="824">
        <f t="shared" si="92"/>
        <v>-7.3756925000000043E-2</v>
      </c>
      <c r="O231" s="808">
        <f t="shared" si="85"/>
        <v>-8.1143725470632574E-2</v>
      </c>
      <c r="P231" s="839" t="b">
        <f t="shared" si="97"/>
        <v>1</v>
      </c>
      <c r="Q231" s="824">
        <f>COUNTIF(P$2:P231, TRUE)/(COUNTIF(P$2:P231,FALSE) + COUNTIF(P$2:P231, TRUE))</f>
        <v>0.49130434782608695</v>
      </c>
      <c r="R231" s="822">
        <v>321931.40999999997</v>
      </c>
      <c r="S231" s="822">
        <f t="shared" si="81"/>
        <v>48565.820000000007</v>
      </c>
      <c r="T231" s="822">
        <v>-47213</v>
      </c>
      <c r="U231" s="822">
        <f t="shared" si="87"/>
        <v>17710.229999999981</v>
      </c>
      <c r="V231" s="824">
        <f>STDEV(D$2:D231)*SQRT(252)</f>
        <v>0.17785960012092625</v>
      </c>
      <c r="W231" s="824">
        <f>STDEV(L$2:L231)*SQRT(252)</f>
        <v>0.378354378552888</v>
      </c>
      <c r="X231" s="823">
        <f t="shared" si="88"/>
        <v>0.18037757120725123</v>
      </c>
      <c r="Y231" s="823">
        <f t="shared" si="89"/>
        <v>-0.21446487755999355</v>
      </c>
      <c r="Z231" s="829">
        <f t="shared" si="90"/>
        <v>-0.10291828037756133</v>
      </c>
    </row>
    <row r="232" spans="1:26" ht="20.100000000000001" customHeight="1" x14ac:dyDescent="0.2">
      <c r="A232" s="798">
        <f t="shared" si="84"/>
        <v>333</v>
      </c>
      <c r="B232" s="817">
        <v>42566</v>
      </c>
      <c r="C232" s="842">
        <v>2161.7399999999998</v>
      </c>
      <c r="D232" s="814">
        <f t="shared" si="82"/>
        <v>-9.2894280762575077E-4</v>
      </c>
      <c r="E232" s="841">
        <f t="shared" si="93"/>
        <v>2.8205323338596929E-2</v>
      </c>
      <c r="F232" s="838">
        <v>5029.58</v>
      </c>
      <c r="G232" s="814">
        <f t="shared" si="76"/>
        <v>-8.8795303979901958E-4</v>
      </c>
      <c r="H232" s="819">
        <f t="shared" si="94"/>
        <v>-1.2200247461555059E-2</v>
      </c>
      <c r="I232" s="821">
        <v>368347.44</v>
      </c>
      <c r="J232" s="822">
        <v>400000</v>
      </c>
      <c r="K232" s="822">
        <f t="shared" si="95"/>
        <v>-2149.789999999979</v>
      </c>
      <c r="L232" s="814">
        <f t="shared" si="91"/>
        <v>-5.8024455405509484E-3</v>
      </c>
      <c r="M232" s="839">
        <f t="shared" si="96"/>
        <v>-31652.559999999998</v>
      </c>
      <c r="N232" s="824">
        <f t="shared" si="92"/>
        <v>-7.9131399999999991E-2</v>
      </c>
      <c r="O232" s="808">
        <f t="shared" si="85"/>
        <v>-8.6795026576576575E-2</v>
      </c>
      <c r="P232" s="839" t="b">
        <f t="shared" si="97"/>
        <v>0</v>
      </c>
      <c r="Q232" s="824">
        <f>COUNTIF(P$2:P232, TRUE)/(COUNTIF(P$2:P232,FALSE) + COUNTIF(P$2:P232, TRUE))</f>
        <v>0.48917748917748916</v>
      </c>
      <c r="R232" s="822">
        <v>315227.08</v>
      </c>
      <c r="S232" s="822">
        <f t="shared" si="81"/>
        <v>53120.359999999986</v>
      </c>
      <c r="T232" s="822">
        <v>-48618</v>
      </c>
      <c r="U232" s="822">
        <f t="shared" si="87"/>
        <v>16965.440000000002</v>
      </c>
      <c r="V232" s="824">
        <f>STDEV(D$2:D232)*SQRT(252)</f>
        <v>0.17747468742677538</v>
      </c>
      <c r="W232" s="824">
        <f>STDEV(L$2:L232)*SQRT(252)</f>
        <v>0.37758235657631534</v>
      </c>
      <c r="X232" s="823">
        <f t="shared" si="88"/>
        <v>0.17431736557361255</v>
      </c>
      <c r="Y232" s="823">
        <f t="shared" si="89"/>
        <v>-0.22987045094898106</v>
      </c>
      <c r="Z232" s="829">
        <f t="shared" si="90"/>
        <v>-0.10733672333859692</v>
      </c>
    </row>
    <row r="233" spans="1:26" ht="20.100000000000001" customHeight="1" x14ac:dyDescent="0.2">
      <c r="A233" s="798">
        <f t="shared" si="84"/>
        <v>336</v>
      </c>
      <c r="B233" s="846">
        <v>42569</v>
      </c>
      <c r="C233" s="847">
        <v>2166.89</v>
      </c>
      <c r="D233" s="814">
        <f t="shared" si="82"/>
        <v>2.3823401519147036E-3</v>
      </c>
      <c r="E233" s="848">
        <f t="shared" si="93"/>
        <v>3.0654858164798907E-2</v>
      </c>
      <c r="F233" s="849">
        <v>5055.78</v>
      </c>
      <c r="G233" s="814">
        <f t="shared" si="76"/>
        <v>5.209182476469172E-3</v>
      </c>
      <c r="H233" s="850">
        <f t="shared" si="94"/>
        <v>-7.0546183003712066E-3</v>
      </c>
      <c r="I233" s="851">
        <f>369683.39+2.9</f>
        <v>369686.29000000004</v>
      </c>
      <c r="J233" s="852">
        <v>400000</v>
      </c>
      <c r="K233" s="852">
        <f t="shared" si="95"/>
        <v>1338.8500000000349</v>
      </c>
      <c r="L233" s="814">
        <f t="shared" si="91"/>
        <v>3.6347476719263611E-3</v>
      </c>
      <c r="M233" s="853">
        <f t="shared" si="96"/>
        <v>-30313.709999999963</v>
      </c>
      <c r="N233" s="854">
        <f t="shared" si="92"/>
        <v>-7.5784274999999901E-2</v>
      </c>
      <c r="O233" s="808">
        <f t="shared" si="85"/>
        <v>-8.2381566796874889E-2</v>
      </c>
      <c r="P233" s="853" t="b">
        <f t="shared" si="97"/>
        <v>1</v>
      </c>
      <c r="Q233" s="854">
        <f>COUNTIF(P$2:P233, TRUE)/(COUNTIF(P$2:P233,FALSE) + COUNTIF(P$2:P233, TRUE))</f>
        <v>0.49137931034482757</v>
      </c>
      <c r="R233" s="852">
        <v>316103.03999999998</v>
      </c>
      <c r="S233" s="852">
        <f t="shared" si="81"/>
        <v>53583.250000000058</v>
      </c>
      <c r="T233" s="852">
        <v>-47875</v>
      </c>
      <c r="U233" s="852">
        <f t="shared" si="87"/>
        <v>17561.290000000037</v>
      </c>
      <c r="V233" s="854">
        <f>STDEV(D$2:D233)*SQRT(252)</f>
        <v>0.17710334708213829</v>
      </c>
      <c r="W233" s="854">
        <f>STDEV(L$2:L233)*SQRT(252)</f>
        <v>0.37677647505559991</v>
      </c>
      <c r="X233" s="823">
        <f t="shared" si="88"/>
        <v>0.1881583470820907</v>
      </c>
      <c r="Y233" s="823">
        <f t="shared" si="89"/>
        <v>-0.21864838239892248</v>
      </c>
      <c r="Z233" s="829">
        <f t="shared" si="90"/>
        <v>-0.1064391331647988</v>
      </c>
    </row>
    <row r="234" spans="1:26" ht="20.100000000000001" customHeight="1" x14ac:dyDescent="0.2">
      <c r="A234" s="798">
        <f t="shared" si="84"/>
        <v>337</v>
      </c>
      <c r="B234" s="846">
        <v>42570</v>
      </c>
      <c r="C234" s="847">
        <v>2163.7800000000002</v>
      </c>
      <c r="D234" s="814">
        <f t="shared" si="82"/>
        <v>-1.4352366756040559E-3</v>
      </c>
      <c r="E234" s="848">
        <f t="shared" si="93"/>
        <v>2.9175624512471292E-2</v>
      </c>
      <c r="F234" s="849">
        <v>5036.37</v>
      </c>
      <c r="G234" s="814">
        <f t="shared" si="76"/>
        <v>-3.8391702170584669E-3</v>
      </c>
      <c r="H234" s="850">
        <f t="shared" si="94"/>
        <v>-1.0866704636958173E-2</v>
      </c>
      <c r="I234" s="851">
        <v>364028.85</v>
      </c>
      <c r="J234" s="852">
        <v>400000</v>
      </c>
      <c r="K234" s="852">
        <f t="shared" si="95"/>
        <v>-5657.4400000000605</v>
      </c>
      <c r="L234" s="814">
        <f t="shared" si="91"/>
        <v>-1.5303353554171728E-2</v>
      </c>
      <c r="M234" s="853">
        <f t="shared" si="96"/>
        <v>-35971.150000000023</v>
      </c>
      <c r="N234" s="854">
        <f t="shared" si="92"/>
        <v>-8.992787500000006E-2</v>
      </c>
      <c r="O234" s="808">
        <f t="shared" si="85"/>
        <v>-9.7466339298961494E-2</v>
      </c>
      <c r="P234" s="853" t="b">
        <f t="shared" si="97"/>
        <v>0</v>
      </c>
      <c r="Q234" s="854">
        <f>COUNTIF(P$2:P234, TRUE)/(COUNTIF(P$2:P234,FALSE) + COUNTIF(P$2:P234, TRUE))</f>
        <v>0.48927038626609443</v>
      </c>
      <c r="R234" s="852">
        <v>316420.40000000002</v>
      </c>
      <c r="S234" s="852">
        <f t="shared" si="81"/>
        <v>47608.449999999953</v>
      </c>
      <c r="T234" s="852">
        <v>-53164</v>
      </c>
      <c r="U234" s="852">
        <f t="shared" si="87"/>
        <v>17192.849999999977</v>
      </c>
      <c r="V234" s="854">
        <f>STDEV(D$2:D234)*SQRT(252)</f>
        <v>0.17672773618130258</v>
      </c>
      <c r="W234" s="854">
        <f>STDEV(L$2:L234)*SQRT(252)</f>
        <v>0.37631344049170978</v>
      </c>
      <c r="X234" s="823">
        <f t="shared" si="88"/>
        <v>0.17892695470833672</v>
      </c>
      <c r="Y234" s="823">
        <f t="shared" si="89"/>
        <v>-0.25900307778432563</v>
      </c>
      <c r="Z234" s="829">
        <f t="shared" si="90"/>
        <v>-0.11910349951247134</v>
      </c>
    </row>
    <row r="235" spans="1:26" ht="20.100000000000001" customHeight="1" x14ac:dyDescent="0.2">
      <c r="A235" s="798">
        <f t="shared" si="84"/>
        <v>338</v>
      </c>
      <c r="B235" s="846">
        <v>42571</v>
      </c>
      <c r="C235" s="847">
        <v>2173.02</v>
      </c>
      <c r="D235" s="814">
        <f t="shared" si="82"/>
        <v>4.2703047444748454E-3</v>
      </c>
      <c r="E235" s="848">
        <f t="shared" si="93"/>
        <v>3.3570518064724761E-2</v>
      </c>
      <c r="F235" s="849">
        <v>5089.93</v>
      </c>
      <c r="G235" s="814">
        <f t="shared" si="76"/>
        <v>1.0634643602435961E-2</v>
      </c>
      <c r="H235" s="850">
        <f t="shared" si="94"/>
        <v>-3.4762456546920032E-4</v>
      </c>
      <c r="I235" s="851">
        <v>366983.12</v>
      </c>
      <c r="J235" s="852">
        <v>400000</v>
      </c>
      <c r="K235" s="852">
        <f t="shared" si="95"/>
        <v>2954.2700000000186</v>
      </c>
      <c r="L235" s="814">
        <f t="shared" si="91"/>
        <v>8.1154831547005646E-3</v>
      </c>
      <c r="M235" s="853">
        <f t="shared" si="96"/>
        <v>-33016.880000000005</v>
      </c>
      <c r="N235" s="854">
        <f t="shared" si="92"/>
        <v>-8.254220000000001E-2</v>
      </c>
      <c r="O235" s="808">
        <f t="shared" si="85"/>
        <v>-8.9196859615384622E-2</v>
      </c>
      <c r="P235" s="853" t="b">
        <f t="shared" si="97"/>
        <v>1</v>
      </c>
      <c r="Q235" s="854">
        <f>COUNTIF(P$2:P235, TRUE)/(COUNTIF(P$2:P235,FALSE) + COUNTIF(P$2:P235, TRUE))</f>
        <v>0.49145299145299143</v>
      </c>
      <c r="R235" s="852">
        <v>315168.17</v>
      </c>
      <c r="S235" s="852">
        <f t="shared" si="81"/>
        <v>51814.950000000012</v>
      </c>
      <c r="T235" s="852">
        <v>-50698</v>
      </c>
      <c r="U235" s="852">
        <f t="shared" si="87"/>
        <v>17681.119999999995</v>
      </c>
      <c r="V235" s="854">
        <f>STDEV(D$2:D235)*SQRT(252)</f>
        <v>0.17639759874782845</v>
      </c>
      <c r="W235" s="854">
        <f>STDEV(L$2:L235)*SQRT(252)</f>
        <v>0.37559009819227351</v>
      </c>
      <c r="X235" s="823">
        <f t="shared" si="88"/>
        <v>0.20565482291076584</v>
      </c>
      <c r="Y235" s="823">
        <f t="shared" si="89"/>
        <v>-0.2374845877052984</v>
      </c>
      <c r="Z235" s="829">
        <f t="shared" si="90"/>
        <v>-0.11611271806472477</v>
      </c>
    </row>
    <row r="236" spans="1:26" ht="20.100000000000001" customHeight="1" x14ac:dyDescent="0.2">
      <c r="A236" s="798">
        <f t="shared" si="84"/>
        <v>339</v>
      </c>
      <c r="B236" s="846">
        <v>42572</v>
      </c>
      <c r="C236" s="847">
        <v>2165.17</v>
      </c>
      <c r="D236" s="814">
        <f t="shared" si="82"/>
        <v>-3.6124840084306217E-3</v>
      </c>
      <c r="E236" s="848">
        <f t="shared" si="93"/>
        <v>2.9836761096630589E-2</v>
      </c>
      <c r="F236" s="849">
        <v>5073.8999999999996</v>
      </c>
      <c r="G236" s="814">
        <f t="shared" si="76"/>
        <v>-3.1493556885852365E-3</v>
      </c>
      <c r="H236" s="850">
        <f t="shared" si="94"/>
        <v>-3.4958854606516846E-3</v>
      </c>
      <c r="I236" s="851">
        <f>360276.2+45</f>
        <v>360321.2</v>
      </c>
      <c r="J236" s="852">
        <v>400000</v>
      </c>
      <c r="K236" s="852">
        <f t="shared" si="95"/>
        <v>-6661.9199999999837</v>
      </c>
      <c r="L236" s="814">
        <f t="shared" si="91"/>
        <v>-1.8153205520733445E-2</v>
      </c>
      <c r="M236" s="853">
        <f t="shared" si="96"/>
        <v>-39678.799999999988</v>
      </c>
      <c r="N236" s="854">
        <f t="shared" si="92"/>
        <v>-9.9196999999999966E-2</v>
      </c>
      <c r="O236" s="808">
        <f t="shared" si="85"/>
        <v>-0.10687818362831855</v>
      </c>
      <c r="P236" s="853" t="b">
        <f t="shared" si="97"/>
        <v>0</v>
      </c>
      <c r="Q236" s="854">
        <f>COUNTIF(P$2:P236, TRUE)/(COUNTIF(P$2:P236,FALSE) + COUNTIF(P$2:P236, TRUE))</f>
        <v>0.48936170212765956</v>
      </c>
      <c r="R236" s="852">
        <v>315749.06</v>
      </c>
      <c r="S236" s="852">
        <f t="shared" si="81"/>
        <v>44572.140000000014</v>
      </c>
      <c r="T236" s="852">
        <v>-55981</v>
      </c>
      <c r="U236" s="852">
        <f t="shared" si="87"/>
        <v>16302.200000000012</v>
      </c>
      <c r="V236" s="854">
        <f>STDEV(D$2:D236)*SQRT(252)</f>
        <v>0.17606319207854554</v>
      </c>
      <c r="W236" s="854">
        <f>STDEV(L$2:L236)*SQRT(252)</f>
        <v>0.37527253812431671</v>
      </c>
      <c r="X236" s="823">
        <f t="shared" si="88"/>
        <v>0.18258858871123926</v>
      </c>
      <c r="Y236" s="823">
        <f t="shared" si="89"/>
        <v>-0.28480150496094381</v>
      </c>
      <c r="Z236" s="829">
        <f t="shared" si="90"/>
        <v>-0.12903376109663056</v>
      </c>
    </row>
    <row r="237" spans="1:26" ht="20.100000000000001" customHeight="1" x14ac:dyDescent="0.2">
      <c r="A237" s="798">
        <f t="shared" si="84"/>
        <v>340</v>
      </c>
      <c r="B237" s="846">
        <v>42573</v>
      </c>
      <c r="C237" s="847">
        <v>2175.0300000000002</v>
      </c>
      <c r="D237" s="814">
        <f t="shared" si="82"/>
        <v>4.553914935085987E-3</v>
      </c>
      <c r="E237" s="848">
        <f t="shared" si="93"/>
        <v>3.4526550103689116E-2</v>
      </c>
      <c r="F237" s="849">
        <v>5100.16</v>
      </c>
      <c r="G237" s="814">
        <f t="shared" si="76"/>
        <v>5.175506021009523E-3</v>
      </c>
      <c r="H237" s="850">
        <f t="shared" si="94"/>
        <v>1.6615275841074762E-3</v>
      </c>
      <c r="I237" s="851">
        <v>357414.17</v>
      </c>
      <c r="J237" s="852">
        <v>400000</v>
      </c>
      <c r="K237" s="852">
        <f t="shared" si="95"/>
        <v>-2907.0300000000279</v>
      </c>
      <c r="L237" s="814">
        <f t="shared" si="91"/>
        <v>-8.0678849870616208E-3</v>
      </c>
      <c r="M237" s="853">
        <f t="shared" si="96"/>
        <v>-42585.830000000016</v>
      </c>
      <c r="N237" s="854">
        <f t="shared" si="92"/>
        <v>-0.10646457500000005</v>
      </c>
      <c r="O237" s="808">
        <f t="shared" si="85"/>
        <v>-0.11437113534926477</v>
      </c>
      <c r="P237" s="853" t="b">
        <f t="shared" si="97"/>
        <v>0</v>
      </c>
      <c r="Q237" s="854">
        <f>COUNTIF(P$2:P237, TRUE)/(COUNTIF(P$2:P237,FALSE) + COUNTIF(P$2:P237, TRUE))</f>
        <v>0.48728813559322032</v>
      </c>
      <c r="R237" s="852">
        <v>316131.83</v>
      </c>
      <c r="S237" s="852">
        <f t="shared" ref="S237:S242" si="98">I237-R237</f>
        <v>41282.339999999967</v>
      </c>
      <c r="T237" s="852">
        <v>-58740</v>
      </c>
      <c r="U237" s="852">
        <f t="shared" ref="U237:U242" si="99">M237-T237</f>
        <v>16154.169999999984</v>
      </c>
      <c r="V237" s="854">
        <f>STDEV(D$2:D237)*SQRT(252)</f>
        <v>0.17574477489002999</v>
      </c>
      <c r="W237" s="854">
        <f>STDEV(L$2:L237)*SQRT(252)</f>
        <v>0.37456834740512818</v>
      </c>
      <c r="X237" s="823">
        <f t="shared" si="88"/>
        <v>0.21104840366082525</v>
      </c>
      <c r="Y237" s="823">
        <f t="shared" si="89"/>
        <v>-0.30534116441388054</v>
      </c>
      <c r="Z237" s="829">
        <f t="shared" si="90"/>
        <v>-0.14099112510368916</v>
      </c>
    </row>
    <row r="238" spans="1:26" ht="20.100000000000001" customHeight="1" x14ac:dyDescent="0.2">
      <c r="A238" s="798">
        <f t="shared" si="84"/>
        <v>343</v>
      </c>
      <c r="B238" s="817">
        <v>42576</v>
      </c>
      <c r="C238" s="842">
        <v>2168.48</v>
      </c>
      <c r="D238" s="814">
        <f t="shared" si="82"/>
        <v>-3.0114527155948108E-3</v>
      </c>
      <c r="E238" s="841">
        <f t="shared" si="93"/>
        <v>3.141112231502443E-2</v>
      </c>
      <c r="F238" s="838">
        <v>5097.62</v>
      </c>
      <c r="G238" s="814">
        <f t="shared" si="76"/>
        <v>-4.9802359141673275E-4</v>
      </c>
      <c r="H238" s="819">
        <f t="shared" si="94"/>
        <v>1.1626765127560684E-3</v>
      </c>
      <c r="I238" s="821">
        <v>355693.78</v>
      </c>
      <c r="J238" s="822">
        <v>400000</v>
      </c>
      <c r="K238" s="822">
        <f t="shared" si="95"/>
        <v>-1720.3899999999558</v>
      </c>
      <c r="L238" s="814">
        <f t="shared" si="91"/>
        <v>-4.8134353486879262E-3</v>
      </c>
      <c r="M238" s="839">
        <f t="shared" si="96"/>
        <v>-44306.219999999972</v>
      </c>
      <c r="N238" s="824">
        <f t="shared" si="92"/>
        <v>-0.11076554999999993</v>
      </c>
      <c r="O238" s="808">
        <f t="shared" si="85"/>
        <v>-0.11795077882653054</v>
      </c>
      <c r="P238" s="839" t="b">
        <f t="shared" si="97"/>
        <v>0</v>
      </c>
      <c r="Q238" s="824">
        <f>COUNTIF(P$2:P238, TRUE)/(COUNTIF(P$2:P238,FALSE) + COUNTIF(P$2:P238, TRUE))</f>
        <v>0.48523206751054854</v>
      </c>
      <c r="R238" s="822">
        <v>311346.09000000003</v>
      </c>
      <c r="S238" s="822">
        <f t="shared" si="98"/>
        <v>44347.69</v>
      </c>
      <c r="T238" s="822">
        <v>-60287</v>
      </c>
      <c r="U238" s="822">
        <f t="shared" si="99"/>
        <v>15980.780000000028</v>
      </c>
      <c r="V238" s="824">
        <f>STDEV(D$2:D238)*SQRT(252)</f>
        <v>0.17540195592552774</v>
      </c>
      <c r="W238" s="824">
        <f>STDEV(L$2:L238)*SQRT(252)</f>
        <v>0.37380634336339558</v>
      </c>
      <c r="X238" s="823">
        <f t="shared" si="88"/>
        <v>0.19069755577286238</v>
      </c>
      <c r="Y238" s="823">
        <f t="shared" si="89"/>
        <v>-0.3155398000077938</v>
      </c>
      <c r="Z238" s="829">
        <f t="shared" si="90"/>
        <v>-0.14217667231502437</v>
      </c>
    </row>
    <row r="239" spans="1:26" ht="20.100000000000001" customHeight="1" x14ac:dyDescent="0.2">
      <c r="A239" s="798">
        <f t="shared" si="84"/>
        <v>344</v>
      </c>
      <c r="B239" s="817">
        <v>42577</v>
      </c>
      <c r="C239" s="842">
        <v>2169.1799999999998</v>
      </c>
      <c r="D239" s="814">
        <f t="shared" si="82"/>
        <v>3.2280675865113727E-4</v>
      </c>
      <c r="E239" s="841">
        <f t="shared" si="93"/>
        <v>3.1744068796255673E-2</v>
      </c>
      <c r="F239" s="838">
        <v>5110.04</v>
      </c>
      <c r="G239" s="814">
        <f t="shared" si="76"/>
        <v>2.4364311188358632E-3</v>
      </c>
      <c r="H239" s="819">
        <f t="shared" si="94"/>
        <v>3.60194041282875E-3</v>
      </c>
      <c r="I239" s="821">
        <v>360934.05</v>
      </c>
      <c r="J239" s="822">
        <v>400000</v>
      </c>
      <c r="K239" s="822">
        <f t="shared" si="95"/>
        <v>5240.2699999999604</v>
      </c>
      <c r="L239" s="814">
        <f t="shared" si="91"/>
        <v>1.4732532011102247E-2</v>
      </c>
      <c r="M239" s="839">
        <f t="shared" si="96"/>
        <v>-39065.950000000012</v>
      </c>
      <c r="N239" s="824">
        <f t="shared" si="92"/>
        <v>-9.7664875000000026E-2</v>
      </c>
      <c r="O239" s="808">
        <f t="shared" si="85"/>
        <v>-0.10369795230741281</v>
      </c>
      <c r="P239" s="839" t="b">
        <f t="shared" si="97"/>
        <v>1</v>
      </c>
      <c r="Q239" s="824">
        <f>COUNTIF(P$2:P239, TRUE)/(COUNTIF(P$2:P239,FALSE) + COUNTIF(P$2:P239, TRUE))</f>
        <v>0.48739495798319327</v>
      </c>
      <c r="R239" s="822">
        <v>295609.99</v>
      </c>
      <c r="S239" s="822">
        <f t="shared" si="98"/>
        <v>65324.06</v>
      </c>
      <c r="T239" s="822">
        <v>-55468</v>
      </c>
      <c r="U239" s="822">
        <f t="shared" si="99"/>
        <v>16402.049999999988</v>
      </c>
      <c r="V239" s="824">
        <f>STDEV(D$2:D239)*SQRT(252)</f>
        <v>0.17502999912472075</v>
      </c>
      <c r="W239" s="824">
        <f>STDEV(L$2:L239)*SQRT(252)</f>
        <v>0.37331560015373266</v>
      </c>
      <c r="X239" s="823">
        <f t="shared" si="88"/>
        <v>0.19256700821077766</v>
      </c>
      <c r="Y239" s="823">
        <f t="shared" si="89"/>
        <v>-0.27777556647702273</v>
      </c>
      <c r="Z239" s="829">
        <f t="shared" si="90"/>
        <v>-0.1294089437962557</v>
      </c>
    </row>
    <row r="240" spans="1:26" ht="20.100000000000001" customHeight="1" x14ac:dyDescent="0.2">
      <c r="A240" s="798">
        <f t="shared" si="84"/>
        <v>345</v>
      </c>
      <c r="B240" s="817">
        <v>42578</v>
      </c>
      <c r="C240" s="842">
        <v>2166.58</v>
      </c>
      <c r="D240" s="814">
        <f t="shared" si="82"/>
        <v>-1.1986096128490532E-3</v>
      </c>
      <c r="E240" s="841">
        <f t="shared" si="93"/>
        <v>3.0507410437396486E-2</v>
      </c>
      <c r="F240" s="838">
        <v>5139.8100000000004</v>
      </c>
      <c r="G240" s="814">
        <f t="shared" si="76"/>
        <v>5.8257860995218113E-3</v>
      </c>
      <c r="H240" s="819">
        <f t="shared" si="94"/>
        <v>9.4487106467389254E-3</v>
      </c>
      <c r="I240" s="821">
        <f>351218.55-2.4</f>
        <v>351216.14999999997</v>
      </c>
      <c r="J240" s="822">
        <v>400000</v>
      </c>
      <c r="K240" s="822">
        <f t="shared" si="95"/>
        <v>-9717.9000000000233</v>
      </c>
      <c r="L240" s="814">
        <f t="shared" si="91"/>
        <v>-2.6924309302488982E-2</v>
      </c>
      <c r="M240" s="839">
        <f t="shared" si="96"/>
        <v>-48783.850000000035</v>
      </c>
      <c r="N240" s="824">
        <f t="shared" si="92"/>
        <v>-0.12195962500000009</v>
      </c>
      <c r="O240" s="808">
        <f t="shared" si="85"/>
        <v>-0.12911812472826095</v>
      </c>
      <c r="P240" s="839" t="b">
        <f t="shared" si="97"/>
        <v>0</v>
      </c>
      <c r="Q240" s="824">
        <f>COUNTIF(P$2:P240, TRUE)/(COUNTIF(P$2:P240,FALSE) + COUNTIF(P$2:P240, TRUE))</f>
        <v>0.48535564853556484</v>
      </c>
      <c r="R240" s="822">
        <v>295103.78999999998</v>
      </c>
      <c r="S240" s="822">
        <f t="shared" si="98"/>
        <v>56112.359999999986</v>
      </c>
      <c r="T240" s="822">
        <v>-64415</v>
      </c>
      <c r="U240" s="822">
        <f t="shared" si="99"/>
        <v>15631.149999999965</v>
      </c>
      <c r="V240" s="824">
        <f>STDEV(D$2:D240)*SQRT(252)</f>
        <v>0.17466621287076281</v>
      </c>
      <c r="W240" s="824">
        <f>STDEV(L$2:L240)*SQRT(252)</f>
        <v>0.37357383869513988</v>
      </c>
      <c r="X240" s="823">
        <f t="shared" si="88"/>
        <v>0.18491305363707838</v>
      </c>
      <c r="Y240" s="823">
        <f t="shared" si="89"/>
        <v>-0.34562946157915941</v>
      </c>
      <c r="Z240" s="829">
        <f t="shared" si="90"/>
        <v>-0.15246703543739656</v>
      </c>
    </row>
    <row r="241" spans="1:26" ht="20.100000000000001" customHeight="1" x14ac:dyDescent="0.2">
      <c r="A241" s="798">
        <f t="shared" si="84"/>
        <v>346</v>
      </c>
      <c r="B241" s="817">
        <v>42579</v>
      </c>
      <c r="C241" s="842">
        <v>2170.06</v>
      </c>
      <c r="D241" s="814">
        <f t="shared" si="82"/>
        <v>1.6062180948776498E-3</v>
      </c>
      <c r="E241" s="841">
        <f t="shared" si="93"/>
        <v>3.2162630086946545E-2</v>
      </c>
      <c r="F241" s="838">
        <v>5154.9799999999996</v>
      </c>
      <c r="G241" s="814">
        <f t="shared" si="76"/>
        <v>2.9514709687710563E-3</v>
      </c>
      <c r="H241" s="819">
        <f t="shared" si="94"/>
        <v>1.2428069210676148E-2</v>
      </c>
      <c r="I241" s="821">
        <v>351887.73</v>
      </c>
      <c r="J241" s="822">
        <v>400000</v>
      </c>
      <c r="K241" s="822">
        <f t="shared" si="95"/>
        <v>671.5800000000163</v>
      </c>
      <c r="L241" s="814">
        <f t="shared" si="91"/>
        <v>1.9121558049082206E-3</v>
      </c>
      <c r="M241" s="839">
        <f t="shared" si="96"/>
        <v>-48112.270000000019</v>
      </c>
      <c r="N241" s="824">
        <f t="shared" si="92"/>
        <v>-0.12028067500000005</v>
      </c>
      <c r="O241" s="808">
        <f t="shared" si="85"/>
        <v>-0.12697259116690757</v>
      </c>
      <c r="P241" s="839" t="b">
        <f t="shared" si="97"/>
        <v>1</v>
      </c>
      <c r="Q241" s="824">
        <f>COUNTIF(P$2:P241, TRUE)/(COUNTIF(P$2:P241,FALSE) + COUNTIF(P$2:P241, TRUE))</f>
        <v>0.48749999999999999</v>
      </c>
      <c r="R241" s="822">
        <v>306491.34999999998</v>
      </c>
      <c r="S241" s="822">
        <f t="shared" si="98"/>
        <v>45396.380000000005</v>
      </c>
      <c r="T241" s="822">
        <v>-63248</v>
      </c>
      <c r="U241" s="822">
        <f t="shared" si="99"/>
        <v>15135.729999999981</v>
      </c>
      <c r="V241" s="824">
        <f>STDEV(D$2:D241)*SQRT(252)</f>
        <v>0.17430497581384302</v>
      </c>
      <c r="W241" s="824">
        <f>STDEV(L$2:L241)*SQRT(252)</f>
        <v>0.37279274055236694</v>
      </c>
      <c r="X241" s="823">
        <f t="shared" si="88"/>
        <v>0.19478517357537825</v>
      </c>
      <c r="Y241" s="823">
        <f t="shared" si="89"/>
        <v>-0.34059834689584434</v>
      </c>
      <c r="Z241" s="829">
        <f t="shared" si="90"/>
        <v>-0.15244330508694659</v>
      </c>
    </row>
    <row r="242" spans="1:26" ht="20.100000000000001" customHeight="1" x14ac:dyDescent="0.2">
      <c r="A242" s="798">
        <f t="shared" si="84"/>
        <v>347</v>
      </c>
      <c r="B242" s="817">
        <v>42580</v>
      </c>
      <c r="C242" s="842">
        <v>2173.6</v>
      </c>
      <c r="D242" s="814">
        <f t="shared" si="82"/>
        <v>1.6312913007013464E-3</v>
      </c>
      <c r="E242" s="841">
        <f t="shared" si="93"/>
        <v>3.3846388006316397E-2</v>
      </c>
      <c r="F242" s="838">
        <v>5162.13</v>
      </c>
      <c r="G242" s="814">
        <f t="shared" si="76"/>
        <v>1.3870082910119044E-3</v>
      </c>
      <c r="H242" s="819">
        <f t="shared" si="94"/>
        <v>1.3832315336724531E-2</v>
      </c>
      <c r="I242" s="845">
        <v>352850.19</v>
      </c>
      <c r="J242" s="822">
        <v>400000</v>
      </c>
      <c r="K242" s="822">
        <f t="shared" si="95"/>
        <v>962.46000000002095</v>
      </c>
      <c r="L242" s="814">
        <f t="shared" si="91"/>
        <v>2.7351337314319569E-3</v>
      </c>
      <c r="M242" s="839">
        <f t="shared" si="96"/>
        <v>-47149.81</v>
      </c>
      <c r="N242" s="824">
        <f t="shared" si="92"/>
        <v>-0.11787452499999999</v>
      </c>
      <c r="O242" s="808">
        <f t="shared" si="85"/>
        <v>-0.12407397768371757</v>
      </c>
      <c r="P242" s="839" t="b">
        <f t="shared" si="97"/>
        <v>1</v>
      </c>
      <c r="Q242" s="824">
        <f>COUNTIF(P$2:P242, TRUE)/(COUNTIF(P$2:P242,FALSE) + COUNTIF(P$2:P242, TRUE))</f>
        <v>0.48962655601659749</v>
      </c>
      <c r="R242" s="822">
        <v>298371.77</v>
      </c>
      <c r="S242" s="822">
        <f t="shared" si="98"/>
        <v>54478.419999999984</v>
      </c>
      <c r="T242" s="822">
        <v>-61571</v>
      </c>
      <c r="U242" s="822">
        <f t="shared" si="99"/>
        <v>14421.190000000002</v>
      </c>
      <c r="V242" s="824">
        <f>STDEV(D$2:D242)*SQRT(252)</f>
        <v>0.173946186031568</v>
      </c>
      <c r="W242" s="824">
        <f>STDEV(L$2:L242)*SQRT(252)</f>
        <v>0.37202162492103208</v>
      </c>
      <c r="X242" s="823">
        <f t="shared" si="88"/>
        <v>0.20481330600104292</v>
      </c>
      <c r="Y242" s="823">
        <f t="shared" si="89"/>
        <v>-0.33351281047184927</v>
      </c>
      <c r="Z242" s="829">
        <f t="shared" si="90"/>
        <v>-0.1517209130063164</v>
      </c>
    </row>
    <row r="243" spans="1:26" ht="20.100000000000001" customHeight="1" x14ac:dyDescent="0.2">
      <c r="A243" s="798">
        <f t="shared" si="84"/>
        <v>350</v>
      </c>
      <c r="B243" s="846">
        <v>42583</v>
      </c>
      <c r="C243" s="847">
        <v>2170.84</v>
      </c>
      <c r="D243" s="814">
        <f t="shared" si="82"/>
        <v>-1.2697828487301084E-3</v>
      </c>
      <c r="E243" s="848">
        <f t="shared" si="93"/>
        <v>3.253362759460441E-2</v>
      </c>
      <c r="F243" s="849">
        <v>5184.1899999999996</v>
      </c>
      <c r="G243" s="814">
        <f t="shared" si="76"/>
        <v>4.2734297663947806E-3</v>
      </c>
      <c r="H243" s="850">
        <f t="shared" si="94"/>
        <v>1.8164856531217428E-2</v>
      </c>
      <c r="I243" s="851">
        <v>345131.68</v>
      </c>
      <c r="J243" s="852">
        <v>400000</v>
      </c>
      <c r="K243" s="852">
        <f t="shared" si="95"/>
        <v>-7718.5100000000093</v>
      </c>
      <c r="L243" s="814">
        <f t="shared" si="91"/>
        <v>-2.1874750868066725E-2</v>
      </c>
      <c r="M243" s="853">
        <f t="shared" si="96"/>
        <v>-54868.320000000007</v>
      </c>
      <c r="N243" s="854">
        <f t="shared" si="92"/>
        <v>-0.13717080000000001</v>
      </c>
      <c r="O243" s="808">
        <f t="shared" si="85"/>
        <v>-0.14314752771428574</v>
      </c>
      <c r="P243" s="853" t="b">
        <f t="shared" si="97"/>
        <v>0</v>
      </c>
      <c r="Q243" s="854">
        <f>COUNTIF(P$2:P243, TRUE)/(COUNTIF(P$2:P243,FALSE) + COUNTIF(P$2:P243, TRUE))</f>
        <v>0.48760330578512395</v>
      </c>
      <c r="R243" s="852">
        <v>293278.65999999997</v>
      </c>
      <c r="S243" s="852">
        <f t="shared" ref="S243:S251" si="100">I243-R243</f>
        <v>51853.020000000019</v>
      </c>
      <c r="T243" s="852">
        <v>-69701</v>
      </c>
      <c r="U243" s="852">
        <f t="shared" ref="U243:U251" si="101">M243-T243</f>
        <v>14832.679999999993</v>
      </c>
      <c r="V243" s="854">
        <f>STDEV(D$2:D243)*SQRT(252)</f>
        <v>0.17358991388387063</v>
      </c>
      <c r="W243" s="854">
        <f>STDEV(L$2:L243)*SQRT(252)</f>
        <v>0.37192751121581696</v>
      </c>
      <c r="X243" s="823">
        <f t="shared" si="88"/>
        <v>0.19558258579599885</v>
      </c>
      <c r="Y243" s="823">
        <f t="shared" si="89"/>
        <v>-0.38488018067376056</v>
      </c>
      <c r="Z243" s="829">
        <f t="shared" si="90"/>
        <v>-0.16970442759460441</v>
      </c>
    </row>
    <row r="244" spans="1:26" ht="20.100000000000001" customHeight="1" x14ac:dyDescent="0.2">
      <c r="A244" s="798">
        <f t="shared" si="84"/>
        <v>351</v>
      </c>
      <c r="B244" s="846">
        <v>42584</v>
      </c>
      <c r="C244" s="847">
        <v>2157.0300000000002</v>
      </c>
      <c r="D244" s="814">
        <f t="shared" si="82"/>
        <v>-6.3615927475078517E-3</v>
      </c>
      <c r="E244" s="848">
        <f t="shared" si="93"/>
        <v>2.5965069157740599E-2</v>
      </c>
      <c r="F244" s="849">
        <v>5137.7299999999996</v>
      </c>
      <c r="G244" s="814">
        <f t="shared" si="76"/>
        <v>-8.9618628946855801E-3</v>
      </c>
      <c r="H244" s="850">
        <f t="shared" si="94"/>
        <v>9.0402026827974442E-3</v>
      </c>
      <c r="I244" s="851">
        <v>341216.81</v>
      </c>
      <c r="J244" s="852">
        <v>400000</v>
      </c>
      <c r="K244" s="852">
        <f t="shared" si="95"/>
        <v>-3914.8699999999953</v>
      </c>
      <c r="L244" s="814">
        <f t="shared" si="91"/>
        <v>-1.1343119820237875E-2</v>
      </c>
      <c r="M244" s="853">
        <f t="shared" si="96"/>
        <v>-58783.19</v>
      </c>
      <c r="N244" s="854">
        <f t="shared" si="92"/>
        <v>-0.14695797500000002</v>
      </c>
      <c r="O244" s="808">
        <f t="shared" si="85"/>
        <v>-0.15292421757478633</v>
      </c>
      <c r="P244" s="853" t="b">
        <f t="shared" si="97"/>
        <v>0</v>
      </c>
      <c r="Q244" s="854">
        <f>COUNTIF(P$2:P244, TRUE)/(COUNTIF(P$2:P244,FALSE) + COUNTIF(P$2:P244, TRUE))</f>
        <v>0.48559670781893005</v>
      </c>
      <c r="R244" s="852">
        <v>294933.84999999998</v>
      </c>
      <c r="S244" s="852">
        <f t="shared" si="100"/>
        <v>46282.960000000021</v>
      </c>
      <c r="T244" s="852">
        <v>-70463</v>
      </c>
      <c r="U244" s="852">
        <f t="shared" si="101"/>
        <v>11679.809999999998</v>
      </c>
      <c r="V244" s="854">
        <f>STDEV(D$2:D244)*SQRT(252)</f>
        <v>0.17335845617207907</v>
      </c>
      <c r="W244" s="854">
        <f>STDEV(L$2:L244)*SQRT(252)</f>
        <v>0.37133699496327655</v>
      </c>
      <c r="X244" s="823">
        <f t="shared" si="88"/>
        <v>0.15585744807274621</v>
      </c>
      <c r="Y244" s="823">
        <f t="shared" si="89"/>
        <v>-0.41182058251403098</v>
      </c>
      <c r="Z244" s="829">
        <f t="shared" si="90"/>
        <v>-0.17292304415774062</v>
      </c>
    </row>
    <row r="245" spans="1:26" ht="20.100000000000001" customHeight="1" x14ac:dyDescent="0.2">
      <c r="A245" s="798">
        <f t="shared" si="84"/>
        <v>352</v>
      </c>
      <c r="B245" s="846">
        <v>42585</v>
      </c>
      <c r="C245" s="847">
        <v>2163.79</v>
      </c>
      <c r="D245" s="814">
        <f t="shared" si="82"/>
        <v>3.1339387954732955E-3</v>
      </c>
      <c r="E245" s="848">
        <f t="shared" si="93"/>
        <v>2.9180380890774484E-2</v>
      </c>
      <c r="F245" s="849">
        <v>5159.7299999999996</v>
      </c>
      <c r="G245" s="814">
        <f t="shared" si="76"/>
        <v>4.2820467404865578E-3</v>
      </c>
      <c r="H245" s="850">
        <f t="shared" si="94"/>
        <v>1.3360959993715213E-2</v>
      </c>
      <c r="I245" s="851">
        <v>347416.57</v>
      </c>
      <c r="J245" s="852">
        <v>400000</v>
      </c>
      <c r="K245" s="852">
        <f t="shared" si="95"/>
        <v>6199.7600000000093</v>
      </c>
      <c r="L245" s="814">
        <f t="shared" si="91"/>
        <v>1.8169562044730473E-2</v>
      </c>
      <c r="M245" s="853">
        <f t="shared" si="96"/>
        <v>-52583.429999999993</v>
      </c>
      <c r="N245" s="854">
        <f t="shared" si="92"/>
        <v>-0.13145857499999999</v>
      </c>
      <c r="O245" s="808">
        <f t="shared" si="85"/>
        <v>-0.13640694465553976</v>
      </c>
      <c r="P245" s="853" t="b">
        <f t="shared" si="97"/>
        <v>1</v>
      </c>
      <c r="Q245" s="854">
        <f>COUNTIF(P$2:P245, TRUE)/(COUNTIF(P$2:P245,FALSE) + COUNTIF(P$2:P245, TRUE))</f>
        <v>0.48770491803278687</v>
      </c>
      <c r="R245" s="852">
        <v>306485.61</v>
      </c>
      <c r="S245" s="852">
        <f t="shared" si="100"/>
        <v>40930.960000000021</v>
      </c>
      <c r="T245" s="852">
        <v>-64757</v>
      </c>
      <c r="U245" s="852">
        <f t="shared" si="101"/>
        <v>12173.570000000007</v>
      </c>
      <c r="V245" s="854">
        <f>STDEV(D$2:D245)*SQRT(252)</f>
        <v>0.17302631654204345</v>
      </c>
      <c r="W245" s="854">
        <f>STDEV(L$2:L245)*SQRT(252)</f>
        <v>0.37103067638911486</v>
      </c>
      <c r="X245" s="823">
        <f t="shared" si="88"/>
        <v>0.17499528811438669</v>
      </c>
      <c r="Y245" s="823">
        <f t="shared" si="89"/>
        <v>-0.36764330643238863</v>
      </c>
      <c r="Z245" s="829">
        <f t="shared" si="90"/>
        <v>-0.16063895589077448</v>
      </c>
    </row>
    <row r="246" spans="1:26" ht="20.100000000000001" customHeight="1" x14ac:dyDescent="0.2">
      <c r="A246" s="798">
        <f t="shared" si="84"/>
        <v>353</v>
      </c>
      <c r="B246" s="846">
        <v>42586</v>
      </c>
      <c r="C246" s="847">
        <v>2164.25</v>
      </c>
      <c r="D246" s="814">
        <f t="shared" si="82"/>
        <v>2.1258994634416298E-4</v>
      </c>
      <c r="E246" s="848">
        <f t="shared" si="93"/>
        <v>2.939917429272652E-2</v>
      </c>
      <c r="F246" s="849">
        <v>5166.24</v>
      </c>
      <c r="G246" s="814">
        <f t="shared" si="76"/>
        <v>1.2616939258449993E-3</v>
      </c>
      <c r="H246" s="850">
        <f t="shared" si="94"/>
        <v>1.4639511361627741E-2</v>
      </c>
      <c r="I246" s="851">
        <v>348668.66</v>
      </c>
      <c r="J246" s="852">
        <v>400000</v>
      </c>
      <c r="K246" s="852">
        <f t="shared" si="95"/>
        <v>1252.0899999999674</v>
      </c>
      <c r="L246" s="814">
        <f t="shared" si="91"/>
        <v>3.6040019622551895E-3</v>
      </c>
      <c r="M246" s="853">
        <f t="shared" si="96"/>
        <v>-51331.340000000026</v>
      </c>
      <c r="N246" s="854">
        <f t="shared" si="92"/>
        <v>-0.12832835000000006</v>
      </c>
      <c r="O246" s="808">
        <f t="shared" si="85"/>
        <v>-0.13278167092776211</v>
      </c>
      <c r="P246" s="853" t="b">
        <f t="shared" si="97"/>
        <v>1</v>
      </c>
      <c r="Q246" s="854">
        <f>COUNTIF(P$2:P246, TRUE)/(COUNTIF(P$2:P246,FALSE) + COUNTIF(P$2:P246, TRUE))</f>
        <v>0.48979591836734693</v>
      </c>
      <c r="R246" s="852">
        <v>306486.61</v>
      </c>
      <c r="S246" s="852">
        <f t="shared" si="100"/>
        <v>42182.049999999988</v>
      </c>
      <c r="T246" s="852">
        <v>-64756</v>
      </c>
      <c r="U246" s="852">
        <f t="shared" si="101"/>
        <v>13424.659999999974</v>
      </c>
      <c r="V246" s="854">
        <f>STDEV(D$2:D246)*SQRT(252)</f>
        <v>0.1726699319358726</v>
      </c>
      <c r="W246" s="854">
        <f>STDEV(L$2:L246)*SQRT(252)</f>
        <v>0.37028383202660053</v>
      </c>
      <c r="X246" s="823">
        <f t="shared" si="88"/>
        <v>0.17617080319104653</v>
      </c>
      <c r="Y246" s="823">
        <f t="shared" si="89"/>
        <v>-0.3585942983279467</v>
      </c>
      <c r="Z246" s="829">
        <f t="shared" si="90"/>
        <v>-0.15772752429272657</v>
      </c>
    </row>
    <row r="247" spans="1:26" ht="20.100000000000001" customHeight="1" x14ac:dyDescent="0.2">
      <c r="A247" s="798">
        <f t="shared" si="84"/>
        <v>354</v>
      </c>
      <c r="B247" s="846">
        <v>42587</v>
      </c>
      <c r="C247" s="847">
        <v>2182.87</v>
      </c>
      <c r="D247" s="814">
        <f t="shared" si="82"/>
        <v>8.6034423010280196E-3</v>
      </c>
      <c r="E247" s="848">
        <f t="shared" si="93"/>
        <v>3.8255550693479877E-2</v>
      </c>
      <c r="F247" s="849">
        <v>5221.12</v>
      </c>
      <c r="G247" s="814">
        <f t="shared" si="76"/>
        <v>1.0622812722599049E-2</v>
      </c>
      <c r="H247" s="850">
        <f t="shared" si="94"/>
        <v>2.5417836871771723E-2</v>
      </c>
      <c r="I247" s="851">
        <v>357514.04</v>
      </c>
      <c r="J247" s="852">
        <v>400000</v>
      </c>
      <c r="K247" s="852">
        <f t="shared" si="95"/>
        <v>8845.3800000000047</v>
      </c>
      <c r="L247" s="814">
        <f t="shared" si="91"/>
        <v>2.5369013664721128E-2</v>
      </c>
      <c r="M247" s="853">
        <f t="shared" si="96"/>
        <v>-42485.960000000021</v>
      </c>
      <c r="N247" s="854">
        <f t="shared" si="92"/>
        <v>-0.10621490000000006</v>
      </c>
      <c r="O247" s="808">
        <f t="shared" si="85"/>
        <v>-0.10959037351694921</v>
      </c>
      <c r="P247" s="853" t="b">
        <f t="shared" si="97"/>
        <v>1</v>
      </c>
      <c r="Q247" s="854">
        <f>COUNTIF(P$2:P247, TRUE)/(COUNTIF(P$2:P247,FALSE) + COUNTIF(P$2:P247, TRUE))</f>
        <v>0.491869918699187</v>
      </c>
      <c r="R247" s="852">
        <v>296324.56</v>
      </c>
      <c r="S247" s="852">
        <f t="shared" si="100"/>
        <v>61189.479999999981</v>
      </c>
      <c r="T247" s="852">
        <v>-56695</v>
      </c>
      <c r="U247" s="852">
        <f t="shared" si="101"/>
        <v>14209.039999999979</v>
      </c>
      <c r="V247" s="854">
        <f>STDEV(D$2:D247)*SQRT(252)</f>
        <v>0.17252748561218473</v>
      </c>
      <c r="W247" s="854">
        <f>STDEV(L$2:L247)*SQRT(252)</f>
        <v>0.37041269754030803</v>
      </c>
      <c r="X247" s="823">
        <f t="shared" si="88"/>
        <v>0.22878267185357812</v>
      </c>
      <c r="Y247" s="823">
        <f t="shared" si="89"/>
        <v>-0.29586019659875096</v>
      </c>
      <c r="Z247" s="829">
        <f t="shared" si="90"/>
        <v>-0.14447045069347994</v>
      </c>
    </row>
    <row r="248" spans="1:26" ht="20.100000000000001" customHeight="1" x14ac:dyDescent="0.2">
      <c r="A248" s="798">
        <f t="shared" si="84"/>
        <v>357</v>
      </c>
      <c r="B248" s="817">
        <v>42590</v>
      </c>
      <c r="C248" s="842">
        <v>2180.89</v>
      </c>
      <c r="D248" s="814">
        <f t="shared" si="82"/>
        <v>-9.0706272018032145E-4</v>
      </c>
      <c r="E248" s="841">
        <f t="shared" si="93"/>
        <v>3.7313787789425533E-2</v>
      </c>
      <c r="F248" s="838">
        <v>5213.1400000000003</v>
      </c>
      <c r="G248" s="814">
        <f t="shared" si="76"/>
        <v>-1.528407697965104E-3</v>
      </c>
      <c r="H248" s="819">
        <f t="shared" si="94"/>
        <v>2.3850580356266179E-2</v>
      </c>
      <c r="I248" s="821">
        <v>360717.48</v>
      </c>
      <c r="J248" s="822">
        <v>400000</v>
      </c>
      <c r="K248" s="822">
        <f t="shared" si="95"/>
        <v>3203.4400000000023</v>
      </c>
      <c r="L248" s="814">
        <f>K248/I247</f>
        <v>8.9603194324899878E-3</v>
      </c>
      <c r="M248" s="839">
        <f t="shared" si="96"/>
        <v>-39282.520000000019</v>
      </c>
      <c r="N248" s="824">
        <f t="shared" si="92"/>
        <v>-9.8206300000000052E-2</v>
      </c>
      <c r="O248" s="808">
        <f t="shared" si="85"/>
        <v>-0.10047577331932778</v>
      </c>
      <c r="P248" s="839" t="b">
        <f t="shared" si="97"/>
        <v>1</v>
      </c>
      <c r="Q248" s="824">
        <f>COUNTIF(P$2:P248, TRUE)/(COUNTIF(P$2:P248,FALSE) + COUNTIF(P$2:P248, TRUE))</f>
        <v>0.49392712550607287</v>
      </c>
      <c r="R248" s="822">
        <v>306053.2</v>
      </c>
      <c r="S248" s="822">
        <f t="shared" si="100"/>
        <v>54664.27999999997</v>
      </c>
      <c r="T248" s="822">
        <v>-53403</v>
      </c>
      <c r="U248" s="822">
        <f t="shared" si="101"/>
        <v>14120.479999999981</v>
      </c>
      <c r="V248" s="824">
        <f>STDEV(D$2:D248)*SQRT(252)</f>
        <v>0.17217875518634856</v>
      </c>
      <c r="W248" s="824">
        <f>STDEV(L$2:L248)*SQRT(252)</f>
        <v>0.36976250802064314</v>
      </c>
      <c r="X248" s="823">
        <f t="shared" si="88"/>
        <v>0.22172352891859115</v>
      </c>
      <c r="Y248" s="823">
        <f t="shared" si="89"/>
        <v>-0.27173055985902822</v>
      </c>
      <c r="Z248" s="829">
        <f t="shared" si="90"/>
        <v>-0.13552008778942559</v>
      </c>
    </row>
    <row r="249" spans="1:26" ht="20.100000000000001" customHeight="1" x14ac:dyDescent="0.2">
      <c r="A249" s="798">
        <f t="shared" si="84"/>
        <v>358</v>
      </c>
      <c r="B249" s="817">
        <v>42591</v>
      </c>
      <c r="C249" s="842">
        <v>2181.89</v>
      </c>
      <c r="D249" s="814">
        <f t="shared" si="82"/>
        <v>4.5852839895638939E-4</v>
      </c>
      <c r="E249" s="841">
        <f t="shared" si="93"/>
        <v>3.7789425619756005E-2</v>
      </c>
      <c r="F249" s="838">
        <v>5214.1400000000003</v>
      </c>
      <c r="G249" s="814">
        <f t="shared" si="76"/>
        <v>1.9182297041706148E-4</v>
      </c>
      <c r="H249" s="819">
        <f t="shared" si="94"/>
        <v>2.4046978415853352E-2</v>
      </c>
      <c r="I249" s="821">
        <v>360792.14</v>
      </c>
      <c r="J249" s="822">
        <v>400000</v>
      </c>
      <c r="K249" s="822">
        <f t="shared" si="95"/>
        <v>74.660000000032596</v>
      </c>
      <c r="L249" s="814">
        <f t="shared" ref="L249:L260" si="102">K249/I248</f>
        <v>2.0697638495376658E-4</v>
      </c>
      <c r="M249" s="839">
        <f t="shared" si="96"/>
        <v>-39207.859999999986</v>
      </c>
      <c r="N249" s="824">
        <f t="shared" si="92"/>
        <v>-9.8019649999999958E-2</v>
      </c>
      <c r="O249" s="808">
        <f t="shared" si="85"/>
        <v>-0.10000468481145247</v>
      </c>
      <c r="P249" s="839" t="b">
        <f t="shared" si="97"/>
        <v>0</v>
      </c>
      <c r="Q249" s="824">
        <f>COUNTIF(P$2:P249, TRUE)/(COUNTIF(P$2:P249,FALSE) + COUNTIF(P$2:P249, TRUE))</f>
        <v>0.49193548387096775</v>
      </c>
      <c r="R249" s="822">
        <v>312485.65999999997</v>
      </c>
      <c r="S249" s="822">
        <f t="shared" si="100"/>
        <v>48306.48000000004</v>
      </c>
      <c r="T249" s="822">
        <v>-52872</v>
      </c>
      <c r="U249" s="822">
        <f t="shared" si="101"/>
        <v>13664.140000000014</v>
      </c>
      <c r="V249" s="824">
        <f>STDEV(D$2:D249)*SQRT(252)</f>
        <v>0.17182862889451342</v>
      </c>
      <c r="W249" s="824">
        <f>STDEV(L$2:L249)*SQRT(252)</f>
        <v>0.36901019344056429</v>
      </c>
      <c r="X249" s="823">
        <f t="shared" si="88"/>
        <v>0.224378873969555</v>
      </c>
      <c r="Y249" s="823">
        <f t="shared" si="89"/>
        <v>-0.27100791953477571</v>
      </c>
      <c r="Z249" s="829">
        <f t="shared" si="90"/>
        <v>-0.13580907561975597</v>
      </c>
    </row>
    <row r="250" spans="1:26" ht="20.100000000000001" customHeight="1" x14ac:dyDescent="0.2">
      <c r="A250" s="798">
        <f t="shared" si="84"/>
        <v>359</v>
      </c>
      <c r="B250" s="817">
        <v>42592</v>
      </c>
      <c r="C250" s="842">
        <v>2175.4899999999998</v>
      </c>
      <c r="D250" s="814">
        <f t="shared" si="82"/>
        <v>-2.9332367809560022E-3</v>
      </c>
      <c r="E250" s="841">
        <f t="shared" si="93"/>
        <v>3.4745343505640937E-2</v>
      </c>
      <c r="F250" s="838">
        <v>5204.58</v>
      </c>
      <c r="G250" s="814">
        <f t="shared" si="76"/>
        <v>-1.8334758943949338E-3</v>
      </c>
      <c r="H250" s="819">
        <f t="shared" si="94"/>
        <v>2.2169412966199915E-2</v>
      </c>
      <c r="I250" s="821">
        <v>354430.79</v>
      </c>
      <c r="J250" s="822">
        <v>400000</v>
      </c>
      <c r="K250" s="822">
        <f t="shared" si="95"/>
        <v>-6361.3500000000349</v>
      </c>
      <c r="L250" s="814">
        <f t="shared" si="102"/>
        <v>-1.7631620245385709E-2</v>
      </c>
      <c r="M250" s="839">
        <f t="shared" si="96"/>
        <v>-45569.210000000021</v>
      </c>
      <c r="N250" s="824">
        <f t="shared" si="92"/>
        <v>-0.11392302500000005</v>
      </c>
      <c r="O250" s="808">
        <f t="shared" si="85"/>
        <v>-0.11590636457172708</v>
      </c>
      <c r="P250" s="839" t="b">
        <f t="shared" si="97"/>
        <v>0</v>
      </c>
      <c r="Q250" s="824">
        <f>COUNTIF(P$2:P250, TRUE)/(COUNTIF(P$2:P250,FALSE) + COUNTIF(P$2:P250, TRUE))</f>
        <v>0.48995983935742971</v>
      </c>
      <c r="R250" s="822">
        <v>304644.53999999998</v>
      </c>
      <c r="S250" s="822">
        <f t="shared" si="100"/>
        <v>49786.25</v>
      </c>
      <c r="T250" s="822">
        <v>-58573</v>
      </c>
      <c r="U250" s="822">
        <f t="shared" si="101"/>
        <v>13003.789999999979</v>
      </c>
      <c r="V250" s="824">
        <f>STDEV(D$2:D250)*SQRT(252)</f>
        <v>0.17150968940597233</v>
      </c>
      <c r="W250" s="824">
        <f>STDEV(L$2:L250)*SQRT(252)</f>
        <v>0.36870219429475543</v>
      </c>
      <c r="X250" s="823">
        <f t="shared" si="88"/>
        <v>0.2061122124913761</v>
      </c>
      <c r="Y250" s="823">
        <f t="shared" si="89"/>
        <v>-0.31436309944786184</v>
      </c>
      <c r="Z250" s="829">
        <f t="shared" si="90"/>
        <v>-0.148668368505641</v>
      </c>
    </row>
    <row r="251" spans="1:26" ht="20.100000000000001" customHeight="1" x14ac:dyDescent="0.2">
      <c r="A251" s="798">
        <f>B251-$B$2</f>
        <v>364</v>
      </c>
      <c r="B251" s="846">
        <v>42597</v>
      </c>
      <c r="C251" s="847">
        <v>2190.15</v>
      </c>
      <c r="D251" s="814">
        <f t="shared" si="82"/>
        <v>6.7387117385050311E-3</v>
      </c>
      <c r="E251" s="848">
        <f t="shared" si="93"/>
        <v>4.1718194098285817E-2</v>
      </c>
      <c r="F251" s="849">
        <v>5262.01</v>
      </c>
      <c r="G251" s="814">
        <f t="shared" si="76"/>
        <v>1.1034511910663356E-2</v>
      </c>
      <c r="H251" s="850">
        <f t="shared" si="94"/>
        <v>3.3448553528291222E-2</v>
      </c>
      <c r="I251" s="851">
        <v>368660.8</v>
      </c>
      <c r="J251" s="852">
        <v>400000</v>
      </c>
      <c r="K251" s="852">
        <f t="shared" si="95"/>
        <v>14230.010000000009</v>
      </c>
      <c r="L251" s="814">
        <f t="shared" si="102"/>
        <v>4.0148910313350626E-2</v>
      </c>
      <c r="M251" s="853">
        <f t="shared" si="96"/>
        <v>-31339.200000000012</v>
      </c>
      <c r="N251" s="854">
        <f t="shared" si="92"/>
        <v>-7.8348000000000029E-2</v>
      </c>
      <c r="O251" s="808">
        <f t="shared" si="85"/>
        <v>-7.8617052197802226E-2</v>
      </c>
      <c r="P251" s="853" t="b">
        <f t="shared" si="97"/>
        <v>1</v>
      </c>
      <c r="Q251" s="854">
        <f>COUNTIF(P$2:P251, TRUE)/(COUNTIF(P$2:P251,FALSE) + COUNTIF(P$2:P251, TRUE))</f>
        <v>0.49199999999999999</v>
      </c>
      <c r="R251" s="852">
        <v>269504.8</v>
      </c>
      <c r="S251" s="852">
        <f t="shared" si="100"/>
        <v>99156</v>
      </c>
      <c r="T251" s="852">
        <v>-45515</v>
      </c>
      <c r="U251" s="852">
        <f t="shared" si="101"/>
        <v>14175.799999999988</v>
      </c>
      <c r="V251" s="854">
        <f>STDEV(D$2:D251)*SQRT(252)</f>
        <v>0.17129006286582368</v>
      </c>
      <c r="W251" s="854">
        <f>STDEV(L$2:L251)*SQRT(252)</f>
        <v>0.37015124159076757</v>
      </c>
      <c r="X251" s="823">
        <f t="shared" si="88"/>
        <v>0.24438929163252596</v>
      </c>
      <c r="Y251" s="823">
        <f t="shared" si="89"/>
        <v>-0.21239170199709825</v>
      </c>
      <c r="Z251" s="829">
        <f t="shared" si="90"/>
        <v>-0.12006619409828584</v>
      </c>
    </row>
    <row r="252" spans="1:26" ht="20.100000000000001" customHeight="1" x14ac:dyDescent="0.2">
      <c r="A252" s="798">
        <f t="shared" ref="A252:A276" si="103">B252-$B$2</f>
        <v>365</v>
      </c>
      <c r="B252" s="846">
        <v>42598</v>
      </c>
      <c r="C252" s="847">
        <v>2178.15</v>
      </c>
      <c r="D252" s="814">
        <f t="shared" si="82"/>
        <v>-5.479076775563317E-3</v>
      </c>
      <c r="E252" s="848">
        <f t="shared" si="93"/>
        <v>3.6010540134320139E-2</v>
      </c>
      <c r="F252" s="849">
        <v>5227.1099999999997</v>
      </c>
      <c r="G252" s="814">
        <f t="shared" si="76"/>
        <v>-6.6324465365897338E-3</v>
      </c>
      <c r="H252" s="850">
        <f t="shared" si="94"/>
        <v>2.6594261248698837E-2</v>
      </c>
      <c r="I252" s="851">
        <f>368660.8+2262.39</f>
        <v>370923.19</v>
      </c>
      <c r="J252" s="852">
        <v>400000</v>
      </c>
      <c r="K252" s="852">
        <f t="shared" si="95"/>
        <v>2262.390000000014</v>
      </c>
      <c r="L252" s="814">
        <f t="shared" si="102"/>
        <v>6.1367793917878281E-3</v>
      </c>
      <c r="M252" s="853">
        <f t="shared" si="96"/>
        <v>-29076.809999999998</v>
      </c>
      <c r="N252" s="854">
        <f t="shared" si="92"/>
        <v>-7.2692024999999993E-2</v>
      </c>
      <c r="O252" s="808">
        <f t="shared" si="85"/>
        <v>-7.2741814058219167E-2</v>
      </c>
      <c r="P252" s="853" t="b">
        <f t="shared" si="97"/>
        <v>1</v>
      </c>
      <c r="Q252" s="854">
        <f>COUNTIF(P$2:P252, TRUE)/(COUNTIF(P$2:P252,FALSE) + COUNTIF(P$2:P252, TRUE))</f>
        <v>0.49402390438247012</v>
      </c>
      <c r="R252" s="852"/>
      <c r="S252" s="852"/>
      <c r="T252" s="852"/>
      <c r="U252" s="852"/>
      <c r="V252" s="854">
        <f>STDEV(D$2:D252)*SQRT(252)</f>
        <v>0.17104156878989371</v>
      </c>
      <c r="W252" s="854">
        <f>STDEV(L$2:L252)*SQRT(252)</f>
        <v>0.36945344751699344</v>
      </c>
      <c r="X252" s="823">
        <f t="shared" si="88"/>
        <v>0.21068097739504599</v>
      </c>
      <c r="Y252" s="823">
        <f t="shared" si="89"/>
        <v>-0.19689033773293813</v>
      </c>
      <c r="Z252" s="829">
        <f t="shared" si="90"/>
        <v>-0.10870256513432014</v>
      </c>
    </row>
    <row r="253" spans="1:26" ht="20.100000000000001" customHeight="1" x14ac:dyDescent="0.2">
      <c r="A253" s="798">
        <f t="shared" si="103"/>
        <v>366</v>
      </c>
      <c r="B253" s="846">
        <v>42599</v>
      </c>
      <c r="C253" s="847">
        <v>2182.2199999999998</v>
      </c>
      <c r="D253" s="814">
        <f t="shared" si="82"/>
        <v>1.8685581801068378E-3</v>
      </c>
      <c r="E253" s="848">
        <f t="shared" si="93"/>
        <v>3.794638610376503E-2</v>
      </c>
      <c r="F253" s="849">
        <v>5228.6499999999996</v>
      </c>
      <c r="G253" s="814">
        <f t="shared" si="76"/>
        <v>2.946178672344687E-4</v>
      </c>
      <c r="H253" s="850">
        <f t="shared" si="94"/>
        <v>2.6896714260463073E-2</v>
      </c>
      <c r="I253" s="851">
        <v>375295.13</v>
      </c>
      <c r="J253" s="852">
        <v>400000</v>
      </c>
      <c r="K253" s="852">
        <f t="shared" si="95"/>
        <v>4371.9400000000023</v>
      </c>
      <c r="L253" s="814">
        <f t="shared" si="102"/>
        <v>1.1786645100296917E-2</v>
      </c>
      <c r="M253" s="853">
        <f t="shared" si="96"/>
        <v>-24704.869999999995</v>
      </c>
      <c r="N253" s="854">
        <f t="shared" si="92"/>
        <v>-6.1762174999999989E-2</v>
      </c>
      <c r="O253" s="808">
        <f t="shared" si="85"/>
        <v>-6.1635613165983594E-2</v>
      </c>
      <c r="P253" s="853" t="b">
        <f t="shared" si="97"/>
        <v>1</v>
      </c>
      <c r="Q253" s="854">
        <f>COUNTIF(P$2:P253, TRUE)/(COUNTIF(P$2:P253,FALSE) + COUNTIF(P$2:P253, TRUE))</f>
        <v>0.49603174603174605</v>
      </c>
      <c r="R253" s="852">
        <v>255293.6</v>
      </c>
      <c r="S253" s="852">
        <f t="shared" ref="S253:S284" si="104">I253-R253</f>
        <v>120001.53</v>
      </c>
      <c r="T253" s="852">
        <v>-39008</v>
      </c>
      <c r="U253" s="852">
        <f t="shared" ref="U253:U284" si="105">M253-T253</f>
        <v>14303.130000000005</v>
      </c>
      <c r="V253" s="854">
        <f>STDEV(D$2:D253)*SQRT(252)</f>
        <v>0.17070733564482474</v>
      </c>
      <c r="W253" s="854">
        <f>STDEV(L$2:L253)*SQRT(252)</f>
        <v>0.36889217852396583</v>
      </c>
      <c r="X253" s="823">
        <f t="shared" si="88"/>
        <v>0.22183362520892069</v>
      </c>
      <c r="Y253" s="823">
        <f t="shared" si="89"/>
        <v>-0.16708300352857525</v>
      </c>
      <c r="Z253" s="829">
        <f t="shared" si="90"/>
        <v>-9.9708561103765025E-2</v>
      </c>
    </row>
    <row r="254" spans="1:26" ht="20.100000000000001" customHeight="1" x14ac:dyDescent="0.2">
      <c r="A254" s="798">
        <f t="shared" si="103"/>
        <v>367</v>
      </c>
      <c r="B254" s="846">
        <v>42600</v>
      </c>
      <c r="C254" s="847">
        <v>2187.02</v>
      </c>
      <c r="D254" s="814">
        <f t="shared" si="82"/>
        <v>2.1995949079378716E-3</v>
      </c>
      <c r="E254" s="848">
        <f t="shared" si="93"/>
        <v>4.0229447689351383E-2</v>
      </c>
      <c r="F254" s="849">
        <v>5240.1400000000003</v>
      </c>
      <c r="G254" s="814">
        <f t="shared" si="76"/>
        <v>2.1975079609460745E-3</v>
      </c>
      <c r="H254" s="850">
        <f t="shared" si="94"/>
        <v>2.9153327965119807E-2</v>
      </c>
      <c r="I254" s="851">
        <v>382262.83</v>
      </c>
      <c r="J254" s="852">
        <v>400000</v>
      </c>
      <c r="K254" s="852">
        <f t="shared" si="95"/>
        <v>6967.7000000000116</v>
      </c>
      <c r="L254" s="814">
        <f t="shared" si="102"/>
        <v>1.8565921705405587E-2</v>
      </c>
      <c r="M254" s="853">
        <f t="shared" ref="M254:M259" si="106">I254-J254</f>
        <v>-17737.169999999984</v>
      </c>
      <c r="N254" s="854">
        <f t="shared" ref="N254:N285" si="107">M254/J254</f>
        <v>-4.4342924999999957E-2</v>
      </c>
      <c r="O254" s="808">
        <f t="shared" si="85"/>
        <v>-4.4131480534741106E-2</v>
      </c>
      <c r="P254" s="853" t="b">
        <f t="shared" si="97"/>
        <v>1</v>
      </c>
      <c r="Q254" s="854">
        <f>COUNTIF(P$2:P254, TRUE)/(COUNTIF(P$2:P254,FALSE) + COUNTIF(P$2:P254, TRUE))</f>
        <v>0.49802371541501977</v>
      </c>
      <c r="R254" s="852">
        <v>234684.9</v>
      </c>
      <c r="S254" s="852">
        <f t="shared" si="104"/>
        <v>147577.93000000002</v>
      </c>
      <c r="T254" s="852">
        <v>-32026</v>
      </c>
      <c r="U254" s="852">
        <f t="shared" si="105"/>
        <v>14288.830000000016</v>
      </c>
      <c r="V254" s="854">
        <f>STDEV(D$2:D254)*SQRT(252)</f>
        <v>0.17037860468394234</v>
      </c>
      <c r="W254" s="854">
        <f>STDEV(L$2:L254)*SQRT(252)</f>
        <v>0.36860527111095059</v>
      </c>
      <c r="X254" s="823">
        <f t="shared" si="88"/>
        <v>0.23499205180244426</v>
      </c>
      <c r="Y254" s="823">
        <f t="shared" si="89"/>
        <v>-0.11972558179033062</v>
      </c>
      <c r="Z254" s="829">
        <f t="shared" si="90"/>
        <v>-8.4572372689351333E-2</v>
      </c>
    </row>
    <row r="255" spans="1:26" ht="20.100000000000001" customHeight="1" x14ac:dyDescent="0.2">
      <c r="A255" s="798">
        <f t="shared" si="103"/>
        <v>368</v>
      </c>
      <c r="B255" s="846">
        <v>42601</v>
      </c>
      <c r="C255" s="847">
        <v>2183.87</v>
      </c>
      <c r="D255" s="814">
        <f t="shared" si="82"/>
        <v>-1.4403160464925291E-3</v>
      </c>
      <c r="E255" s="848">
        <f t="shared" si="93"/>
        <v>3.8731188523810349E-2</v>
      </c>
      <c r="F255" s="849">
        <v>5238.37</v>
      </c>
      <c r="G255" s="814">
        <f t="shared" si="76"/>
        <v>-3.377772349594546E-4</v>
      </c>
      <c r="H255" s="850">
        <f t="shared" si="94"/>
        <v>2.8805703399650426E-2</v>
      </c>
      <c r="I255" s="851">
        <v>382810.75</v>
      </c>
      <c r="J255" s="852">
        <v>400000</v>
      </c>
      <c r="K255" s="852">
        <f t="shared" si="95"/>
        <v>547.9199999999837</v>
      </c>
      <c r="L255" s="814">
        <f t="shared" si="102"/>
        <v>1.4333593459766509E-3</v>
      </c>
      <c r="M255" s="853">
        <f t="shared" si="106"/>
        <v>-17189.25</v>
      </c>
      <c r="N255" s="854">
        <f t="shared" si="107"/>
        <v>-4.2973125000000001E-2</v>
      </c>
      <c r="O255" s="808">
        <f t="shared" si="85"/>
        <v>-4.265199431046196E-2</v>
      </c>
      <c r="P255" s="853" t="b">
        <f t="shared" si="97"/>
        <v>1</v>
      </c>
      <c r="Q255" s="854">
        <f>COUNTIF(P$2:P255, TRUE)/(COUNTIF(P$2:P255,FALSE) + COUNTIF(P$2:P255, TRUE))</f>
        <v>0.5</v>
      </c>
      <c r="R255" s="852">
        <v>232963</v>
      </c>
      <c r="S255" s="852">
        <f t="shared" si="104"/>
        <v>149847.75</v>
      </c>
      <c r="T255" s="852">
        <v>-31491</v>
      </c>
      <c r="U255" s="852">
        <f t="shared" si="105"/>
        <v>14301.75</v>
      </c>
      <c r="V255" s="854">
        <f>STDEV(D$2:D255)*SQRT(252)</f>
        <v>0.17004823124419763</v>
      </c>
      <c r="W255" s="854">
        <f>STDEV(L$2:L255)*SQRT(252)</f>
        <v>0.36787447588145594</v>
      </c>
      <c r="X255" s="823">
        <f t="shared" si="88"/>
        <v>0.22606384557229847</v>
      </c>
      <c r="Y255" s="823">
        <f t="shared" si="89"/>
        <v>-0.11594170595354422</v>
      </c>
      <c r="Z255" s="829">
        <f t="shared" si="90"/>
        <v>-8.1704313523810357E-2</v>
      </c>
    </row>
    <row r="256" spans="1:26" ht="20.100000000000001" customHeight="1" x14ac:dyDescent="0.2">
      <c r="A256" s="798">
        <f t="shared" si="103"/>
        <v>371</v>
      </c>
      <c r="B256" s="817">
        <v>42604</v>
      </c>
      <c r="C256" s="842">
        <v>2182.64</v>
      </c>
      <c r="D256" s="814">
        <f t="shared" si="82"/>
        <v>-5.6322033820695291E-4</v>
      </c>
      <c r="E256" s="841">
        <f t="shared" ref="E256:E287" si="108">(C256-$C$2)/$C$2</f>
        <v>3.8146153992503859E-2</v>
      </c>
      <c r="F256" s="838">
        <v>5244.6</v>
      </c>
      <c r="G256" s="814">
        <f t="shared" ref="G256:G261" si="109">(F256-F255)/F255</f>
        <v>1.1893012521071388E-3</v>
      </c>
      <c r="H256" s="819">
        <f t="shared" ref="H256:H287" si="110">(F256-F$2)/F$2</f>
        <v>3.0029263310878598E-2</v>
      </c>
      <c r="I256" s="821">
        <v>377083.42</v>
      </c>
      <c r="J256" s="822">
        <v>400000</v>
      </c>
      <c r="K256" s="822">
        <f t="shared" ref="K256:K287" si="111">I256-I255-J256+J255</f>
        <v>-5727.3300000000163</v>
      </c>
      <c r="L256" s="814">
        <f t="shared" si="102"/>
        <v>-1.4961256965746171E-2</v>
      </c>
      <c r="M256" s="839">
        <f t="shared" si="106"/>
        <v>-22916.580000000016</v>
      </c>
      <c r="N256" s="824">
        <f t="shared" si="107"/>
        <v>-5.7291450000000042E-2</v>
      </c>
      <c r="O256" s="808">
        <f t="shared" si="85"/>
        <v>-5.6403509737196808E-2</v>
      </c>
      <c r="P256" s="839" t="b">
        <f t="shared" ref="P256:P287" si="112">L256&gt;D256</f>
        <v>0</v>
      </c>
      <c r="Q256" s="824">
        <f>COUNTIF(P$2:P256, TRUE)/(COUNTIF(P$2:P256,FALSE) + COUNTIF(P$2:P256, TRUE))</f>
        <v>0.49803921568627452</v>
      </c>
      <c r="R256" s="822">
        <v>255242.1</v>
      </c>
      <c r="S256" s="822">
        <f t="shared" si="104"/>
        <v>121841.31999999998</v>
      </c>
      <c r="T256" s="822">
        <v>-37372</v>
      </c>
      <c r="U256" s="822">
        <f t="shared" si="105"/>
        <v>14455.419999999984</v>
      </c>
      <c r="V256" s="824">
        <f>STDEV(D$2:D256)*SQRT(252)</f>
        <v>0.1697135708935549</v>
      </c>
      <c r="W256" s="824">
        <f>STDEV(L$2:L256)*SQRT(252)</f>
        <v>0.36746793184663218</v>
      </c>
      <c r="X256" s="823">
        <f t="shared" si="88"/>
        <v>0.22128424861843085</v>
      </c>
      <c r="Y256" s="823">
        <f t="shared" si="89"/>
        <v>-0.15349233184444946</v>
      </c>
      <c r="Z256" s="829">
        <f t="shared" si="90"/>
        <v>-9.5437603992503894E-2</v>
      </c>
    </row>
    <row r="257" spans="1:26" ht="20.100000000000001" customHeight="1" x14ac:dyDescent="0.2">
      <c r="A257" s="798">
        <f t="shared" si="103"/>
        <v>372</v>
      </c>
      <c r="B257" s="817">
        <v>42605</v>
      </c>
      <c r="C257" s="842">
        <v>2186.9</v>
      </c>
      <c r="D257" s="814">
        <f t="shared" ref="D257:D263" si="113">(C257-C256)/C256</f>
        <v>1.951764835245491E-3</v>
      </c>
      <c r="E257" s="841">
        <f t="shared" si="108"/>
        <v>4.0172371149711783E-2</v>
      </c>
      <c r="F257" s="838">
        <v>5260.07</v>
      </c>
      <c r="G257" s="814">
        <f t="shared" si="109"/>
        <v>2.9497006444722845E-3</v>
      </c>
      <c r="H257" s="819">
        <f t="shared" si="110"/>
        <v>3.3067541292692008E-2</v>
      </c>
      <c r="I257" s="821">
        <v>383610.05</v>
      </c>
      <c r="J257" s="822">
        <v>400000</v>
      </c>
      <c r="K257" s="822">
        <f t="shared" si="111"/>
        <v>6526.6300000000047</v>
      </c>
      <c r="L257" s="814">
        <f t="shared" si="102"/>
        <v>1.7308186077234593E-2</v>
      </c>
      <c r="M257" s="839">
        <f t="shared" si="106"/>
        <v>-16389.950000000012</v>
      </c>
      <c r="N257" s="824">
        <f t="shared" si="107"/>
        <v>-4.0974875000000029E-2</v>
      </c>
      <c r="O257" s="808">
        <f t="shared" si="85"/>
        <v>-4.023137928427422E-2</v>
      </c>
      <c r="P257" s="839" t="b">
        <f t="shared" si="112"/>
        <v>1</v>
      </c>
      <c r="Q257" s="824">
        <f>COUNTIF(P$2:P257, TRUE)/(COUNTIF(P$2:P257,FALSE) + COUNTIF(P$2:P257, TRUE))</f>
        <v>0.5</v>
      </c>
      <c r="R257" s="822">
        <v>237329.4</v>
      </c>
      <c r="S257" s="822">
        <f t="shared" si="104"/>
        <v>146280.65</v>
      </c>
      <c r="T257" s="822">
        <v>-30977</v>
      </c>
      <c r="U257" s="822">
        <f t="shared" si="105"/>
        <v>14587.049999999988</v>
      </c>
      <c r="V257" s="824">
        <f>STDEV(D$2:D257)*SQRT(252)</f>
        <v>0.16938806622202984</v>
      </c>
      <c r="W257" s="824">
        <f>STDEV(L$2:L257)*SQRT(252)</f>
        <v>0.36712884125938189</v>
      </c>
      <c r="X257" s="823">
        <f t="shared" si="88"/>
        <v>0.23285841721626391</v>
      </c>
      <c r="Y257" s="823">
        <f t="shared" si="89"/>
        <v>-0.10958381571512156</v>
      </c>
      <c r="Z257" s="829">
        <f t="shared" si="90"/>
        <v>-8.1147246149711805E-2</v>
      </c>
    </row>
    <row r="258" spans="1:26" ht="20.100000000000001" customHeight="1" x14ac:dyDescent="0.2">
      <c r="A258" s="798">
        <f t="shared" si="103"/>
        <v>373</v>
      </c>
      <c r="B258" s="817">
        <v>42606</v>
      </c>
      <c r="C258" s="842">
        <v>2175.44</v>
      </c>
      <c r="D258" s="814">
        <f t="shared" si="113"/>
        <v>-5.2402944807718854E-3</v>
      </c>
      <c r="E258" s="841">
        <f t="shared" si="108"/>
        <v>3.4721561614124541E-2</v>
      </c>
      <c r="F258" s="838">
        <v>5217.6899999999996</v>
      </c>
      <c r="G258" s="814">
        <f t="shared" si="109"/>
        <v>-8.0569269990703758E-3</v>
      </c>
      <c r="H258" s="819">
        <f t="shared" si="110"/>
        <v>2.4744191527387667E-2</v>
      </c>
      <c r="I258" s="821">
        <f>379998.45+9.8</f>
        <v>380008.25</v>
      </c>
      <c r="J258" s="822">
        <v>400000</v>
      </c>
      <c r="K258" s="822">
        <f t="shared" si="111"/>
        <v>-3601.7999999999884</v>
      </c>
      <c r="L258" s="814">
        <f t="shared" si="102"/>
        <v>-9.3892222062482156E-3</v>
      </c>
      <c r="M258" s="839">
        <f t="shared" si="106"/>
        <v>-19991.75</v>
      </c>
      <c r="N258" s="824">
        <f t="shared" si="107"/>
        <v>-4.9979374999999999E-2</v>
      </c>
      <c r="O258" s="808">
        <f t="shared" si="85"/>
        <v>-4.894092954088472E-2</v>
      </c>
      <c r="P258" s="839" t="b">
        <f t="shared" si="112"/>
        <v>0</v>
      </c>
      <c r="Q258" s="824">
        <f>COUNTIF(P$2:P258, TRUE)/(COUNTIF(P$2:P258,FALSE) + COUNTIF(P$2:P258, TRUE))</f>
        <v>0.49805447470817121</v>
      </c>
      <c r="R258" s="822">
        <v>233717.8</v>
      </c>
      <c r="S258" s="822">
        <f t="shared" si="104"/>
        <v>146290.45000000001</v>
      </c>
      <c r="T258" s="822">
        <v>-34657</v>
      </c>
      <c r="U258" s="822">
        <f t="shared" si="105"/>
        <v>14665.25</v>
      </c>
      <c r="V258" s="824">
        <f>STDEV(D$2:D258)*SQRT(252)</f>
        <v>0.1691421099558785</v>
      </c>
      <c r="W258" s="824">
        <f>STDEV(L$2:L258)*SQRT(252)</f>
        <v>0.36653871966751894</v>
      </c>
      <c r="X258" s="823">
        <f t="shared" si="88"/>
        <v>0.20101520002742596</v>
      </c>
      <c r="Y258" s="823">
        <f t="shared" si="89"/>
        <v>-0.13352185434946193</v>
      </c>
      <c r="Z258" s="829">
        <f t="shared" si="90"/>
        <v>-8.4700936614124533E-2</v>
      </c>
    </row>
    <row r="259" spans="1:26" ht="20.100000000000001" customHeight="1" x14ac:dyDescent="0.2">
      <c r="A259" s="798">
        <f t="shared" si="103"/>
        <v>374</v>
      </c>
      <c r="B259" s="817">
        <v>42607</v>
      </c>
      <c r="C259" s="842">
        <v>2172.4699999999998</v>
      </c>
      <c r="D259" s="814">
        <f t="shared" si="113"/>
        <v>-1.3652410546833075E-3</v>
      </c>
      <c r="E259" s="841">
        <f t="shared" si="108"/>
        <v>3.3308917258042914E-2</v>
      </c>
      <c r="F259" s="838">
        <v>5212.2</v>
      </c>
      <c r="G259" s="814">
        <f t="shared" si="109"/>
        <v>-1.0521897621360759E-3</v>
      </c>
      <c r="H259" s="819">
        <f t="shared" si="110"/>
        <v>2.3665966180254142E-2</v>
      </c>
      <c r="I259" s="821">
        <v>380752.59</v>
      </c>
      <c r="J259" s="822">
        <v>400000</v>
      </c>
      <c r="K259" s="822">
        <f t="shared" si="111"/>
        <v>744.34000000002561</v>
      </c>
      <c r="L259" s="814">
        <f t="shared" si="102"/>
        <v>1.9587469482571116E-3</v>
      </c>
      <c r="M259" s="839">
        <f t="shared" si="106"/>
        <v>-19247.409999999974</v>
      </c>
      <c r="N259" s="824">
        <f t="shared" si="107"/>
        <v>-4.8118524999999933E-2</v>
      </c>
      <c r="O259" s="808">
        <f t="shared" si="85"/>
        <v>-4.6992757369652347E-2</v>
      </c>
      <c r="P259" s="839" t="b">
        <f t="shared" si="112"/>
        <v>1</v>
      </c>
      <c r="Q259" s="824">
        <f>COUNTIF(P$2:P259, TRUE)/(COUNTIF(P$2:P259,FALSE) + COUNTIF(P$2:P259, TRUE))</f>
        <v>0.5</v>
      </c>
      <c r="R259" s="822">
        <v>237299.38</v>
      </c>
      <c r="S259" s="822">
        <f t="shared" si="104"/>
        <v>143453.21000000002</v>
      </c>
      <c r="T259" s="822">
        <v>-33721</v>
      </c>
      <c r="U259" s="822">
        <f t="shared" si="105"/>
        <v>14473.590000000026</v>
      </c>
      <c r="V259" s="824">
        <f>STDEV(D$2:D259)*SQRT(252)</f>
        <v>0.16881845547722549</v>
      </c>
      <c r="W259" s="824">
        <f>STDEV(L$2:L259)*SQRT(252)</f>
        <v>0.36582526513101316</v>
      </c>
      <c r="X259" s="823">
        <f t="shared" si="88"/>
        <v>0.19269001721577103</v>
      </c>
      <c r="Y259" s="823">
        <f t="shared" si="89"/>
        <v>-0.12845683950457279</v>
      </c>
      <c r="Z259" s="829">
        <f t="shared" si="90"/>
        <v>-8.1427442258042854E-2</v>
      </c>
    </row>
    <row r="260" spans="1:26" ht="20.100000000000001" customHeight="1" x14ac:dyDescent="0.2">
      <c r="A260" s="798">
        <f t="shared" si="103"/>
        <v>375</v>
      </c>
      <c r="B260" s="817">
        <v>42608</v>
      </c>
      <c r="C260" s="842">
        <v>2169.04</v>
      </c>
      <c r="D260" s="814">
        <f t="shared" si="113"/>
        <v>-1.578848039328431E-3</v>
      </c>
      <c r="E260" s="841">
        <f t="shared" si="108"/>
        <v>3.1677479500009466E-2</v>
      </c>
      <c r="F260" s="838">
        <v>5218.91</v>
      </c>
      <c r="G260" s="814">
        <f t="shared" si="109"/>
        <v>1.2873642607728092E-3</v>
      </c>
      <c r="H260" s="819">
        <f t="shared" si="110"/>
        <v>2.4983797160084066E-2</v>
      </c>
      <c r="I260" s="821">
        <v>381100.52</v>
      </c>
      <c r="J260" s="822">
        <v>400000</v>
      </c>
      <c r="K260" s="822">
        <f t="shared" si="111"/>
        <v>347.92999999999302</v>
      </c>
      <c r="L260" s="814">
        <f t="shared" si="102"/>
        <v>9.1379549118757934E-4</v>
      </c>
      <c r="M260" s="839">
        <f t="shared" ref="M260:M273" si="114">I260-J260</f>
        <v>-18899.479999999981</v>
      </c>
      <c r="N260" s="824">
        <f t="shared" si="107"/>
        <v>-4.7248699999999956E-2</v>
      </c>
      <c r="O260" s="808">
        <f t="shared" si="85"/>
        <v>-4.6020233799999963E-2</v>
      </c>
      <c r="P260" s="839" t="b">
        <f t="shared" si="112"/>
        <v>1</v>
      </c>
      <c r="Q260" s="824">
        <f>COUNTIF(P$2:P260, TRUE)/(COUNTIF(P$2:P260,FALSE) + COUNTIF(P$2:P260, TRUE))</f>
        <v>0.50193050193050193</v>
      </c>
      <c r="R260" s="822">
        <v>258954.3</v>
      </c>
      <c r="S260" s="822">
        <f t="shared" si="104"/>
        <v>122146.22000000003</v>
      </c>
      <c r="T260" s="822">
        <v>-33067</v>
      </c>
      <c r="U260" s="822">
        <f t="shared" si="105"/>
        <v>14167.520000000019</v>
      </c>
      <c r="V260" s="824">
        <f>STDEV(D$2:D260)*SQRT(252)</f>
        <v>0.16849870140291789</v>
      </c>
      <c r="W260" s="824">
        <f>STDEV(L$2:L260)*SQRT(252)</f>
        <v>0.36511315760461099</v>
      </c>
      <c r="X260" s="823">
        <f t="shared" si="88"/>
        <v>0.18311040249046645</v>
      </c>
      <c r="Y260" s="823">
        <f t="shared" si="89"/>
        <v>-0.12604375613829913</v>
      </c>
      <c r="Z260" s="829">
        <f t="shared" si="90"/>
        <v>-7.8926179500009422E-2</v>
      </c>
    </row>
    <row r="261" spans="1:26" ht="20.100000000000001" customHeight="1" x14ac:dyDescent="0.2">
      <c r="A261" s="798">
        <f t="shared" si="103"/>
        <v>378</v>
      </c>
      <c r="B261" s="846">
        <v>42611</v>
      </c>
      <c r="C261" s="847">
        <v>2180.38</v>
      </c>
      <c r="D261" s="814">
        <f t="shared" si="113"/>
        <v>5.2281193523402731E-3</v>
      </c>
      <c r="E261" s="848">
        <f t="shared" si="108"/>
        <v>3.7071212495957101E-2</v>
      </c>
      <c r="F261" s="849">
        <v>5232.32</v>
      </c>
      <c r="G261" s="814">
        <f t="shared" si="109"/>
        <v>2.569502060775115E-3</v>
      </c>
      <c r="H261" s="850">
        <f t="shared" si="110"/>
        <v>2.7617495139148004E-2</v>
      </c>
      <c r="I261" s="851">
        <v>382828.93</v>
      </c>
      <c r="J261" s="852">
        <v>400000</v>
      </c>
      <c r="K261" s="852">
        <f t="shared" si="111"/>
        <v>1728.4099999999744</v>
      </c>
      <c r="L261" s="814">
        <f>K261/I260</f>
        <v>4.5353126256557569E-3</v>
      </c>
      <c r="M261" s="853">
        <f t="shared" si="114"/>
        <v>-17171.070000000007</v>
      </c>
      <c r="N261" s="854">
        <f t="shared" si="107"/>
        <v>-4.2927675000000019E-2</v>
      </c>
      <c r="O261" s="808">
        <f t="shared" si="85"/>
        <v>-4.147971770833335E-2</v>
      </c>
      <c r="P261" s="853" t="b">
        <f t="shared" si="112"/>
        <v>0</v>
      </c>
      <c r="Q261" s="854">
        <f>COUNTIF(P$2:P261, TRUE)/(COUNTIF(P$2:P261,FALSE) + COUNTIF(P$2:P261, TRUE))</f>
        <v>0.5</v>
      </c>
      <c r="R261" s="852">
        <v>260300.32</v>
      </c>
      <c r="S261" s="852">
        <f t="shared" si="104"/>
        <v>122528.60999999999</v>
      </c>
      <c r="T261" s="852">
        <v>-31777</v>
      </c>
      <c r="U261" s="852">
        <f t="shared" si="105"/>
        <v>14605.929999999993</v>
      </c>
      <c r="V261" s="854">
        <f>STDEV(D$2:D261)*SQRT(252)</f>
        <v>0.16824562360938053</v>
      </c>
      <c r="W261" s="854">
        <f>STDEV(L$2:L261)*SQRT(252)</f>
        <v>0.36442732658879068</v>
      </c>
      <c r="X261" s="823">
        <f t="shared" si="88"/>
        <v>0.21290773480869216</v>
      </c>
      <c r="Y261" s="823">
        <f t="shared" si="89"/>
        <v>-0.11382164476139263</v>
      </c>
      <c r="Z261" s="829">
        <f t="shared" si="90"/>
        <v>-7.9998887495957127E-2</v>
      </c>
    </row>
    <row r="262" spans="1:26" ht="20.100000000000001" customHeight="1" x14ac:dyDescent="0.2">
      <c r="A262" s="798">
        <f t="shared" si="103"/>
        <v>379</v>
      </c>
      <c r="B262" s="846">
        <v>42612</v>
      </c>
      <c r="C262" s="847">
        <v>2176.12</v>
      </c>
      <c r="D262" s="814">
        <f t="shared" si="113"/>
        <v>-1.9537878718389537E-3</v>
      </c>
      <c r="E262" s="848">
        <f t="shared" si="108"/>
        <v>3.5044995338749184E-2</v>
      </c>
      <c r="F262" s="849">
        <v>5222.9799999999996</v>
      </c>
      <c r="G262" s="814">
        <f>(F262-F261)/F261</f>
        <v>-1.7850590177971046E-3</v>
      </c>
      <c r="H262" s="850">
        <f t="shared" si="110"/>
        <v>2.5783137262603797E-2</v>
      </c>
      <c r="I262" s="851">
        <v>379406.56</v>
      </c>
      <c r="J262" s="852">
        <v>400000</v>
      </c>
      <c r="K262" s="852">
        <f t="shared" si="111"/>
        <v>-3422.3699999999953</v>
      </c>
      <c r="L262" s="814">
        <f>K262/I261</f>
        <v>-8.9396848874508921E-3</v>
      </c>
      <c r="M262" s="853">
        <f t="shared" si="114"/>
        <v>-20593.440000000002</v>
      </c>
      <c r="N262" s="854">
        <f t="shared" si="107"/>
        <v>-5.1483600000000004E-2</v>
      </c>
      <c r="O262" s="808">
        <f t="shared" si="85"/>
        <v>-4.9615791292875994E-2</v>
      </c>
      <c r="P262" s="853" t="b">
        <f t="shared" si="112"/>
        <v>0</v>
      </c>
      <c r="Q262" s="854">
        <f>COUNTIF(P$2:P262, TRUE)/(COUNTIF(P$2:P262,FALSE) + COUNTIF(P$2:P262, TRUE))</f>
        <v>0.49808429118773945</v>
      </c>
      <c r="R262" s="852">
        <v>274968.95</v>
      </c>
      <c r="S262" s="852">
        <f t="shared" si="104"/>
        <v>104437.60999999999</v>
      </c>
      <c r="T262" s="852">
        <v>-35414</v>
      </c>
      <c r="U262" s="852">
        <f t="shared" si="105"/>
        <v>14820.559999999998</v>
      </c>
      <c r="V262" s="854">
        <f>STDEV(D$2:D262)*SQRT(252)</f>
        <v>0.16793385572919492</v>
      </c>
      <c r="W262" s="854">
        <f>STDEV(L$2:L262)*SQRT(252)</f>
        <v>0.36384060156715331</v>
      </c>
      <c r="X262" s="823">
        <f t="shared" si="88"/>
        <v>0.20111235972788211</v>
      </c>
      <c r="Y262" s="823">
        <f t="shared" si="89"/>
        <v>-0.13636683503481539</v>
      </c>
      <c r="Z262" s="829">
        <f t="shared" si="90"/>
        <v>-8.6528595338749181E-2</v>
      </c>
    </row>
    <row r="263" spans="1:26" ht="20.100000000000001" customHeight="1" x14ac:dyDescent="0.2">
      <c r="A263" s="798">
        <f t="shared" si="103"/>
        <v>380</v>
      </c>
      <c r="B263" s="846">
        <v>42613</v>
      </c>
      <c r="C263" s="847">
        <v>2170.94</v>
      </c>
      <c r="D263" s="814">
        <f t="shared" si="113"/>
        <v>-2.3803834347369797E-3</v>
      </c>
      <c r="E263" s="848">
        <f t="shared" si="108"/>
        <v>3.258119137763741E-2</v>
      </c>
      <c r="F263" s="849">
        <v>5213.22</v>
      </c>
      <c r="G263" s="814">
        <f t="shared" ref="G263:G270" si="115">(F263-F262)/F262</f>
        <v>-1.8686650149913094E-3</v>
      </c>
      <c r="H263" s="850">
        <f t="shared" si="110"/>
        <v>2.3866292201033139E-2</v>
      </c>
      <c r="I263" s="858">
        <v>375078.22</v>
      </c>
      <c r="J263" s="852">
        <v>400000</v>
      </c>
      <c r="K263" s="852">
        <f t="shared" si="111"/>
        <v>-4328.3400000000256</v>
      </c>
      <c r="L263" s="814">
        <f>K263/I262</f>
        <v>-1.1408184402504863E-2</v>
      </c>
      <c r="M263" s="853">
        <f t="shared" si="114"/>
        <v>-24921.780000000028</v>
      </c>
      <c r="N263" s="854">
        <f t="shared" si="107"/>
        <v>-6.2304450000000067E-2</v>
      </c>
      <c r="O263" s="808">
        <f t="shared" ref="O263:O326" si="116">N263/(A263/365.25)</f>
        <v>-5.9886053585526386E-2</v>
      </c>
      <c r="P263" s="853" t="b">
        <f t="shared" si="112"/>
        <v>0</v>
      </c>
      <c r="Q263" s="854">
        <f>COUNTIF(P$2:P263, TRUE)/(COUNTIF(P$2:P263,FALSE) + COUNTIF(P$2:P263, TRUE))</f>
        <v>0.49618320610687022</v>
      </c>
      <c r="R263" s="852">
        <v>285803.11</v>
      </c>
      <c r="S263" s="852">
        <f t="shared" si="104"/>
        <v>89275.109999999986</v>
      </c>
      <c r="T263" s="852">
        <v>-39480</v>
      </c>
      <c r="U263" s="852">
        <f t="shared" si="105"/>
        <v>14558.219999999972</v>
      </c>
      <c r="V263" s="854">
        <f>STDEV(D$2:D263)*SQRT(252)</f>
        <v>0.16762959845319877</v>
      </c>
      <c r="W263" s="854">
        <f>STDEV(L$2:L263)*SQRT(252)</f>
        <v>0.36332602481523973</v>
      </c>
      <c r="X263" s="823">
        <f t="shared" si="88"/>
        <v>0.18681979197763582</v>
      </c>
      <c r="Y263" s="823">
        <f t="shared" si="89"/>
        <v>-0.1648273162264661</v>
      </c>
      <c r="Z263" s="829">
        <f t="shared" si="90"/>
        <v>-9.488564137763747E-2</v>
      </c>
    </row>
    <row r="264" spans="1:26" ht="20.100000000000001" customHeight="1" x14ac:dyDescent="0.2">
      <c r="A264" s="798">
        <f t="shared" si="103"/>
        <v>381</v>
      </c>
      <c r="B264" s="846">
        <v>42614</v>
      </c>
      <c r="C264" s="847">
        <v>2170.86</v>
      </c>
      <c r="D264" s="814">
        <f t="shared" ref="D264:D270" si="117">(C264-C263)/C263</f>
        <v>-3.6850396602359916E-5</v>
      </c>
      <c r="E264" s="848">
        <f t="shared" si="108"/>
        <v>3.254314035121101E-2</v>
      </c>
      <c r="F264" s="849">
        <v>5227.2</v>
      </c>
      <c r="G264" s="814">
        <f t="shared" si="115"/>
        <v>2.6816439743574151E-3</v>
      </c>
      <c r="H264" s="850">
        <f t="shared" si="110"/>
        <v>2.661193707406171E-2</v>
      </c>
      <c r="I264" s="851">
        <v>374158.47</v>
      </c>
      <c r="J264" s="852">
        <v>400000</v>
      </c>
      <c r="K264" s="852">
        <f t="shared" si="111"/>
        <v>-919.75</v>
      </c>
      <c r="L264" s="814">
        <f t="shared" ref="L264:L269" si="118">K264/I263</f>
        <v>-2.4521551797915646E-3</v>
      </c>
      <c r="M264" s="853">
        <f t="shared" si="114"/>
        <v>-25841.530000000028</v>
      </c>
      <c r="N264" s="854">
        <f t="shared" si="107"/>
        <v>-6.4603825000000073E-2</v>
      </c>
      <c r="O264" s="808">
        <f t="shared" si="116"/>
        <v>-6.1933194438976449E-2</v>
      </c>
      <c r="P264" s="853" t="b">
        <f t="shared" si="112"/>
        <v>0</v>
      </c>
      <c r="Q264" s="854">
        <f>COUNTIF(P$2:P264, TRUE)/(COUNTIF(P$2:P264,FALSE) + COUNTIF(P$2:P264, TRUE))</f>
        <v>0.49429657794676807</v>
      </c>
      <c r="R264" s="852">
        <v>284793.13</v>
      </c>
      <c r="S264" s="852">
        <f t="shared" si="104"/>
        <v>89365.339999999967</v>
      </c>
      <c r="T264" s="852">
        <v>-40089</v>
      </c>
      <c r="U264" s="852">
        <f t="shared" si="105"/>
        <v>14247.469999999972</v>
      </c>
      <c r="V264" s="854">
        <f>STDEV(D$2:D264)*SQRT(252)</f>
        <v>0.16730829405773207</v>
      </c>
      <c r="W264" s="854">
        <f>STDEV(L$2:L264)*SQRT(252)</f>
        <v>0.36263989119612255</v>
      </c>
      <c r="X264" s="823">
        <f t="shared" si="88"/>
        <v>0.18646925562735478</v>
      </c>
      <c r="Y264" s="823">
        <f t="shared" si="89"/>
        <v>-0.17078428474787347</v>
      </c>
      <c r="Z264" s="829">
        <f t="shared" si="90"/>
        <v>-9.714696535121109E-2</v>
      </c>
    </row>
    <row r="265" spans="1:26" ht="20.100000000000001" customHeight="1" x14ac:dyDescent="0.2">
      <c r="A265" s="798">
        <f t="shared" si="103"/>
        <v>382</v>
      </c>
      <c r="B265" s="846">
        <v>42615</v>
      </c>
      <c r="C265" s="847">
        <v>2179.98</v>
      </c>
      <c r="D265" s="814">
        <f t="shared" si="117"/>
        <v>4.2011000248748835E-3</v>
      </c>
      <c r="E265" s="848">
        <f t="shared" si="108"/>
        <v>3.6880957363824872E-2</v>
      </c>
      <c r="F265" s="849">
        <v>5249.89</v>
      </c>
      <c r="G265" s="814">
        <f t="shared" si="115"/>
        <v>4.3407560453015978E-3</v>
      </c>
      <c r="H265" s="850">
        <f t="shared" si="110"/>
        <v>3.1068209046094725E-2</v>
      </c>
      <c r="I265" s="851">
        <v>379833.49</v>
      </c>
      <c r="J265" s="852">
        <v>400000</v>
      </c>
      <c r="K265" s="852">
        <f t="shared" si="111"/>
        <v>5675.0200000000186</v>
      </c>
      <c r="L265" s="814">
        <f t="shared" si="118"/>
        <v>1.5167423578570916E-2</v>
      </c>
      <c r="M265" s="853">
        <f t="shared" si="114"/>
        <v>-20166.510000000009</v>
      </c>
      <c r="N265" s="854">
        <f t="shared" si="107"/>
        <v>-5.0416275000000024E-2</v>
      </c>
      <c r="O265" s="808">
        <f t="shared" si="116"/>
        <v>-4.8205613727094261E-2</v>
      </c>
      <c r="P265" s="853" t="b">
        <f t="shared" si="112"/>
        <v>1</v>
      </c>
      <c r="Q265" s="854">
        <f>COUNTIF(P$2:P265, TRUE)/(COUNTIF(P$2:P265,FALSE) + COUNTIF(P$2:P265, TRUE))</f>
        <v>0.49621212121212122</v>
      </c>
      <c r="R265" s="852">
        <v>279915.57</v>
      </c>
      <c r="S265" s="852">
        <f t="shared" si="104"/>
        <v>99917.919999999984</v>
      </c>
      <c r="T265" s="852">
        <v>-35299</v>
      </c>
      <c r="U265" s="852">
        <f t="shared" si="105"/>
        <v>15132.489999999991</v>
      </c>
      <c r="V265" s="854">
        <f>STDEV(D$2:D265)*SQRT(252)</f>
        <v>0.16703513483712773</v>
      </c>
      <c r="W265" s="854">
        <f>STDEV(L$2:L265)*SQRT(252)</f>
        <v>0.3622373095628969</v>
      </c>
      <c r="X265" s="823">
        <f t="shared" si="88"/>
        <v>0.21111603256831121</v>
      </c>
      <c r="Y265" s="823">
        <f t="shared" si="89"/>
        <v>-0.13307743971835154</v>
      </c>
      <c r="Z265" s="829">
        <f t="shared" si="90"/>
        <v>-8.7297232363824889E-2</v>
      </c>
    </row>
    <row r="266" spans="1:26" ht="20.100000000000001" customHeight="1" x14ac:dyDescent="0.2">
      <c r="A266" s="798">
        <f t="shared" si="103"/>
        <v>386</v>
      </c>
      <c r="B266" s="817">
        <v>42619</v>
      </c>
      <c r="C266" s="842">
        <v>2186.48</v>
      </c>
      <c r="D266" s="814">
        <f t="shared" si="117"/>
        <v>2.9816787309975322E-3</v>
      </c>
      <c r="E266" s="841">
        <f t="shared" si="108"/>
        <v>3.9972603260972947E-2</v>
      </c>
      <c r="F266" s="838">
        <v>5275.9</v>
      </c>
      <c r="G266" s="814">
        <f t="shared" si="115"/>
        <v>4.9543895205422031E-3</v>
      </c>
      <c r="H266" s="819">
        <f t="shared" si="110"/>
        <v>3.6176522575956917E-2</v>
      </c>
      <c r="I266" s="821">
        <v>382927.8</v>
      </c>
      <c r="J266" s="822">
        <v>400000</v>
      </c>
      <c r="K266" s="822">
        <f t="shared" si="111"/>
        <v>3094.3099999999977</v>
      </c>
      <c r="L266" s="814">
        <f t="shared" si="118"/>
        <v>8.1464907162346265E-3</v>
      </c>
      <c r="M266" s="839">
        <f t="shared" si="114"/>
        <v>-17072.200000000012</v>
      </c>
      <c r="N266" s="824">
        <f t="shared" si="107"/>
        <v>-4.2680500000000031E-2</v>
      </c>
      <c r="O266" s="808">
        <f t="shared" si="116"/>
        <v>-4.0386146696891223E-2</v>
      </c>
      <c r="P266" s="839" t="b">
        <f t="shared" si="112"/>
        <v>1</v>
      </c>
      <c r="Q266" s="824">
        <f>COUNTIF(P$2:P266, TRUE)/(COUNTIF(P$2:P266,FALSE) + COUNTIF(P$2:P266, TRUE))</f>
        <v>0.49811320754716981</v>
      </c>
      <c r="R266" s="822">
        <v>288323.67</v>
      </c>
      <c r="S266" s="822">
        <f t="shared" si="104"/>
        <v>94604.13</v>
      </c>
      <c r="T266" s="822">
        <v>-32869</v>
      </c>
      <c r="U266" s="822">
        <f t="shared" si="105"/>
        <v>15796.799999999988</v>
      </c>
      <c r="V266" s="824">
        <f>STDEV(D$2:D266)*SQRT(252)</f>
        <v>0.16673953715434717</v>
      </c>
      <c r="W266" s="824">
        <f>STDEV(L$2:L266)*SQRT(252)</f>
        <v>0.36162688235726198</v>
      </c>
      <c r="X266" s="823">
        <f t="shared" si="88"/>
        <v>0.22684372039947234</v>
      </c>
      <c r="Y266" s="823">
        <f t="shared" si="89"/>
        <v>-0.11167905005743611</v>
      </c>
      <c r="Z266" s="829">
        <f t="shared" si="90"/>
        <v>-8.2653103260972971E-2</v>
      </c>
    </row>
    <row r="267" spans="1:26" ht="20.100000000000001" customHeight="1" x14ac:dyDescent="0.2">
      <c r="A267" s="798">
        <f t="shared" si="103"/>
        <v>387</v>
      </c>
      <c r="B267" s="817">
        <v>42620</v>
      </c>
      <c r="C267" s="842">
        <v>2186.16</v>
      </c>
      <c r="D267" s="814">
        <f t="shared" si="117"/>
        <v>-1.4635395704518849E-4</v>
      </c>
      <c r="E267" s="841">
        <f t="shared" si="108"/>
        <v>3.9820399155267118E-2</v>
      </c>
      <c r="F267" s="838">
        <v>5283.92</v>
      </c>
      <c r="G267" s="814">
        <f t="shared" si="115"/>
        <v>1.5201197899885209E-3</v>
      </c>
      <c r="H267" s="819">
        <f t="shared" si="110"/>
        <v>3.7751635013846117E-2</v>
      </c>
      <c r="I267" s="821">
        <v>386953.84</v>
      </c>
      <c r="J267" s="822">
        <v>400000</v>
      </c>
      <c r="K267" s="822">
        <f t="shared" si="111"/>
        <v>4026.0400000000373</v>
      </c>
      <c r="L267" s="814">
        <f t="shared" si="118"/>
        <v>1.0513835767473757E-2</v>
      </c>
      <c r="M267" s="839">
        <f t="shared" si="114"/>
        <v>-13046.159999999974</v>
      </c>
      <c r="N267" s="824">
        <f t="shared" si="107"/>
        <v>-3.2615399999999933E-2</v>
      </c>
      <c r="O267" s="808">
        <f t="shared" si="116"/>
        <v>-3.0782363953488309E-2</v>
      </c>
      <c r="P267" s="839" t="b">
        <f t="shared" si="112"/>
        <v>1</v>
      </c>
      <c r="Q267" s="824">
        <f>COUNTIF(P$2:P267, TRUE)/(COUNTIF(P$2:P267,FALSE) + COUNTIF(P$2:P267, TRUE))</f>
        <v>0.5</v>
      </c>
      <c r="R267" s="822">
        <v>270597.37</v>
      </c>
      <c r="S267" s="822">
        <f t="shared" si="104"/>
        <v>116356.47000000003</v>
      </c>
      <c r="T267" s="822">
        <v>-29682</v>
      </c>
      <c r="U267" s="822">
        <f t="shared" si="105"/>
        <v>16635.840000000026</v>
      </c>
      <c r="V267" s="824">
        <f>STDEV(D$2:D267)*SQRT(252)</f>
        <v>0.16642379270655777</v>
      </c>
      <c r="W267" s="824">
        <f>STDEV(L$2:L267)*SQRT(252)</f>
        <v>0.3610748681776339</v>
      </c>
      <c r="X267" s="823">
        <f t="shared" si="88"/>
        <v>0.22582366604247719</v>
      </c>
      <c r="Y267" s="823">
        <f t="shared" si="89"/>
        <v>-8.5252025733191322E-2</v>
      </c>
      <c r="Z267" s="829">
        <f t="shared" si="90"/>
        <v>-7.2435799155267044E-2</v>
      </c>
    </row>
    <row r="268" spans="1:26" ht="20.100000000000001" customHeight="1" x14ac:dyDescent="0.2">
      <c r="A268" s="798">
        <f t="shared" si="103"/>
        <v>388</v>
      </c>
      <c r="B268" s="817">
        <v>42621</v>
      </c>
      <c r="C268" s="842">
        <v>2181.3000000000002</v>
      </c>
      <c r="D268" s="814">
        <f t="shared" si="117"/>
        <v>-2.2230760786034294E-3</v>
      </c>
      <c r="E268" s="841">
        <f t="shared" si="108"/>
        <v>3.7508799299861173E-2</v>
      </c>
      <c r="F268" s="838">
        <v>5259.48</v>
      </c>
      <c r="G268" s="814">
        <f t="shared" si="115"/>
        <v>-4.6253539039199133E-3</v>
      </c>
      <c r="H268" s="819">
        <f t="shared" si="110"/>
        <v>3.2951666437535547E-2</v>
      </c>
      <c r="I268" s="821">
        <v>397118.13</v>
      </c>
      <c r="J268" s="822">
        <v>400000</v>
      </c>
      <c r="K268" s="822">
        <f t="shared" si="111"/>
        <v>10164.289999999979</v>
      </c>
      <c r="L268" s="814">
        <f t="shared" si="118"/>
        <v>2.6267448334405929E-2</v>
      </c>
      <c r="M268" s="839">
        <f t="shared" si="114"/>
        <v>-2881.8699999999953</v>
      </c>
      <c r="N268" s="824">
        <f t="shared" si="107"/>
        <v>-7.2046749999999885E-3</v>
      </c>
      <c r="O268" s="808">
        <f t="shared" si="116"/>
        <v>-6.7822359374999901E-3</v>
      </c>
      <c r="P268" s="839" t="b">
        <f t="shared" si="112"/>
        <v>1</v>
      </c>
      <c r="Q268" s="824">
        <f>COUNTIF(P$2:P268, TRUE)/(COUNTIF(P$2:P268,FALSE) + COUNTIF(P$2:P268, TRUE))</f>
        <v>0.50187265917602997</v>
      </c>
      <c r="R268" s="822">
        <v>251179.7</v>
      </c>
      <c r="S268" s="822">
        <f t="shared" si="104"/>
        <v>145938.43</v>
      </c>
      <c r="T268" s="822">
        <v>-22549</v>
      </c>
      <c r="U268" s="822">
        <f t="shared" si="105"/>
        <v>19667.130000000005</v>
      </c>
      <c r="V268" s="824">
        <f>STDEV(D$2:D268)*SQRT(252)</f>
        <v>0.16612626124990684</v>
      </c>
      <c r="W268" s="824">
        <f>STDEV(L$2:L268)*SQRT(252)</f>
        <v>0.36126574974857484</v>
      </c>
      <c r="X268" s="823">
        <f t="shared" si="88"/>
        <v>0.21254621227657111</v>
      </c>
      <c r="Y268" s="823">
        <f t="shared" si="89"/>
        <v>-1.8773537049167073E-2</v>
      </c>
      <c r="Z268" s="829">
        <f t="shared" si="90"/>
        <v>-4.471347429986116E-2</v>
      </c>
    </row>
    <row r="269" spans="1:26" ht="20.100000000000001" customHeight="1" x14ac:dyDescent="0.2">
      <c r="A269" s="798">
        <f t="shared" si="103"/>
        <v>389</v>
      </c>
      <c r="B269" s="817">
        <v>42622</v>
      </c>
      <c r="C269" s="842">
        <v>2127.81</v>
      </c>
      <c r="D269" s="814">
        <f t="shared" si="117"/>
        <v>-2.4522073992573341E-2</v>
      </c>
      <c r="E269" s="841">
        <f t="shared" si="108"/>
        <v>1.2066931755484052E-2</v>
      </c>
      <c r="F269" s="838">
        <v>5125.8999999999996</v>
      </c>
      <c r="G269" s="814">
        <f t="shared" si="115"/>
        <v>-2.5397948086122571E-2</v>
      </c>
      <c r="H269" s="819">
        <f t="shared" si="110"/>
        <v>6.7168136378812221E-3</v>
      </c>
      <c r="I269" s="821">
        <v>386211.32</v>
      </c>
      <c r="J269" s="822">
        <v>400000</v>
      </c>
      <c r="K269" s="822">
        <f t="shared" si="111"/>
        <v>-10906.809999999998</v>
      </c>
      <c r="L269" s="814">
        <f t="shared" si="118"/>
        <v>-2.746490068333067E-2</v>
      </c>
      <c r="M269" s="839">
        <f t="shared" si="114"/>
        <v>-13788.679999999993</v>
      </c>
      <c r="N269" s="824">
        <f t="shared" si="107"/>
        <v>-3.447169999999998E-2</v>
      </c>
      <c r="O269" s="808">
        <f t="shared" si="116"/>
        <v>-3.2367065359897154E-2</v>
      </c>
      <c r="P269" s="839" t="b">
        <f t="shared" si="112"/>
        <v>0</v>
      </c>
      <c r="Q269" s="824">
        <f>COUNTIF(P$2:P269, TRUE)/(COUNTIF(P$2:P269,FALSE) + COUNTIF(P$2:P269, TRUE))</f>
        <v>0.5</v>
      </c>
      <c r="R269" s="822">
        <v>276342.96000000002</v>
      </c>
      <c r="S269" s="822">
        <f t="shared" si="104"/>
        <v>109868.35999999999</v>
      </c>
      <c r="T269" s="822">
        <v>-29111</v>
      </c>
      <c r="U269" s="822">
        <f t="shared" si="105"/>
        <v>15322.320000000007</v>
      </c>
      <c r="V269" s="824">
        <f>STDEV(D$2:D269)*SQRT(252)</f>
        <v>0.1675431453543596</v>
      </c>
      <c r="W269" s="824">
        <f>STDEV(L$2:L269)*SQRT(252)</f>
        <v>0.36161388324136196</v>
      </c>
      <c r="X269" s="823">
        <f t="shared" si="88"/>
        <v>6.7625550817034655E-2</v>
      </c>
      <c r="Y269" s="823">
        <f t="shared" si="89"/>
        <v>-8.9507253067199047E-2</v>
      </c>
      <c r="Z269" s="829">
        <f t="shared" si="90"/>
        <v>-4.6538631755484033E-2</v>
      </c>
    </row>
    <row r="270" spans="1:26" ht="20.100000000000001" customHeight="1" x14ac:dyDescent="0.2">
      <c r="A270" s="798">
        <f t="shared" si="103"/>
        <v>392</v>
      </c>
      <c r="B270" s="846">
        <v>42625</v>
      </c>
      <c r="C270" s="847">
        <v>2159.04</v>
      </c>
      <c r="D270" s="814">
        <f t="shared" si="117"/>
        <v>1.4677062331693158E-2</v>
      </c>
      <c r="E270" s="848">
        <f t="shared" si="108"/>
        <v>2.6921101196704739E-2</v>
      </c>
      <c r="F270" s="849">
        <v>5211.88</v>
      </c>
      <c r="G270" s="814">
        <f t="shared" si="115"/>
        <v>1.6773639751068197E-2</v>
      </c>
      <c r="H270" s="850">
        <f t="shared" si="110"/>
        <v>2.3603118801186301E-2</v>
      </c>
      <c r="I270" s="851">
        <v>387052.15</v>
      </c>
      <c r="J270" s="852">
        <v>400000</v>
      </c>
      <c r="K270" s="852">
        <f t="shared" si="111"/>
        <v>840.8300000000163</v>
      </c>
      <c r="L270" s="814">
        <f t="shared" ref="L270:L285" si="119">K270/I269</f>
        <v>2.1771241712956945E-3</v>
      </c>
      <c r="M270" s="853">
        <f t="shared" si="114"/>
        <v>-12947.849999999977</v>
      </c>
      <c r="N270" s="854">
        <f t="shared" si="107"/>
        <v>-3.2369624999999944E-2</v>
      </c>
      <c r="O270" s="808">
        <f t="shared" si="116"/>
        <v>-3.0160728396045867E-2</v>
      </c>
      <c r="P270" s="853" t="b">
        <f t="shared" si="112"/>
        <v>0</v>
      </c>
      <c r="Q270" s="854">
        <f>COUNTIF(P$2:P270, TRUE)/(COUNTIF(P$2:P270,FALSE) + COUNTIF(P$2:P270, TRUE))</f>
        <v>0.49814126394052044</v>
      </c>
      <c r="R270" s="852">
        <v>279690.06</v>
      </c>
      <c r="S270" s="852">
        <f t="shared" si="104"/>
        <v>107362.09000000003</v>
      </c>
      <c r="T270" s="852">
        <v>-29688</v>
      </c>
      <c r="U270" s="852">
        <f t="shared" si="105"/>
        <v>16740.150000000023</v>
      </c>
      <c r="V270" s="854">
        <f>STDEV(D$2:D270)*SQRT(252)</f>
        <v>0.16782539199806834</v>
      </c>
      <c r="W270" s="854">
        <f>STDEV(L$2:L270)*SQRT(252)</f>
        <v>0.36093984423813291</v>
      </c>
      <c r="X270" s="823">
        <f t="shared" si="88"/>
        <v>0.14946493165606672</v>
      </c>
      <c r="Y270" s="823">
        <f t="shared" si="89"/>
        <v>-8.3561648506023864E-2</v>
      </c>
      <c r="Z270" s="829">
        <f t="shared" si="90"/>
        <v>-5.9290726196704682E-2</v>
      </c>
    </row>
    <row r="271" spans="1:26" ht="20.100000000000001" customHeight="1" x14ac:dyDescent="0.2">
      <c r="A271" s="798">
        <f t="shared" si="103"/>
        <v>393</v>
      </c>
      <c r="B271" s="846">
        <v>42626</v>
      </c>
      <c r="C271" s="847">
        <v>2127.02</v>
      </c>
      <c r="D271" s="814">
        <f t="shared" ref="D271:D285" si="120">(C271-C270)/C270</f>
        <v>-1.483066548095449E-2</v>
      </c>
      <c r="E271" s="848">
        <f t="shared" si="108"/>
        <v>1.1691177869522996E-2</v>
      </c>
      <c r="F271" s="849">
        <v>5155.25</v>
      </c>
      <c r="G271" s="814">
        <f t="shared" ref="G271:G285" si="121">(F271-F270)/F270</f>
        <v>-1.0865560987589911E-2</v>
      </c>
      <c r="H271" s="850">
        <f t="shared" si="110"/>
        <v>1.2481096686764771E-2</v>
      </c>
      <c r="I271" s="851">
        <v>374259.41</v>
      </c>
      <c r="J271" s="852">
        <v>400000</v>
      </c>
      <c r="K271" s="852">
        <f t="shared" si="111"/>
        <v>-12792.740000000049</v>
      </c>
      <c r="L271" s="814">
        <f t="shared" si="119"/>
        <v>-3.3051721841617594E-2</v>
      </c>
      <c r="M271" s="853">
        <f t="shared" si="114"/>
        <v>-25740.590000000026</v>
      </c>
      <c r="N271" s="854">
        <f t="shared" si="107"/>
        <v>-6.4351475000000061E-2</v>
      </c>
      <c r="O271" s="808">
        <f t="shared" si="116"/>
        <v>-5.9807573139313036E-2</v>
      </c>
      <c r="P271" s="853" t="b">
        <f t="shared" si="112"/>
        <v>0</v>
      </c>
      <c r="Q271" s="854">
        <f>COUNTIF(P$2:P271, TRUE)/(COUNTIF(P$2:P271,FALSE) + COUNTIF(P$2:P271, TRUE))</f>
        <v>0.49629629629629629</v>
      </c>
      <c r="R271" s="852">
        <v>294807.52</v>
      </c>
      <c r="S271" s="852">
        <f t="shared" si="104"/>
        <v>79451.889999999956</v>
      </c>
      <c r="T271" s="852">
        <v>-40449</v>
      </c>
      <c r="U271" s="852">
        <f t="shared" si="105"/>
        <v>14708.409999999974</v>
      </c>
      <c r="V271" s="854">
        <f>STDEV(D$2:D271)*SQRT(252)</f>
        <v>0.16813876158922561</v>
      </c>
      <c r="W271" s="854">
        <f>STDEV(L$2:L271)*SQRT(252)</f>
        <v>0.36172480886226521</v>
      </c>
      <c r="X271" s="823">
        <f t="shared" si="88"/>
        <v>6.4623146176100529E-2</v>
      </c>
      <c r="Y271" s="823">
        <f t="shared" si="89"/>
        <v>-0.16533998131736136</v>
      </c>
      <c r="Z271" s="829">
        <f t="shared" si="90"/>
        <v>-7.6042652869523053E-2</v>
      </c>
    </row>
    <row r="272" spans="1:26" ht="20.100000000000001" customHeight="1" x14ac:dyDescent="0.2">
      <c r="A272" s="798">
        <f t="shared" si="103"/>
        <v>394</v>
      </c>
      <c r="B272" s="846">
        <v>42627</v>
      </c>
      <c r="C272" s="847">
        <v>2125.77</v>
      </c>
      <c r="D272" s="814">
        <f t="shared" si="120"/>
        <v>-5.8767665560267412E-4</v>
      </c>
      <c r="E272" s="848">
        <f t="shared" si="108"/>
        <v>1.1096630581609904E-2</v>
      </c>
      <c r="F272" s="849">
        <v>5173.7700000000004</v>
      </c>
      <c r="G272" s="814">
        <f t="shared" si="121"/>
        <v>3.5924542941662258E-3</v>
      </c>
      <c r="H272" s="850">
        <f t="shared" si="110"/>
        <v>1.6118388750319269E-2</v>
      </c>
      <c r="I272" s="851">
        <v>370693.02</v>
      </c>
      <c r="J272" s="852">
        <v>400000</v>
      </c>
      <c r="K272" s="852">
        <f t="shared" si="111"/>
        <v>-3566.3899999999558</v>
      </c>
      <c r="L272" s="814">
        <f t="shared" si="119"/>
        <v>-9.5291925993255741E-3</v>
      </c>
      <c r="M272" s="853">
        <f t="shared" si="114"/>
        <v>-29306.979999999981</v>
      </c>
      <c r="N272" s="854">
        <f t="shared" si="107"/>
        <v>-7.3267449999999956E-2</v>
      </c>
      <c r="O272" s="808">
        <f t="shared" si="116"/>
        <v>-6.7921157645939048E-2</v>
      </c>
      <c r="P272" s="853" t="b">
        <f t="shared" si="112"/>
        <v>0</v>
      </c>
      <c r="Q272" s="854">
        <f>COUNTIF(P$2:P272, TRUE)/(COUNTIF(P$2:P272,FALSE) + COUNTIF(P$2:P272, TRUE))</f>
        <v>0.49446494464944651</v>
      </c>
      <c r="R272" s="852">
        <v>304166.43</v>
      </c>
      <c r="S272" s="852">
        <f t="shared" si="104"/>
        <v>66526.590000000026</v>
      </c>
      <c r="T272" s="852">
        <v>-43966</v>
      </c>
      <c r="U272" s="852">
        <f t="shared" si="105"/>
        <v>14659.020000000019</v>
      </c>
      <c r="V272" s="854">
        <f>STDEV(D$2:D272)*SQRT(252)</f>
        <v>0.16782725694658282</v>
      </c>
      <c r="W272" s="854">
        <f>STDEV(L$2:L272)*SQRT(252)</f>
        <v>0.36117811757925894</v>
      </c>
      <c r="X272" s="823">
        <f t="shared" si="88"/>
        <v>6.1294659191567902E-2</v>
      </c>
      <c r="Y272" s="823">
        <f t="shared" si="89"/>
        <v>-0.18805446493040667</v>
      </c>
      <c r="Z272" s="829">
        <f t="shared" si="90"/>
        <v>-8.4364080581609865E-2</v>
      </c>
    </row>
    <row r="273" spans="1:26" ht="20.100000000000001" customHeight="1" x14ac:dyDescent="0.2">
      <c r="A273" s="798">
        <f t="shared" si="103"/>
        <v>395</v>
      </c>
      <c r="B273" s="846">
        <v>42628</v>
      </c>
      <c r="C273" s="847">
        <v>2147.2600000000002</v>
      </c>
      <c r="D273" s="814">
        <f t="shared" si="120"/>
        <v>1.0109278049836171E-2</v>
      </c>
      <c r="E273" s="848">
        <f t="shared" si="108"/>
        <v>2.1318087555411886E-2</v>
      </c>
      <c r="F273" s="849">
        <v>5249.68</v>
      </c>
      <c r="G273" s="814">
        <f t="shared" si="121"/>
        <v>1.4672086312302218E-2</v>
      </c>
      <c r="H273" s="850">
        <f t="shared" si="110"/>
        <v>3.1026965453581412E-2</v>
      </c>
      <c r="I273" s="851">
        <v>375852.08</v>
      </c>
      <c r="J273" s="852">
        <v>400000</v>
      </c>
      <c r="K273" s="852">
        <f t="shared" si="111"/>
        <v>5159.0599999999977</v>
      </c>
      <c r="L273" s="814">
        <f t="shared" si="119"/>
        <v>1.3917337855457859E-2</v>
      </c>
      <c r="M273" s="853">
        <f t="shared" si="114"/>
        <v>-24147.919999999984</v>
      </c>
      <c r="N273" s="854">
        <f t="shared" si="107"/>
        <v>-6.036979999999996E-2</v>
      </c>
      <c r="O273" s="808">
        <f t="shared" si="116"/>
        <v>-5.582296063291136E-2</v>
      </c>
      <c r="P273" s="853" t="b">
        <f t="shared" si="112"/>
        <v>1</v>
      </c>
      <c r="Q273" s="854">
        <f>COUNTIF(P$2:P273, TRUE)/(COUNTIF(P$2:P273,FALSE) + COUNTIF(P$2:P273, TRUE))</f>
        <v>0.49632352941176472</v>
      </c>
      <c r="R273" s="852">
        <v>309277.58</v>
      </c>
      <c r="S273" s="852">
        <f t="shared" si="104"/>
        <v>66574.5</v>
      </c>
      <c r="T273" s="852">
        <v>-40569</v>
      </c>
      <c r="U273" s="852">
        <f t="shared" si="105"/>
        <v>16421.080000000016</v>
      </c>
      <c r="V273" s="854">
        <f>STDEV(D$2:D273)*SQRT(252)</f>
        <v>0.16779419960031708</v>
      </c>
      <c r="W273" s="854">
        <f>STDEV(L$2:L273)*SQRT(252)</f>
        <v>0.36074703023734866</v>
      </c>
      <c r="X273" s="823">
        <f t="shared" si="88"/>
        <v>0.11748013224218563</v>
      </c>
      <c r="Y273" s="823">
        <f t="shared" si="89"/>
        <v>-0.15474267548698431</v>
      </c>
      <c r="Z273" s="829">
        <f t="shared" si="90"/>
        <v>-8.1687887555411842E-2</v>
      </c>
    </row>
    <row r="274" spans="1:26" ht="20.100000000000001" customHeight="1" x14ac:dyDescent="0.2">
      <c r="A274" s="798">
        <f t="shared" si="103"/>
        <v>396</v>
      </c>
      <c r="B274" s="846">
        <v>42629</v>
      </c>
      <c r="C274" s="847">
        <v>2139.16</v>
      </c>
      <c r="D274" s="814">
        <f t="shared" si="120"/>
        <v>-3.7722492851356439E-3</v>
      </c>
      <c r="E274" s="848">
        <f t="shared" si="108"/>
        <v>1.7465421129734877E-2</v>
      </c>
      <c r="F274" s="849">
        <v>5244.56</v>
      </c>
      <c r="G274" s="814">
        <f t="shared" si="121"/>
        <v>-9.7529754194539294E-4</v>
      </c>
      <c r="H274" s="850">
        <f t="shared" si="110"/>
        <v>3.0021407388495118E-2</v>
      </c>
      <c r="I274" s="851">
        <v>375872.83</v>
      </c>
      <c r="J274" s="852">
        <v>400000</v>
      </c>
      <c r="K274" s="852">
        <f t="shared" si="111"/>
        <v>20.75</v>
      </c>
      <c r="L274" s="814">
        <f t="shared" si="119"/>
        <v>5.5207889231316743E-5</v>
      </c>
      <c r="M274" s="853">
        <f t="shared" ref="M274:M279" si="122">I274-J274</f>
        <v>-24127.169999999984</v>
      </c>
      <c r="N274" s="854">
        <f t="shared" si="107"/>
        <v>-6.031792499999996E-2</v>
      </c>
      <c r="O274" s="808">
        <f t="shared" si="116"/>
        <v>-5.5634146732954505E-2</v>
      </c>
      <c r="P274" s="853" t="b">
        <f t="shared" si="112"/>
        <v>1</v>
      </c>
      <c r="Q274" s="854">
        <f>COUNTIF(P$2:P274, TRUE)/(COUNTIF(P$2:P274,FALSE) + COUNTIF(P$2:P274, TRUE))</f>
        <v>0.49816849816849818</v>
      </c>
      <c r="R274" s="852">
        <v>307021.42</v>
      </c>
      <c r="S274" s="852">
        <f t="shared" si="104"/>
        <v>68851.410000000033</v>
      </c>
      <c r="T274" s="852">
        <v>-40175</v>
      </c>
      <c r="U274" s="852">
        <f t="shared" si="105"/>
        <v>16047.830000000016</v>
      </c>
      <c r="V274" s="854">
        <f>STDEV(D$2:D274)*SQRT(252)</f>
        <v>0.16752651970065091</v>
      </c>
      <c r="W274" s="854">
        <f>STDEV(L$2:L274)*SQRT(252)</f>
        <v>0.36008095750354496</v>
      </c>
      <c r="X274" s="823">
        <f t="shared" si="88"/>
        <v>9.61591319692955E-2</v>
      </c>
      <c r="Y274" s="823">
        <f t="shared" si="89"/>
        <v>-0.1545045511950095</v>
      </c>
      <c r="Z274" s="829">
        <f t="shared" si="90"/>
        <v>-7.7783346129734837E-2</v>
      </c>
    </row>
    <row r="275" spans="1:26" ht="20.100000000000001" customHeight="1" x14ac:dyDescent="0.2">
      <c r="A275" s="798">
        <f t="shared" si="103"/>
        <v>399</v>
      </c>
      <c r="B275" s="817">
        <v>42632</v>
      </c>
      <c r="C275" s="842">
        <v>2139.12</v>
      </c>
      <c r="D275" s="814">
        <f t="shared" si="120"/>
        <v>-1.8698928551377E-5</v>
      </c>
      <c r="E275" s="841">
        <f t="shared" si="108"/>
        <v>1.7446395616521677E-2</v>
      </c>
      <c r="F275" s="838">
        <v>5235.0200000000004</v>
      </c>
      <c r="G275" s="814">
        <f t="shared" si="121"/>
        <v>-1.8190277163384464E-3</v>
      </c>
      <c r="H275" s="819">
        <f t="shared" si="110"/>
        <v>2.8147769900033509E-2</v>
      </c>
      <c r="I275" s="821">
        <v>373123.48</v>
      </c>
      <c r="J275" s="822">
        <v>400000</v>
      </c>
      <c r="K275" s="822">
        <f t="shared" si="111"/>
        <v>-2749.3500000000349</v>
      </c>
      <c r="L275" s="814">
        <f t="shared" si="119"/>
        <v>-7.3145749853747999E-3</v>
      </c>
      <c r="M275" s="839">
        <f t="shared" si="122"/>
        <v>-26876.520000000019</v>
      </c>
      <c r="N275" s="824">
        <f t="shared" si="107"/>
        <v>-6.7191300000000051E-2</v>
      </c>
      <c r="O275" s="808">
        <f t="shared" si="116"/>
        <v>-6.1507825375939899E-2</v>
      </c>
      <c r="P275" s="839" t="b">
        <f t="shared" si="112"/>
        <v>0</v>
      </c>
      <c r="Q275" s="824">
        <f>COUNTIF(P$2:P275, TRUE)/(COUNTIF(P$2:P275,FALSE) + COUNTIF(P$2:P275, TRUE))</f>
        <v>0.49635036496350365</v>
      </c>
      <c r="R275" s="822">
        <v>307089.07</v>
      </c>
      <c r="S275" s="822">
        <f t="shared" si="104"/>
        <v>66034.409999999974</v>
      </c>
      <c r="T275" s="822">
        <v>-41834</v>
      </c>
      <c r="U275" s="822">
        <f t="shared" si="105"/>
        <v>14957.479999999981</v>
      </c>
      <c r="V275" s="824">
        <f>STDEV(D$2:D275)*SQRT(252)</f>
        <v>0.16721833549598966</v>
      </c>
      <c r="W275" s="824">
        <f>STDEV(L$2:L275)*SQRT(252)</f>
        <v>0.35949423119806312</v>
      </c>
      <c r="X275" s="823">
        <f t="shared" si="88"/>
        <v>9.5507867702578395E-2</v>
      </c>
      <c r="Y275" s="823">
        <f t="shared" si="89"/>
        <v>-0.17109544476126018</v>
      </c>
      <c r="Z275" s="829">
        <f t="shared" si="90"/>
        <v>-8.4637695616521735E-2</v>
      </c>
    </row>
    <row r="276" spans="1:26" ht="20.100000000000001" customHeight="1" x14ac:dyDescent="0.2">
      <c r="A276" s="798">
        <f t="shared" si="103"/>
        <v>400</v>
      </c>
      <c r="B276" s="817">
        <v>42633</v>
      </c>
      <c r="C276" s="842">
        <v>2139.7600000000002</v>
      </c>
      <c r="D276" s="814">
        <f t="shared" si="120"/>
        <v>2.991884513259319E-4</v>
      </c>
      <c r="E276" s="841">
        <f t="shared" si="108"/>
        <v>1.7750803827933335E-2</v>
      </c>
      <c r="F276" s="838">
        <v>5241.3500000000004</v>
      </c>
      <c r="G276" s="814">
        <f t="shared" si="121"/>
        <v>1.2091644349018584E-3</v>
      </c>
      <c r="H276" s="819">
        <f t="shared" si="110"/>
        <v>2.9390969617220292E-2</v>
      </c>
      <c r="I276" s="821">
        <v>372718.71</v>
      </c>
      <c r="J276" s="822">
        <v>400000</v>
      </c>
      <c r="K276" s="822">
        <f t="shared" si="111"/>
        <v>-404.76999999996042</v>
      </c>
      <c r="L276" s="814">
        <f t="shared" si="119"/>
        <v>-1.0848151394813332E-3</v>
      </c>
      <c r="M276" s="839">
        <f t="shared" si="122"/>
        <v>-27281.289999999979</v>
      </c>
      <c r="N276" s="824">
        <f t="shared" si="107"/>
        <v>-6.8203224999999951E-2</v>
      </c>
      <c r="O276" s="808">
        <f t="shared" si="116"/>
        <v>-6.2278069828124956E-2</v>
      </c>
      <c r="P276" s="839" t="b">
        <f t="shared" si="112"/>
        <v>0</v>
      </c>
      <c r="Q276" s="824">
        <f>COUNTIF(P$2:P276, TRUE)/(COUNTIF(P$2:P276,FALSE) + COUNTIF(P$2:P276, TRUE))</f>
        <v>0.49454545454545457</v>
      </c>
      <c r="R276" s="822">
        <v>311226.5</v>
      </c>
      <c r="S276" s="822">
        <f t="shared" si="104"/>
        <v>61492.210000000021</v>
      </c>
      <c r="T276" s="822">
        <v>-42647</v>
      </c>
      <c r="U276" s="822">
        <f t="shared" si="105"/>
        <v>15365.710000000021</v>
      </c>
      <c r="V276" s="824">
        <f>STDEV(D$2:D276)*SQRT(252)</f>
        <v>0.16691188354135808</v>
      </c>
      <c r="W276" s="824">
        <f>STDEV(L$2:L276)*SQRT(252)</f>
        <v>0.35883781630276246</v>
      </c>
      <c r="X276" s="823">
        <f t="shared" si="88"/>
        <v>9.7109339380053006E-2</v>
      </c>
      <c r="Y276" s="823">
        <f t="shared" si="89"/>
        <v>-0.17355492369728123</v>
      </c>
      <c r="Z276" s="829">
        <f t="shared" si="90"/>
        <v>-8.5954028827933293E-2</v>
      </c>
    </row>
    <row r="277" spans="1:26" ht="20.100000000000001" customHeight="1" x14ac:dyDescent="0.2">
      <c r="A277" s="798">
        <f>B277-$B$2</f>
        <v>401</v>
      </c>
      <c r="B277" s="817">
        <v>42634</v>
      </c>
      <c r="C277" s="842">
        <v>2163.12</v>
      </c>
      <c r="D277" s="814">
        <f t="shared" si="120"/>
        <v>1.0917112199498855E-2</v>
      </c>
      <c r="E277" s="841">
        <f t="shared" si="108"/>
        <v>2.8861703544453034E-2</v>
      </c>
      <c r="F277" s="838">
        <v>5295.18</v>
      </c>
      <c r="G277" s="814">
        <f t="shared" si="121"/>
        <v>1.0270254800766963E-2</v>
      </c>
      <c r="H277" s="819">
        <f t="shared" si="110"/>
        <v>3.9963077164797703E-2</v>
      </c>
      <c r="I277" s="821">
        <v>382463.62</v>
      </c>
      <c r="J277" s="822">
        <v>400000</v>
      </c>
      <c r="K277" s="822">
        <f t="shared" si="111"/>
        <v>9744.9099999999744</v>
      </c>
      <c r="L277" s="814">
        <f t="shared" si="119"/>
        <v>2.6145481132406726E-2</v>
      </c>
      <c r="M277" s="839">
        <f t="shared" si="122"/>
        <v>-17536.380000000005</v>
      </c>
      <c r="N277" s="824">
        <f t="shared" si="107"/>
        <v>-4.384095000000001E-2</v>
      </c>
      <c r="O277" s="808">
        <f t="shared" si="116"/>
        <v>-3.9932436377805497E-2</v>
      </c>
      <c r="P277" s="839" t="b">
        <f t="shared" si="112"/>
        <v>1</v>
      </c>
      <c r="Q277" s="824">
        <f>COUNTIF(P$2:P277, TRUE)/(COUNTIF(P$2:P277,FALSE) + COUNTIF(P$2:P277, TRUE))</f>
        <v>0.49637681159420288</v>
      </c>
      <c r="R277" s="822">
        <v>306380.55</v>
      </c>
      <c r="S277" s="822">
        <f t="shared" si="104"/>
        <v>76083.070000000007</v>
      </c>
      <c r="T277" s="822">
        <v>-34503</v>
      </c>
      <c r="U277" s="822">
        <f t="shared" si="105"/>
        <v>16966.619999999995</v>
      </c>
      <c r="V277" s="824">
        <f>STDEV(D$2:D277)*SQRT(252)</f>
        <v>0.16692734623146724</v>
      </c>
      <c r="W277" s="824">
        <f>STDEV(L$2:L277)*SQRT(252)</f>
        <v>0.35903354110809649</v>
      </c>
      <c r="X277" s="823">
        <f t="shared" si="88"/>
        <v>0.1574854096035154</v>
      </c>
      <c r="Y277" s="823">
        <f t="shared" si="89"/>
        <v>-0.11122202191628326</v>
      </c>
      <c r="Z277" s="829">
        <f t="shared" si="90"/>
        <v>-7.2702653544453044E-2</v>
      </c>
    </row>
    <row r="278" spans="1:26" ht="20.100000000000001" customHeight="1" x14ac:dyDescent="0.2">
      <c r="A278" s="798">
        <f t="shared" ref="A278:A300" si="123">B278-$B$2</f>
        <v>402</v>
      </c>
      <c r="B278" s="817">
        <v>42635</v>
      </c>
      <c r="C278" s="842">
        <v>2177.1799999999998</v>
      </c>
      <c r="D278" s="814">
        <f t="shared" si="120"/>
        <v>6.4998705573430723E-3</v>
      </c>
      <c r="E278" s="841">
        <f t="shared" si="108"/>
        <v>3.5549171438899463E-2</v>
      </c>
      <c r="F278" s="838">
        <v>5339.52</v>
      </c>
      <c r="G278" s="814">
        <f t="shared" si="121"/>
        <v>8.373653020293954E-3</v>
      </c>
      <c r="H278" s="819">
        <f t="shared" si="110"/>
        <v>4.8671367126892913E-2</v>
      </c>
      <c r="I278" s="821">
        <v>385198.84</v>
      </c>
      <c r="J278" s="822">
        <v>400000</v>
      </c>
      <c r="K278" s="822">
        <f t="shared" si="111"/>
        <v>2735.2200000000303</v>
      </c>
      <c r="L278" s="814">
        <f t="shared" si="119"/>
        <v>7.1515821557094246E-3</v>
      </c>
      <c r="M278" s="839">
        <f t="shared" si="122"/>
        <v>-14801.159999999974</v>
      </c>
      <c r="N278" s="824">
        <f t="shared" si="107"/>
        <v>-3.7002899999999936E-2</v>
      </c>
      <c r="O278" s="808">
        <f t="shared" si="116"/>
        <v>-3.3620172201492479E-2</v>
      </c>
      <c r="P278" s="839" t="b">
        <f t="shared" si="112"/>
        <v>1</v>
      </c>
      <c r="Q278" s="824">
        <f>COUNTIF(P$2:P278, TRUE)/(COUNTIF(P$2:P278,FALSE) + COUNTIF(P$2:P278, TRUE))</f>
        <v>0.49819494584837543</v>
      </c>
      <c r="R278" s="822">
        <v>301575.81</v>
      </c>
      <c r="S278" s="822">
        <f t="shared" si="104"/>
        <v>83623.030000000028</v>
      </c>
      <c r="T278" s="822">
        <v>-32239</v>
      </c>
      <c r="U278" s="822">
        <f t="shared" si="105"/>
        <v>17437.840000000026</v>
      </c>
      <c r="V278" s="824">
        <f>STDEV(D$2:D278)*SQRT(252)</f>
        <v>0.16673370046778063</v>
      </c>
      <c r="W278" s="824">
        <f>STDEV(L$2:L278)*SQRT(252)</f>
        <v>0.35843771988043882</v>
      </c>
      <c r="X278" s="823">
        <f t="shared" si="88"/>
        <v>0.1937181288317146</v>
      </c>
      <c r="Y278" s="823">
        <f t="shared" si="89"/>
        <v>-9.379641242195963E-2</v>
      </c>
      <c r="Z278" s="829">
        <f t="shared" si="90"/>
        <v>-7.2552071438899399E-2</v>
      </c>
    </row>
    <row r="279" spans="1:26" ht="20.100000000000001" customHeight="1" x14ac:dyDescent="0.2">
      <c r="A279" s="798">
        <f t="shared" si="123"/>
        <v>403</v>
      </c>
      <c r="B279" s="817">
        <v>42636</v>
      </c>
      <c r="C279" s="842">
        <v>2164.69</v>
      </c>
      <c r="D279" s="814">
        <f t="shared" si="120"/>
        <v>-5.7367787688660478E-3</v>
      </c>
      <c r="E279" s="841">
        <f t="shared" si="108"/>
        <v>2.9608454938071953E-2</v>
      </c>
      <c r="F279" s="838">
        <v>5305.74</v>
      </c>
      <c r="G279" s="814">
        <f t="shared" si="121"/>
        <v>-6.3264113628192517E-3</v>
      </c>
      <c r="H279" s="819">
        <f t="shared" si="110"/>
        <v>4.2037040674038136E-2</v>
      </c>
      <c r="I279" s="821">
        <v>381118.05</v>
      </c>
      <c r="J279" s="822">
        <v>400000</v>
      </c>
      <c r="K279" s="822">
        <f t="shared" si="111"/>
        <v>-4080.7900000000373</v>
      </c>
      <c r="L279" s="814">
        <f t="shared" si="119"/>
        <v>-1.0593983097145456E-2</v>
      </c>
      <c r="M279" s="839">
        <f t="shared" si="122"/>
        <v>-18881.950000000012</v>
      </c>
      <c r="N279" s="824">
        <f t="shared" si="107"/>
        <v>-4.7204875000000028E-2</v>
      </c>
      <c r="O279" s="808">
        <f t="shared" si="116"/>
        <v>-4.2783078396402011E-2</v>
      </c>
      <c r="P279" s="839" t="b">
        <f t="shared" si="112"/>
        <v>0</v>
      </c>
      <c r="Q279" s="824">
        <f>COUNTIF(P$2:P279, TRUE)/(COUNTIF(P$2:P279,FALSE) + COUNTIF(P$2:P279, TRUE))</f>
        <v>0.49640287769784175</v>
      </c>
      <c r="R279" s="822">
        <v>300371.02</v>
      </c>
      <c r="S279" s="822">
        <f t="shared" si="104"/>
        <v>80747.02999999997</v>
      </c>
      <c r="T279" s="822">
        <v>-36012</v>
      </c>
      <c r="U279" s="822">
        <f t="shared" si="105"/>
        <v>17130.049999999988</v>
      </c>
      <c r="V279" s="824">
        <f>STDEV(D$2:D279)*SQRT(252)</f>
        <v>0.16652707926624533</v>
      </c>
      <c r="W279" s="824">
        <f>STDEV(L$2:L279)*SQRT(252)</f>
        <v>0.35794291849606197</v>
      </c>
      <c r="X279" s="823">
        <f t="shared" si="88"/>
        <v>0.16114471200031277</v>
      </c>
      <c r="Y279" s="823">
        <f t="shared" si="89"/>
        <v>-0.11952486328311787</v>
      </c>
      <c r="Z279" s="829">
        <f t="shared" si="90"/>
        <v>-7.6813329938071981E-2</v>
      </c>
    </row>
    <row r="280" spans="1:26" ht="20.100000000000001" customHeight="1" x14ac:dyDescent="0.2">
      <c r="A280" s="798">
        <f t="shared" si="123"/>
        <v>406</v>
      </c>
      <c r="B280" s="846">
        <v>42639</v>
      </c>
      <c r="C280" s="857">
        <v>2146.1</v>
      </c>
      <c r="D280" s="814">
        <f t="shared" si="120"/>
        <v>-8.5878347477006609E-3</v>
      </c>
      <c r="E280" s="848">
        <f t="shared" si="108"/>
        <v>2.0766347672228389E-2</v>
      </c>
      <c r="F280" s="849">
        <v>5257.49</v>
      </c>
      <c r="G280" s="814">
        <f t="shared" si="121"/>
        <v>-9.093924692879788E-3</v>
      </c>
      <c r="H280" s="850">
        <f t="shared" si="110"/>
        <v>3.256083429895712E-2</v>
      </c>
      <c r="I280" s="851">
        <v>378419.42</v>
      </c>
      <c r="J280" s="852">
        <v>400000</v>
      </c>
      <c r="K280" s="852">
        <f t="shared" si="111"/>
        <v>-2698.6300000000047</v>
      </c>
      <c r="L280" s="814">
        <f t="shared" si="119"/>
        <v>-7.0808244322198982E-3</v>
      </c>
      <c r="M280" s="853">
        <f t="shared" ref="M280:M311" si="124">I280-J280</f>
        <v>-21580.580000000016</v>
      </c>
      <c r="N280" s="854">
        <f t="shared" si="107"/>
        <v>-5.395145000000004E-2</v>
      </c>
      <c r="O280" s="808">
        <f t="shared" si="116"/>
        <v>-4.8536372198275897E-2</v>
      </c>
      <c r="P280" s="853" t="b">
        <f t="shared" si="112"/>
        <v>1</v>
      </c>
      <c r="Q280" s="854">
        <f>COUNTIF(P$2:P280, TRUE)/(COUNTIF(P$2:P280,FALSE) + COUNTIF(P$2:P280, TRUE))</f>
        <v>0.49820788530465948</v>
      </c>
      <c r="R280" s="852">
        <v>310812.53000000003</v>
      </c>
      <c r="S280" s="852">
        <f t="shared" si="104"/>
        <v>67606.889999999956</v>
      </c>
      <c r="T280" s="852">
        <v>-37706</v>
      </c>
      <c r="U280" s="852">
        <f t="shared" si="105"/>
        <v>16125.419999999984</v>
      </c>
      <c r="V280" s="854">
        <f>STDEV(D$2:D280)*SQRT(252)</f>
        <v>0.1664347537339865</v>
      </c>
      <c r="W280" s="854">
        <f>STDEV(L$2:L280)*SQRT(252)</f>
        <v>0.35736746994840918</v>
      </c>
      <c r="X280" s="823">
        <f t="shared" si="88"/>
        <v>0.11224843483667561</v>
      </c>
      <c r="Y280" s="823">
        <f t="shared" si="89"/>
        <v>-0.13581642505201377</v>
      </c>
      <c r="Z280" s="829">
        <f t="shared" si="90"/>
        <v>-7.4717797672228428E-2</v>
      </c>
    </row>
    <row r="281" spans="1:26" ht="20.100000000000001" customHeight="1" x14ac:dyDescent="0.2">
      <c r="A281" s="798">
        <f t="shared" si="123"/>
        <v>407</v>
      </c>
      <c r="B281" s="846">
        <v>42640</v>
      </c>
      <c r="C281" s="857">
        <v>2159.9299999999998</v>
      </c>
      <c r="D281" s="814">
        <f t="shared" si="120"/>
        <v>6.4442477051395216E-3</v>
      </c>
      <c r="E281" s="848">
        <f t="shared" si="108"/>
        <v>2.7344418865698796E-2</v>
      </c>
      <c r="F281" s="849">
        <v>5305.71</v>
      </c>
      <c r="G281" s="814">
        <f t="shared" si="121"/>
        <v>9.1716769789386681E-3</v>
      </c>
      <c r="H281" s="850">
        <f t="shared" si="110"/>
        <v>4.203114873225057E-2</v>
      </c>
      <c r="I281" s="851">
        <v>375834.82</v>
      </c>
      <c r="J281" s="852">
        <v>400000</v>
      </c>
      <c r="K281" s="852">
        <f t="shared" si="111"/>
        <v>-2584.5999999999767</v>
      </c>
      <c r="L281" s="814">
        <f t="shared" si="119"/>
        <v>-6.8299877421723679E-3</v>
      </c>
      <c r="M281" s="853">
        <f t="shared" si="124"/>
        <v>-24165.179999999993</v>
      </c>
      <c r="N281" s="854">
        <f t="shared" si="107"/>
        <v>-6.0412949999999979E-2</v>
      </c>
      <c r="O281" s="808">
        <f t="shared" si="116"/>
        <v>-5.4215798495085982E-2</v>
      </c>
      <c r="P281" s="853" t="b">
        <f t="shared" si="112"/>
        <v>0</v>
      </c>
      <c r="Q281" s="854">
        <f>COUNTIF(P$2:P281, TRUE)/(COUNTIF(P$2:P281,FALSE) + COUNTIF(P$2:P281, TRUE))</f>
        <v>0.49642857142857144</v>
      </c>
      <c r="R281" s="852">
        <v>313206.95</v>
      </c>
      <c r="S281" s="852">
        <f t="shared" si="104"/>
        <v>62627.869999999995</v>
      </c>
      <c r="T281" s="852">
        <v>-41827</v>
      </c>
      <c r="U281" s="852">
        <f t="shared" si="105"/>
        <v>17661.820000000007</v>
      </c>
      <c r="V281" s="854">
        <f>STDEV(D$2:D281)*SQRT(252)</f>
        <v>0.16624352629269787</v>
      </c>
      <c r="W281" s="854">
        <f>STDEV(L$2:L281)*SQRT(252)</f>
        <v>0.35679007137958157</v>
      </c>
      <c r="X281" s="823">
        <f t="shared" si="88"/>
        <v>0.14761135640474896</v>
      </c>
      <c r="Y281" s="823">
        <f t="shared" si="89"/>
        <v>-0.15195433630048219</v>
      </c>
      <c r="Z281" s="829">
        <f t="shared" si="90"/>
        <v>-8.7757368865698779E-2</v>
      </c>
    </row>
    <row r="282" spans="1:26" ht="20.100000000000001" customHeight="1" x14ac:dyDescent="0.2">
      <c r="A282" s="798">
        <f t="shared" si="123"/>
        <v>408</v>
      </c>
      <c r="B282" s="846">
        <v>42641</v>
      </c>
      <c r="C282" s="847">
        <v>2171.37</v>
      </c>
      <c r="D282" s="814">
        <f t="shared" si="120"/>
        <v>5.2964679410907088E-3</v>
      </c>
      <c r="E282" s="848">
        <f t="shared" si="108"/>
        <v>3.2785715644679435E-2</v>
      </c>
      <c r="F282" s="849">
        <v>5318.54</v>
      </c>
      <c r="G282" s="814">
        <f t="shared" si="121"/>
        <v>2.4181495030825145E-3</v>
      </c>
      <c r="H282" s="850">
        <f t="shared" si="110"/>
        <v>4.4550935836753965E-2</v>
      </c>
      <c r="I282" s="851">
        <v>385764.92</v>
      </c>
      <c r="J282" s="852">
        <v>400000</v>
      </c>
      <c r="K282" s="852">
        <f t="shared" si="111"/>
        <v>9930.0999999999767</v>
      </c>
      <c r="L282" s="814">
        <f t="shared" si="119"/>
        <v>2.6421447592322542E-2</v>
      </c>
      <c r="M282" s="853">
        <f t="shared" si="124"/>
        <v>-14235.080000000016</v>
      </c>
      <c r="N282" s="854">
        <f t="shared" si="107"/>
        <v>-3.5587700000000042E-2</v>
      </c>
      <c r="O282" s="808">
        <f t="shared" si="116"/>
        <v>-3.1858841727941213E-2</v>
      </c>
      <c r="P282" s="853" t="b">
        <f t="shared" si="112"/>
        <v>1</v>
      </c>
      <c r="Q282" s="854">
        <f>COUNTIF(P$2:P282, TRUE)/(COUNTIF(P$2:P282,FALSE) + COUNTIF(P$2:P282, TRUE))</f>
        <v>0.49822064056939502</v>
      </c>
      <c r="R282" s="852">
        <v>304000.24</v>
      </c>
      <c r="S282" s="852">
        <f t="shared" si="104"/>
        <v>81764.679999999993</v>
      </c>
      <c r="T282" s="852">
        <v>-31374</v>
      </c>
      <c r="U282" s="852">
        <f t="shared" si="105"/>
        <v>17138.919999999984</v>
      </c>
      <c r="V282" s="854">
        <f>STDEV(D$2:D282)*SQRT(252)</f>
        <v>0.16601709899528619</v>
      </c>
      <c r="W282" s="854">
        <f>STDEV(L$2:L282)*SQRT(252)</f>
        <v>0.35700717953973932</v>
      </c>
      <c r="X282" s="823">
        <f t="shared" si="88"/>
        <v>0.17679171496653109</v>
      </c>
      <c r="Y282" s="823">
        <f t="shared" si="89"/>
        <v>-8.9238658362597242E-2</v>
      </c>
      <c r="Z282" s="829">
        <f t="shared" si="90"/>
        <v>-6.8373415644679469E-2</v>
      </c>
    </row>
    <row r="283" spans="1:26" ht="20.100000000000001" customHeight="1" x14ac:dyDescent="0.2">
      <c r="A283" s="798">
        <f t="shared" si="123"/>
        <v>409</v>
      </c>
      <c r="B283" s="846">
        <v>42642</v>
      </c>
      <c r="C283" s="847">
        <v>2151.13</v>
      </c>
      <c r="D283" s="814">
        <f t="shared" si="120"/>
        <v>-9.3213040614910318E-3</v>
      </c>
      <c r="E283" s="848">
        <f t="shared" si="108"/>
        <v>2.3158805958790763E-2</v>
      </c>
      <c r="F283" s="849">
        <v>5269.15</v>
      </c>
      <c r="G283" s="814">
        <f t="shared" si="121"/>
        <v>-9.286383105137937E-3</v>
      </c>
      <c r="H283" s="850">
        <f t="shared" si="110"/>
        <v>3.4850835673743509E-2</v>
      </c>
      <c r="I283" s="851">
        <v>389483.35</v>
      </c>
      <c r="J283" s="852">
        <v>400000</v>
      </c>
      <c r="K283" s="852">
        <f t="shared" si="111"/>
        <v>3718.429999999993</v>
      </c>
      <c r="L283" s="814">
        <f t="shared" si="119"/>
        <v>9.6391087090033824E-3</v>
      </c>
      <c r="M283" s="853">
        <f t="shared" si="124"/>
        <v>-10516.650000000023</v>
      </c>
      <c r="N283" s="854">
        <f t="shared" si="107"/>
        <v>-2.6291625000000058E-2</v>
      </c>
      <c r="O283" s="808">
        <f t="shared" si="116"/>
        <v>-2.3479256800122299E-2</v>
      </c>
      <c r="P283" s="853" t="b">
        <f t="shared" si="112"/>
        <v>1</v>
      </c>
      <c r="Q283" s="854">
        <f>COUNTIF(P$2:P283, TRUE)/(COUNTIF(P$2:P283,FALSE) + COUNTIF(P$2:P283, TRUE))</f>
        <v>0.5</v>
      </c>
      <c r="R283" s="852">
        <v>298931.3</v>
      </c>
      <c r="S283" s="852">
        <f t="shared" si="104"/>
        <v>90552.049999999988</v>
      </c>
      <c r="T283" s="852">
        <v>-27372</v>
      </c>
      <c r="U283" s="852">
        <f t="shared" si="105"/>
        <v>16855.349999999977</v>
      </c>
      <c r="V283" s="854">
        <f>STDEV(D$2:D283)*SQRT(252)</f>
        <v>0.16596393387436578</v>
      </c>
      <c r="W283" s="854">
        <f>STDEV(L$2:L283)*SQRT(252)</f>
        <v>0.35647523622237404</v>
      </c>
      <c r="X283" s="823">
        <f t="shared" ref="X283:X346" si="125">E283/(A283/365.25)/V283</f>
        <v>0.12461472403891637</v>
      </c>
      <c r="Y283" s="823">
        <f t="shared" ref="Y283:Y346" si="126">O283/W283</f>
        <v>-6.5865043106320076E-2</v>
      </c>
      <c r="Z283" s="829">
        <f t="shared" ref="Z283:Z346" si="127">-(E283-N283)</f>
        <v>-4.9450430958790821E-2</v>
      </c>
    </row>
    <row r="284" spans="1:26" ht="20.100000000000001" customHeight="1" x14ac:dyDescent="0.2">
      <c r="A284" s="798">
        <f t="shared" si="123"/>
        <v>410</v>
      </c>
      <c r="B284" s="846">
        <v>42643</v>
      </c>
      <c r="C284" s="847">
        <v>2168.27</v>
      </c>
      <c r="D284" s="814">
        <f t="shared" si="120"/>
        <v>7.9679052405014442E-3</v>
      </c>
      <c r="E284" s="848">
        <f t="shared" si="108"/>
        <v>3.1311238370655012E-2</v>
      </c>
      <c r="F284" s="849">
        <v>5312</v>
      </c>
      <c r="G284" s="814">
        <f t="shared" si="121"/>
        <v>8.1322414431170813E-3</v>
      </c>
      <c r="H284" s="850">
        <f t="shared" si="110"/>
        <v>4.3266492527053869E-2</v>
      </c>
      <c r="I284" s="858">
        <v>389657.79</v>
      </c>
      <c r="J284" s="852">
        <v>400000</v>
      </c>
      <c r="K284" s="852">
        <f t="shared" si="111"/>
        <v>174.44000000000233</v>
      </c>
      <c r="L284" s="814">
        <f t="shared" si="119"/>
        <v>4.478753713092032E-4</v>
      </c>
      <c r="M284" s="853">
        <f t="shared" si="124"/>
        <v>-10342.210000000021</v>
      </c>
      <c r="N284" s="854">
        <f t="shared" si="107"/>
        <v>-2.5855525000000053E-2</v>
      </c>
      <c r="O284" s="808">
        <f t="shared" si="116"/>
        <v>-2.3033489039634193E-2</v>
      </c>
      <c r="P284" s="853" t="b">
        <f t="shared" si="112"/>
        <v>0</v>
      </c>
      <c r="Q284" s="854">
        <f>COUNTIF(P$2:P284, TRUE)/(COUNTIF(P$2:P284,FALSE) + COUNTIF(P$2:P284, TRUE))</f>
        <v>0.49823321554770317</v>
      </c>
      <c r="R284" s="852">
        <v>303944.73</v>
      </c>
      <c r="S284" s="852">
        <f t="shared" si="104"/>
        <v>85713.06</v>
      </c>
      <c r="T284" s="852">
        <v>-28150</v>
      </c>
      <c r="U284" s="852">
        <f t="shared" si="105"/>
        <v>17807.789999999979</v>
      </c>
      <c r="V284" s="854">
        <f>STDEV(D$2:D284)*SQRT(252)</f>
        <v>0.16583370781569123</v>
      </c>
      <c r="W284" s="854">
        <f>STDEV(L$2:L284)*SQRT(252)</f>
        <v>0.35584037520231043</v>
      </c>
      <c r="X284" s="823">
        <f t="shared" si="125"/>
        <v>0.16820302472408336</v>
      </c>
      <c r="Y284" s="823">
        <f t="shared" si="126"/>
        <v>-6.4729835748792333E-2</v>
      </c>
      <c r="Z284" s="829">
        <f t="shared" si="127"/>
        <v>-5.7166763370655065E-2</v>
      </c>
    </row>
    <row r="285" spans="1:26" ht="20.100000000000001" customHeight="1" x14ac:dyDescent="0.2">
      <c r="A285" s="798">
        <f t="shared" si="123"/>
        <v>413</v>
      </c>
      <c r="B285" s="817">
        <v>42646</v>
      </c>
      <c r="C285" s="842">
        <v>2161.1999999999998</v>
      </c>
      <c r="D285" s="814">
        <f t="shared" si="120"/>
        <v>-3.2606640316935453E-3</v>
      </c>
      <c r="E285" s="841">
        <f t="shared" si="108"/>
        <v>2.794847891021849E-2</v>
      </c>
      <c r="F285" s="838">
        <v>5300.87</v>
      </c>
      <c r="G285" s="814">
        <f t="shared" si="121"/>
        <v>-2.0952560240964061E-3</v>
      </c>
      <c r="H285" s="819">
        <f t="shared" si="110"/>
        <v>4.108058212384863E-2</v>
      </c>
      <c r="I285" s="821">
        <v>389787.58</v>
      </c>
      <c r="J285" s="822">
        <v>400000</v>
      </c>
      <c r="K285" s="822">
        <f t="shared" si="111"/>
        <v>129.79000000003725</v>
      </c>
      <c r="L285" s="814">
        <f t="shared" si="119"/>
        <v>3.3308714295186365E-4</v>
      </c>
      <c r="M285" s="839">
        <f t="shared" si="124"/>
        <v>-10212.419999999984</v>
      </c>
      <c r="N285" s="824">
        <f t="shared" si="107"/>
        <v>-2.5531049999999958E-2</v>
      </c>
      <c r="O285" s="808">
        <f t="shared" si="116"/>
        <v>-2.2579215526634347E-2</v>
      </c>
      <c r="P285" s="839" t="b">
        <f t="shared" si="112"/>
        <v>1</v>
      </c>
      <c r="Q285" s="824">
        <f>COUNTIF(P$2:P285, TRUE)/(COUNTIF(P$2:P285,FALSE) + COUNTIF(P$2:P285, TRUE))</f>
        <v>0.5</v>
      </c>
      <c r="R285" s="822">
        <v>316431.14</v>
      </c>
      <c r="S285" s="822">
        <f t="shared" ref="S285:S316" si="128">I285-R285</f>
        <v>73356.44</v>
      </c>
      <c r="T285" s="822">
        <v>-28447</v>
      </c>
      <c r="U285" s="822">
        <f t="shared" ref="U285:U316" si="129">M285-T285</f>
        <v>18234.580000000016</v>
      </c>
      <c r="V285" s="824">
        <f>STDEV(D$2:D285)*SQRT(252)</f>
        <v>0.16557095301003413</v>
      </c>
      <c r="W285" s="824">
        <f>STDEV(L$2:L285)*SQRT(252)</f>
        <v>0.35520892170812252</v>
      </c>
      <c r="X285" s="823">
        <f t="shared" si="125"/>
        <v>0.149284322288672</v>
      </c>
      <c r="Y285" s="823">
        <f t="shared" si="126"/>
        <v>-6.3566014665554588E-2</v>
      </c>
      <c r="Z285" s="829">
        <f t="shared" si="127"/>
        <v>-5.3479528910218448E-2</v>
      </c>
    </row>
    <row r="286" spans="1:26" ht="20.100000000000001" customHeight="1" x14ac:dyDescent="0.2">
      <c r="A286" s="798">
        <f t="shared" si="123"/>
        <v>414</v>
      </c>
      <c r="B286" s="817">
        <v>42647</v>
      </c>
      <c r="C286" s="842">
        <v>2150.4899999999998</v>
      </c>
      <c r="D286" s="814">
        <f t="shared" ref="D286:D295" si="130">(C286-C285)/C285</f>
        <v>-4.9555802332037933E-3</v>
      </c>
      <c r="E286" s="841">
        <f t="shared" si="108"/>
        <v>2.2854397747379105E-2</v>
      </c>
      <c r="F286" s="838">
        <v>5289.65</v>
      </c>
      <c r="G286" s="814">
        <f t="shared" ref="G286:G292" si="131">(F286-F285)/F285</f>
        <v>-2.1166336846593589E-3</v>
      </c>
      <c r="H286" s="819">
        <f t="shared" si="110"/>
        <v>3.8876995895280521E-2</v>
      </c>
      <c r="I286" s="821">
        <v>385233.03</v>
      </c>
      <c r="J286" s="822">
        <v>400000</v>
      </c>
      <c r="K286" s="822">
        <f t="shared" si="111"/>
        <v>-4554.5499999999884</v>
      </c>
      <c r="L286" s="814">
        <f t="shared" ref="L286:L295" si="132">K286/I285</f>
        <v>-1.1684697598625355E-2</v>
      </c>
      <c r="M286" s="839">
        <f t="shared" si="124"/>
        <v>-14766.969999999972</v>
      </c>
      <c r="N286" s="824">
        <f t="shared" ref="N286:N317" si="133">M286/J286</f>
        <v>-3.6917424999999927E-2</v>
      </c>
      <c r="O286" s="808">
        <f t="shared" si="116"/>
        <v>-3.2570264447463707E-2</v>
      </c>
      <c r="P286" s="839" t="b">
        <f t="shared" si="112"/>
        <v>0</v>
      </c>
      <c r="Q286" s="824">
        <f>COUNTIF(P$2:P286, TRUE)/(COUNTIF(P$2:P286,FALSE) + COUNTIF(P$2:P286, TRUE))</f>
        <v>0.49824561403508771</v>
      </c>
      <c r="R286" s="822">
        <v>337102.39</v>
      </c>
      <c r="S286" s="822">
        <f t="shared" si="128"/>
        <v>48130.640000000014</v>
      </c>
      <c r="T286" s="822">
        <v>-32163</v>
      </c>
      <c r="U286" s="822">
        <f t="shared" si="129"/>
        <v>17396.030000000028</v>
      </c>
      <c r="V286" s="824">
        <f>STDEV(D$2:D286)*SQRT(252)</f>
        <v>0.16534817054416481</v>
      </c>
      <c r="W286" s="824">
        <f>STDEV(L$2:L286)*SQRT(252)</f>
        <v>0.35476607688224249</v>
      </c>
      <c r="X286" s="823">
        <f t="shared" si="125"/>
        <v>0.12194395341949456</v>
      </c>
      <c r="Y286" s="823">
        <f t="shared" si="126"/>
        <v>-9.1807719423733836E-2</v>
      </c>
      <c r="Z286" s="829">
        <f t="shared" si="127"/>
        <v>-5.9771822747379036E-2</v>
      </c>
    </row>
    <row r="287" spans="1:26" ht="20.100000000000001" customHeight="1" x14ac:dyDescent="0.2">
      <c r="A287" s="798">
        <f t="shared" si="123"/>
        <v>415</v>
      </c>
      <c r="B287" s="817">
        <v>42648</v>
      </c>
      <c r="C287" s="842">
        <v>2159.73</v>
      </c>
      <c r="D287" s="814">
        <f t="shared" si="130"/>
        <v>4.2966951717981657E-3</v>
      </c>
      <c r="E287" s="841">
        <f t="shared" si="108"/>
        <v>2.7249291299632789E-2</v>
      </c>
      <c r="F287" s="838">
        <v>5316.02</v>
      </c>
      <c r="G287" s="814">
        <f t="shared" si="131"/>
        <v>4.9852069607631512E-3</v>
      </c>
      <c r="H287" s="819">
        <f t="shared" si="110"/>
        <v>4.4056012726594387E-2</v>
      </c>
      <c r="I287" s="821">
        <v>390592.54</v>
      </c>
      <c r="J287" s="822">
        <v>400000</v>
      </c>
      <c r="K287" s="822">
        <f t="shared" si="111"/>
        <v>5359.5099999999511</v>
      </c>
      <c r="L287" s="814">
        <f t="shared" si="132"/>
        <v>1.3912384407951599E-2</v>
      </c>
      <c r="M287" s="839">
        <f t="shared" si="124"/>
        <v>-9407.460000000021</v>
      </c>
      <c r="N287" s="824">
        <f t="shared" si="133"/>
        <v>-2.3518650000000054E-2</v>
      </c>
      <c r="O287" s="808">
        <f t="shared" si="116"/>
        <v>-2.0699245572289207E-2</v>
      </c>
      <c r="P287" s="839" t="b">
        <f t="shared" si="112"/>
        <v>1</v>
      </c>
      <c r="Q287" s="824">
        <f>COUNTIF(P$2:P287, TRUE)/(COUNTIF(P$2:P287,FALSE) + COUNTIF(P$2:P287, TRUE))</f>
        <v>0.5</v>
      </c>
      <c r="R287" s="822">
        <v>313332.61</v>
      </c>
      <c r="S287" s="822">
        <f t="shared" si="128"/>
        <v>77259.929999999993</v>
      </c>
      <c r="T287" s="822">
        <v>-29624</v>
      </c>
      <c r="U287" s="822">
        <f t="shared" si="129"/>
        <v>20216.539999999979</v>
      </c>
      <c r="V287" s="824">
        <f>STDEV(D$2:D287)*SQRT(252)</f>
        <v>0.16510322057626589</v>
      </c>
      <c r="W287" s="824">
        <f>STDEV(L$2:L287)*SQRT(252)</f>
        <v>0.35436735180004281</v>
      </c>
      <c r="X287" s="823">
        <f t="shared" si="125"/>
        <v>0.14525858009985407</v>
      </c>
      <c r="Y287" s="823">
        <f t="shared" si="126"/>
        <v>-5.8411830173252167E-2</v>
      </c>
      <c r="Z287" s="829">
        <f t="shared" si="127"/>
        <v>-5.0767941299632843E-2</v>
      </c>
    </row>
    <row r="288" spans="1:26" ht="20.100000000000001" customHeight="1" x14ac:dyDescent="0.2">
      <c r="A288" s="798">
        <f t="shared" si="123"/>
        <v>416</v>
      </c>
      <c r="B288" s="817">
        <v>42649</v>
      </c>
      <c r="C288" s="842">
        <v>2160.77</v>
      </c>
      <c r="D288" s="814">
        <f t="shared" si="130"/>
        <v>4.8154167419073849E-4</v>
      </c>
      <c r="E288" s="841">
        <f t="shared" ref="E288:E319" si="134">(C288-$C$2)/$C$2</f>
        <v>2.7743954643176465E-2</v>
      </c>
      <c r="F288" s="838">
        <v>5306.85</v>
      </c>
      <c r="G288" s="814">
        <f t="shared" si="131"/>
        <v>-1.7249746991170221E-3</v>
      </c>
      <c r="H288" s="819">
        <f t="shared" ref="H288:H319" si="135">(F288-F$2)/F$2</f>
        <v>4.225504252018001E-2</v>
      </c>
      <c r="I288" s="821">
        <v>390871.84</v>
      </c>
      <c r="J288" s="822">
        <v>400000</v>
      </c>
      <c r="K288" s="822">
        <f t="shared" ref="K288:K319" si="136">I288-I287-J288+J287</f>
        <v>279.30000000004657</v>
      </c>
      <c r="L288" s="814">
        <f t="shared" si="132"/>
        <v>7.1506742038659153E-4</v>
      </c>
      <c r="M288" s="839">
        <f t="shared" si="124"/>
        <v>-9128.1599999999744</v>
      </c>
      <c r="N288" s="824">
        <f t="shared" si="133"/>
        <v>-2.2820399999999935E-2</v>
      </c>
      <c r="O288" s="808">
        <f t="shared" si="116"/>
        <v>-2.0036420913461479E-2</v>
      </c>
      <c r="P288" s="839" t="b">
        <f t="shared" ref="P288:P319" si="137">L288&gt;D288</f>
        <v>1</v>
      </c>
      <c r="Q288" s="824">
        <f>COUNTIF(P$2:P288, TRUE)/(COUNTIF(P$2:P288,FALSE) + COUNTIF(P$2:P288, TRUE))</f>
        <v>0.50174216027874563</v>
      </c>
      <c r="R288" s="822">
        <v>335247.19</v>
      </c>
      <c r="S288" s="822">
        <f t="shared" si="128"/>
        <v>55624.650000000023</v>
      </c>
      <c r="T288" s="822">
        <v>-29330</v>
      </c>
      <c r="U288" s="822">
        <f t="shared" si="129"/>
        <v>20201.840000000026</v>
      </c>
      <c r="V288" s="824">
        <f>STDEV(D$2:D288)*SQRT(252)</f>
        <v>0.16481360805187978</v>
      </c>
      <c r="W288" s="824">
        <f>STDEV(L$2:L288)*SQRT(252)</f>
        <v>0.35374517129723698</v>
      </c>
      <c r="X288" s="823">
        <f t="shared" si="125"/>
        <v>0.1477992372658844</v>
      </c>
      <c r="Y288" s="823">
        <f t="shared" si="126"/>
        <v>-5.6640832269130054E-2</v>
      </c>
      <c r="Z288" s="829">
        <f t="shared" si="127"/>
        <v>-5.05643546431764E-2</v>
      </c>
    </row>
    <row r="289" spans="1:26" ht="20.100000000000001" customHeight="1" x14ac:dyDescent="0.2">
      <c r="A289" s="798">
        <f t="shared" si="123"/>
        <v>417</v>
      </c>
      <c r="B289" s="817">
        <v>42650</v>
      </c>
      <c r="C289" s="842">
        <v>2153.7399999999998</v>
      </c>
      <c r="D289" s="814">
        <f t="shared" si="130"/>
        <v>-3.2534698278855224E-3</v>
      </c>
      <c r="E289" s="841">
        <f t="shared" si="134"/>
        <v>2.4400220695953143E-2</v>
      </c>
      <c r="F289" s="838">
        <v>5292.4</v>
      </c>
      <c r="G289" s="814">
        <f t="shared" si="131"/>
        <v>-2.7228958798535341E-3</v>
      </c>
      <c r="H289" s="819">
        <f t="shared" si="135"/>
        <v>3.9417090559145239E-2</v>
      </c>
      <c r="I289" s="821">
        <v>386326.18</v>
      </c>
      <c r="J289" s="822">
        <v>400000</v>
      </c>
      <c r="K289" s="822">
        <f t="shared" si="136"/>
        <v>-4545.6600000000326</v>
      </c>
      <c r="L289" s="814">
        <f t="shared" si="132"/>
        <v>-1.1629540772238881E-2</v>
      </c>
      <c r="M289" s="839">
        <f t="shared" si="124"/>
        <v>-13673.820000000007</v>
      </c>
      <c r="N289" s="824">
        <f t="shared" si="133"/>
        <v>-3.4184550000000015E-2</v>
      </c>
      <c r="O289" s="808">
        <f t="shared" si="116"/>
        <v>-2.9942222751798572E-2</v>
      </c>
      <c r="P289" s="839" t="b">
        <f t="shared" si="137"/>
        <v>0</v>
      </c>
      <c r="Q289" s="824">
        <f>COUNTIF(P$2:P289, TRUE)/(COUNTIF(P$2:P289,FALSE) + COUNTIF(P$2:P289, TRUE))</f>
        <v>0.5</v>
      </c>
      <c r="R289" s="822">
        <v>340123.03</v>
      </c>
      <c r="S289" s="822">
        <f t="shared" si="128"/>
        <v>46203.149999999965</v>
      </c>
      <c r="T289" s="822">
        <v>-30659</v>
      </c>
      <c r="U289" s="822">
        <f t="shared" si="129"/>
        <v>16985.179999999993</v>
      </c>
      <c r="V289" s="824">
        <f>STDEV(D$2:D289)*SQRT(252)</f>
        <v>0.16455611820081531</v>
      </c>
      <c r="W289" s="824">
        <f>STDEV(L$2:L289)*SQRT(252)</f>
        <v>0.35330879271171961</v>
      </c>
      <c r="X289" s="823">
        <f t="shared" si="125"/>
        <v>0.12987749095654019</v>
      </c>
      <c r="Y289" s="823">
        <f t="shared" si="126"/>
        <v>-8.4748026002935531E-2</v>
      </c>
      <c r="Z289" s="829">
        <f t="shared" si="127"/>
        <v>-5.8584770695953158E-2</v>
      </c>
    </row>
    <row r="290" spans="1:26" ht="20.100000000000001" customHeight="1" x14ac:dyDescent="0.2">
      <c r="A290" s="798">
        <f t="shared" si="123"/>
        <v>420</v>
      </c>
      <c r="B290" s="846">
        <v>42653</v>
      </c>
      <c r="C290" s="847">
        <v>2163.66</v>
      </c>
      <c r="D290" s="814">
        <f t="shared" si="130"/>
        <v>4.6059412928208948E-3</v>
      </c>
      <c r="E290" s="848">
        <f t="shared" si="134"/>
        <v>2.911854797283147E-2</v>
      </c>
      <c r="F290" s="849">
        <v>5328.67</v>
      </c>
      <c r="G290" s="814">
        <f t="shared" si="131"/>
        <v>6.8532234902880431E-3</v>
      </c>
      <c r="H290" s="850">
        <f t="shared" si="135"/>
        <v>4.6540448180372028E-2</v>
      </c>
      <c r="I290" s="851">
        <v>390200.44</v>
      </c>
      <c r="J290" s="852">
        <v>400000</v>
      </c>
      <c r="K290" s="852">
        <f t="shared" si="136"/>
        <v>3874.2600000000093</v>
      </c>
      <c r="L290" s="814">
        <f t="shared" si="132"/>
        <v>1.0028468689333997E-2</v>
      </c>
      <c r="M290" s="853">
        <f t="shared" si="124"/>
        <v>-9799.5599999999977</v>
      </c>
      <c r="N290" s="854">
        <f t="shared" si="133"/>
        <v>-2.4498899999999994E-2</v>
      </c>
      <c r="O290" s="808">
        <f t="shared" si="116"/>
        <v>-2.1305293392857139E-2</v>
      </c>
      <c r="P290" s="853" t="b">
        <f t="shared" si="137"/>
        <v>1</v>
      </c>
      <c r="Q290" s="854">
        <f>COUNTIF(P$2:P290, TRUE)/(COUNTIF(P$2:P290,FALSE) + COUNTIF(P$2:P290, TRUE))</f>
        <v>0.5017301038062284</v>
      </c>
      <c r="R290" s="852">
        <v>340124.03</v>
      </c>
      <c r="S290" s="852">
        <f t="shared" si="128"/>
        <v>50076.409999999974</v>
      </c>
      <c r="T290" s="852">
        <v>-26735</v>
      </c>
      <c r="U290" s="852">
        <f t="shared" si="129"/>
        <v>16935.440000000002</v>
      </c>
      <c r="V290" s="854">
        <f>STDEV(D$2:D290)*SQRT(252)</f>
        <v>0.16432235109111573</v>
      </c>
      <c r="W290" s="854">
        <f>STDEV(L$2:L290)*SQRT(252)</f>
        <v>0.35280655192521093</v>
      </c>
      <c r="X290" s="823">
        <f t="shared" si="125"/>
        <v>0.15410403445909321</v>
      </c>
      <c r="Y290" s="823">
        <f t="shared" si="126"/>
        <v>-6.0388032128647948E-2</v>
      </c>
      <c r="Z290" s="829">
        <f t="shared" si="127"/>
        <v>-5.3617447972831467E-2</v>
      </c>
    </row>
    <row r="291" spans="1:26" ht="20.100000000000001" customHeight="1" x14ac:dyDescent="0.2">
      <c r="A291" s="798">
        <f t="shared" si="123"/>
        <v>428</v>
      </c>
      <c r="B291" s="817">
        <v>42661</v>
      </c>
      <c r="C291" s="842">
        <v>2139.6</v>
      </c>
      <c r="D291" s="814">
        <f t="shared" si="130"/>
        <v>-1.1120046587726327E-2</v>
      </c>
      <c r="E291" s="841">
        <f t="shared" si="134"/>
        <v>1.7674701775080313E-2</v>
      </c>
      <c r="F291" s="838">
        <v>5243.83</v>
      </c>
      <c r="G291" s="814">
        <f t="shared" si="131"/>
        <v>-1.592142129274287E-2</v>
      </c>
      <c r="H291" s="819">
        <f t="shared" si="135"/>
        <v>2.9878036804996389E-2</v>
      </c>
      <c r="I291" s="821">
        <v>374649.22</v>
      </c>
      <c r="J291" s="822">
        <v>400000</v>
      </c>
      <c r="K291" s="822">
        <f t="shared" si="136"/>
        <v>-15551.22000000003</v>
      </c>
      <c r="L291" s="814">
        <f t="shared" si="132"/>
        <v>-3.9854439938612138E-2</v>
      </c>
      <c r="M291" s="839">
        <f t="shared" si="124"/>
        <v>-25350.780000000028</v>
      </c>
      <c r="N291" s="824">
        <f t="shared" si="133"/>
        <v>-6.3376950000000071E-2</v>
      </c>
      <c r="O291" s="808">
        <f t="shared" si="116"/>
        <v>-5.4085119129672961E-2</v>
      </c>
      <c r="P291" s="839" t="b">
        <f t="shared" si="137"/>
        <v>0</v>
      </c>
      <c r="Q291" s="824">
        <f>COUNTIF(P$2:P291, TRUE)/(COUNTIF(P$2:P291,FALSE) + COUNTIF(P$2:P291, TRUE))</f>
        <v>0.5</v>
      </c>
      <c r="R291" s="822">
        <v>325873.59999999998</v>
      </c>
      <c r="S291" s="822">
        <f t="shared" si="128"/>
        <v>48775.619999999995</v>
      </c>
      <c r="T291" s="822">
        <v>-42252</v>
      </c>
      <c r="U291" s="822">
        <f t="shared" si="129"/>
        <v>16901.219999999972</v>
      </c>
      <c r="V291" s="824">
        <f>STDEV(D$2:D291)*SQRT(252)</f>
        <v>0.16437424820296684</v>
      </c>
      <c r="W291" s="824">
        <f>STDEV(L$2:L291)*SQRT(252)</f>
        <v>0.35420191935581979</v>
      </c>
      <c r="X291" s="823">
        <f t="shared" si="125"/>
        <v>9.1762401473383201E-2</v>
      </c>
      <c r="Y291" s="823">
        <f t="shared" si="126"/>
        <v>-0.15269572572626519</v>
      </c>
      <c r="Z291" s="829">
        <f t="shared" si="127"/>
        <v>-8.1051651775080391E-2</v>
      </c>
    </row>
    <row r="292" spans="1:26" ht="20.100000000000001" customHeight="1" x14ac:dyDescent="0.2">
      <c r="A292" s="798">
        <f t="shared" si="123"/>
        <v>429</v>
      </c>
      <c r="B292" s="817">
        <v>42662</v>
      </c>
      <c r="C292" s="842">
        <v>2144.29</v>
      </c>
      <c r="D292" s="814">
        <f t="shared" si="130"/>
        <v>2.1919985043933701E-3</v>
      </c>
      <c r="E292" s="841">
        <f t="shared" si="134"/>
        <v>1.9905443199330259E-2</v>
      </c>
      <c r="F292" s="838">
        <v>5246.41</v>
      </c>
      <c r="G292" s="814">
        <f t="shared" si="131"/>
        <v>4.9200679655898979E-4</v>
      </c>
      <c r="H292" s="819">
        <f t="shared" si="135"/>
        <v>3.0384743798731278E-2</v>
      </c>
      <c r="I292" s="821">
        <v>380216.65</v>
      </c>
      <c r="J292" s="822">
        <v>400000</v>
      </c>
      <c r="K292" s="822">
        <f t="shared" si="136"/>
        <v>5567.4300000000512</v>
      </c>
      <c r="L292" s="814">
        <f t="shared" si="132"/>
        <v>1.4860380598150055E-2</v>
      </c>
      <c r="M292" s="839">
        <f t="shared" si="124"/>
        <v>-19783.349999999977</v>
      </c>
      <c r="N292" s="824">
        <f t="shared" si="133"/>
        <v>-4.9458374999999943E-2</v>
      </c>
      <c r="O292" s="808">
        <f t="shared" si="116"/>
        <v>-4.2108791302447504E-2</v>
      </c>
      <c r="P292" s="839" t="b">
        <f t="shared" si="137"/>
        <v>1</v>
      </c>
      <c r="Q292" s="824">
        <f>COUNTIF(P$2:P292, TRUE)/(COUNTIF(P$2:P292,FALSE) + COUNTIF(P$2:P292, TRUE))</f>
        <v>0.50171821305841924</v>
      </c>
      <c r="R292" s="822">
        <v>324057.2</v>
      </c>
      <c r="S292" s="822">
        <f t="shared" si="128"/>
        <v>56159.450000000012</v>
      </c>
      <c r="T292" s="822">
        <v>-37035</v>
      </c>
      <c r="U292" s="822">
        <f t="shared" si="129"/>
        <v>17251.650000000023</v>
      </c>
      <c r="V292" s="824">
        <f>STDEV(D$2:D292)*SQRT(252)</f>
        <v>0.16410104874699943</v>
      </c>
      <c r="W292" s="824">
        <f>STDEV(L$2:L292)*SQRT(252)</f>
        <v>0.3538474741949057</v>
      </c>
      <c r="X292" s="823">
        <f t="shared" si="125"/>
        <v>0.10327457764305704</v>
      </c>
      <c r="Y292" s="823">
        <f t="shared" si="126"/>
        <v>-0.11900266180578474</v>
      </c>
      <c r="Z292" s="829">
        <f t="shared" si="127"/>
        <v>-6.9363818199330199E-2</v>
      </c>
    </row>
    <row r="293" spans="1:26" ht="20.100000000000001" customHeight="1" x14ac:dyDescent="0.2">
      <c r="A293" s="798">
        <f t="shared" si="123"/>
        <v>430</v>
      </c>
      <c r="B293" s="817">
        <v>42663</v>
      </c>
      <c r="C293" s="842">
        <v>2141.34</v>
      </c>
      <c r="D293" s="814">
        <f t="shared" si="130"/>
        <v>-1.3757467506726321E-3</v>
      </c>
      <c r="E293" s="841">
        <f t="shared" si="134"/>
        <v>1.850231159985545E-2</v>
      </c>
      <c r="F293" s="838">
        <v>5241.83</v>
      </c>
      <c r="G293" s="814">
        <f t="shared" ref="G293:G306" si="138">(F293-F292)/F292</f>
        <v>-8.7297790298507499E-4</v>
      </c>
      <c r="H293" s="819">
        <f t="shared" si="135"/>
        <v>2.9485240685822048E-2</v>
      </c>
      <c r="I293" s="821">
        <v>381021.44</v>
      </c>
      <c r="J293" s="822">
        <v>400000</v>
      </c>
      <c r="K293" s="822">
        <f t="shared" si="136"/>
        <v>804.78999999997905</v>
      </c>
      <c r="L293" s="814">
        <f t="shared" si="132"/>
        <v>2.1166616454065834E-3</v>
      </c>
      <c r="M293" s="839">
        <f t="shared" si="124"/>
        <v>-18978.559999999998</v>
      </c>
      <c r="N293" s="824">
        <f t="shared" si="133"/>
        <v>-4.7446399999999993E-2</v>
      </c>
      <c r="O293" s="808">
        <f t="shared" si="116"/>
        <v>-4.0301854883720921E-2</v>
      </c>
      <c r="P293" s="839" t="b">
        <f t="shared" si="137"/>
        <v>1</v>
      </c>
      <c r="Q293" s="824">
        <f>COUNTIF(P$2:P293, TRUE)/(COUNTIF(P$2:P293,FALSE) + COUNTIF(P$2:P293, TRUE))</f>
        <v>0.50342465753424659</v>
      </c>
      <c r="R293" s="822">
        <v>320933.90000000002</v>
      </c>
      <c r="S293" s="822">
        <f t="shared" si="128"/>
        <v>60087.539999999979</v>
      </c>
      <c r="T293" s="822">
        <v>-36535</v>
      </c>
      <c r="U293" s="822">
        <f t="shared" si="129"/>
        <v>17556.440000000002</v>
      </c>
      <c r="V293" s="824">
        <f>STDEV(D$2:D293)*SQRT(252)</f>
        <v>0.16382379522732679</v>
      </c>
      <c r="W293" s="824">
        <f>STDEV(L$2:L293)*SQRT(252)</f>
        <v>0.35324050890305325</v>
      </c>
      <c r="X293" s="823">
        <f t="shared" si="125"/>
        <v>9.5933607692105766E-2</v>
      </c>
      <c r="Y293" s="823">
        <f t="shared" si="126"/>
        <v>-0.11409182658261245</v>
      </c>
      <c r="Z293" s="829">
        <f t="shared" si="127"/>
        <v>-6.5948711599855436E-2</v>
      </c>
    </row>
    <row r="294" spans="1:26" ht="20.100000000000001" customHeight="1" x14ac:dyDescent="0.2">
      <c r="A294" s="798">
        <f t="shared" si="123"/>
        <v>431</v>
      </c>
      <c r="B294" s="817">
        <v>42664</v>
      </c>
      <c r="C294" s="842">
        <v>2141.16</v>
      </c>
      <c r="D294" s="814">
        <f t="shared" si="130"/>
        <v>-8.4059514136144197E-5</v>
      </c>
      <c r="E294" s="841">
        <f t="shared" si="134"/>
        <v>1.8416696790395825E-2</v>
      </c>
      <c r="F294" s="838">
        <v>5257.4</v>
      </c>
      <c r="G294" s="814">
        <f t="shared" si="138"/>
        <v>2.9703366953906765E-3</v>
      </c>
      <c r="H294" s="819">
        <f t="shared" si="135"/>
        <v>3.254315847359425E-2</v>
      </c>
      <c r="I294" s="821">
        <v>378995.29</v>
      </c>
      <c r="J294" s="822">
        <v>400000</v>
      </c>
      <c r="K294" s="822">
        <f t="shared" si="136"/>
        <v>-2026.1500000000233</v>
      </c>
      <c r="L294" s="814">
        <f t="shared" si="132"/>
        <v>-5.3176797610129849E-3</v>
      </c>
      <c r="M294" s="839">
        <f t="shared" si="124"/>
        <v>-21004.710000000021</v>
      </c>
      <c r="N294" s="824">
        <f t="shared" si="133"/>
        <v>-5.2511775000000052E-2</v>
      </c>
      <c r="O294" s="808">
        <f t="shared" si="116"/>
        <v>-4.4500987978538326E-2</v>
      </c>
      <c r="P294" s="839" t="b">
        <f t="shared" si="137"/>
        <v>0</v>
      </c>
      <c r="Q294" s="824">
        <f>COUNTIF(P$2:P294, TRUE)/(COUNTIF(P$2:P294,FALSE) + COUNTIF(P$2:P294, TRUE))</f>
        <v>0.50170648464163825</v>
      </c>
      <c r="R294" s="822">
        <v>320934.90000000002</v>
      </c>
      <c r="S294" s="822">
        <f t="shared" si="128"/>
        <v>58060.389999999956</v>
      </c>
      <c r="T294" s="822">
        <v>-36534</v>
      </c>
      <c r="U294" s="822">
        <f t="shared" si="129"/>
        <v>15529.289999999979</v>
      </c>
      <c r="V294" s="824">
        <f>STDEV(D$2:D294)*SQRT(252)</f>
        <v>0.16354217458793488</v>
      </c>
      <c r="W294" s="824">
        <f>STDEV(L$2:L294)*SQRT(252)</f>
        <v>0.35267302551448443</v>
      </c>
      <c r="X294" s="823">
        <f t="shared" si="125"/>
        <v>9.5432197478711553E-2</v>
      </c>
      <c r="Y294" s="823">
        <f t="shared" si="126"/>
        <v>-0.12618200077428562</v>
      </c>
      <c r="Z294" s="829">
        <f t="shared" si="127"/>
        <v>-7.0928471790395881E-2</v>
      </c>
    </row>
    <row r="295" spans="1:26" ht="20.100000000000001" customHeight="1" x14ac:dyDescent="0.2">
      <c r="A295" s="798">
        <f t="shared" si="123"/>
        <v>434</v>
      </c>
      <c r="B295" s="846">
        <v>42667</v>
      </c>
      <c r="C295" s="847">
        <v>2151.33</v>
      </c>
      <c r="D295" s="814">
        <f t="shared" si="130"/>
        <v>4.7497618113546275E-3</v>
      </c>
      <c r="E295" s="848">
        <f t="shared" si="134"/>
        <v>2.3253933524856774E-2</v>
      </c>
      <c r="F295" s="849">
        <v>5309.82</v>
      </c>
      <c r="G295" s="814">
        <f t="shared" si="138"/>
        <v>9.9707079545022399E-3</v>
      </c>
      <c r="H295" s="850">
        <f t="shared" si="135"/>
        <v>4.2838344757153778E-2</v>
      </c>
      <c r="I295" s="851">
        <v>378540.69</v>
      </c>
      <c r="J295" s="852">
        <v>400000</v>
      </c>
      <c r="K295" s="852">
        <f t="shared" si="136"/>
        <v>-454.59999999997672</v>
      </c>
      <c r="L295" s="814">
        <f t="shared" si="132"/>
        <v>-1.1994872020704445E-3</v>
      </c>
      <c r="M295" s="853">
        <f t="shared" si="124"/>
        <v>-21459.309999999998</v>
      </c>
      <c r="N295" s="854">
        <f t="shared" si="133"/>
        <v>-5.3648274999999995E-2</v>
      </c>
      <c r="O295" s="808">
        <f t="shared" si="116"/>
        <v>-4.5149844340437784E-2</v>
      </c>
      <c r="P295" s="853" t="b">
        <f t="shared" si="137"/>
        <v>0</v>
      </c>
      <c r="Q295" s="854">
        <f>COUNTIF(P$2:P295, TRUE)/(COUNTIF(P$2:P295,FALSE) + COUNTIF(P$2:P295, TRUE))</f>
        <v>0.5</v>
      </c>
      <c r="R295" s="852">
        <v>324753.15000000002</v>
      </c>
      <c r="S295" s="852">
        <f t="shared" si="128"/>
        <v>53787.539999999979</v>
      </c>
      <c r="T295" s="852">
        <v>-39269</v>
      </c>
      <c r="U295" s="852">
        <f t="shared" si="129"/>
        <v>17809.690000000002</v>
      </c>
      <c r="V295" s="854">
        <f>STDEV(D$2:D295)*SQRT(252)</f>
        <v>0.16331845604618789</v>
      </c>
      <c r="W295" s="854">
        <f>STDEV(L$2:L295)*SQRT(252)</f>
        <v>0.35207165866831386</v>
      </c>
      <c r="X295" s="823">
        <f t="shared" si="125"/>
        <v>0.11982892303868001</v>
      </c>
      <c r="Y295" s="823">
        <f t="shared" si="126"/>
        <v>-0.12824049658303618</v>
      </c>
      <c r="Z295" s="829">
        <f t="shared" si="127"/>
        <v>-7.6902208524856769E-2</v>
      </c>
    </row>
    <row r="296" spans="1:26" ht="20.100000000000001" customHeight="1" x14ac:dyDescent="0.2">
      <c r="A296" s="798">
        <f t="shared" si="123"/>
        <v>435</v>
      </c>
      <c r="B296" s="846">
        <v>42668</v>
      </c>
      <c r="C296" s="847">
        <v>2143.16</v>
      </c>
      <c r="D296" s="814">
        <f t="shared" ref="D296:D306" si="139">(C296-C295)/C295</f>
        <v>-3.797650755579141E-3</v>
      </c>
      <c r="E296" s="848">
        <f t="shared" si="134"/>
        <v>1.9367972451056772E-2</v>
      </c>
      <c r="F296" s="849">
        <v>5283.39</v>
      </c>
      <c r="G296" s="814">
        <f t="shared" si="138"/>
        <v>-4.9775698611251194E-3</v>
      </c>
      <c r="H296" s="850">
        <f t="shared" si="135"/>
        <v>3.764754404226496E-2</v>
      </c>
      <c r="I296" s="851">
        <v>374243.66</v>
      </c>
      <c r="J296" s="852">
        <v>400000</v>
      </c>
      <c r="K296" s="852">
        <f t="shared" si="136"/>
        <v>-4297.0300000000279</v>
      </c>
      <c r="L296" s="814">
        <f>K296/I295</f>
        <v>-1.1351566987422219E-2</v>
      </c>
      <c r="M296" s="853">
        <f t="shared" si="124"/>
        <v>-25756.340000000026</v>
      </c>
      <c r="N296" s="854">
        <f t="shared" si="133"/>
        <v>-6.4390850000000069E-2</v>
      </c>
      <c r="O296" s="808">
        <f t="shared" si="116"/>
        <v>-5.4066110258620743E-2</v>
      </c>
      <c r="P296" s="853" t="b">
        <f t="shared" si="137"/>
        <v>0</v>
      </c>
      <c r="Q296" s="854">
        <f>COUNTIF(P$2:P296, TRUE)/(COUNTIF(P$2:P296,FALSE) + COUNTIF(P$2:P296, TRUE))</f>
        <v>0.49830508474576274</v>
      </c>
      <c r="R296" s="852">
        <v>324754.15000000002</v>
      </c>
      <c r="S296" s="852">
        <f t="shared" si="128"/>
        <v>49489.509999999951</v>
      </c>
      <c r="T296" s="852">
        <v>-44170</v>
      </c>
      <c r="U296" s="852">
        <f t="shared" si="129"/>
        <v>18413.659999999974</v>
      </c>
      <c r="V296" s="854">
        <f>STDEV(D$2:D296)*SQRT(252)</f>
        <v>0.16308008977690622</v>
      </c>
      <c r="W296" s="854">
        <f>STDEV(L$2:L296)*SQRT(252)</f>
        <v>0.35163793771094465</v>
      </c>
      <c r="X296" s="823">
        <f t="shared" si="125"/>
        <v>9.9720439631500568E-2</v>
      </c>
      <c r="Y296" s="823">
        <f t="shared" si="126"/>
        <v>-0.15375505444769291</v>
      </c>
      <c r="Z296" s="829">
        <f t="shared" si="127"/>
        <v>-8.3758822451056841E-2</v>
      </c>
    </row>
    <row r="297" spans="1:26" ht="20.100000000000001" customHeight="1" x14ac:dyDescent="0.2">
      <c r="A297" s="798">
        <f t="shared" si="123"/>
        <v>436</v>
      </c>
      <c r="B297" s="846">
        <v>42669</v>
      </c>
      <c r="C297" s="847">
        <v>2139.4299999999998</v>
      </c>
      <c r="D297" s="814">
        <f t="shared" si="139"/>
        <v>-1.7404206872095496E-3</v>
      </c>
      <c r="E297" s="848">
        <f t="shared" si="134"/>
        <v>1.7593843343924099E-2</v>
      </c>
      <c r="F297" s="849">
        <v>5250.26</v>
      </c>
      <c r="G297" s="814">
        <f t="shared" si="138"/>
        <v>-6.2705952049725852E-3</v>
      </c>
      <c r="H297" s="850">
        <f t="shared" si="135"/>
        <v>3.1140876328141956E-2</v>
      </c>
      <c r="I297" s="851">
        <v>374681.1</v>
      </c>
      <c r="J297" s="852">
        <v>400000</v>
      </c>
      <c r="K297" s="852">
        <f t="shared" si="136"/>
        <v>437.44000000000233</v>
      </c>
      <c r="L297" s="814">
        <f>K297/I296</f>
        <v>1.1688641565764997E-3</v>
      </c>
      <c r="M297" s="853">
        <f t="shared" si="124"/>
        <v>-25318.900000000023</v>
      </c>
      <c r="N297" s="854">
        <f t="shared" si="133"/>
        <v>-6.3297250000000055E-2</v>
      </c>
      <c r="O297" s="808">
        <f t="shared" si="116"/>
        <v>-5.3025964592889954E-2</v>
      </c>
      <c r="P297" s="853" t="b">
        <f t="shared" si="137"/>
        <v>1</v>
      </c>
      <c r="Q297" s="854">
        <f>COUNTIF(P$2:P297, TRUE)/(COUNTIF(P$2:P297,FALSE) + COUNTIF(P$2:P297, TRUE))</f>
        <v>0.5</v>
      </c>
      <c r="R297" s="852">
        <v>325355.95</v>
      </c>
      <c r="S297" s="852">
        <f t="shared" si="128"/>
        <v>49325.149999999965</v>
      </c>
      <c r="T297" s="852">
        <v>-44067</v>
      </c>
      <c r="U297" s="852">
        <f t="shared" si="129"/>
        <v>18748.099999999977</v>
      </c>
      <c r="V297" s="854">
        <f>STDEV(D$2:D297)*SQRT(252)</f>
        <v>0.16281156659849447</v>
      </c>
      <c r="W297" s="854">
        <f>STDEV(L$2:L297)*SQRT(252)</f>
        <v>0.3510402532906407</v>
      </c>
      <c r="X297" s="823">
        <f t="shared" si="125"/>
        <v>9.0527223548276747E-2</v>
      </c>
      <c r="Y297" s="823">
        <f t="shared" si="126"/>
        <v>-0.15105380108356853</v>
      </c>
      <c r="Z297" s="829">
        <f t="shared" si="127"/>
        <v>-8.089109334392415E-2</v>
      </c>
    </row>
    <row r="298" spans="1:26" ht="20.100000000000001" customHeight="1" x14ac:dyDescent="0.2">
      <c r="A298" s="798">
        <f t="shared" si="123"/>
        <v>437</v>
      </c>
      <c r="B298" s="846">
        <v>42670</v>
      </c>
      <c r="C298" s="847">
        <v>2133.04</v>
      </c>
      <c r="D298" s="814">
        <f t="shared" si="139"/>
        <v>-2.9867768517782183E-3</v>
      </c>
      <c r="E298" s="848">
        <f t="shared" si="134"/>
        <v>1.4554517608112435E-2</v>
      </c>
      <c r="F298" s="849">
        <v>5215.97</v>
      </c>
      <c r="G298" s="814">
        <f t="shared" si="138"/>
        <v>-6.5311051262223136E-3</v>
      </c>
      <c r="H298" s="850">
        <f t="shared" si="135"/>
        <v>2.440638686489786E-2</v>
      </c>
      <c r="I298" s="851">
        <v>371125.09</v>
      </c>
      <c r="J298" s="852">
        <v>400000</v>
      </c>
      <c r="K298" s="852">
        <f t="shared" si="136"/>
        <v>-3556.0099999999511</v>
      </c>
      <c r="L298" s="814">
        <f>K298/I297</f>
        <v>-9.4907642792763005E-3</v>
      </c>
      <c r="M298" s="853">
        <f t="shared" si="124"/>
        <v>-28874.909999999974</v>
      </c>
      <c r="N298" s="854">
        <f t="shared" si="133"/>
        <v>-7.218727499999994E-2</v>
      </c>
      <c r="O298" s="808">
        <f t="shared" si="116"/>
        <v>-6.0335016461670429E-2</v>
      </c>
      <c r="P298" s="853" t="b">
        <f t="shared" si="137"/>
        <v>0</v>
      </c>
      <c r="Q298" s="854">
        <f>COUNTIF(P$2:P298, TRUE)/(COUNTIF(P$2:P298,FALSE) + COUNTIF(P$2:P298, TRUE))</f>
        <v>0.49831649831649832</v>
      </c>
      <c r="R298" s="852">
        <v>360946.85</v>
      </c>
      <c r="S298" s="852">
        <f t="shared" si="128"/>
        <v>10178.240000000049</v>
      </c>
      <c r="T298" s="852">
        <v>-47280</v>
      </c>
      <c r="U298" s="852">
        <f t="shared" si="129"/>
        <v>18405.090000000026</v>
      </c>
      <c r="V298" s="854">
        <f>STDEV(D$2:D298)*SQRT(252)</f>
        <v>0.16256052123167744</v>
      </c>
      <c r="W298" s="854">
        <f>STDEV(L$2:L298)*SQRT(252)</f>
        <v>0.3505620528969402</v>
      </c>
      <c r="X298" s="823">
        <f t="shared" si="125"/>
        <v>7.483271814438669E-2</v>
      </c>
      <c r="Y298" s="823">
        <f t="shared" si="126"/>
        <v>-0.17210937682239094</v>
      </c>
      <c r="Z298" s="829">
        <f t="shared" si="127"/>
        <v>-8.6741792608112378E-2</v>
      </c>
    </row>
    <row r="299" spans="1:26" ht="20.100000000000001" customHeight="1" x14ac:dyDescent="0.2">
      <c r="A299" s="798">
        <f t="shared" si="123"/>
        <v>438</v>
      </c>
      <c r="B299" s="846">
        <v>42671</v>
      </c>
      <c r="C299" s="847">
        <v>2126.41</v>
      </c>
      <c r="D299" s="814">
        <f t="shared" si="139"/>
        <v>-3.1082398829839616E-3</v>
      </c>
      <c r="E299" s="848">
        <f t="shared" si="134"/>
        <v>1.1401038793021347E-2</v>
      </c>
      <c r="F299" s="849">
        <v>5190.1000000000004</v>
      </c>
      <c r="G299" s="814">
        <f t="shared" si="138"/>
        <v>-4.9597677900754585E-3</v>
      </c>
      <c r="H299" s="850">
        <f t="shared" si="135"/>
        <v>1.9325569063377762E-2</v>
      </c>
      <c r="I299" s="851">
        <v>366496.83</v>
      </c>
      <c r="J299" s="852">
        <v>400000</v>
      </c>
      <c r="K299" s="852">
        <f t="shared" si="136"/>
        <v>-4628.2600000000093</v>
      </c>
      <c r="L299" s="814">
        <f>K299/I298</f>
        <v>-1.2470889532152108E-2</v>
      </c>
      <c r="M299" s="853">
        <f t="shared" si="124"/>
        <v>-33503.169999999984</v>
      </c>
      <c r="N299" s="854">
        <f t="shared" si="133"/>
        <v>-8.3757924999999955E-2</v>
      </c>
      <c r="O299" s="808">
        <f t="shared" si="116"/>
        <v>-6.9846077868150641E-2</v>
      </c>
      <c r="P299" s="853" t="b">
        <f t="shared" si="137"/>
        <v>0</v>
      </c>
      <c r="Q299" s="854">
        <f>COUNTIF(P$2:P299, TRUE)/(COUNTIF(P$2:P299,FALSE) + COUNTIF(P$2:P299, TRUE))</f>
        <v>0.49664429530201343</v>
      </c>
      <c r="R299" s="852">
        <v>352107.26</v>
      </c>
      <c r="S299" s="852">
        <f t="shared" si="128"/>
        <v>14389.570000000007</v>
      </c>
      <c r="T299" s="852">
        <v>-51134</v>
      </c>
      <c r="U299" s="852">
        <f t="shared" si="129"/>
        <v>17630.830000000016</v>
      </c>
      <c r="V299" s="854">
        <f>STDEV(D$2:D299)*SQRT(252)</f>
        <v>0.16231261803243649</v>
      </c>
      <c r="W299" s="854">
        <f>STDEV(L$2:L299)*SQRT(252)</f>
        <v>0.35016714235962632</v>
      </c>
      <c r="X299" s="823">
        <f t="shared" si="125"/>
        <v>5.8574454767186569E-2</v>
      </c>
      <c r="Y299" s="823">
        <f t="shared" si="126"/>
        <v>-0.19946496806492994</v>
      </c>
      <c r="Z299" s="829">
        <f t="shared" si="127"/>
        <v>-9.5158963793021301E-2</v>
      </c>
    </row>
    <row r="300" spans="1:26" ht="20.100000000000001" customHeight="1" x14ac:dyDescent="0.2">
      <c r="A300" s="798">
        <f t="shared" si="123"/>
        <v>441</v>
      </c>
      <c r="B300" s="817">
        <v>42674</v>
      </c>
      <c r="C300" s="842">
        <v>2126.15</v>
      </c>
      <c r="D300" s="814">
        <f t="shared" si="139"/>
        <v>-1.2227181023403931E-4</v>
      </c>
      <c r="E300" s="841">
        <f t="shared" si="134"/>
        <v>1.1277372957135537E-2</v>
      </c>
      <c r="F300" s="838">
        <v>5189.13</v>
      </c>
      <c r="G300" s="814">
        <f t="shared" si="138"/>
        <v>-1.8689427949370043E-4</v>
      </c>
      <c r="H300" s="819">
        <f t="shared" si="135"/>
        <v>1.9135062945578155E-2</v>
      </c>
      <c r="I300" s="845">
        <v>359986.87</v>
      </c>
      <c r="J300" s="822">
        <v>400000</v>
      </c>
      <c r="K300" s="822">
        <f t="shared" si="136"/>
        <v>-6509.960000000021</v>
      </c>
      <c r="L300" s="814">
        <f>K300/I299</f>
        <v>-1.7762663868061343E-2</v>
      </c>
      <c r="M300" s="839">
        <f t="shared" si="124"/>
        <v>-40013.130000000005</v>
      </c>
      <c r="N300" s="824">
        <f t="shared" si="133"/>
        <v>-0.10003282500000001</v>
      </c>
      <c r="O300" s="808">
        <f t="shared" si="116"/>
        <v>-8.2850315943877567E-2</v>
      </c>
      <c r="P300" s="839" t="b">
        <f t="shared" si="137"/>
        <v>0</v>
      </c>
      <c r="Q300" s="824">
        <f>COUNTIF(P$2:P300, TRUE)/(COUNTIF(P$2:P300,FALSE) + COUNTIF(P$2:P300, TRUE))</f>
        <v>0.49498327759197325</v>
      </c>
      <c r="R300" s="822">
        <v>351183.05</v>
      </c>
      <c r="S300" s="822">
        <f t="shared" si="128"/>
        <v>8803.820000000007</v>
      </c>
      <c r="T300" s="822">
        <v>-57393</v>
      </c>
      <c r="U300" s="822">
        <f t="shared" si="129"/>
        <v>17379.869999999995</v>
      </c>
      <c r="V300" s="824">
        <f>STDEV(D$2:D300)*SQRT(252)</f>
        <v>0.16203925205045192</v>
      </c>
      <c r="W300" s="824">
        <f>STDEV(L$2:L300)*SQRT(252)</f>
        <v>0.34996980187049981</v>
      </c>
      <c r="X300" s="823">
        <f t="shared" si="125"/>
        <v>5.7642040815990399E-2</v>
      </c>
      <c r="Y300" s="823">
        <f t="shared" si="126"/>
        <v>-0.23673561404745108</v>
      </c>
      <c r="Z300" s="829">
        <f t="shared" si="127"/>
        <v>-0.11131019795713554</v>
      </c>
    </row>
    <row r="301" spans="1:26" ht="20.100000000000001" customHeight="1" x14ac:dyDescent="0.2">
      <c r="A301" s="798">
        <f>B301-$B$2</f>
        <v>442</v>
      </c>
      <c r="B301" s="817">
        <v>42675</v>
      </c>
      <c r="C301" s="842">
        <v>2111.7199999999998</v>
      </c>
      <c r="D301" s="814">
        <f t="shared" si="139"/>
        <v>-6.7869153164171348E-3</v>
      </c>
      <c r="E301" s="841">
        <f t="shared" si="134"/>
        <v>4.4139190654666699E-3</v>
      </c>
      <c r="F301" s="838">
        <v>5153.57</v>
      </c>
      <c r="G301" s="814">
        <f t="shared" si="138"/>
        <v>-6.8527864979294022E-3</v>
      </c>
      <c r="H301" s="819">
        <f t="shared" si="135"/>
        <v>1.2151147946658267E-2</v>
      </c>
      <c r="I301" s="821">
        <v>360227.22</v>
      </c>
      <c r="J301" s="822">
        <v>400000</v>
      </c>
      <c r="K301" s="822">
        <f t="shared" si="136"/>
        <v>240.34999999997672</v>
      </c>
      <c r="L301" s="814">
        <f t="shared" ref="L301:L306" si="140">K301/I300</f>
        <v>6.6766324005088497E-4</v>
      </c>
      <c r="M301" s="839">
        <f t="shared" si="124"/>
        <v>-39772.780000000028</v>
      </c>
      <c r="N301" s="824">
        <f t="shared" si="133"/>
        <v>-9.9431950000000074E-2</v>
      </c>
      <c r="O301" s="808">
        <f t="shared" si="116"/>
        <v>-8.2166334247737616E-2</v>
      </c>
      <c r="P301" s="839" t="b">
        <f t="shared" si="137"/>
        <v>1</v>
      </c>
      <c r="Q301" s="824">
        <f>COUNTIF(P$2:P301, TRUE)/(COUNTIF(P$2:P301,FALSE) + COUNTIF(P$2:P301, TRUE))</f>
        <v>0.49666666666666665</v>
      </c>
      <c r="R301" s="822">
        <v>351313.75</v>
      </c>
      <c r="S301" s="822">
        <f t="shared" si="128"/>
        <v>8913.4699999999721</v>
      </c>
      <c r="T301" s="822">
        <v>-56508</v>
      </c>
      <c r="U301" s="822">
        <f t="shared" si="129"/>
        <v>16735.219999999972</v>
      </c>
      <c r="V301" s="824">
        <f>STDEV(D$2:D301)*SQRT(252)</f>
        <v>0.16189028230482433</v>
      </c>
      <c r="W301" s="824">
        <f>STDEV(L$2:L301)*SQRT(252)</f>
        <v>0.34938237475224687</v>
      </c>
      <c r="X301" s="823">
        <f t="shared" si="125"/>
        <v>2.2530536869902321E-2</v>
      </c>
      <c r="Y301" s="823">
        <f t="shared" si="126"/>
        <v>-0.23517595673222838</v>
      </c>
      <c r="Z301" s="829">
        <f t="shared" si="127"/>
        <v>-0.10384586906546675</v>
      </c>
    </row>
    <row r="302" spans="1:26" ht="20.100000000000001" customHeight="1" x14ac:dyDescent="0.2">
      <c r="A302" s="798">
        <f t="shared" ref="A302:A319" si="141">B302-$B$2</f>
        <v>443</v>
      </c>
      <c r="B302" s="817">
        <v>42676</v>
      </c>
      <c r="C302" s="842">
        <v>2097.94</v>
      </c>
      <c r="D302" s="814">
        <f t="shared" si="139"/>
        <v>-6.525486333415295E-3</v>
      </c>
      <c r="E302" s="841">
        <f t="shared" si="134"/>
        <v>-2.1403702364871293E-3</v>
      </c>
      <c r="F302" s="838">
        <v>5105.5600000000004</v>
      </c>
      <c r="G302" s="814">
        <f t="shared" si="138"/>
        <v>-9.3158722982319662E-3</v>
      </c>
      <c r="H302" s="819">
        <f t="shared" si="135"/>
        <v>2.7220771058783086E-3</v>
      </c>
      <c r="I302" s="821">
        <v>350822.36</v>
      </c>
      <c r="J302" s="822">
        <v>400000</v>
      </c>
      <c r="K302" s="822">
        <f t="shared" si="136"/>
        <v>-9404.859999999986</v>
      </c>
      <c r="L302" s="814">
        <f t="shared" si="140"/>
        <v>-2.6108132528130403E-2</v>
      </c>
      <c r="M302" s="839">
        <f t="shared" si="124"/>
        <v>-49177.640000000014</v>
      </c>
      <c r="N302" s="824">
        <f t="shared" si="133"/>
        <v>-0.12294410000000003</v>
      </c>
      <c r="O302" s="808">
        <f t="shared" si="116"/>
        <v>-0.10136643910835216</v>
      </c>
      <c r="P302" s="839" t="b">
        <f t="shared" si="137"/>
        <v>0</v>
      </c>
      <c r="Q302" s="824">
        <f>COUNTIF(P$2:P302, TRUE)/(COUNTIF(P$2:P302,FALSE) + COUNTIF(P$2:P302, TRUE))</f>
        <v>0.49501661129568109</v>
      </c>
      <c r="R302" s="822">
        <v>330288.3</v>
      </c>
      <c r="S302" s="822">
        <f t="shared" si="128"/>
        <v>20534.059999999998</v>
      </c>
      <c r="T302" s="822">
        <v>-66283</v>
      </c>
      <c r="U302" s="822">
        <f t="shared" si="129"/>
        <v>17105.359999999986</v>
      </c>
      <c r="V302" s="824">
        <f>STDEV(D$2:D302)*SQRT(252)</f>
        <v>0.16173222652481728</v>
      </c>
      <c r="W302" s="824">
        <f>STDEV(L$2:L302)*SQRT(252)</f>
        <v>0.34963013361097944</v>
      </c>
      <c r="X302" s="823">
        <f t="shared" si="125"/>
        <v>-1.0911358778199463E-2</v>
      </c>
      <c r="Y302" s="823">
        <f t="shared" si="126"/>
        <v>-0.28992477868380434</v>
      </c>
      <c r="Z302" s="829">
        <f t="shared" si="127"/>
        <v>-0.1208037297635129</v>
      </c>
    </row>
    <row r="303" spans="1:26" ht="20.100000000000001" customHeight="1" x14ac:dyDescent="0.2">
      <c r="A303" s="798">
        <f t="shared" si="141"/>
        <v>444</v>
      </c>
      <c r="B303" s="817">
        <v>42677</v>
      </c>
      <c r="C303" s="842">
        <v>2088.66</v>
      </c>
      <c r="D303" s="814">
        <f t="shared" si="139"/>
        <v>-4.423386750812797E-3</v>
      </c>
      <c r="E303" s="841">
        <f t="shared" si="134"/>
        <v>-6.5542893019540152E-3</v>
      </c>
      <c r="F303" s="838">
        <v>5058.3999999999996</v>
      </c>
      <c r="G303" s="814">
        <f t="shared" si="138"/>
        <v>-9.2369886946781082E-3</v>
      </c>
      <c r="H303" s="819">
        <f t="shared" si="135"/>
        <v>-6.54005538425284E-3</v>
      </c>
      <c r="I303" s="821">
        <v>366923.87</v>
      </c>
      <c r="J303" s="822">
        <v>400000</v>
      </c>
      <c r="K303" s="822">
        <f t="shared" si="136"/>
        <v>16101.510000000009</v>
      </c>
      <c r="L303" s="814">
        <f t="shared" si="140"/>
        <v>4.5896475925878866E-2</v>
      </c>
      <c r="M303" s="839">
        <f t="shared" si="124"/>
        <v>-33076.130000000005</v>
      </c>
      <c r="N303" s="824">
        <f t="shared" si="133"/>
        <v>-8.2690325000000009E-2</v>
      </c>
      <c r="O303" s="808">
        <f t="shared" si="116"/>
        <v>-6.8023966680743245E-2</v>
      </c>
      <c r="P303" s="839" t="b">
        <f t="shared" si="137"/>
        <v>1</v>
      </c>
      <c r="Q303" s="824">
        <f>COUNTIF(P$2:P303, TRUE)/(COUNTIF(P$2:P303,FALSE) + COUNTIF(P$2:P303, TRUE))</f>
        <v>0.49668874172185429</v>
      </c>
      <c r="R303" s="822">
        <v>317968.34999999998</v>
      </c>
      <c r="S303" s="822">
        <f t="shared" si="128"/>
        <v>48955.520000000019</v>
      </c>
      <c r="T303" s="822">
        <v>-47877</v>
      </c>
      <c r="U303" s="822">
        <f t="shared" si="129"/>
        <v>14800.869999999995</v>
      </c>
      <c r="V303" s="824">
        <f>STDEV(D$2:D303)*SQRT(252)</f>
        <v>0.16151419687276639</v>
      </c>
      <c r="W303" s="824">
        <f>STDEV(L$2:L303)*SQRT(252)</f>
        <v>0.35155170674162023</v>
      </c>
      <c r="X303" s="823">
        <f t="shared" si="125"/>
        <v>-3.3382753776592902E-2</v>
      </c>
      <c r="Y303" s="823">
        <f t="shared" si="126"/>
        <v>-0.19349633461099588</v>
      </c>
      <c r="Z303" s="829">
        <f t="shared" si="127"/>
        <v>-7.6136035698046001E-2</v>
      </c>
    </row>
    <row r="304" spans="1:26" ht="20.100000000000001" customHeight="1" x14ac:dyDescent="0.2">
      <c r="A304" s="798">
        <f t="shared" si="141"/>
        <v>445</v>
      </c>
      <c r="B304" s="817">
        <v>42678</v>
      </c>
      <c r="C304" s="842">
        <v>2085.1799999999998</v>
      </c>
      <c r="D304" s="814">
        <f t="shared" si="139"/>
        <v>-1.6661400132142227E-3</v>
      </c>
      <c r="E304" s="841">
        <f t="shared" si="134"/>
        <v>-8.2095089515040708E-3</v>
      </c>
      <c r="F304" s="838">
        <v>5046.37</v>
      </c>
      <c r="G304" s="814">
        <f t="shared" si="138"/>
        <v>-2.3782223628024172E-3</v>
      </c>
      <c r="H304" s="819">
        <f t="shared" si="135"/>
        <v>-8.9027240410864596E-3</v>
      </c>
      <c r="I304" s="821">
        <v>362921.09</v>
      </c>
      <c r="J304" s="822">
        <v>400000</v>
      </c>
      <c r="K304" s="822">
        <f t="shared" si="136"/>
        <v>-4002.7799999999697</v>
      </c>
      <c r="L304" s="814">
        <f t="shared" si="140"/>
        <v>-1.0909020446121343E-2</v>
      </c>
      <c r="M304" s="839">
        <f t="shared" si="124"/>
        <v>-37078.909999999974</v>
      </c>
      <c r="N304" s="824">
        <f t="shared" si="133"/>
        <v>-9.269727499999994E-2</v>
      </c>
      <c r="O304" s="808">
        <f t="shared" si="116"/>
        <v>-7.6084673469101069E-2</v>
      </c>
      <c r="P304" s="839" t="b">
        <f t="shared" si="137"/>
        <v>0</v>
      </c>
      <c r="Q304" s="824">
        <f>COUNTIF(P$2:P304, TRUE)/(COUNTIF(P$2:P304,FALSE) + COUNTIF(P$2:P304, TRUE))</f>
        <v>0.49504950495049505</v>
      </c>
      <c r="R304" s="822">
        <v>329130.11</v>
      </c>
      <c r="S304" s="822">
        <f t="shared" si="128"/>
        <v>33790.98000000004</v>
      </c>
      <c r="T304" s="822">
        <v>-52170</v>
      </c>
      <c r="U304" s="822">
        <f t="shared" si="129"/>
        <v>15091.090000000026</v>
      </c>
      <c r="V304" s="824">
        <f>STDEV(D$2:D304)*SQRT(252)</f>
        <v>0.16125311992836353</v>
      </c>
      <c r="W304" s="824">
        <f>STDEV(L$2:L304)*SQRT(252)</f>
        <v>0.35111566598352262</v>
      </c>
      <c r="X304" s="823">
        <f t="shared" si="125"/>
        <v>-4.1786814793907036E-2</v>
      </c>
      <c r="Y304" s="823">
        <f t="shared" si="126"/>
        <v>-0.21669404370203071</v>
      </c>
      <c r="Z304" s="829">
        <f t="shared" si="127"/>
        <v>-8.4487766048495866E-2</v>
      </c>
    </row>
    <row r="305" spans="1:26" ht="20.100000000000001" customHeight="1" x14ac:dyDescent="0.2">
      <c r="A305" s="798">
        <f t="shared" si="141"/>
        <v>468</v>
      </c>
      <c r="B305" s="846">
        <v>42701</v>
      </c>
      <c r="C305" s="847">
        <v>2213.35</v>
      </c>
      <c r="D305" s="814">
        <f t="shared" si="139"/>
        <v>6.1467115548777602E-2</v>
      </c>
      <c r="E305" s="848">
        <f t="shared" si="134"/>
        <v>5.2752991761952708E-2</v>
      </c>
      <c r="F305" s="849">
        <v>5398.92</v>
      </c>
      <c r="G305" s="814">
        <f t="shared" si="138"/>
        <v>6.9862098894849206E-2</v>
      </c>
      <c r="H305" s="850">
        <f t="shared" si="135"/>
        <v>6.0337411866370816E-2</v>
      </c>
      <c r="I305" s="859">
        <v>407026.88</v>
      </c>
      <c r="J305" s="852">
        <v>400000</v>
      </c>
      <c r="K305" s="852">
        <f t="shared" si="136"/>
        <v>44105.789999999979</v>
      </c>
      <c r="L305" s="814">
        <f t="shared" si="140"/>
        <v>0.12152997225925882</v>
      </c>
      <c r="M305" s="853">
        <f t="shared" si="124"/>
        <v>7026.8800000000047</v>
      </c>
      <c r="N305" s="854">
        <f t="shared" si="133"/>
        <v>1.7567200000000012E-2</v>
      </c>
      <c r="O305" s="808">
        <f t="shared" si="116"/>
        <v>1.3710298717948729E-2</v>
      </c>
      <c r="P305" s="853" t="b">
        <f t="shared" si="137"/>
        <v>1</v>
      </c>
      <c r="Q305" s="854">
        <f>COUNTIF(P$2:P305, TRUE)/(COUNTIF(P$2:P305,FALSE) + COUNTIF(P$2:P305, TRUE))</f>
        <v>0.49671052631578949</v>
      </c>
      <c r="R305" s="852">
        <v>282065.34000000003</v>
      </c>
      <c r="S305" s="852">
        <f t="shared" si="128"/>
        <v>124961.53999999998</v>
      </c>
      <c r="T305" s="852">
        <v>-28519</v>
      </c>
      <c r="U305" s="852">
        <f t="shared" si="129"/>
        <v>35545.880000000005</v>
      </c>
      <c r="V305" s="854">
        <f>STDEV(D$2:D305)*SQRT(252)</f>
        <v>0.17045897478056438</v>
      </c>
      <c r="W305" s="854">
        <f>STDEV(L$2:L305)*SQRT(252)</f>
        <v>0.36757496684562585</v>
      </c>
      <c r="X305" s="823">
        <f t="shared" si="125"/>
        <v>0.24153028517023301</v>
      </c>
      <c r="Y305" s="823">
        <f t="shared" si="126"/>
        <v>3.7299326544472711E-2</v>
      </c>
      <c r="Z305" s="829">
        <f t="shared" si="127"/>
        <v>-3.5185791761952696E-2</v>
      </c>
    </row>
    <row r="306" spans="1:26" ht="20.100000000000001" customHeight="1" x14ac:dyDescent="0.2">
      <c r="A306" s="798">
        <f t="shared" si="141"/>
        <v>469</v>
      </c>
      <c r="B306" s="817">
        <v>42702</v>
      </c>
      <c r="C306" s="842">
        <v>2201.7199999999998</v>
      </c>
      <c r="D306" s="814">
        <f t="shared" si="139"/>
        <v>-5.2544785054329905E-3</v>
      </c>
      <c r="E306" s="841">
        <f t="shared" si="134"/>
        <v>4.7221323795209255E-2</v>
      </c>
      <c r="F306" s="838">
        <v>5368.81</v>
      </c>
      <c r="G306" s="814">
        <f t="shared" si="138"/>
        <v>-5.5770413341927035E-3</v>
      </c>
      <c r="H306" s="819">
        <f t="shared" si="135"/>
        <v>5.4423866292201147E-2</v>
      </c>
      <c r="I306" s="821">
        <v>401105.48</v>
      </c>
      <c r="J306" s="822">
        <v>400000</v>
      </c>
      <c r="K306" s="822">
        <f t="shared" si="136"/>
        <v>-5921.4000000000233</v>
      </c>
      <c r="L306" s="814">
        <f t="shared" si="140"/>
        <v>-1.4547933541883089E-2</v>
      </c>
      <c r="M306" s="839">
        <f t="shared" si="124"/>
        <v>1105.4799999999814</v>
      </c>
      <c r="N306" s="824">
        <f t="shared" si="133"/>
        <v>2.7636999999999536E-3</v>
      </c>
      <c r="O306" s="808">
        <f t="shared" si="116"/>
        <v>2.1523271321961259E-3</v>
      </c>
      <c r="P306" s="839" t="b">
        <f t="shared" si="137"/>
        <v>0</v>
      </c>
      <c r="Q306" s="824">
        <f>COUNTIF(P$2:P306, TRUE)/(COUNTIF(P$2:P306,FALSE) + COUNTIF(P$2:P306, TRUE))</f>
        <v>0.49508196721311476</v>
      </c>
      <c r="R306" s="822">
        <v>286740.21999999997</v>
      </c>
      <c r="S306" s="822">
        <f t="shared" si="128"/>
        <v>114365.26000000001</v>
      </c>
      <c r="T306" s="822">
        <v>-27948</v>
      </c>
      <c r="U306" s="822">
        <f t="shared" si="129"/>
        <v>29053.479999999981</v>
      </c>
      <c r="V306" s="824">
        <f>STDEV(D$2:D306)*SQRT(252)</f>
        <v>0.17025062089045567</v>
      </c>
      <c r="W306" s="824">
        <f>STDEV(L$2:L306)*SQRT(252)</f>
        <v>0.36722797653623318</v>
      </c>
      <c r="X306" s="823">
        <f t="shared" si="125"/>
        <v>0.21600650762071899</v>
      </c>
      <c r="Y306" s="823">
        <f t="shared" si="126"/>
        <v>5.8610107881684305E-3</v>
      </c>
      <c r="Z306" s="829">
        <f t="shared" si="127"/>
        <v>-4.4457623795209303E-2</v>
      </c>
    </row>
    <row r="307" spans="1:26" ht="20.100000000000001" customHeight="1" x14ac:dyDescent="0.2">
      <c r="A307" s="798">
        <f t="shared" si="141"/>
        <v>470</v>
      </c>
      <c r="B307" s="817">
        <v>42703</v>
      </c>
      <c r="C307" s="842">
        <v>2204.66</v>
      </c>
      <c r="D307" s="814">
        <f t="shared" ref="D307:D316" si="142">(C307-C306)/C306</f>
        <v>1.3353196591755787E-3</v>
      </c>
      <c r="E307" s="841">
        <f t="shared" si="134"/>
        <v>4.8619699016380871E-2</v>
      </c>
      <c r="F307" s="838">
        <v>5379.91</v>
      </c>
      <c r="G307" s="814">
        <f t="shared" ref="G307:G321" si="143">(F307-F306)/F306</f>
        <v>2.0674972666195031E-3</v>
      </c>
      <c r="H307" s="819">
        <f t="shared" si="135"/>
        <v>5.6603884753618647E-2</v>
      </c>
      <c r="I307" s="821">
        <v>393567.36</v>
      </c>
      <c r="J307" s="822">
        <v>400000</v>
      </c>
      <c r="K307" s="822">
        <f t="shared" si="136"/>
        <v>-7538.1199999999953</v>
      </c>
      <c r="L307" s="814">
        <f t="shared" ref="L307:L321" si="144">K307/I306</f>
        <v>-1.8793360788788016E-2</v>
      </c>
      <c r="M307" s="839">
        <f t="shared" si="124"/>
        <v>-6432.640000000014</v>
      </c>
      <c r="N307" s="824">
        <f t="shared" si="133"/>
        <v>-1.6081600000000036E-2</v>
      </c>
      <c r="O307" s="808">
        <f t="shared" si="116"/>
        <v>-1.2497456170212794E-2</v>
      </c>
      <c r="P307" s="839" t="b">
        <f t="shared" si="137"/>
        <v>0</v>
      </c>
      <c r="Q307" s="824">
        <f>COUNTIF(P$2:P307, TRUE)/(COUNTIF(P$2:P307,FALSE) + COUNTIF(P$2:P307, TRUE))</f>
        <v>0.49346405228758172</v>
      </c>
      <c r="R307" s="822">
        <v>283628.3</v>
      </c>
      <c r="S307" s="822">
        <f t="shared" si="128"/>
        <v>109939.06</v>
      </c>
      <c r="T307" s="822">
        <v>-33267</v>
      </c>
      <c r="U307" s="822">
        <f t="shared" si="129"/>
        <v>26834.359999999986</v>
      </c>
      <c r="V307" s="824">
        <f>STDEV(D$2:D307)*SQRT(252)</f>
        <v>0.16997345622567742</v>
      </c>
      <c r="W307" s="824">
        <f>STDEV(L$2:L307)*SQRT(252)</f>
        <v>0.36704612962809202</v>
      </c>
      <c r="X307" s="823">
        <f t="shared" si="125"/>
        <v>0.22229184335493471</v>
      </c>
      <c r="Y307" s="823">
        <f t="shared" si="126"/>
        <v>-3.4048734372640818E-2</v>
      </c>
      <c r="Z307" s="829">
        <f t="shared" si="127"/>
        <v>-6.4701299016380914E-2</v>
      </c>
    </row>
    <row r="308" spans="1:26" ht="20.100000000000001" customHeight="1" x14ac:dyDescent="0.2">
      <c r="A308" s="798">
        <f t="shared" si="141"/>
        <v>471</v>
      </c>
      <c r="B308" s="817">
        <v>42704</v>
      </c>
      <c r="C308" s="842">
        <v>2198.81</v>
      </c>
      <c r="D308" s="814">
        <f t="shared" si="142"/>
        <v>-2.6534703763845262E-3</v>
      </c>
      <c r="E308" s="841">
        <f t="shared" si="134"/>
        <v>4.5837217708947643E-2</v>
      </c>
      <c r="F308" s="838">
        <v>5323.68</v>
      </c>
      <c r="G308" s="814">
        <f t="shared" si="143"/>
        <v>-1.0451847707489449E-2</v>
      </c>
      <c r="H308" s="819">
        <f t="shared" si="135"/>
        <v>4.5560421863032087E-2</v>
      </c>
      <c r="I308" s="844">
        <v>366163.6</v>
      </c>
      <c r="J308" s="822">
        <v>350000</v>
      </c>
      <c r="K308" s="822">
        <f t="shared" si="136"/>
        <v>22596.239999999991</v>
      </c>
      <c r="L308" s="814">
        <f t="shared" si="144"/>
        <v>5.7413907494767838E-2</v>
      </c>
      <c r="M308" s="844">
        <f t="shared" si="124"/>
        <v>16163.599999999977</v>
      </c>
      <c r="N308" s="824">
        <f t="shared" si="133"/>
        <v>4.6181714285714222E-2</v>
      </c>
      <c r="O308" s="808">
        <f t="shared" si="116"/>
        <v>3.581288989990896E-2</v>
      </c>
      <c r="P308" s="839" t="b">
        <f t="shared" si="137"/>
        <v>1</v>
      </c>
      <c r="Q308" s="824">
        <f>COUNTIF(P$2:P308, TRUE)/(COUNTIF(P$2:P308,FALSE) + COUNTIF(P$2:P308, TRUE))</f>
        <v>0.49511400651465798</v>
      </c>
      <c r="R308" s="822">
        <v>248009.28</v>
      </c>
      <c r="S308" s="822">
        <f t="shared" si="128"/>
        <v>118154.31999999998</v>
      </c>
      <c r="T308" s="822">
        <v>-30474</v>
      </c>
      <c r="U308" s="822">
        <f t="shared" si="129"/>
        <v>46637.599999999977</v>
      </c>
      <c r="V308" s="824">
        <f>STDEV(D$2:D308)*SQRT(252)</f>
        <v>0.16971451435778193</v>
      </c>
      <c r="W308" s="824">
        <f>STDEV(L$2:L308)*SQRT(252)</f>
        <v>0.37006384127225039</v>
      </c>
      <c r="X308" s="823">
        <f t="shared" si="125"/>
        <v>0.20944431664548785</v>
      </c>
      <c r="Y308" s="823">
        <f t="shared" si="126"/>
        <v>9.677489639838105E-2</v>
      </c>
      <c r="Z308" s="829">
        <f t="shared" si="127"/>
        <v>3.4449657676657863E-4</v>
      </c>
    </row>
    <row r="309" spans="1:26" ht="20.100000000000001" customHeight="1" x14ac:dyDescent="0.2">
      <c r="A309" s="798">
        <f t="shared" si="141"/>
        <v>472</v>
      </c>
      <c r="B309" s="817">
        <v>42705</v>
      </c>
      <c r="C309" s="842">
        <v>2191.08</v>
      </c>
      <c r="D309" s="814">
        <f t="shared" si="142"/>
        <v>-3.5155379500730025E-3</v>
      </c>
      <c r="E309" s="841">
        <f t="shared" si="134"/>
        <v>4.2160537280493078E-2</v>
      </c>
      <c r="F309" s="838">
        <v>5251.1</v>
      </c>
      <c r="G309" s="814">
        <f t="shared" si="143"/>
        <v>-1.3633426501968549E-2</v>
      </c>
      <c r="H309" s="819">
        <f t="shared" si="135"/>
        <v>3.1305850698195213E-2</v>
      </c>
      <c r="I309" s="821">
        <v>361692.5</v>
      </c>
      <c r="J309" s="822">
        <v>350000</v>
      </c>
      <c r="K309" s="822">
        <f t="shared" si="136"/>
        <v>-4471.0999999999767</v>
      </c>
      <c r="L309" s="814">
        <f t="shared" si="144"/>
        <v>-1.2210662119336758E-2</v>
      </c>
      <c r="M309" s="839">
        <f t="shared" si="124"/>
        <v>11692.5</v>
      </c>
      <c r="N309" s="824">
        <f t="shared" si="133"/>
        <v>3.3407142857142857E-2</v>
      </c>
      <c r="O309" s="808">
        <f t="shared" si="116"/>
        <v>2.5851607899515738E-2</v>
      </c>
      <c r="P309" s="839" t="b">
        <f t="shared" si="137"/>
        <v>0</v>
      </c>
      <c r="Q309" s="824">
        <f>COUNTIF(P$2:P309, TRUE)/(COUNTIF(P$2:P309,FALSE) + COUNTIF(P$2:P309, TRUE))</f>
        <v>0.4935064935064935</v>
      </c>
      <c r="R309" s="822">
        <v>254063.2</v>
      </c>
      <c r="S309" s="822">
        <f t="shared" si="128"/>
        <v>107629.29999999999</v>
      </c>
      <c r="T309" s="822">
        <v>-33426</v>
      </c>
      <c r="U309" s="822">
        <f t="shared" si="129"/>
        <v>45118.5</v>
      </c>
      <c r="V309" s="824">
        <f>STDEV(D$2:D309)*SQRT(252)</f>
        <v>0.16947047230211157</v>
      </c>
      <c r="W309" s="824">
        <f>STDEV(L$2:L309)*SQRT(252)</f>
        <v>0.36964383438211174</v>
      </c>
      <c r="X309" s="823">
        <f t="shared" si="125"/>
        <v>0.19251311573327806</v>
      </c>
      <c r="Y309" s="823">
        <f t="shared" si="126"/>
        <v>6.9936532128903758E-2</v>
      </c>
      <c r="Z309" s="829">
        <f t="shared" si="127"/>
        <v>-8.7533944233502206E-3</v>
      </c>
    </row>
    <row r="310" spans="1:26" ht="20.100000000000001" customHeight="1" x14ac:dyDescent="0.2">
      <c r="A310" s="798">
        <f t="shared" si="141"/>
        <v>473</v>
      </c>
      <c r="B310" s="817">
        <v>42706</v>
      </c>
      <c r="C310" s="842">
        <v>2191.9499999999998</v>
      </c>
      <c r="D310" s="814">
        <f t="shared" si="142"/>
        <v>3.9706446136147054E-4</v>
      </c>
      <c r="E310" s="841">
        <f t="shared" si="134"/>
        <v>4.2574342192880539E-2</v>
      </c>
      <c r="F310" s="838">
        <v>5255.65</v>
      </c>
      <c r="G310" s="814">
        <f t="shared" si="143"/>
        <v>8.664851174038339E-4</v>
      </c>
      <c r="H310" s="819">
        <f t="shared" si="135"/>
        <v>3.2199461869316694E-2</v>
      </c>
      <c r="I310" s="821">
        <v>313669.12</v>
      </c>
      <c r="J310" s="822">
        <v>300000</v>
      </c>
      <c r="K310" s="822">
        <f t="shared" si="136"/>
        <v>1976.6199999999953</v>
      </c>
      <c r="L310" s="814">
        <f t="shared" si="144"/>
        <v>5.4649184044457521E-3</v>
      </c>
      <c r="M310" s="839">
        <f t="shared" si="124"/>
        <v>13669.119999999995</v>
      </c>
      <c r="N310" s="824">
        <f t="shared" si="133"/>
        <v>4.5563733333333314E-2</v>
      </c>
      <c r="O310" s="808">
        <f t="shared" si="116"/>
        <v>3.5184257082452416E-2</v>
      </c>
      <c r="P310" s="839" t="b">
        <f t="shared" si="137"/>
        <v>1</v>
      </c>
      <c r="Q310" s="824">
        <f>COUNTIF(P$2:P310, TRUE)/(COUNTIF(P$2:P310,FALSE) + COUNTIF(P$2:P310, TRUE))</f>
        <v>0.49514563106796117</v>
      </c>
      <c r="R310" s="822">
        <v>254064.2</v>
      </c>
      <c r="S310" s="822">
        <f t="shared" si="128"/>
        <v>59604.919999999984</v>
      </c>
      <c r="T310" s="822">
        <v>-33097</v>
      </c>
      <c r="U310" s="822">
        <f t="shared" si="129"/>
        <v>46766.119999999995</v>
      </c>
      <c r="V310" s="824">
        <f>STDEV(D$2:D310)*SQRT(252)</f>
        <v>0.16919433911473156</v>
      </c>
      <c r="W310" s="824">
        <f>STDEV(L$2:L310)*SQRT(252)</f>
        <v>0.36906691391637653</v>
      </c>
      <c r="X310" s="823">
        <f t="shared" si="125"/>
        <v>0.19430823281588042</v>
      </c>
      <c r="Y310" s="823">
        <f t="shared" si="126"/>
        <v>9.5333002650095297E-2</v>
      </c>
      <c r="Z310" s="829">
        <f t="shared" si="127"/>
        <v>2.9893911404527754E-3</v>
      </c>
    </row>
    <row r="311" spans="1:26" ht="20.100000000000001" customHeight="1" x14ac:dyDescent="0.2">
      <c r="A311" s="798">
        <f t="shared" si="141"/>
        <v>476</v>
      </c>
      <c r="B311" s="846">
        <v>42709</v>
      </c>
      <c r="C311" s="847">
        <v>2204.71</v>
      </c>
      <c r="D311" s="814">
        <f t="shared" si="142"/>
        <v>5.821300668354761E-3</v>
      </c>
      <c r="E311" s="848">
        <f t="shared" si="134"/>
        <v>4.8643480907897482E-2</v>
      </c>
      <c r="F311" s="849">
        <v>5308.89</v>
      </c>
      <c r="G311" s="814">
        <f t="shared" si="143"/>
        <v>1.0130050517062722E-2</v>
      </c>
      <c r="H311" s="850">
        <f t="shared" si="135"/>
        <v>4.2655694561737831E-2</v>
      </c>
      <c r="I311" s="859">
        <v>315749.27</v>
      </c>
      <c r="J311" s="852">
        <v>300000</v>
      </c>
      <c r="K311" s="852">
        <f t="shared" si="136"/>
        <v>2080.1500000000233</v>
      </c>
      <c r="L311" s="814">
        <f t="shared" si="144"/>
        <v>6.6316697034123837E-3</v>
      </c>
      <c r="M311" s="853">
        <f t="shared" si="124"/>
        <v>15749.270000000019</v>
      </c>
      <c r="N311" s="854">
        <f t="shared" si="133"/>
        <v>5.2497566666666731E-2</v>
      </c>
      <c r="O311" s="808">
        <f t="shared" si="116"/>
        <v>4.0283059296218532E-2</v>
      </c>
      <c r="P311" s="853" t="b">
        <f t="shared" si="137"/>
        <v>1</v>
      </c>
      <c r="Q311" s="854">
        <f>COUNTIF(P$2:P311, TRUE)/(COUNTIF(P$2:P311,FALSE) + COUNTIF(P$2:P311, TRUE))</f>
        <v>0.49677419354838709</v>
      </c>
      <c r="R311" s="852">
        <v>256362.35</v>
      </c>
      <c r="S311" s="852">
        <f t="shared" si="128"/>
        <v>59386.920000000013</v>
      </c>
      <c r="T311" s="852">
        <v>-31763</v>
      </c>
      <c r="U311" s="852">
        <f t="shared" si="129"/>
        <v>47512.270000000019</v>
      </c>
      <c r="V311" s="854">
        <f>STDEV(D$2:D311)*SQRT(252)</f>
        <v>0.16899593279406544</v>
      </c>
      <c r="W311" s="854">
        <f>STDEV(L$2:L311)*SQRT(252)</f>
        <v>0.3685065540926854</v>
      </c>
      <c r="X311" s="823">
        <f t="shared" si="125"/>
        <v>0.22086742328499143</v>
      </c>
      <c r="Y311" s="823">
        <f t="shared" si="126"/>
        <v>0.10931436320149325</v>
      </c>
      <c r="Z311" s="829">
        <f t="shared" si="127"/>
        <v>3.854085758769249E-3</v>
      </c>
    </row>
    <row r="312" spans="1:26" ht="20.100000000000001" customHeight="1" x14ac:dyDescent="0.2">
      <c r="A312" s="798">
        <f t="shared" si="141"/>
        <v>477</v>
      </c>
      <c r="B312" s="846">
        <v>42710</v>
      </c>
      <c r="C312" s="847">
        <v>2212.23</v>
      </c>
      <c r="D312" s="814">
        <f t="shared" si="142"/>
        <v>3.4108794353905872E-3</v>
      </c>
      <c r="E312" s="848">
        <f t="shared" si="134"/>
        <v>5.2220277391982629E-2</v>
      </c>
      <c r="F312" s="849">
        <v>5333</v>
      </c>
      <c r="G312" s="814">
        <f t="shared" si="143"/>
        <v>4.5414389825367768E-3</v>
      </c>
      <c r="H312" s="850">
        <f t="shared" si="135"/>
        <v>4.7390851778384466E-2</v>
      </c>
      <c r="I312" s="859">
        <v>317812.25</v>
      </c>
      <c r="J312" s="852">
        <v>300000</v>
      </c>
      <c r="K312" s="852">
        <f t="shared" si="136"/>
        <v>2062.9799999999814</v>
      </c>
      <c r="L312" s="814">
        <f t="shared" si="144"/>
        <v>6.5336018037349102E-3</v>
      </c>
      <c r="M312" s="853">
        <f t="shared" ref="M312:M343" si="145">I312-J312</f>
        <v>17812.25</v>
      </c>
      <c r="N312" s="854">
        <f t="shared" si="133"/>
        <v>5.9374166666666665E-2</v>
      </c>
      <c r="O312" s="808">
        <f t="shared" si="116"/>
        <v>4.5464181079664566E-2</v>
      </c>
      <c r="P312" s="853" t="b">
        <f t="shared" si="137"/>
        <v>1</v>
      </c>
      <c r="Q312" s="854">
        <f>COUNTIF(P$2:P312, TRUE)/(COUNTIF(P$2:P312,FALSE) + COUNTIF(P$2:P312, TRUE))</f>
        <v>0.49839228295819937</v>
      </c>
      <c r="R312" s="852">
        <v>247476.7</v>
      </c>
      <c r="S312" s="852">
        <f t="shared" si="128"/>
        <v>70335.549999999988</v>
      </c>
      <c r="T312" s="852">
        <v>-30573</v>
      </c>
      <c r="U312" s="852">
        <f t="shared" si="129"/>
        <v>48385.25</v>
      </c>
      <c r="V312" s="854">
        <f>STDEV(D$2:D312)*SQRT(252)</f>
        <v>0.1687469337814691</v>
      </c>
      <c r="W312" s="854">
        <f>STDEV(L$2:L312)*SQRT(252)</f>
        <v>0.36794744748761488</v>
      </c>
      <c r="X312" s="823">
        <f t="shared" si="125"/>
        <v>0.23696004835068094</v>
      </c>
      <c r="Y312" s="823">
        <f t="shared" si="126"/>
        <v>0.1235616156331534</v>
      </c>
      <c r="Z312" s="829">
        <f t="shared" si="127"/>
        <v>7.153889274684036E-3</v>
      </c>
    </row>
    <row r="313" spans="1:26" ht="20.100000000000001" customHeight="1" x14ac:dyDescent="0.2">
      <c r="A313" s="798">
        <f t="shared" si="141"/>
        <v>478</v>
      </c>
      <c r="B313" s="846">
        <v>42711</v>
      </c>
      <c r="C313" s="847">
        <v>2241.35</v>
      </c>
      <c r="D313" s="814">
        <f t="shared" si="142"/>
        <v>1.316318827608336E-2</v>
      </c>
      <c r="E313" s="848">
        <f t="shared" si="134"/>
        <v>6.6070851011205953E-2</v>
      </c>
      <c r="F313" s="849">
        <v>5393.76</v>
      </c>
      <c r="G313" s="814">
        <f t="shared" si="143"/>
        <v>1.1393212075754776E-2</v>
      </c>
      <c r="H313" s="850">
        <f t="shared" si="135"/>
        <v>5.9323997878901039E-2</v>
      </c>
      <c r="I313" s="859">
        <v>321172.03999999998</v>
      </c>
      <c r="J313" s="852">
        <v>300000</v>
      </c>
      <c r="K313" s="852">
        <f t="shared" si="136"/>
        <v>3359.789999999979</v>
      </c>
      <c r="L313" s="814">
        <f t="shared" si="144"/>
        <v>1.0571618935393394E-2</v>
      </c>
      <c r="M313" s="853">
        <f t="shared" si="145"/>
        <v>21172.039999999979</v>
      </c>
      <c r="N313" s="854">
        <f t="shared" si="133"/>
        <v>7.0573466666666598E-2</v>
      </c>
      <c r="O313" s="808">
        <f t="shared" si="116"/>
        <v>5.3926691841004133E-2</v>
      </c>
      <c r="P313" s="853" t="b">
        <f t="shared" si="137"/>
        <v>0</v>
      </c>
      <c r="Q313" s="854">
        <f>COUNTIF(P$2:P313, TRUE)/(COUNTIF(P$2:P313,FALSE) + COUNTIF(P$2:P313, TRUE))</f>
        <v>0.49679487179487181</v>
      </c>
      <c r="R313" s="852">
        <v>220777.60000000001</v>
      </c>
      <c r="S313" s="852">
        <f t="shared" si="128"/>
        <v>100394.43999999997</v>
      </c>
      <c r="T313" s="852">
        <v>-30508</v>
      </c>
      <c r="U313" s="852">
        <f t="shared" si="129"/>
        <v>51680.039999999979</v>
      </c>
      <c r="V313" s="854">
        <f>STDEV(D$2:D313)*SQRT(252)</f>
        <v>0.16887690023643279</v>
      </c>
      <c r="W313" s="854">
        <f>STDEV(L$2:L313)*SQRT(252)</f>
        <v>0.36746067349044381</v>
      </c>
      <c r="X313" s="823">
        <f t="shared" si="125"/>
        <v>0.29895235563339134</v>
      </c>
      <c r="Y313" s="823">
        <f t="shared" si="126"/>
        <v>0.146755001912896</v>
      </c>
      <c r="Z313" s="829">
        <f t="shared" si="127"/>
        <v>4.5026156554606456E-3</v>
      </c>
    </row>
    <row r="314" spans="1:26" ht="20.100000000000001" customHeight="1" x14ac:dyDescent="0.2">
      <c r="A314" s="798">
        <f t="shared" si="141"/>
        <v>479</v>
      </c>
      <c r="B314" s="846">
        <v>42712</v>
      </c>
      <c r="C314" s="847">
        <v>2246.19</v>
      </c>
      <c r="D314" s="814">
        <f t="shared" si="142"/>
        <v>2.1594128538604618E-3</v>
      </c>
      <c r="E314" s="848">
        <f t="shared" si="134"/>
        <v>6.8372938110005513E-2</v>
      </c>
      <c r="F314" s="849">
        <v>5417.35</v>
      </c>
      <c r="G314" s="814">
        <f t="shared" si="143"/>
        <v>4.3735724244312211E-3</v>
      </c>
      <c r="H314" s="850">
        <f t="shared" si="135"/>
        <v>6.3957028104562441E-2</v>
      </c>
      <c r="I314" s="859">
        <v>322327.21999999997</v>
      </c>
      <c r="J314" s="852">
        <v>300000</v>
      </c>
      <c r="K314" s="852">
        <f t="shared" si="136"/>
        <v>1155.179999999993</v>
      </c>
      <c r="L314" s="814">
        <f t="shared" si="144"/>
        <v>3.596763902611177E-3</v>
      </c>
      <c r="M314" s="853">
        <f t="shared" si="145"/>
        <v>22327.219999999972</v>
      </c>
      <c r="N314" s="854">
        <f t="shared" si="133"/>
        <v>7.442406666666658E-2</v>
      </c>
      <c r="O314" s="808">
        <f t="shared" si="116"/>
        <v>5.6750293006262983E-2</v>
      </c>
      <c r="P314" s="853" t="b">
        <f t="shared" si="137"/>
        <v>1</v>
      </c>
      <c r="Q314" s="854">
        <f>COUNTIF(P$2:P314, TRUE)/(COUNTIF(P$2:P314,FALSE) + COUNTIF(P$2:P314, TRUE))</f>
        <v>0.49840255591054311</v>
      </c>
      <c r="R314" s="852">
        <v>216214.39999999999</v>
      </c>
      <c r="S314" s="852">
        <f t="shared" si="128"/>
        <v>106112.81999999998</v>
      </c>
      <c r="T314" s="852">
        <v>-30163</v>
      </c>
      <c r="U314" s="852">
        <f t="shared" si="129"/>
        <v>52490.219999999972</v>
      </c>
      <c r="V314" s="854">
        <f>STDEV(D$2:D314)*SQRT(252)</f>
        <v>0.16861379822258454</v>
      </c>
      <c r="W314" s="854">
        <f>STDEV(L$2:L314)*SQRT(252)</f>
        <v>0.36687837723498989</v>
      </c>
      <c r="X314" s="823">
        <f t="shared" si="125"/>
        <v>0.30920452608826132</v>
      </c>
      <c r="Y314" s="823">
        <f t="shared" si="126"/>
        <v>0.15468421288266263</v>
      </c>
      <c r="Z314" s="829">
        <f t="shared" si="127"/>
        <v>6.0511285566610673E-3</v>
      </c>
    </row>
    <row r="315" spans="1:26" ht="20.100000000000001" customHeight="1" x14ac:dyDescent="0.2">
      <c r="A315" s="798">
        <f t="shared" si="141"/>
        <v>480</v>
      </c>
      <c r="B315" s="846">
        <v>42713</v>
      </c>
      <c r="C315" s="847">
        <v>2259.5300000000002</v>
      </c>
      <c r="D315" s="814">
        <f t="shared" si="142"/>
        <v>5.9389455032744986E-3</v>
      </c>
      <c r="E315" s="848">
        <f t="shared" si="134"/>
        <v>7.4717946766614099E-2</v>
      </c>
      <c r="F315" s="849">
        <v>5444.49</v>
      </c>
      <c r="G315" s="814">
        <f t="shared" si="143"/>
        <v>5.0098295291977476E-3</v>
      </c>
      <c r="H315" s="850">
        <f t="shared" si="135"/>
        <v>6.9287271441758155E-2</v>
      </c>
      <c r="I315" s="859">
        <v>323626.28000000003</v>
      </c>
      <c r="J315" s="852">
        <v>300000</v>
      </c>
      <c r="K315" s="852">
        <f t="shared" si="136"/>
        <v>1299.0600000000559</v>
      </c>
      <c r="L315" s="814">
        <f t="shared" si="144"/>
        <v>4.0302522387034396E-3</v>
      </c>
      <c r="M315" s="853">
        <f t="shared" si="145"/>
        <v>23626.280000000028</v>
      </c>
      <c r="N315" s="854">
        <f t="shared" si="133"/>
        <v>7.8754266666666753E-2</v>
      </c>
      <c r="O315" s="808">
        <f t="shared" si="116"/>
        <v>5.9927074791666736E-2</v>
      </c>
      <c r="P315" s="853" t="b">
        <f t="shared" si="137"/>
        <v>0</v>
      </c>
      <c r="Q315" s="854">
        <f>COUNTIF(P$2:P315, TRUE)/(COUNTIF(P$2:P315,FALSE) + COUNTIF(P$2:P315, TRUE))</f>
        <v>0.49681528662420382</v>
      </c>
      <c r="R315" s="852">
        <v>204478.8</v>
      </c>
      <c r="S315" s="852">
        <f t="shared" si="128"/>
        <v>119147.48000000004</v>
      </c>
      <c r="T315" s="852">
        <v>-28680</v>
      </c>
      <c r="U315" s="852">
        <f t="shared" si="129"/>
        <v>52306.280000000028</v>
      </c>
      <c r="V315" s="854">
        <f>STDEV(D$2:D315)*SQRT(252)</f>
        <v>0.16842024942459102</v>
      </c>
      <c r="W315" s="854">
        <f>STDEV(L$2:L315)*SQRT(252)</f>
        <v>0.36630175469945664</v>
      </c>
      <c r="X315" s="823">
        <f t="shared" si="125"/>
        <v>0.33758225517399648</v>
      </c>
      <c r="Y315" s="823">
        <f t="shared" si="126"/>
        <v>0.16360029408222659</v>
      </c>
      <c r="Z315" s="829">
        <f t="shared" si="127"/>
        <v>4.036319900052654E-3</v>
      </c>
    </row>
    <row r="316" spans="1:26" ht="20.100000000000001" customHeight="1" x14ac:dyDescent="0.2">
      <c r="A316" s="798">
        <f t="shared" si="141"/>
        <v>483</v>
      </c>
      <c r="B316" s="817">
        <v>42716</v>
      </c>
      <c r="C316" s="842">
        <v>2256.96</v>
      </c>
      <c r="D316" s="814">
        <f t="shared" si="142"/>
        <v>-1.137404681504633E-3</v>
      </c>
      <c r="E316" s="841">
        <f t="shared" si="134"/>
        <v>7.3495557542664708E-2</v>
      </c>
      <c r="F316" s="838">
        <v>5412.54</v>
      </c>
      <c r="G316" s="814">
        <f t="shared" si="143"/>
        <v>-5.8683182446840421E-3</v>
      </c>
      <c r="H316" s="819">
        <f t="shared" si="135"/>
        <v>6.301235343794806E-2</v>
      </c>
      <c r="I316" s="821">
        <v>324351.42</v>
      </c>
      <c r="J316" s="822">
        <v>300000</v>
      </c>
      <c r="K316" s="822">
        <f t="shared" si="136"/>
        <v>725.13999999995576</v>
      </c>
      <c r="L316" s="814">
        <f t="shared" si="144"/>
        <v>2.2406709368595025E-3</v>
      </c>
      <c r="M316" s="839">
        <f t="shared" si="145"/>
        <v>24351.419999999984</v>
      </c>
      <c r="N316" s="824">
        <f t="shared" si="133"/>
        <v>8.1171399999999949E-2</v>
      </c>
      <c r="O316" s="808">
        <f t="shared" si="116"/>
        <v>6.1382720186335366E-2</v>
      </c>
      <c r="P316" s="839" t="b">
        <f t="shared" si="137"/>
        <v>1</v>
      </c>
      <c r="Q316" s="824">
        <f>COUNTIF(P$2:P316, TRUE)/(COUNTIF(P$2:P316,FALSE) + COUNTIF(P$2:P316, TRUE))</f>
        <v>0.49841269841269842</v>
      </c>
      <c r="R316" s="822">
        <v>230456.1</v>
      </c>
      <c r="S316" s="822">
        <f t="shared" si="128"/>
        <v>93895.319999999978</v>
      </c>
      <c r="T316" s="822">
        <v>-29165</v>
      </c>
      <c r="U316" s="822">
        <f t="shared" si="129"/>
        <v>53516.419999999984</v>
      </c>
      <c r="V316" s="824">
        <f>STDEV(D$2:D316)*SQRT(252)</f>
        <v>0.16815582865464937</v>
      </c>
      <c r="W316" s="824">
        <f>STDEV(L$2:L316)*SQRT(252)</f>
        <v>0.36571853063602927</v>
      </c>
      <c r="X316" s="823">
        <f t="shared" si="125"/>
        <v>0.33051582420833064</v>
      </c>
      <c r="Y316" s="823">
        <f t="shared" si="126"/>
        <v>0.16784142733917065</v>
      </c>
      <c r="Z316" s="829">
        <f t="shared" si="127"/>
        <v>7.6758424573352413E-3</v>
      </c>
    </row>
    <row r="317" spans="1:26" ht="20.100000000000001" customHeight="1" x14ac:dyDescent="0.2">
      <c r="A317" s="798">
        <f t="shared" si="141"/>
        <v>484</v>
      </c>
      <c r="B317" s="817">
        <v>42717</v>
      </c>
      <c r="C317" s="842">
        <v>2271.7199999999998</v>
      </c>
      <c r="D317" s="814">
        <f t="shared" ref="D317:D324" si="146">(C317-C316)/C316</f>
        <v>6.539770310506063E-3</v>
      </c>
      <c r="E317" s="841">
        <f t="shared" si="134"/>
        <v>8.051597191834238E-2</v>
      </c>
      <c r="F317" s="838">
        <v>5463.82</v>
      </c>
      <c r="G317" s="814">
        <f t="shared" si="143"/>
        <v>9.47429487819023E-3</v>
      </c>
      <c r="H317" s="819">
        <f t="shared" si="135"/>
        <v>7.3083645933578162E-2</v>
      </c>
      <c r="I317" s="821">
        <v>326932.27</v>
      </c>
      <c r="J317" s="822">
        <v>300000</v>
      </c>
      <c r="K317" s="822">
        <f t="shared" si="136"/>
        <v>2580.8500000000349</v>
      </c>
      <c r="L317" s="814">
        <f t="shared" si="144"/>
        <v>7.9569560694386209E-3</v>
      </c>
      <c r="M317" s="839">
        <f t="shared" si="145"/>
        <v>26932.270000000019</v>
      </c>
      <c r="N317" s="824">
        <f t="shared" si="133"/>
        <v>8.9774233333333397E-2</v>
      </c>
      <c r="O317" s="808">
        <f t="shared" si="116"/>
        <v>6.7748013894628145E-2</v>
      </c>
      <c r="P317" s="839" t="b">
        <f t="shared" si="137"/>
        <v>1</v>
      </c>
      <c r="Q317" s="824">
        <f>COUNTIF(P$2:P317, TRUE)/(COUNTIF(P$2:P317,FALSE) + COUNTIF(P$2:P317, TRUE))</f>
        <v>0.5</v>
      </c>
      <c r="R317" s="822">
        <v>227241.15</v>
      </c>
      <c r="S317" s="822">
        <f t="shared" ref="S317:S325" si="147">I317-R317</f>
        <v>99691.120000000024</v>
      </c>
      <c r="T317" s="822">
        <v>-28375</v>
      </c>
      <c r="U317" s="822">
        <f t="shared" ref="U317:U348" si="148">M317-T317</f>
        <v>55307.270000000019</v>
      </c>
      <c r="V317" s="824">
        <f>STDEV(D$2:D317)*SQRT(252)</f>
        <v>0.16798113436370918</v>
      </c>
      <c r="W317" s="824">
        <f>STDEV(L$2:L317)*SQRT(252)</f>
        <v>0.36519230283112208</v>
      </c>
      <c r="X317" s="823">
        <f t="shared" si="125"/>
        <v>0.36171489509905153</v>
      </c>
      <c r="Y317" s="823">
        <f t="shared" si="126"/>
        <v>0.18551325799973731</v>
      </c>
      <c r="Z317" s="829">
        <f t="shared" si="127"/>
        <v>9.2582614149910175E-3</v>
      </c>
    </row>
    <row r="318" spans="1:26" ht="20.100000000000001" customHeight="1" x14ac:dyDescent="0.2">
      <c r="A318" s="798">
        <f t="shared" si="141"/>
        <v>485</v>
      </c>
      <c r="B318" s="817">
        <v>42718</v>
      </c>
      <c r="C318" s="842">
        <v>2253.2800000000002</v>
      </c>
      <c r="D318" s="814">
        <f t="shared" si="146"/>
        <v>-8.1171975419504164E-3</v>
      </c>
      <c r="E318" s="841">
        <f t="shared" si="134"/>
        <v>7.1745210327048642E-2</v>
      </c>
      <c r="F318" s="838">
        <v>5436.67</v>
      </c>
      <c r="G318" s="814">
        <f t="shared" si="143"/>
        <v>-4.9690509570226764E-3</v>
      </c>
      <c r="H318" s="819">
        <f t="shared" si="135"/>
        <v>6.775143861578653E-2</v>
      </c>
      <c r="I318" s="821">
        <v>323187.58</v>
      </c>
      <c r="J318" s="822">
        <v>300000</v>
      </c>
      <c r="K318" s="822">
        <f t="shared" si="136"/>
        <v>-3744.6900000000023</v>
      </c>
      <c r="L318" s="814">
        <f t="shared" si="144"/>
        <v>-1.1454023795203827E-2</v>
      </c>
      <c r="M318" s="839">
        <f t="shared" si="145"/>
        <v>23187.580000000016</v>
      </c>
      <c r="N318" s="824">
        <f t="shared" ref="N318:N349" si="149">M318/J318</f>
        <v>7.7291933333333382E-2</v>
      </c>
      <c r="O318" s="808">
        <f t="shared" si="116"/>
        <v>5.8207997216494882E-2</v>
      </c>
      <c r="P318" s="839" t="b">
        <f t="shared" si="137"/>
        <v>0</v>
      </c>
      <c r="Q318" s="824">
        <f>COUNTIF(P$2:P318, TRUE)/(COUNTIF(P$2:P318,FALSE) + COUNTIF(P$2:P318, TRUE))</f>
        <v>0.49842271293375395</v>
      </c>
      <c r="R318" s="822">
        <v>227414.39999999999</v>
      </c>
      <c r="S318" s="822">
        <f t="shared" si="147"/>
        <v>95773.180000000022</v>
      </c>
      <c r="T318" s="822">
        <v>-28896</v>
      </c>
      <c r="U318" s="822">
        <f t="shared" si="148"/>
        <v>52083.580000000016</v>
      </c>
      <c r="V318" s="824">
        <f>STDEV(D$2:D318)*SQRT(252)</f>
        <v>0.1678827042507858</v>
      </c>
      <c r="W318" s="824">
        <f>STDEV(L$2:L318)*SQRT(252)</f>
        <v>0.36477613743457138</v>
      </c>
      <c r="X318" s="823">
        <f t="shared" si="125"/>
        <v>0.32183660841945799</v>
      </c>
      <c r="Y318" s="823">
        <f t="shared" si="126"/>
        <v>0.15957183390850352</v>
      </c>
      <c r="Z318" s="829">
        <f t="shared" si="127"/>
        <v>5.54672300628474E-3</v>
      </c>
    </row>
    <row r="319" spans="1:26" ht="20.100000000000001" customHeight="1" x14ac:dyDescent="0.2">
      <c r="A319" s="798">
        <f t="shared" si="141"/>
        <v>486</v>
      </c>
      <c r="B319" s="817">
        <v>42719</v>
      </c>
      <c r="C319" s="842">
        <v>2262.0300000000002</v>
      </c>
      <c r="D319" s="814">
        <f t="shared" si="146"/>
        <v>3.8832280053965771E-3</v>
      </c>
      <c r="E319" s="841">
        <f t="shared" si="134"/>
        <v>7.5907041342440279E-2</v>
      </c>
      <c r="F319" s="838">
        <v>5456.85</v>
      </c>
      <c r="G319" s="814">
        <f t="shared" si="143"/>
        <v>3.7118309553458811E-3</v>
      </c>
      <c r="H319" s="819">
        <f t="shared" si="135"/>
        <v>7.1714751458255704E-2</v>
      </c>
      <c r="I319" s="821">
        <v>324820.98</v>
      </c>
      <c r="J319" s="822">
        <v>300000</v>
      </c>
      <c r="K319" s="822">
        <f t="shared" si="136"/>
        <v>1633.3999999999651</v>
      </c>
      <c r="L319" s="814">
        <f t="shared" si="144"/>
        <v>5.0540308510616805E-3</v>
      </c>
      <c r="M319" s="839">
        <f t="shared" si="145"/>
        <v>24820.979999999981</v>
      </c>
      <c r="N319" s="824">
        <f t="shared" si="149"/>
        <v>8.2736599999999938E-2</v>
      </c>
      <c r="O319" s="808">
        <f t="shared" si="116"/>
        <v>6.2180129938271558E-2</v>
      </c>
      <c r="P319" s="839" t="b">
        <f t="shared" si="137"/>
        <v>1</v>
      </c>
      <c r="Q319" s="824">
        <f>COUNTIF(P$2:P319, TRUE)/(COUNTIF(P$2:P319,FALSE) + COUNTIF(P$2:P319, TRUE))</f>
        <v>0.5</v>
      </c>
      <c r="R319" s="822">
        <v>232165.8</v>
      </c>
      <c r="S319" s="822">
        <f t="shared" si="147"/>
        <v>92655.18</v>
      </c>
      <c r="T319" s="822">
        <v>-28562</v>
      </c>
      <c r="U319" s="822">
        <f t="shared" si="148"/>
        <v>53382.979999999981</v>
      </c>
      <c r="V319" s="824">
        <f>STDEV(D$2:D319)*SQRT(252)</f>
        <v>0.16764772855773447</v>
      </c>
      <c r="W319" s="824">
        <f>STDEV(L$2:L319)*SQRT(252)</f>
        <v>0.36421868785433931</v>
      </c>
      <c r="X319" s="823">
        <f t="shared" si="125"/>
        <v>0.34028150571144222</v>
      </c>
      <c r="Y319" s="823">
        <f t="shared" si="126"/>
        <v>0.17072196461028116</v>
      </c>
      <c r="Z319" s="829">
        <f t="shared" si="127"/>
        <v>6.829558657559659E-3</v>
      </c>
    </row>
    <row r="320" spans="1:26" ht="20.100000000000001" customHeight="1" x14ac:dyDescent="0.2">
      <c r="A320" s="798">
        <f>B320-$B$2</f>
        <v>487</v>
      </c>
      <c r="B320" s="817">
        <v>42720</v>
      </c>
      <c r="C320" s="842">
        <v>2258.0700000000002</v>
      </c>
      <c r="D320" s="814">
        <f t="shared" si="146"/>
        <v>-1.7506399119375233E-3</v>
      </c>
      <c r="E320" s="841">
        <f t="shared" ref="E320:E351" si="150">(C320-$C$2)/$C$2</f>
        <v>7.4023515534331591E-2</v>
      </c>
      <c r="F320" s="838">
        <v>5437.16</v>
      </c>
      <c r="G320" s="814">
        <f t="shared" si="143"/>
        <v>-3.6083088228557698E-3</v>
      </c>
      <c r="H320" s="819">
        <f t="shared" ref="H320:H351" si="151">(F320-F$2)/F$2</f>
        <v>6.7847673664984204E-2</v>
      </c>
      <c r="I320" s="821">
        <v>327045.52</v>
      </c>
      <c r="J320" s="822">
        <v>300000</v>
      </c>
      <c r="K320" s="822">
        <f t="shared" ref="K320:K351" si="152">I320-I319-J320+J319</f>
        <v>2224.5400000000373</v>
      </c>
      <c r="L320" s="814">
        <f t="shared" si="144"/>
        <v>6.8485108320282678E-3</v>
      </c>
      <c r="M320" s="839">
        <f t="shared" si="145"/>
        <v>27045.520000000019</v>
      </c>
      <c r="N320" s="824">
        <f t="shared" si="149"/>
        <v>9.01517333333334E-2</v>
      </c>
      <c r="O320" s="808">
        <f t="shared" si="116"/>
        <v>6.7613800000000057E-2</v>
      </c>
      <c r="P320" s="839" t="b">
        <f t="shared" ref="P320:P351" si="153">L320&gt;D320</f>
        <v>1</v>
      </c>
      <c r="Q320" s="824">
        <f>COUNTIF(P$2:P320, TRUE)/(COUNTIF(P$2:P320,FALSE) + COUNTIF(P$2:P320, TRUE))</f>
        <v>0.50156739811912221</v>
      </c>
      <c r="R320" s="822">
        <v>231412.84</v>
      </c>
      <c r="S320" s="822">
        <f t="shared" si="147"/>
        <v>95632.680000000022</v>
      </c>
      <c r="T320" s="822">
        <v>-28561</v>
      </c>
      <c r="U320" s="822">
        <f t="shared" si="148"/>
        <v>55606.520000000019</v>
      </c>
      <c r="V320" s="824">
        <f>STDEV(D$2:D320)*SQRT(252)</f>
        <v>0.16739291241779608</v>
      </c>
      <c r="W320" s="824">
        <f>STDEV(L$2:L320)*SQRT(252)</f>
        <v>0.36368405399671344</v>
      </c>
      <c r="X320" s="823">
        <f t="shared" si="125"/>
        <v>0.33166061722005402</v>
      </c>
      <c r="Y320" s="823">
        <f t="shared" si="126"/>
        <v>0.18591356771614484</v>
      </c>
      <c r="Z320" s="829">
        <f t="shared" si="127"/>
        <v>1.6128217799001809E-2</v>
      </c>
    </row>
    <row r="321" spans="1:26" ht="20.100000000000001" customHeight="1" x14ac:dyDescent="0.2">
      <c r="A321" s="798">
        <f t="shared" ref="A321:A384" si="154">B321-$B$2</f>
        <v>490</v>
      </c>
      <c r="B321" s="846">
        <v>42723</v>
      </c>
      <c r="C321" s="847">
        <v>2262.5300000000002</v>
      </c>
      <c r="D321" s="814">
        <f t="shared" si="146"/>
        <v>1.9751380603790121E-3</v>
      </c>
      <c r="E321" s="848">
        <f t="shared" si="150"/>
        <v>7.6144860257605515E-2</v>
      </c>
      <c r="F321" s="849">
        <v>5457.44</v>
      </c>
      <c r="G321" s="814">
        <f t="shared" si="143"/>
        <v>3.7298883976192988E-3</v>
      </c>
      <c r="H321" s="850">
        <f t="shared" si="151"/>
        <v>7.1830626313411985E-2</v>
      </c>
      <c r="I321" s="859">
        <v>327054.27</v>
      </c>
      <c r="J321" s="852">
        <v>300000</v>
      </c>
      <c r="K321" s="852">
        <f t="shared" si="152"/>
        <v>8.75</v>
      </c>
      <c r="L321" s="814">
        <f t="shared" si="144"/>
        <v>2.6754685402814872E-5</v>
      </c>
      <c r="M321" s="853">
        <f t="shared" si="145"/>
        <v>27054.270000000019</v>
      </c>
      <c r="N321" s="854">
        <f t="shared" si="149"/>
        <v>9.0180900000000064E-2</v>
      </c>
      <c r="O321" s="808">
        <f t="shared" si="116"/>
        <v>6.7221579030612294E-2</v>
      </c>
      <c r="P321" s="853" t="b">
        <f t="shared" si="153"/>
        <v>0</v>
      </c>
      <c r="Q321" s="854">
        <f>COUNTIF(P$2:P321, TRUE)/(COUNTIF(P$2:P321,FALSE) + COUNTIF(P$2:P321, TRUE))</f>
        <v>0.5</v>
      </c>
      <c r="R321" s="852">
        <v>231413.84</v>
      </c>
      <c r="S321" s="852">
        <f t="shared" si="147"/>
        <v>95640.430000000022</v>
      </c>
      <c r="T321" s="852">
        <v>-28148</v>
      </c>
      <c r="U321" s="852">
        <f t="shared" si="148"/>
        <v>55202.270000000019</v>
      </c>
      <c r="V321" s="854">
        <f>STDEV(D$2:D321)*SQRT(252)</f>
        <v>0.16713630063292181</v>
      </c>
      <c r="W321" s="854">
        <f>STDEV(L$2:L321)*SQRT(252)</f>
        <v>0.36311240060215538</v>
      </c>
      <c r="X321" s="823">
        <f t="shared" si="125"/>
        <v>0.33959708460565857</v>
      </c>
      <c r="Y321" s="823">
        <f t="shared" si="126"/>
        <v>0.18512609021101351</v>
      </c>
      <c r="Z321" s="829">
        <f t="shared" si="127"/>
        <v>1.4036039742394549E-2</v>
      </c>
    </row>
    <row r="322" spans="1:26" ht="20.100000000000001" customHeight="1" x14ac:dyDescent="0.2">
      <c r="A322" s="798">
        <f t="shared" si="154"/>
        <v>491</v>
      </c>
      <c r="B322" s="846">
        <v>42724</v>
      </c>
      <c r="C322" s="847">
        <v>2270.7600000000002</v>
      </c>
      <c r="D322" s="814">
        <f t="shared" si="146"/>
        <v>3.6375208284531112E-3</v>
      </c>
      <c r="E322" s="848">
        <f t="shared" si="150"/>
        <v>8.0059359601225316E-2</v>
      </c>
      <c r="F322" s="849">
        <v>5483.94</v>
      </c>
      <c r="G322" s="814">
        <f>(F322-F321)/F321</f>
        <v>4.8557565451933507E-3</v>
      </c>
      <c r="H322" s="850">
        <f t="shared" si="151"/>
        <v>7.7035174892472025E-2</v>
      </c>
      <c r="I322" s="859">
        <v>325810.98</v>
      </c>
      <c r="J322" s="852">
        <v>300000</v>
      </c>
      <c r="K322" s="852">
        <f t="shared" si="152"/>
        <v>-1243.2900000000373</v>
      </c>
      <c r="L322" s="814">
        <f>K322/I321</f>
        <v>-3.8014791857022296E-3</v>
      </c>
      <c r="M322" s="853">
        <f t="shared" si="145"/>
        <v>25810.979999999981</v>
      </c>
      <c r="N322" s="854">
        <f t="shared" si="149"/>
        <v>8.6036599999999935E-2</v>
      </c>
      <c r="O322" s="808">
        <f t="shared" si="116"/>
        <v>6.4001768126272868E-2</v>
      </c>
      <c r="P322" s="853" t="b">
        <f t="shared" si="153"/>
        <v>0</v>
      </c>
      <c r="Q322" s="854">
        <f>COUNTIF(P$2:P322, TRUE)/(COUNTIF(P$2:P322,FALSE) + COUNTIF(P$2:P322, TRUE))</f>
        <v>0.49844236760124611</v>
      </c>
      <c r="R322" s="852">
        <v>230633.3</v>
      </c>
      <c r="S322" s="852">
        <f t="shared" si="147"/>
        <v>95177.68</v>
      </c>
      <c r="T322" s="852">
        <v>-28828</v>
      </c>
      <c r="U322" s="852">
        <f t="shared" si="148"/>
        <v>54638.979999999981</v>
      </c>
      <c r="V322" s="854">
        <f>STDEV(D$2:D322)*SQRT(252)</f>
        <v>0.16690064073830019</v>
      </c>
      <c r="W322" s="854">
        <f>STDEV(L$2:L322)*SQRT(252)</f>
        <v>0.36256564475592484</v>
      </c>
      <c r="X322" s="823">
        <f t="shared" si="125"/>
        <v>0.35683121635030163</v>
      </c>
      <c r="Y322" s="823">
        <f t="shared" si="126"/>
        <v>0.17652463506121255</v>
      </c>
      <c r="Z322" s="829">
        <f t="shared" si="127"/>
        <v>5.9772403987746192E-3</v>
      </c>
    </row>
    <row r="323" spans="1:26" ht="20.100000000000001" customHeight="1" x14ac:dyDescent="0.2">
      <c r="A323" s="798">
        <f t="shared" si="154"/>
        <v>492</v>
      </c>
      <c r="B323" s="846">
        <v>42725</v>
      </c>
      <c r="C323" s="847">
        <v>2265.1799999999998</v>
      </c>
      <c r="D323" s="814">
        <f t="shared" si="146"/>
        <v>-2.4573270623052994E-3</v>
      </c>
      <c r="E323" s="848">
        <f t="shared" si="150"/>
        <v>7.7405300507981098E-2</v>
      </c>
      <c r="F323" s="849">
        <v>5471.43</v>
      </c>
      <c r="G323" s="814">
        <f>(F323-F322)/F322</f>
        <v>-2.2812065777523659E-3</v>
      </c>
      <c r="H323" s="850">
        <f t="shared" si="151"/>
        <v>7.4578235167036641E-2</v>
      </c>
      <c r="I323" s="859">
        <v>324443.28000000003</v>
      </c>
      <c r="J323" s="852">
        <v>300000</v>
      </c>
      <c r="K323" s="852">
        <f t="shared" si="152"/>
        <v>-1367.6999999999534</v>
      </c>
      <c r="L323" s="814">
        <f t="shared" ref="L323:L386" si="155">K323/I322</f>
        <v>-4.1978327433899055E-3</v>
      </c>
      <c r="M323" s="853">
        <f t="shared" si="145"/>
        <v>24443.280000000028</v>
      </c>
      <c r="N323" s="854">
        <f t="shared" si="149"/>
        <v>8.1477600000000094E-2</v>
      </c>
      <c r="O323" s="808">
        <f t="shared" si="116"/>
        <v>6.0487181707317143E-2</v>
      </c>
      <c r="P323" s="853" t="b">
        <f t="shared" si="153"/>
        <v>0</v>
      </c>
      <c r="Q323" s="854">
        <f>COUNTIF(P$2:P323, TRUE)/(COUNTIF(P$2:P323,FALSE) + COUNTIF(P$2:P323, TRUE))</f>
        <v>0.49689440993788819</v>
      </c>
      <c r="R323" s="852">
        <v>231596.6</v>
      </c>
      <c r="S323" s="852">
        <f t="shared" si="147"/>
        <v>92846.680000000022</v>
      </c>
      <c r="T323" s="852">
        <v>-28725</v>
      </c>
      <c r="U323" s="852">
        <f t="shared" si="148"/>
        <v>53168.280000000028</v>
      </c>
      <c r="V323" s="854">
        <f>STDEV(D$2:D323)*SQRT(252)</f>
        <v>0.16665750598477963</v>
      </c>
      <c r="W323" s="854">
        <f>STDEV(L$2:L323)*SQRT(252)</f>
        <v>0.36202544499478717</v>
      </c>
      <c r="X323" s="823">
        <f t="shared" si="125"/>
        <v>0.3448029275178901</v>
      </c>
      <c r="Y323" s="823">
        <f t="shared" si="126"/>
        <v>0.16707991812063958</v>
      </c>
      <c r="Z323" s="829">
        <f t="shared" si="127"/>
        <v>4.0722994920189964E-3</v>
      </c>
    </row>
    <row r="324" spans="1:26" ht="20.100000000000001" customHeight="1" x14ac:dyDescent="0.2">
      <c r="A324" s="798">
        <f t="shared" si="154"/>
        <v>493</v>
      </c>
      <c r="B324" s="846">
        <v>42726</v>
      </c>
      <c r="C324" s="847">
        <v>2260.96</v>
      </c>
      <c r="D324" s="814">
        <f t="shared" si="146"/>
        <v>-1.8629866059208541E-3</v>
      </c>
      <c r="E324" s="848">
        <f t="shared" si="150"/>
        <v>7.5398108863986596E-2</v>
      </c>
      <c r="F324" s="849">
        <v>5447.42</v>
      </c>
      <c r="G324" s="814">
        <f t="shared" ref="G324:G334" si="156">(F324-F323)/F323</f>
        <v>-4.3882495069845024E-3</v>
      </c>
      <c r="H324" s="850">
        <f t="shared" si="151"/>
        <v>6.9862717756348613E-2</v>
      </c>
      <c r="I324" s="859">
        <v>328249.78000000003</v>
      </c>
      <c r="J324" s="852">
        <v>300000</v>
      </c>
      <c r="K324" s="852">
        <f t="shared" si="152"/>
        <v>3806.5</v>
      </c>
      <c r="L324" s="814">
        <f t="shared" si="155"/>
        <v>1.1732405121782764E-2</v>
      </c>
      <c r="M324" s="853">
        <f t="shared" si="145"/>
        <v>28249.780000000028</v>
      </c>
      <c r="N324" s="854">
        <f t="shared" si="149"/>
        <v>9.4165933333333424E-2</v>
      </c>
      <c r="O324" s="808">
        <f t="shared" si="116"/>
        <v>6.9764923225152195E-2</v>
      </c>
      <c r="P324" s="853" t="b">
        <f t="shared" si="153"/>
        <v>1</v>
      </c>
      <c r="Q324" s="854">
        <f>COUNTIF(P$2:P324, TRUE)/(COUNTIF(P$2:P324,FALSE) + COUNTIF(P$2:P324, TRUE))</f>
        <v>0.49845201238390091</v>
      </c>
      <c r="R324" s="852">
        <v>235403.1</v>
      </c>
      <c r="S324" s="852">
        <f t="shared" si="147"/>
        <v>92846.680000000022</v>
      </c>
      <c r="T324" s="852">
        <v>-28852</v>
      </c>
      <c r="U324" s="852">
        <f t="shared" si="148"/>
        <v>57101.780000000028</v>
      </c>
      <c r="V324" s="854">
        <f>STDEV(D$2:D324)*SQRT(252)</f>
        <v>0.16640858320872839</v>
      </c>
      <c r="W324" s="854">
        <f>STDEV(L$2:L324)*SQRT(252)</f>
        <v>0.36159155840983148</v>
      </c>
      <c r="X324" s="823">
        <f t="shared" si="125"/>
        <v>0.33568198550009004</v>
      </c>
      <c r="Y324" s="823">
        <f t="shared" si="126"/>
        <v>0.19293847326513064</v>
      </c>
      <c r="Z324" s="829">
        <f t="shared" si="127"/>
        <v>1.8767824469346828E-2</v>
      </c>
    </row>
    <row r="325" spans="1:26" ht="20.100000000000001" customHeight="1" x14ac:dyDescent="0.2">
      <c r="A325" s="798">
        <f t="shared" si="154"/>
        <v>494</v>
      </c>
      <c r="B325" s="846">
        <v>42727</v>
      </c>
      <c r="C325" s="847">
        <v>2263.79</v>
      </c>
      <c r="D325" s="814">
        <f t="shared" ref="D325:D334" si="157">(C325-C324)/C324</f>
        <v>1.251680702002657E-3</v>
      </c>
      <c r="E325" s="848">
        <f t="shared" si="150"/>
        <v>7.6744163923821801E-2</v>
      </c>
      <c r="F325" s="849">
        <v>5462.68</v>
      </c>
      <c r="G325" s="814">
        <f t="shared" si="156"/>
        <v>2.8013261323709604E-3</v>
      </c>
      <c r="H325" s="850">
        <f t="shared" si="151"/>
        <v>7.2859752145648896E-2</v>
      </c>
      <c r="I325" s="859">
        <v>329298.48</v>
      </c>
      <c r="J325" s="852">
        <v>300000</v>
      </c>
      <c r="K325" s="852">
        <f t="shared" si="152"/>
        <v>1048.6999999999534</v>
      </c>
      <c r="L325" s="814">
        <f t="shared" si="155"/>
        <v>3.1948231618006062E-3</v>
      </c>
      <c r="M325" s="853">
        <f t="shared" si="145"/>
        <v>29298.479999999981</v>
      </c>
      <c r="N325" s="854">
        <f t="shared" si="149"/>
        <v>9.7661599999999932E-2</v>
      </c>
      <c r="O325" s="808">
        <f t="shared" si="116"/>
        <v>7.2208298380566749E-2</v>
      </c>
      <c r="P325" s="853" t="b">
        <f t="shared" si="153"/>
        <v>1</v>
      </c>
      <c r="Q325" s="854">
        <f>COUNTIF(P$2:P325, TRUE)/(COUNTIF(P$2:P325,FALSE) + COUNTIF(P$2:P325, TRUE))</f>
        <v>0.5</v>
      </c>
      <c r="R325" s="852">
        <v>236451.8</v>
      </c>
      <c r="S325" s="852">
        <f t="shared" si="147"/>
        <v>92846.68</v>
      </c>
      <c r="T325" s="852">
        <v>-28456</v>
      </c>
      <c r="U325" s="852">
        <f t="shared" si="148"/>
        <v>57754.479999999981</v>
      </c>
      <c r="V325" s="854">
        <f>STDEV(D$2:D325)*SQRT(252)</f>
        <v>0.16615219867312236</v>
      </c>
      <c r="W325" s="854">
        <f>STDEV(L$2:L325)*SQRT(252)</f>
        <v>0.36103590347828884</v>
      </c>
      <c r="X325" s="823">
        <f t="shared" si="125"/>
        <v>0.34150930570656673</v>
      </c>
      <c r="Y325" s="823">
        <f t="shared" si="126"/>
        <v>0.20000309577218833</v>
      </c>
      <c r="Z325" s="829">
        <f t="shared" si="127"/>
        <v>2.0917436076178131E-2</v>
      </c>
    </row>
    <row r="326" spans="1:26" ht="20.100000000000001" customHeight="1" x14ac:dyDescent="0.2">
      <c r="A326" s="798">
        <f t="shared" si="154"/>
        <v>498</v>
      </c>
      <c r="B326" s="817">
        <v>42731</v>
      </c>
      <c r="C326" s="842">
        <v>2268.88</v>
      </c>
      <c r="D326" s="814">
        <f t="shared" si="157"/>
        <v>2.2484417724259521E-3</v>
      </c>
      <c r="E326" s="841">
        <f t="shared" si="150"/>
        <v>7.9165160480203972E-2</v>
      </c>
      <c r="F326" s="838">
        <v>5487.44</v>
      </c>
      <c r="G326" s="814">
        <f t="shared" si="156"/>
        <v>4.5325737550065736E-3</v>
      </c>
      <c r="H326" s="819">
        <f t="shared" si="151"/>
        <v>7.7722568101027123E-2</v>
      </c>
      <c r="I326" s="821">
        <v>330109.08</v>
      </c>
      <c r="J326" s="822">
        <v>300000</v>
      </c>
      <c r="K326" s="822">
        <f t="shared" si="152"/>
        <v>810.60000000003492</v>
      </c>
      <c r="L326" s="814">
        <f t="shared" si="155"/>
        <v>2.4615965430512614E-3</v>
      </c>
      <c r="M326" s="839">
        <f t="shared" si="145"/>
        <v>30109.080000000016</v>
      </c>
      <c r="N326" s="824">
        <f t="shared" si="149"/>
        <v>0.10036360000000005</v>
      </c>
      <c r="O326" s="808">
        <f t="shared" si="116"/>
        <v>7.3610050000000038E-2</v>
      </c>
      <c r="P326" s="839" t="b">
        <f t="shared" si="153"/>
        <v>1</v>
      </c>
      <c r="Q326" s="824">
        <f>COUNTIF(P$2:P326, TRUE)/(COUNTIF(P$2:P326,FALSE) + COUNTIF(P$2:P326, TRUE))</f>
        <v>0.50153846153846149</v>
      </c>
      <c r="R326" s="822">
        <v>237262.4</v>
      </c>
      <c r="S326" s="822">
        <f t="shared" ref="S326:S331" si="158">I326-R326</f>
        <v>92846.680000000022</v>
      </c>
      <c r="T326" s="822">
        <v>-28216</v>
      </c>
      <c r="U326" s="822">
        <f t="shared" si="148"/>
        <v>58325.080000000016</v>
      </c>
      <c r="V326" s="824">
        <f>STDEV(D$2:D326)*SQRT(252)</f>
        <v>0.16590384909473915</v>
      </c>
      <c r="W326" s="824">
        <f>STDEV(L$2:L326)*SQRT(252)</f>
        <v>0.36047958608732461</v>
      </c>
      <c r="X326" s="823">
        <f t="shared" si="125"/>
        <v>0.34997620395741968</v>
      </c>
      <c r="Y326" s="823">
        <f t="shared" si="126"/>
        <v>0.20420032878690758</v>
      </c>
      <c r="Z326" s="829">
        <f t="shared" si="127"/>
        <v>2.1198439519796081E-2</v>
      </c>
    </row>
    <row r="327" spans="1:26" ht="20.100000000000001" customHeight="1" x14ac:dyDescent="0.2">
      <c r="A327" s="798">
        <f t="shared" si="154"/>
        <v>499</v>
      </c>
      <c r="B327" s="817">
        <v>42732</v>
      </c>
      <c r="C327" s="842">
        <v>2249.92</v>
      </c>
      <c r="D327" s="814">
        <f t="shared" si="157"/>
        <v>-8.3565459610028016E-3</v>
      </c>
      <c r="E327" s="841">
        <f t="shared" si="150"/>
        <v>7.014706721713819E-2</v>
      </c>
      <c r="F327" s="838">
        <v>5438.55</v>
      </c>
      <c r="G327" s="814">
        <f t="shared" si="156"/>
        <v>-8.9094368229993264E-3</v>
      </c>
      <c r="H327" s="819">
        <f t="shared" si="151"/>
        <v>6.8120666967810425E-2</v>
      </c>
      <c r="I327" s="821">
        <v>326202.98</v>
      </c>
      <c r="J327" s="822">
        <v>300000</v>
      </c>
      <c r="K327" s="822">
        <f t="shared" si="152"/>
        <v>-3906.1000000000349</v>
      </c>
      <c r="L327" s="814">
        <f t="shared" si="155"/>
        <v>-1.1832755403153511E-2</v>
      </c>
      <c r="M327" s="839">
        <f t="shared" si="145"/>
        <v>26202.979999999981</v>
      </c>
      <c r="N327" s="824">
        <f t="shared" si="149"/>
        <v>8.73432666666666E-2</v>
      </c>
      <c r="O327" s="808">
        <f t="shared" ref="O327:O390" si="159">N327/(A327/365.25)</f>
        <v>6.3932120541082119E-2</v>
      </c>
      <c r="P327" s="839" t="b">
        <f t="shared" si="153"/>
        <v>0</v>
      </c>
      <c r="Q327" s="824">
        <f>COUNTIF(P$2:P327, TRUE)/(COUNTIF(P$2:P327,FALSE) + COUNTIF(P$2:P327, TRUE))</f>
        <v>0.5</v>
      </c>
      <c r="R327" s="822">
        <v>235463.51</v>
      </c>
      <c r="S327" s="822">
        <f t="shared" si="158"/>
        <v>90739.469999999972</v>
      </c>
      <c r="T327" s="822">
        <v>-29179</v>
      </c>
      <c r="U327" s="822">
        <f t="shared" si="148"/>
        <v>55381.979999999981</v>
      </c>
      <c r="V327" s="824">
        <f>STDEV(D$2:D327)*SQRT(252)</f>
        <v>0.16582249339031452</v>
      </c>
      <c r="W327" s="824">
        <f>STDEV(L$2:L327)*SQRT(252)</f>
        <v>0.36009473393131058</v>
      </c>
      <c r="X327" s="823">
        <f t="shared" si="125"/>
        <v>0.30963907126253648</v>
      </c>
      <c r="Y327" s="823">
        <f t="shared" si="126"/>
        <v>0.17754250344932124</v>
      </c>
      <c r="Z327" s="829">
        <f t="shared" si="127"/>
        <v>1.719619944952841E-2</v>
      </c>
    </row>
    <row r="328" spans="1:26" ht="20.100000000000001" customHeight="1" x14ac:dyDescent="0.2">
      <c r="A328" s="798">
        <f t="shared" si="154"/>
        <v>500</v>
      </c>
      <c r="B328" s="817">
        <v>42733</v>
      </c>
      <c r="C328" s="842">
        <v>2249.2600000000002</v>
      </c>
      <c r="D328" s="814">
        <f t="shared" si="157"/>
        <v>-2.9334376333374273E-4</v>
      </c>
      <c r="E328" s="841">
        <f t="shared" si="150"/>
        <v>6.983314624912014E-2</v>
      </c>
      <c r="F328" s="838">
        <v>5432.09</v>
      </c>
      <c r="G328" s="814">
        <f t="shared" si="156"/>
        <v>-1.1878166055290539E-3</v>
      </c>
      <c r="H328" s="819">
        <f t="shared" si="151"/>
        <v>6.6851935502877297E-2</v>
      </c>
      <c r="I328" s="821">
        <v>324645.53000000003</v>
      </c>
      <c r="J328" s="822">
        <v>300000</v>
      </c>
      <c r="K328" s="822">
        <f t="shared" si="152"/>
        <v>-1557.4499999999534</v>
      </c>
      <c r="L328" s="814">
        <f t="shared" si="155"/>
        <v>-4.774481214119974E-3</v>
      </c>
      <c r="M328" s="839">
        <f t="shared" si="145"/>
        <v>24645.530000000028</v>
      </c>
      <c r="N328" s="824">
        <f t="shared" si="149"/>
        <v>8.2151766666666765E-2</v>
      </c>
      <c r="O328" s="808">
        <f t="shared" si="159"/>
        <v>6.0011865550000078E-2</v>
      </c>
      <c r="P328" s="839" t="b">
        <f t="shared" si="153"/>
        <v>0</v>
      </c>
      <c r="Q328" s="824">
        <f>COUNTIF(P$2:P328, TRUE)/(COUNTIF(P$2:P328,FALSE) + COUNTIF(P$2:P328, TRUE))</f>
        <v>0.49847094801223241</v>
      </c>
      <c r="R328" s="822">
        <v>245575.8</v>
      </c>
      <c r="S328" s="822">
        <f t="shared" si="158"/>
        <v>79069.73000000004</v>
      </c>
      <c r="T328" s="822">
        <v>-28777</v>
      </c>
      <c r="U328" s="822">
        <f t="shared" si="148"/>
        <v>53422.530000000028</v>
      </c>
      <c r="V328" s="824">
        <f>STDEV(D$2:D328)*SQRT(252)</f>
        <v>0.16556790757023543</v>
      </c>
      <c r="W328" s="824">
        <f>STDEV(L$2:L328)*SQRT(252)</f>
        <v>0.35957326133174794</v>
      </c>
      <c r="X328" s="823">
        <f t="shared" si="125"/>
        <v>0.30810991141711463</v>
      </c>
      <c r="Y328" s="823">
        <f t="shared" si="126"/>
        <v>0.16689746431015121</v>
      </c>
      <c r="Z328" s="829">
        <f t="shared" si="127"/>
        <v>1.2318620417546625E-2</v>
      </c>
    </row>
    <row r="329" spans="1:26" ht="20.100000000000001" customHeight="1" x14ac:dyDescent="0.2">
      <c r="A329" s="798">
        <f t="shared" si="154"/>
        <v>501</v>
      </c>
      <c r="B329" s="817">
        <v>42734</v>
      </c>
      <c r="C329" s="842">
        <v>2238.83</v>
      </c>
      <c r="D329" s="814">
        <f t="shared" si="157"/>
        <v>-4.6370806398550145E-3</v>
      </c>
      <c r="E329" s="841">
        <f t="shared" si="150"/>
        <v>6.4872243678773173E-2</v>
      </c>
      <c r="F329" s="838">
        <v>5383.11</v>
      </c>
      <c r="G329" s="814">
        <f t="shared" si="156"/>
        <v>-9.0167872770886472E-3</v>
      </c>
      <c r="H329" s="819">
        <f t="shared" si="151"/>
        <v>5.7232358544297555E-2</v>
      </c>
      <c r="I329" s="844">
        <v>322309.38</v>
      </c>
      <c r="J329" s="822">
        <v>300000</v>
      </c>
      <c r="K329" s="822">
        <f t="shared" si="152"/>
        <v>-2336.1500000000233</v>
      </c>
      <c r="L329" s="814">
        <f t="shared" si="155"/>
        <v>-7.1960023598662305E-3</v>
      </c>
      <c r="M329" s="844">
        <f t="shared" si="145"/>
        <v>22309.380000000005</v>
      </c>
      <c r="N329" s="824">
        <f t="shared" si="149"/>
        <v>7.4364600000000017E-2</v>
      </c>
      <c r="O329" s="808">
        <f t="shared" si="159"/>
        <v>5.4214910479041929E-2</v>
      </c>
      <c r="P329" s="839" t="b">
        <f t="shared" si="153"/>
        <v>0</v>
      </c>
      <c r="Q329" s="824">
        <f>COUNTIF(P$2:P329, TRUE)/(COUNTIF(P$2:P329,FALSE) + COUNTIF(P$2:P329, TRUE))</f>
        <v>0.49695121951219512</v>
      </c>
      <c r="R329" s="822">
        <v>244515.65</v>
      </c>
      <c r="S329" s="822">
        <f t="shared" si="158"/>
        <v>77793.73000000001</v>
      </c>
      <c r="T329" s="822">
        <v>-29211</v>
      </c>
      <c r="U329" s="822">
        <f t="shared" si="148"/>
        <v>51520.380000000005</v>
      </c>
      <c r="V329" s="824">
        <f>STDEV(D$2:D329)*SQRT(252)</f>
        <v>0.16536968849667288</v>
      </c>
      <c r="W329" s="824">
        <f>STDEV(L$2:L329)*SQRT(252)</f>
        <v>0.35908901250550984</v>
      </c>
      <c r="X329" s="823">
        <f t="shared" si="125"/>
        <v>0.28599306963452376</v>
      </c>
      <c r="Y329" s="823">
        <f t="shared" si="126"/>
        <v>0.15097902912919137</v>
      </c>
      <c r="Z329" s="829">
        <f t="shared" si="127"/>
        <v>9.4923563212268441E-3</v>
      </c>
    </row>
    <row r="330" spans="1:26" ht="20.100000000000001" customHeight="1" x14ac:dyDescent="0.2">
      <c r="A330" s="798">
        <f t="shared" si="154"/>
        <v>505</v>
      </c>
      <c r="B330" s="846">
        <v>42738</v>
      </c>
      <c r="C330" s="847">
        <v>2257.83</v>
      </c>
      <c r="D330" s="814">
        <f t="shared" si="157"/>
        <v>8.4865755774221358E-3</v>
      </c>
      <c r="E330" s="848">
        <f t="shared" si="150"/>
        <v>7.3909362455052169E-2</v>
      </c>
      <c r="F330" s="849">
        <v>5429.08</v>
      </c>
      <c r="G330" s="814">
        <f t="shared" si="156"/>
        <v>8.5396731629114511E-3</v>
      </c>
      <c r="H330" s="850">
        <f t="shared" si="151"/>
        <v>6.6260777343519872E-2</v>
      </c>
      <c r="I330" s="859">
        <v>327489.65000000002</v>
      </c>
      <c r="J330" s="852">
        <v>300000</v>
      </c>
      <c r="K330" s="852">
        <f t="shared" si="152"/>
        <v>5180.2700000000186</v>
      </c>
      <c r="L330" s="814">
        <f t="shared" si="155"/>
        <v>1.6072352594888855E-2</v>
      </c>
      <c r="M330" s="853">
        <f t="shared" si="145"/>
        <v>27489.650000000023</v>
      </c>
      <c r="N330" s="854">
        <f t="shared" si="149"/>
        <v>9.1632166666666751E-2</v>
      </c>
      <c r="O330" s="808">
        <f t="shared" si="159"/>
        <v>6.6274552227722827E-2</v>
      </c>
      <c r="P330" s="853" t="b">
        <f t="shared" si="153"/>
        <v>1</v>
      </c>
      <c r="Q330" s="854">
        <f>COUNTIF(P$2:P330, TRUE)/(COUNTIF(P$2:P330,FALSE) + COUNTIF(P$2:P330, TRUE))</f>
        <v>0.49848024316109424</v>
      </c>
      <c r="R330" s="852">
        <v>246849.1</v>
      </c>
      <c r="S330" s="852">
        <f t="shared" si="158"/>
        <v>80640.550000000017</v>
      </c>
      <c r="T330" s="852">
        <v>-28453</v>
      </c>
      <c r="U330" s="852">
        <f t="shared" si="148"/>
        <v>55942.650000000023</v>
      </c>
      <c r="V330" s="854">
        <f>STDEV(D$2:D330)*SQRT(252)</f>
        <v>0.16527453966612005</v>
      </c>
      <c r="W330" s="854">
        <f>STDEV(L$2:L330)*SQRT(252)</f>
        <v>0.35879195158503097</v>
      </c>
      <c r="X330" s="823">
        <f t="shared" si="125"/>
        <v>0.32343897076568223</v>
      </c>
      <c r="Y330" s="823">
        <f t="shared" si="126"/>
        <v>0.18471582747311505</v>
      </c>
      <c r="Z330" s="829">
        <f t="shared" si="127"/>
        <v>1.7722804211614582E-2</v>
      </c>
    </row>
    <row r="331" spans="1:26" ht="20.100000000000001" customHeight="1" x14ac:dyDescent="0.2">
      <c r="A331" s="798">
        <f t="shared" si="154"/>
        <v>506</v>
      </c>
      <c r="B331" s="846">
        <v>42739</v>
      </c>
      <c r="C331" s="847">
        <v>2270.75</v>
      </c>
      <c r="D331" s="814">
        <f t="shared" si="157"/>
        <v>5.7223085883348493E-3</v>
      </c>
      <c r="E331" s="848">
        <f t="shared" si="150"/>
        <v>8.0054603222921905E-2</v>
      </c>
      <c r="F331" s="849">
        <v>5477</v>
      </c>
      <c r="G331" s="814">
        <f t="shared" si="156"/>
        <v>8.8265415134792767E-3</v>
      </c>
      <c r="H331" s="850">
        <f t="shared" si="151"/>
        <v>7.5672172358937126E-2</v>
      </c>
      <c r="I331" s="859">
        <v>330177.02</v>
      </c>
      <c r="J331" s="852">
        <v>300000</v>
      </c>
      <c r="K331" s="852">
        <f t="shared" si="152"/>
        <v>2687.3699999999953</v>
      </c>
      <c r="L331" s="814">
        <f t="shared" si="155"/>
        <v>8.2059692573490349E-3</v>
      </c>
      <c r="M331" s="853">
        <f t="shared" si="145"/>
        <v>30177.020000000019</v>
      </c>
      <c r="N331" s="854">
        <f t="shared" si="149"/>
        <v>0.10059006666666673</v>
      </c>
      <c r="O331" s="808">
        <f t="shared" si="159"/>
        <v>7.2609726976284636E-2</v>
      </c>
      <c r="P331" s="853" t="b">
        <f t="shared" si="153"/>
        <v>1</v>
      </c>
      <c r="Q331" s="854">
        <f>COUNTIF(P$2:P331, TRUE)/(COUNTIF(P$2:P331,FALSE) + COUNTIF(P$2:P331, TRUE))</f>
        <v>0.5</v>
      </c>
      <c r="R331" s="852">
        <v>236646.05</v>
      </c>
      <c r="S331" s="852">
        <f t="shared" si="158"/>
        <v>93530.97000000003</v>
      </c>
      <c r="T331" s="852">
        <v>-27557</v>
      </c>
      <c r="U331" s="852">
        <f t="shared" si="148"/>
        <v>57734.020000000019</v>
      </c>
      <c r="V331" s="854">
        <f>STDEV(D$2:D331)*SQRT(252)</f>
        <v>0.1650913475554088</v>
      </c>
      <c r="W331" s="854">
        <f>STDEV(L$2:L331)*SQRT(252)</f>
        <v>0.3583037455998867</v>
      </c>
      <c r="X331" s="823">
        <f t="shared" si="125"/>
        <v>0.35002712805366087</v>
      </c>
      <c r="Y331" s="823">
        <f t="shared" si="126"/>
        <v>0.20264852898681948</v>
      </c>
      <c r="Z331" s="829">
        <f t="shared" si="127"/>
        <v>2.0535463443744822E-2</v>
      </c>
    </row>
    <row r="332" spans="1:26" ht="20.100000000000001" customHeight="1" x14ac:dyDescent="0.2">
      <c r="A332" s="798">
        <f t="shared" si="154"/>
        <v>507</v>
      </c>
      <c r="B332" s="846">
        <v>42740</v>
      </c>
      <c r="C332" s="857">
        <v>2269</v>
      </c>
      <c r="D332" s="814">
        <f t="shared" si="157"/>
        <v>-7.7067048332048887E-4</v>
      </c>
      <c r="E332" s="848">
        <f t="shared" si="150"/>
        <v>7.9222237019843586E-2</v>
      </c>
      <c r="F332" s="849">
        <v>5487.93</v>
      </c>
      <c r="G332" s="814">
        <f t="shared" si="156"/>
        <v>1.995618039072538E-3</v>
      </c>
      <c r="H332" s="850">
        <f t="shared" si="151"/>
        <v>7.7818803150224977E-2</v>
      </c>
      <c r="I332" s="859">
        <v>330571.57</v>
      </c>
      <c r="J332" s="852">
        <v>300000</v>
      </c>
      <c r="K332" s="852">
        <f t="shared" si="152"/>
        <v>394.54999999998836</v>
      </c>
      <c r="L332" s="814">
        <f t="shared" si="155"/>
        <v>1.1949650523830771E-3</v>
      </c>
      <c r="M332" s="853">
        <f t="shared" si="145"/>
        <v>30571.570000000007</v>
      </c>
      <c r="N332" s="854">
        <f t="shared" si="149"/>
        <v>0.10190523333333336</v>
      </c>
      <c r="O332" s="808">
        <f t="shared" si="159"/>
        <v>7.3413977268244598E-2</v>
      </c>
      <c r="P332" s="853" t="b">
        <f t="shared" si="153"/>
        <v>1</v>
      </c>
      <c r="Q332" s="854">
        <f>COUNTIF(P$2:P332, TRUE)/(COUNTIF(P$2:P332,FALSE) + COUNTIF(P$2:P332, TRUE))</f>
        <v>0.50151057401812693</v>
      </c>
      <c r="R332" s="852">
        <v>239220.1</v>
      </c>
      <c r="S332" s="852">
        <f t="shared" ref="S332:S361" si="160">I332-R332</f>
        <v>91351.47</v>
      </c>
      <c r="T332" s="852">
        <v>-27577</v>
      </c>
      <c r="U332" s="852">
        <f t="shared" si="148"/>
        <v>58148.570000000007</v>
      </c>
      <c r="V332" s="854">
        <f>STDEV(D$2:D332)*SQRT(252)</f>
        <v>0.16484285342326518</v>
      </c>
      <c r="W332" s="854">
        <f>STDEV(L$2:L332)*SQRT(252)</f>
        <v>0.35775897178882049</v>
      </c>
      <c r="X332" s="823">
        <f t="shared" si="125"/>
        <v>0.34622565318054682</v>
      </c>
      <c r="Y332" s="823">
        <f t="shared" si="126"/>
        <v>0.20520513266563087</v>
      </c>
      <c r="Z332" s="829">
        <f t="shared" si="127"/>
        <v>2.2682996313489773E-2</v>
      </c>
    </row>
    <row r="333" spans="1:26" ht="20.100000000000001" customHeight="1" x14ac:dyDescent="0.2">
      <c r="A333" s="798">
        <f t="shared" si="154"/>
        <v>508</v>
      </c>
      <c r="B333" s="846">
        <v>42741</v>
      </c>
      <c r="C333" s="857">
        <v>2276.98</v>
      </c>
      <c r="D333" s="814">
        <f t="shared" si="157"/>
        <v>3.516967827236676E-3</v>
      </c>
      <c r="E333" s="848">
        <f t="shared" si="150"/>
        <v>8.3017826905880762E-2</v>
      </c>
      <c r="F333" s="849">
        <v>5521.05</v>
      </c>
      <c r="G333" s="814">
        <f t="shared" si="156"/>
        <v>6.0350624005772466E-3</v>
      </c>
      <c r="H333" s="850">
        <f t="shared" si="151"/>
        <v>8.4323506883752064E-2</v>
      </c>
      <c r="I333" s="859">
        <v>329655.77</v>
      </c>
      <c r="J333" s="852">
        <v>300000</v>
      </c>
      <c r="K333" s="852">
        <f t="shared" si="152"/>
        <v>-915.79999999998836</v>
      </c>
      <c r="L333" s="814">
        <f t="shared" si="155"/>
        <v>-2.7703531794944988E-3</v>
      </c>
      <c r="M333" s="853">
        <f t="shared" si="145"/>
        <v>29655.770000000019</v>
      </c>
      <c r="N333" s="854">
        <f t="shared" si="149"/>
        <v>9.8852566666666725E-2</v>
      </c>
      <c r="O333" s="808">
        <f t="shared" si="159"/>
        <v>7.1074606250000047E-2</v>
      </c>
      <c r="P333" s="853" t="b">
        <f t="shared" si="153"/>
        <v>0</v>
      </c>
      <c r="Q333" s="854">
        <f>COUNTIF(P$2:P333, TRUE)/(COUNTIF(P$2:P333,FALSE) + COUNTIF(P$2:P333, TRUE))</f>
        <v>0.5</v>
      </c>
      <c r="R333" s="852">
        <v>244584.65</v>
      </c>
      <c r="S333" s="852">
        <f t="shared" si="160"/>
        <v>85071.120000000024</v>
      </c>
      <c r="T333" s="852">
        <v>-26799</v>
      </c>
      <c r="U333" s="852">
        <f t="shared" si="148"/>
        <v>56454.770000000019</v>
      </c>
      <c r="V333" s="854">
        <f>STDEV(D$2:D333)*SQRT(252)</f>
        <v>0.16461706321052907</v>
      </c>
      <c r="W333" s="854">
        <f>STDEV(L$2:L333)*SQRT(252)</f>
        <v>0.35723001747832872</v>
      </c>
      <c r="X333" s="823">
        <f t="shared" si="125"/>
        <v>0.3625960124628943</v>
      </c>
      <c r="Y333" s="823">
        <f t="shared" si="126"/>
        <v>0.19896034143970495</v>
      </c>
      <c r="Z333" s="829">
        <f t="shared" si="127"/>
        <v>1.5834739760785962E-2</v>
      </c>
    </row>
    <row r="334" spans="1:26" ht="20.100000000000001" customHeight="1" x14ac:dyDescent="0.2">
      <c r="A334" s="798">
        <f t="shared" si="154"/>
        <v>511</v>
      </c>
      <c r="B334" s="817">
        <v>42744</v>
      </c>
      <c r="C334" s="842">
        <v>2268.9</v>
      </c>
      <c r="D334" s="814">
        <f t="shared" si="157"/>
        <v>-3.5485599346502506E-3</v>
      </c>
      <c r="E334" s="841">
        <f t="shared" si="150"/>
        <v>7.9174673236810572E-2</v>
      </c>
      <c r="F334" s="838">
        <v>5531.81</v>
      </c>
      <c r="G334" s="814">
        <f t="shared" si="156"/>
        <v>1.9489046467610722E-3</v>
      </c>
      <c r="H334" s="819">
        <f t="shared" si="151"/>
        <v>8.6436750004910065E-2</v>
      </c>
      <c r="I334" s="821">
        <v>326473.82</v>
      </c>
      <c r="J334" s="822">
        <v>300000</v>
      </c>
      <c r="K334" s="822">
        <f t="shared" si="152"/>
        <v>-3181.9500000000116</v>
      </c>
      <c r="L334" s="814">
        <f t="shared" si="155"/>
        <v>-9.652341289218179E-3</v>
      </c>
      <c r="M334" s="839">
        <f t="shared" si="145"/>
        <v>26473.820000000007</v>
      </c>
      <c r="N334" s="824">
        <f t="shared" si="149"/>
        <v>8.8246066666666692E-2</v>
      </c>
      <c r="O334" s="808">
        <f t="shared" si="159"/>
        <v>6.3076077984344434E-2</v>
      </c>
      <c r="P334" s="839" t="b">
        <f t="shared" si="153"/>
        <v>0</v>
      </c>
      <c r="Q334" s="824">
        <f>COUNTIF(P$2:P334, TRUE)/(COUNTIF(P$2:P334,FALSE) + COUNTIF(P$2:P334, TRUE))</f>
        <v>0.49849849849849848</v>
      </c>
      <c r="R334" s="822">
        <v>241402.7</v>
      </c>
      <c r="S334" s="822">
        <f t="shared" si="160"/>
        <v>85071.12</v>
      </c>
      <c r="T334" s="822">
        <v>-27249</v>
      </c>
      <c r="U334" s="822">
        <f t="shared" si="148"/>
        <v>53722.820000000007</v>
      </c>
      <c r="V334" s="824">
        <f>STDEV(D$2:D334)*SQRT(252)</f>
        <v>0.1644023055783676</v>
      </c>
      <c r="W334" s="824">
        <f>STDEV(L$2:L334)*SQRT(252)</f>
        <v>0.35680577395997881</v>
      </c>
      <c r="X334" s="823">
        <f t="shared" si="125"/>
        <v>0.34422919429404569</v>
      </c>
      <c r="Y334" s="823">
        <f t="shared" si="126"/>
        <v>0.17677986901473006</v>
      </c>
      <c r="Z334" s="829">
        <f t="shared" si="127"/>
        <v>9.07139342985612E-3</v>
      </c>
    </row>
    <row r="335" spans="1:26" ht="20.100000000000001" customHeight="1" x14ac:dyDescent="0.2">
      <c r="A335" s="798">
        <f t="shared" si="154"/>
        <v>512</v>
      </c>
      <c r="B335" s="817">
        <v>42745</v>
      </c>
      <c r="C335" s="842">
        <v>2268.9</v>
      </c>
      <c r="D335" s="814">
        <f>(C335-C334)/C334</f>
        <v>0</v>
      </c>
      <c r="E335" s="841">
        <f t="shared" si="150"/>
        <v>7.9174673236810572E-2</v>
      </c>
      <c r="F335" s="838">
        <v>5551.81</v>
      </c>
      <c r="G335" s="814">
        <f t="shared" ref="G335:G358" si="161">(F335-F334)/F334</f>
        <v>3.6154531699389529E-3</v>
      </c>
      <c r="H335" s="819">
        <f t="shared" si="151"/>
        <v>9.0364711196653499E-2</v>
      </c>
      <c r="I335" s="821">
        <v>326978.32</v>
      </c>
      <c r="J335" s="822">
        <v>300000</v>
      </c>
      <c r="K335" s="822">
        <f t="shared" si="152"/>
        <v>504.5</v>
      </c>
      <c r="L335" s="814">
        <f t="shared" si="155"/>
        <v>1.545300018237297E-3</v>
      </c>
      <c r="M335" s="839">
        <f t="shared" si="145"/>
        <v>26978.320000000007</v>
      </c>
      <c r="N335" s="824">
        <f t="shared" si="149"/>
        <v>8.9927733333333357E-2</v>
      </c>
      <c r="O335" s="808">
        <f t="shared" si="159"/>
        <v>6.4152548046875021E-2</v>
      </c>
      <c r="P335" s="839" t="b">
        <f t="shared" si="153"/>
        <v>1</v>
      </c>
      <c r="Q335" s="824">
        <f>COUNTIF(P$2:P335, TRUE)/(COUNTIF(P$2:P335,FALSE) + COUNTIF(P$2:P335, TRUE))</f>
        <v>0.5</v>
      </c>
      <c r="R335" s="822">
        <v>241907.20000000001</v>
      </c>
      <c r="S335" s="822">
        <f t="shared" si="160"/>
        <v>85071.12</v>
      </c>
      <c r="T335" s="822">
        <v>-27297</v>
      </c>
      <c r="U335" s="822">
        <f t="shared" si="148"/>
        <v>54275.320000000007</v>
      </c>
      <c r="V335" s="824">
        <f>STDEV(D$2:D335)*SQRT(252)</f>
        <v>0.16415470946518282</v>
      </c>
      <c r="W335" s="824">
        <f>STDEV(L$2:L335)*SQRT(252)</f>
        <v>0.35626868426595099</v>
      </c>
      <c r="X335" s="823">
        <f t="shared" si="125"/>
        <v>0.34407506175360014</v>
      </c>
      <c r="Y335" s="823">
        <f t="shared" si="126"/>
        <v>0.18006788381935301</v>
      </c>
      <c r="Z335" s="829">
        <f t="shared" si="127"/>
        <v>1.0753060096522785E-2</v>
      </c>
    </row>
    <row r="336" spans="1:26" ht="20.100000000000001" customHeight="1" x14ac:dyDescent="0.2">
      <c r="A336" s="798">
        <f t="shared" si="154"/>
        <v>513</v>
      </c>
      <c r="B336" s="817">
        <v>42746</v>
      </c>
      <c r="C336" s="842">
        <v>2275.3200000000002</v>
      </c>
      <c r="D336" s="814">
        <f>(C336-C335)/C335</f>
        <v>2.8295649874388791E-3</v>
      </c>
      <c r="E336" s="841">
        <f t="shared" si="150"/>
        <v>8.2228268107532254E-2</v>
      </c>
      <c r="F336" s="838">
        <v>5563.64</v>
      </c>
      <c r="G336" s="814">
        <f t="shared" si="161"/>
        <v>2.1308366100424776E-3</v>
      </c>
      <c r="H336" s="819">
        <f t="shared" si="151"/>
        <v>9.2688100241569718E-2</v>
      </c>
      <c r="I336" s="821">
        <v>329085.82</v>
      </c>
      <c r="J336" s="822">
        <v>300000</v>
      </c>
      <c r="K336" s="822">
        <f t="shared" si="152"/>
        <v>2107.5</v>
      </c>
      <c r="L336" s="814">
        <f t="shared" si="155"/>
        <v>6.4453814552597856E-3</v>
      </c>
      <c r="M336" s="839">
        <f t="shared" si="145"/>
        <v>29085.820000000007</v>
      </c>
      <c r="N336" s="824">
        <f t="shared" si="149"/>
        <v>9.695273333333336E-2</v>
      </c>
      <c r="O336" s="808">
        <f t="shared" si="159"/>
        <v>6.9029212183235891E-2</v>
      </c>
      <c r="P336" s="839" t="b">
        <f t="shared" si="153"/>
        <v>1</v>
      </c>
      <c r="Q336" s="824">
        <f>COUNTIF(P$2:P336, TRUE)/(COUNTIF(P$2:P336,FALSE) + COUNTIF(P$2:P336, TRUE))</f>
        <v>0.5014925373134328</v>
      </c>
      <c r="R336" s="822">
        <v>251208.6</v>
      </c>
      <c r="S336" s="822">
        <f t="shared" si="160"/>
        <v>77877.22</v>
      </c>
      <c r="T336" s="822">
        <v>-26997</v>
      </c>
      <c r="U336" s="822">
        <f t="shared" si="148"/>
        <v>56082.820000000007</v>
      </c>
      <c r="V336" s="824">
        <f>STDEV(D$2:D336)*SQRT(252)</f>
        <v>0.16392298199837227</v>
      </c>
      <c r="W336" s="824">
        <f>STDEV(L$2:L336)*SQRT(252)</f>
        <v>0.35576772600589157</v>
      </c>
      <c r="X336" s="823">
        <f t="shared" si="125"/>
        <v>0.3571528802411269</v>
      </c>
      <c r="Y336" s="823">
        <f t="shared" si="126"/>
        <v>0.19402887653191103</v>
      </c>
      <c r="Z336" s="829">
        <f t="shared" si="127"/>
        <v>1.4724465225801106E-2</v>
      </c>
    </row>
    <row r="337" spans="1:26" ht="20.100000000000001" customHeight="1" x14ac:dyDescent="0.2">
      <c r="A337" s="798">
        <f t="shared" si="154"/>
        <v>514</v>
      </c>
      <c r="B337" s="817">
        <v>42747</v>
      </c>
      <c r="C337" s="842">
        <v>2270.44</v>
      </c>
      <c r="D337" s="814">
        <f>(C337-C336)/C336</f>
        <v>-2.1447532654747942E-3</v>
      </c>
      <c r="E337" s="841">
        <f t="shared" si="150"/>
        <v>7.9907155495519494E-2</v>
      </c>
      <c r="F337" s="838">
        <v>5547.48</v>
      </c>
      <c r="G337" s="814">
        <f t="shared" si="161"/>
        <v>-2.9045732649849313E-3</v>
      </c>
      <c r="H337" s="819">
        <f t="shared" si="151"/>
        <v>8.9514307598640874E-2</v>
      </c>
      <c r="I337" s="821">
        <v>326943.46999999997</v>
      </c>
      <c r="J337" s="822">
        <v>300000</v>
      </c>
      <c r="K337" s="822">
        <f t="shared" si="152"/>
        <v>-2142.3500000000349</v>
      </c>
      <c r="L337" s="814">
        <f t="shared" si="155"/>
        <v>-6.5100039861943453E-3</v>
      </c>
      <c r="M337" s="839">
        <f t="shared" si="145"/>
        <v>26943.469999999972</v>
      </c>
      <c r="N337" s="824">
        <f t="shared" si="149"/>
        <v>8.9811566666666579E-2</v>
      </c>
      <c r="O337" s="808">
        <f t="shared" si="159"/>
        <v>6.3820378842412387E-2</v>
      </c>
      <c r="P337" s="839" t="b">
        <f t="shared" si="153"/>
        <v>0</v>
      </c>
      <c r="Q337" s="824">
        <f>COUNTIF(P$2:P337, TRUE)/(COUNTIF(P$2:P337,FALSE) + COUNTIF(P$2:P337, TRUE))</f>
        <v>0.5</v>
      </c>
      <c r="R337" s="822">
        <v>249037.25</v>
      </c>
      <c r="S337" s="822">
        <f t="shared" si="160"/>
        <v>77906.219999999972</v>
      </c>
      <c r="T337" s="822">
        <v>-27073</v>
      </c>
      <c r="U337" s="822">
        <f t="shared" si="148"/>
        <v>54016.469999999972</v>
      </c>
      <c r="V337" s="824">
        <f>STDEV(D$2:D337)*SQRT(252)</f>
        <v>0.1636910220978732</v>
      </c>
      <c r="W337" s="824">
        <f>STDEV(L$2:L337)*SQRT(252)</f>
        <v>0.35529082433819081</v>
      </c>
      <c r="X337" s="823">
        <f t="shared" si="125"/>
        <v>0.34688691356201834</v>
      </c>
      <c r="Y337" s="823">
        <f t="shared" si="126"/>
        <v>0.17962855911433181</v>
      </c>
      <c r="Z337" s="829">
        <f t="shared" si="127"/>
        <v>9.9044111711470845E-3</v>
      </c>
    </row>
    <row r="338" spans="1:26" ht="20.100000000000001" customHeight="1" x14ac:dyDescent="0.2">
      <c r="A338" s="798">
        <f t="shared" si="154"/>
        <v>515</v>
      </c>
      <c r="B338" s="817">
        <v>42748</v>
      </c>
      <c r="C338" s="842">
        <v>2274.64</v>
      </c>
      <c r="D338" s="814">
        <f>(C338-C337)/C337</f>
        <v>1.8498617008156208E-3</v>
      </c>
      <c r="E338" s="841">
        <f t="shared" si="150"/>
        <v>8.1904834382907396E-2</v>
      </c>
      <c r="F338" s="838">
        <v>5574.12</v>
      </c>
      <c r="G338" s="814">
        <f t="shared" si="161"/>
        <v>4.8021804495014548E-3</v>
      </c>
      <c r="H338" s="819">
        <f t="shared" si="151"/>
        <v>9.4746351906043191E-2</v>
      </c>
      <c r="I338" s="821">
        <v>327247.34999999998</v>
      </c>
      <c r="J338" s="822">
        <v>300000</v>
      </c>
      <c r="K338" s="822">
        <f t="shared" si="152"/>
        <v>303.88000000000466</v>
      </c>
      <c r="L338" s="814">
        <f t="shared" si="155"/>
        <v>9.2945731566378945E-4</v>
      </c>
      <c r="M338" s="839">
        <f t="shared" si="145"/>
        <v>27247.349999999977</v>
      </c>
      <c r="N338" s="824">
        <f t="shared" si="149"/>
        <v>9.0824499999999919E-2</v>
      </c>
      <c r="O338" s="808">
        <f t="shared" si="159"/>
        <v>6.4414851699029066E-2</v>
      </c>
      <c r="P338" s="839" t="b">
        <f t="shared" si="153"/>
        <v>0</v>
      </c>
      <c r="Q338" s="824">
        <f>COUNTIF(P$2:P338, TRUE)/(COUNTIF(P$2:P338,FALSE) + COUNTIF(P$2:P338, TRUE))</f>
        <v>0.49851632047477745</v>
      </c>
      <c r="R338" s="822">
        <v>250832.3</v>
      </c>
      <c r="S338" s="822">
        <f t="shared" si="160"/>
        <v>76415.049999999988</v>
      </c>
      <c r="T338" s="822">
        <v>-26980</v>
      </c>
      <c r="U338" s="822">
        <f t="shared" si="148"/>
        <v>54227.349999999977</v>
      </c>
      <c r="V338" s="824">
        <f>STDEV(D$2:D338)*SQRT(252)</f>
        <v>0.1634521615646928</v>
      </c>
      <c r="W338" s="824">
        <f>STDEV(L$2:L338)*SQRT(252)</f>
        <v>0.35476017854562014</v>
      </c>
      <c r="X338" s="823">
        <f t="shared" si="125"/>
        <v>0.35538726713948843</v>
      </c>
      <c r="Y338" s="823">
        <f t="shared" si="126"/>
        <v>0.18157294869763879</v>
      </c>
      <c r="Z338" s="829">
        <f t="shared" si="127"/>
        <v>8.9196656170925231E-3</v>
      </c>
    </row>
    <row r="339" spans="1:26" ht="20.100000000000001" customHeight="1" x14ac:dyDescent="0.2">
      <c r="A339" s="798">
        <f t="shared" si="154"/>
        <v>519</v>
      </c>
      <c r="B339" s="846">
        <v>42752</v>
      </c>
      <c r="C339" s="857">
        <v>2267.89</v>
      </c>
      <c r="D339" s="814">
        <f>(C339-C338)/C338</f>
        <v>-2.9675025498540428E-3</v>
      </c>
      <c r="E339" s="848">
        <f t="shared" si="150"/>
        <v>7.8694279028176703E-2</v>
      </c>
      <c r="F339" s="849">
        <v>5538.72</v>
      </c>
      <c r="G339" s="814">
        <f t="shared" si="161"/>
        <v>-6.3507782394350383E-3</v>
      </c>
      <c r="H339" s="850">
        <f t="shared" si="151"/>
        <v>8.7793860596657392E-2</v>
      </c>
      <c r="I339" s="859">
        <v>326901.49</v>
      </c>
      <c r="J339" s="852">
        <v>300000</v>
      </c>
      <c r="K339" s="852">
        <f t="shared" si="152"/>
        <v>-345.85999999998603</v>
      </c>
      <c r="L339" s="814">
        <f t="shared" si="155"/>
        <v>-1.0568763964016394E-3</v>
      </c>
      <c r="M339" s="853">
        <f t="shared" si="145"/>
        <v>26901.489999999991</v>
      </c>
      <c r="N339" s="854">
        <f t="shared" si="149"/>
        <v>8.9671633333333306E-2</v>
      </c>
      <c r="O339" s="808">
        <f t="shared" si="159"/>
        <v>6.3107059874759133E-2</v>
      </c>
      <c r="P339" s="853" t="b">
        <f t="shared" si="153"/>
        <v>1</v>
      </c>
      <c r="Q339" s="854">
        <f>COUNTIF(P$2:P339, TRUE)/(COUNTIF(P$2:P339,FALSE) + COUNTIF(P$2:P339, TRUE))</f>
        <v>0.5</v>
      </c>
      <c r="R339" s="852">
        <v>246815.4</v>
      </c>
      <c r="S339" s="852">
        <f t="shared" si="160"/>
        <v>80086.09</v>
      </c>
      <c r="T339" s="852">
        <v>-26747</v>
      </c>
      <c r="U339" s="852">
        <f t="shared" si="148"/>
        <v>53648.489999999991</v>
      </c>
      <c r="V339" s="854">
        <f>STDEV(D$2:D339)*SQRT(252)</f>
        <v>0.16323301111868488</v>
      </c>
      <c r="W339" s="854">
        <f>STDEV(L$2:L339)*SQRT(252)</f>
        <v>0.35423530326809799</v>
      </c>
      <c r="X339" s="823">
        <f t="shared" si="125"/>
        <v>0.33927982512124322</v>
      </c>
      <c r="Y339" s="823">
        <f t="shared" si="126"/>
        <v>0.17815011460615895</v>
      </c>
      <c r="Z339" s="829">
        <f t="shared" si="127"/>
        <v>1.0977354305156603E-2</v>
      </c>
    </row>
    <row r="340" spans="1:26" ht="20.100000000000001" customHeight="1" x14ac:dyDescent="0.2">
      <c r="A340" s="798">
        <f t="shared" si="154"/>
        <v>520</v>
      </c>
      <c r="B340" s="846">
        <v>42753</v>
      </c>
      <c r="C340" s="857">
        <v>2271.89</v>
      </c>
      <c r="D340" s="814">
        <f t="shared" ref="D340:D348" si="162">(C340-C339)/C339</f>
        <v>1.7637539739581726E-3</v>
      </c>
      <c r="E340" s="848">
        <f t="shared" si="150"/>
        <v>8.0596830349498591E-2</v>
      </c>
      <c r="F340" s="849">
        <v>5555.65</v>
      </c>
      <c r="G340" s="814">
        <f t="shared" si="161"/>
        <v>3.0566629112862504E-3</v>
      </c>
      <c r="H340" s="850">
        <f t="shared" si="151"/>
        <v>9.1118879745468076E-2</v>
      </c>
      <c r="I340" s="859">
        <v>326777.7</v>
      </c>
      <c r="J340" s="852">
        <v>300000</v>
      </c>
      <c r="K340" s="852">
        <f t="shared" si="152"/>
        <v>-123.78999999997905</v>
      </c>
      <c r="L340" s="814">
        <f t="shared" si="155"/>
        <v>-3.7867676895562345E-4</v>
      </c>
      <c r="M340" s="853">
        <f t="shared" si="145"/>
        <v>26777.700000000012</v>
      </c>
      <c r="N340" s="854">
        <f t="shared" si="149"/>
        <v>8.9259000000000033E-2</v>
      </c>
      <c r="O340" s="808">
        <f t="shared" si="159"/>
        <v>6.2695864903846182E-2</v>
      </c>
      <c r="P340" s="853" t="b">
        <f t="shared" si="153"/>
        <v>0</v>
      </c>
      <c r="Q340" s="854">
        <f>COUNTIF(P$2:P340, TRUE)/(COUNTIF(P$2:P340,FALSE) + COUNTIF(P$2:P340, TRUE))</f>
        <v>0.49852507374631266</v>
      </c>
      <c r="R340" s="852">
        <v>244625.7</v>
      </c>
      <c r="S340" s="852">
        <f t="shared" si="160"/>
        <v>82152</v>
      </c>
      <c r="T340" s="852">
        <v>-26746</v>
      </c>
      <c r="U340" s="852">
        <f t="shared" si="148"/>
        <v>53523.700000000012</v>
      </c>
      <c r="V340" s="854">
        <f>STDEV(D$2:D340)*SQRT(252)</f>
        <v>0.16299569851885642</v>
      </c>
      <c r="W340" s="854">
        <f>STDEV(L$2:L340)*SQRT(252)</f>
        <v>0.35371066425752529</v>
      </c>
      <c r="X340" s="823">
        <f t="shared" si="125"/>
        <v>0.34731912645380425</v>
      </c>
      <c r="Y340" s="823">
        <f t="shared" si="126"/>
        <v>0.17725183671080766</v>
      </c>
      <c r="Z340" s="829">
        <f t="shared" si="127"/>
        <v>8.6621696505014417E-3</v>
      </c>
    </row>
    <row r="341" spans="1:26" ht="20.100000000000001" customHeight="1" x14ac:dyDescent="0.2">
      <c r="A341" s="798">
        <f t="shared" si="154"/>
        <v>521</v>
      </c>
      <c r="B341" s="846">
        <v>42754</v>
      </c>
      <c r="C341" s="857">
        <v>2263.69</v>
      </c>
      <c r="D341" s="814">
        <f t="shared" si="162"/>
        <v>-3.6093296770529464E-3</v>
      </c>
      <c r="E341" s="848">
        <f t="shared" si="150"/>
        <v>7.6696600140788801E-2</v>
      </c>
      <c r="F341" s="849">
        <v>5540.08</v>
      </c>
      <c r="G341" s="814">
        <f t="shared" si="161"/>
        <v>-2.8025523566098855E-3</v>
      </c>
      <c r="H341" s="850">
        <f t="shared" si="151"/>
        <v>8.8060961957695888E-2</v>
      </c>
      <c r="I341" s="859">
        <v>324862.34999999998</v>
      </c>
      <c r="J341" s="852">
        <v>300000</v>
      </c>
      <c r="K341" s="852">
        <f t="shared" si="152"/>
        <v>-1915.3500000000349</v>
      </c>
      <c r="L341" s="814">
        <f t="shared" si="155"/>
        <v>-5.8613240744397029E-3</v>
      </c>
      <c r="M341" s="853">
        <f t="shared" si="145"/>
        <v>24862.349999999977</v>
      </c>
      <c r="N341" s="854">
        <f t="shared" si="149"/>
        <v>8.287449999999992E-2</v>
      </c>
      <c r="O341" s="808">
        <f t="shared" si="159"/>
        <v>5.8099637476007625E-2</v>
      </c>
      <c r="P341" s="853" t="b">
        <f t="shared" si="153"/>
        <v>0</v>
      </c>
      <c r="Q341" s="854">
        <f>COUNTIF(P$2:P341, TRUE)/(COUNTIF(P$2:P341,FALSE) + COUNTIF(P$2:P341, TRUE))</f>
        <v>0.49705882352941178</v>
      </c>
      <c r="R341" s="852">
        <v>251939.75</v>
      </c>
      <c r="S341" s="852">
        <f t="shared" si="160"/>
        <v>72922.599999999977</v>
      </c>
      <c r="T341" s="852">
        <v>-27278</v>
      </c>
      <c r="U341" s="852">
        <f t="shared" si="148"/>
        <v>52140.349999999977</v>
      </c>
      <c r="V341" s="854">
        <f>STDEV(D$2:D341)*SQRT(252)</f>
        <v>0.16278897536112508</v>
      </c>
      <c r="W341" s="854">
        <f>STDEV(L$2:L341)*SQRT(252)</f>
        <v>0.35323287120524727</v>
      </c>
      <c r="X341" s="823">
        <f t="shared" si="125"/>
        <v>0.33029623584765705</v>
      </c>
      <c r="Y341" s="823">
        <f t="shared" si="126"/>
        <v>0.16447970223656963</v>
      </c>
      <c r="Z341" s="829">
        <f t="shared" si="127"/>
        <v>6.1778998592111195E-3</v>
      </c>
    </row>
    <row r="342" spans="1:26" ht="20.100000000000001" customHeight="1" x14ac:dyDescent="0.2">
      <c r="A342" s="798">
        <f t="shared" si="154"/>
        <v>522</v>
      </c>
      <c r="B342" s="846">
        <v>42755</v>
      </c>
      <c r="C342" s="857">
        <v>2271.31</v>
      </c>
      <c r="D342" s="814">
        <f t="shared" si="162"/>
        <v>3.3661852992237853E-3</v>
      </c>
      <c r="E342" s="848">
        <f t="shared" si="150"/>
        <v>8.0320960407906955E-2</v>
      </c>
      <c r="F342" s="849">
        <v>5555.33</v>
      </c>
      <c r="G342" s="814">
        <f t="shared" si="161"/>
        <v>2.7526678315114585E-3</v>
      </c>
      <c r="H342" s="850">
        <f t="shared" si="151"/>
        <v>9.1056032366400239E-2</v>
      </c>
      <c r="I342" s="859">
        <v>326822.08</v>
      </c>
      <c r="J342" s="852">
        <v>300000</v>
      </c>
      <c r="K342" s="852">
        <f t="shared" si="152"/>
        <v>1959.7300000000396</v>
      </c>
      <c r="L342" s="814">
        <f t="shared" si="155"/>
        <v>6.0324934545355584E-3</v>
      </c>
      <c r="M342" s="853">
        <f t="shared" si="145"/>
        <v>26822.080000000016</v>
      </c>
      <c r="N342" s="854">
        <f t="shared" si="149"/>
        <v>8.9406933333333383E-2</v>
      </c>
      <c r="O342" s="808">
        <f t="shared" si="159"/>
        <v>6.2559161685823789E-2</v>
      </c>
      <c r="P342" s="853" t="b">
        <f t="shared" si="153"/>
        <v>1</v>
      </c>
      <c r="Q342" s="854">
        <f>COUNTIF(P$2:P342, TRUE)/(COUNTIF(P$2:P342,FALSE) + COUNTIF(P$2:P342, TRUE))</f>
        <v>0.49853372434017595</v>
      </c>
      <c r="R342" s="852">
        <v>263368.55</v>
      </c>
      <c r="S342" s="852">
        <f t="shared" si="160"/>
        <v>63453.530000000028</v>
      </c>
      <c r="T342" s="852">
        <v>-27778</v>
      </c>
      <c r="U342" s="852">
        <f t="shared" si="148"/>
        <v>54600.080000000016</v>
      </c>
      <c r="V342" s="854">
        <f>STDEV(D$2:D342)*SQRT(252)</f>
        <v>0.16257054597852011</v>
      </c>
      <c r="W342" s="854">
        <f>STDEV(L$2:L342)*SQRT(252)</f>
        <v>0.35274115689547414</v>
      </c>
      <c r="X342" s="823">
        <f t="shared" si="125"/>
        <v>0.34570586702225381</v>
      </c>
      <c r="Y342" s="823">
        <f t="shared" si="126"/>
        <v>0.17735146711094335</v>
      </c>
      <c r="Z342" s="829">
        <f t="shared" si="127"/>
        <v>9.0859729254264276E-3</v>
      </c>
    </row>
    <row r="343" spans="1:26" ht="20.100000000000001" customHeight="1" x14ac:dyDescent="0.2">
      <c r="A343" s="798">
        <f t="shared" si="154"/>
        <v>525</v>
      </c>
      <c r="B343" s="817">
        <v>42758</v>
      </c>
      <c r="C343" s="842">
        <v>2265.1999999999998</v>
      </c>
      <c r="D343" s="814">
        <f t="shared" si="162"/>
        <v>-2.6900775323492289E-3</v>
      </c>
      <c r="E343" s="841">
        <f t="shared" si="150"/>
        <v>7.7414813264587698E-2</v>
      </c>
      <c r="F343" s="838">
        <v>5552.94</v>
      </c>
      <c r="G343" s="814">
        <f t="shared" si="161"/>
        <v>-4.3021746682921221E-4</v>
      </c>
      <c r="H343" s="819">
        <f t="shared" si="151"/>
        <v>9.0586641003986834E-2</v>
      </c>
      <c r="I343" s="821">
        <v>324687.64</v>
      </c>
      <c r="J343" s="822">
        <v>300000</v>
      </c>
      <c r="K343" s="822">
        <f t="shared" si="152"/>
        <v>-2134.4400000000023</v>
      </c>
      <c r="L343" s="814">
        <f t="shared" si="155"/>
        <v>-6.530892894384621E-3</v>
      </c>
      <c r="M343" s="839">
        <f t="shared" si="145"/>
        <v>24687.640000000014</v>
      </c>
      <c r="N343" s="824">
        <f t="shared" si="149"/>
        <v>8.2292133333333378E-2</v>
      </c>
      <c r="O343" s="808">
        <f t="shared" si="159"/>
        <v>5.7251812761904795E-2</v>
      </c>
      <c r="P343" s="839" t="b">
        <f t="shared" si="153"/>
        <v>0</v>
      </c>
      <c r="Q343" s="824">
        <f>COUNTIF(P$2:P343, TRUE)/(COUNTIF(P$2:P343,FALSE) + COUNTIF(P$2:P343, TRUE))</f>
        <v>0.49707602339181284</v>
      </c>
      <c r="R343" s="822">
        <v>262468.09999999998</v>
      </c>
      <c r="S343" s="822">
        <f t="shared" si="160"/>
        <v>62219.540000000037</v>
      </c>
      <c r="T343" s="822">
        <v>-28619</v>
      </c>
      <c r="U343" s="822">
        <f t="shared" si="148"/>
        <v>53306.640000000014</v>
      </c>
      <c r="V343" s="824">
        <f>STDEV(D$2:D343)*SQRT(252)</f>
        <v>0.16235136583576509</v>
      </c>
      <c r="W343" s="824">
        <f>STDEV(L$2:L343)*SQRT(252)</f>
        <v>0.3522774110686045</v>
      </c>
      <c r="X343" s="823">
        <f t="shared" si="125"/>
        <v>0.33174092029851404</v>
      </c>
      <c r="Y343" s="823">
        <f t="shared" si="126"/>
        <v>0.16251911409316919</v>
      </c>
      <c r="Z343" s="829">
        <f t="shared" si="127"/>
        <v>4.8773200687456802E-3</v>
      </c>
    </row>
    <row r="344" spans="1:26" ht="20.100000000000001" customHeight="1" x14ac:dyDescent="0.2">
      <c r="A344" s="798">
        <f t="shared" si="154"/>
        <v>526</v>
      </c>
      <c r="B344" s="817">
        <v>42759</v>
      </c>
      <c r="C344" s="842">
        <v>2280.0700000000002</v>
      </c>
      <c r="D344" s="814">
        <f t="shared" si="162"/>
        <v>6.5645417623169467E-3</v>
      </c>
      <c r="E344" s="841">
        <f t="shared" si="150"/>
        <v>8.4487547801602003E-2</v>
      </c>
      <c r="F344" s="838">
        <v>5600.95</v>
      </c>
      <c r="G344" s="814">
        <f t="shared" si="161"/>
        <v>8.6458704758200552E-3</v>
      </c>
      <c r="H344" s="819">
        <f t="shared" si="151"/>
        <v>0.10001571184476697</v>
      </c>
      <c r="I344" s="821">
        <v>328611.7</v>
      </c>
      <c r="J344" s="822">
        <v>300000</v>
      </c>
      <c r="K344" s="822">
        <f t="shared" si="152"/>
        <v>3924.0599999999977</v>
      </c>
      <c r="L344" s="814">
        <f t="shared" si="155"/>
        <v>1.208564637693014E-2</v>
      </c>
      <c r="M344" s="839">
        <f t="shared" ref="M344:M361" si="163">I344-J344</f>
        <v>28611.700000000012</v>
      </c>
      <c r="N344" s="824">
        <f t="shared" si="149"/>
        <v>9.5372333333333378E-2</v>
      </c>
      <c r="O344" s="808">
        <f t="shared" si="159"/>
        <v>6.62257504752852E-2</v>
      </c>
      <c r="P344" s="839" t="b">
        <f t="shared" si="153"/>
        <v>1</v>
      </c>
      <c r="Q344" s="824">
        <f>COUNTIF(P$2:P344, TRUE)/(COUNTIF(P$2:P344,FALSE) + COUNTIF(P$2:P344, TRUE))</f>
        <v>0.49854227405247814</v>
      </c>
      <c r="R344" s="822">
        <v>264117.25</v>
      </c>
      <c r="S344" s="822">
        <f t="shared" si="160"/>
        <v>64494.450000000012</v>
      </c>
      <c r="T344" s="822">
        <v>-28448</v>
      </c>
      <c r="U344" s="822">
        <f t="shared" si="148"/>
        <v>57059.700000000012</v>
      </c>
      <c r="V344" s="824">
        <f>STDEV(D$2:D344)*SQRT(252)</f>
        <v>0.16220313783315865</v>
      </c>
      <c r="W344" s="824">
        <f>STDEV(L$2:L344)*SQRT(252)</f>
        <v>0.35189592517189633</v>
      </c>
      <c r="X344" s="823">
        <f t="shared" si="125"/>
        <v>0.36169119313729858</v>
      </c>
      <c r="Y344" s="823">
        <f t="shared" si="126"/>
        <v>0.18819698023765075</v>
      </c>
      <c r="Z344" s="829">
        <f t="shared" si="127"/>
        <v>1.0884785531731375E-2</v>
      </c>
    </row>
    <row r="345" spans="1:26" ht="20.100000000000001" customHeight="1" x14ac:dyDescent="0.2">
      <c r="A345" s="798">
        <f t="shared" si="154"/>
        <v>527</v>
      </c>
      <c r="B345" s="817">
        <v>42760</v>
      </c>
      <c r="C345" s="842">
        <v>2298.37</v>
      </c>
      <c r="D345" s="814">
        <f t="shared" si="162"/>
        <v>8.0260693750629254E-3</v>
      </c>
      <c r="E345" s="841">
        <f t="shared" si="150"/>
        <v>9.3191720096649527E-2</v>
      </c>
      <c r="F345" s="838">
        <v>5656.33</v>
      </c>
      <c r="G345" s="814">
        <f t="shared" si="161"/>
        <v>9.887608352154565E-3</v>
      </c>
      <c r="H345" s="819">
        <f t="shared" si="151"/>
        <v>0.11089223638470455</v>
      </c>
      <c r="I345" s="821">
        <v>331080.08</v>
      </c>
      <c r="J345" s="822">
        <v>300000</v>
      </c>
      <c r="K345" s="822">
        <f t="shared" si="152"/>
        <v>2468.3800000000047</v>
      </c>
      <c r="L345" s="814">
        <f t="shared" si="155"/>
        <v>7.511540216005713E-3</v>
      </c>
      <c r="M345" s="839">
        <f t="shared" si="163"/>
        <v>31080.080000000016</v>
      </c>
      <c r="N345" s="824">
        <f t="shared" si="149"/>
        <v>0.10360026666666672</v>
      </c>
      <c r="O345" s="808">
        <f t="shared" si="159"/>
        <v>7.1802651612903265E-2</v>
      </c>
      <c r="P345" s="839" t="b">
        <f t="shared" si="153"/>
        <v>0</v>
      </c>
      <c r="Q345" s="824">
        <f>COUNTIF(P$2:P345, TRUE)/(COUNTIF(P$2:P345,FALSE) + COUNTIF(P$2:P345, TRUE))</f>
        <v>0.49709302325581395</v>
      </c>
      <c r="R345" s="822">
        <v>259620.35</v>
      </c>
      <c r="S345" s="822">
        <f t="shared" si="160"/>
        <v>71459.73000000001</v>
      </c>
      <c r="T345" s="822">
        <v>-28211</v>
      </c>
      <c r="U345" s="822">
        <f t="shared" si="148"/>
        <v>59291.080000000016</v>
      </c>
      <c r="V345" s="824">
        <f>STDEV(D$2:D345)*SQRT(252)</f>
        <v>0.16210153500122582</v>
      </c>
      <c r="W345" s="824">
        <f>STDEV(L$2:L345)*SQRT(252)</f>
        <v>0.35142892173835949</v>
      </c>
      <c r="X345" s="823">
        <f t="shared" si="125"/>
        <v>0.39844631062528568</v>
      </c>
      <c r="Y345" s="823">
        <f t="shared" si="126"/>
        <v>0.20431628466356189</v>
      </c>
      <c r="Z345" s="829">
        <f t="shared" si="127"/>
        <v>1.0408546570017191E-2</v>
      </c>
    </row>
    <row r="346" spans="1:26" ht="20.100000000000001" customHeight="1" x14ac:dyDescent="0.2">
      <c r="A346" s="798">
        <f t="shared" si="154"/>
        <v>528</v>
      </c>
      <c r="B346" s="817">
        <v>42761</v>
      </c>
      <c r="C346" s="842">
        <v>2296.6799999999998</v>
      </c>
      <c r="D346" s="814">
        <f t="shared" si="162"/>
        <v>-7.3530371524169506E-4</v>
      </c>
      <c r="E346" s="841">
        <f t="shared" si="150"/>
        <v>9.2387892163390994E-2</v>
      </c>
      <c r="F346" s="838">
        <v>5655.17</v>
      </c>
      <c r="G346" s="814">
        <f t="shared" si="161"/>
        <v>-2.0507997234953663E-4</v>
      </c>
      <c r="H346" s="819">
        <f t="shared" si="151"/>
        <v>0.11066441463558345</v>
      </c>
      <c r="I346" s="821">
        <v>330371.86</v>
      </c>
      <c r="J346" s="822">
        <v>300000</v>
      </c>
      <c r="K346" s="822">
        <f t="shared" si="152"/>
        <v>-708.22000000003027</v>
      </c>
      <c r="L346" s="814">
        <f t="shared" si="155"/>
        <v>-2.1391199373880488E-3</v>
      </c>
      <c r="M346" s="839">
        <f t="shared" si="163"/>
        <v>30371.859999999986</v>
      </c>
      <c r="N346" s="824">
        <f t="shared" si="149"/>
        <v>0.10123953333333328</v>
      </c>
      <c r="O346" s="808">
        <f t="shared" si="159"/>
        <v>7.0033597632575717E-2</v>
      </c>
      <c r="P346" s="839" t="b">
        <f t="shared" si="153"/>
        <v>0</v>
      </c>
      <c r="Q346" s="824">
        <f>COUNTIF(P$2:P346, TRUE)/(COUNTIF(P$2:P346,FALSE) + COUNTIF(P$2:P346, TRUE))</f>
        <v>0.4956521739130435</v>
      </c>
      <c r="R346" s="822">
        <v>261550.96</v>
      </c>
      <c r="S346" s="822">
        <f t="shared" si="160"/>
        <v>68820.899999999994</v>
      </c>
      <c r="T346" s="822">
        <v>-28489</v>
      </c>
      <c r="U346" s="822">
        <f t="shared" si="148"/>
        <v>58860.859999999986</v>
      </c>
      <c r="V346" s="824">
        <f>STDEV(D$2:D346)*SQRT(252)</f>
        <v>0.16186754333702152</v>
      </c>
      <c r="W346" s="824">
        <f>STDEV(L$2:L346)*SQRT(252)</f>
        <v>0.35092507165589804</v>
      </c>
      <c r="X346" s="823">
        <f t="shared" si="125"/>
        <v>0.39483131052017023</v>
      </c>
      <c r="Y346" s="823">
        <f t="shared" si="126"/>
        <v>0.19956852128606997</v>
      </c>
      <c r="Z346" s="829">
        <f t="shared" si="127"/>
        <v>8.8516411699422898E-3</v>
      </c>
    </row>
    <row r="347" spans="1:26" ht="20.100000000000001" customHeight="1" x14ac:dyDescent="0.2">
      <c r="A347" s="798">
        <f t="shared" si="154"/>
        <v>529</v>
      </c>
      <c r="B347" s="817">
        <v>42762</v>
      </c>
      <c r="C347" s="842">
        <v>2294.69</v>
      </c>
      <c r="D347" s="814">
        <f t="shared" si="162"/>
        <v>-8.6646811919805194E-4</v>
      </c>
      <c r="E347" s="841">
        <f t="shared" si="150"/>
        <v>9.1441372881033461E-2</v>
      </c>
      <c r="F347" s="838">
        <v>5660.78</v>
      </c>
      <c r="G347" s="814">
        <f t="shared" si="161"/>
        <v>9.9201261854191345E-4</v>
      </c>
      <c r="H347" s="819">
        <f t="shared" si="151"/>
        <v>0.11176620774986742</v>
      </c>
      <c r="I347" s="821">
        <v>328778.71999999997</v>
      </c>
      <c r="J347" s="822">
        <v>300000</v>
      </c>
      <c r="K347" s="822">
        <f t="shared" si="152"/>
        <v>-1593.140000000014</v>
      </c>
      <c r="L347" s="814">
        <f t="shared" si="155"/>
        <v>-4.822263009930731E-3</v>
      </c>
      <c r="M347" s="839">
        <f t="shared" si="163"/>
        <v>28778.719999999972</v>
      </c>
      <c r="N347" s="824">
        <f t="shared" si="149"/>
        <v>9.5929066666666576E-2</v>
      </c>
      <c r="O347" s="808">
        <f t="shared" si="159"/>
        <v>6.6234577693761745E-2</v>
      </c>
      <c r="P347" s="839" t="b">
        <f t="shared" si="153"/>
        <v>0</v>
      </c>
      <c r="Q347" s="824">
        <f>COUNTIF(P$2:P347, TRUE)/(COUNTIF(P$2:P347,FALSE) + COUNTIF(P$2:P347, TRUE))</f>
        <v>0.49421965317919075</v>
      </c>
      <c r="R347" s="822">
        <v>258478.8</v>
      </c>
      <c r="S347" s="822">
        <f t="shared" si="160"/>
        <v>70299.919999999984</v>
      </c>
      <c r="T347" s="822">
        <v>-28586</v>
      </c>
      <c r="U347" s="822">
        <f t="shared" si="148"/>
        <v>57364.719999999972</v>
      </c>
      <c r="V347" s="824">
        <f>STDEV(D$2:D347)*SQRT(252)</f>
        <v>0.16163521958957874</v>
      </c>
      <c r="W347" s="824">
        <f>STDEV(L$2:L347)*SQRT(252)</f>
        <v>0.35044708647568024</v>
      </c>
      <c r="X347" s="823">
        <f t="shared" ref="X347:X410" si="164">E347/(A347/365.25)/V347</f>
        <v>0.39060814305970393</v>
      </c>
      <c r="Y347" s="823">
        <f t="shared" ref="Y347:Y410" si="165">O347/W347</f>
        <v>0.18900022357115012</v>
      </c>
      <c r="Z347" s="829">
        <f t="shared" ref="Z347:Z410" si="166">-(E347-N347)</f>
        <v>4.4876937856331151E-3</v>
      </c>
    </row>
    <row r="348" spans="1:26" ht="20.100000000000001" customHeight="1" x14ac:dyDescent="0.2">
      <c r="A348" s="798">
        <f t="shared" si="154"/>
        <v>532</v>
      </c>
      <c r="B348" s="846">
        <v>42765</v>
      </c>
      <c r="C348" s="857">
        <v>2280.9</v>
      </c>
      <c r="D348" s="814">
        <f t="shared" si="162"/>
        <v>-6.0095263412486928E-3</v>
      </c>
      <c r="E348" s="848">
        <f t="shared" si="150"/>
        <v>8.488232720077625E-2</v>
      </c>
      <c r="F348" s="849">
        <v>5613.71</v>
      </c>
      <c r="G348" s="814">
        <f t="shared" si="161"/>
        <v>-8.3151085186139919E-3</v>
      </c>
      <c r="H348" s="850">
        <f t="shared" si="151"/>
        <v>0.10252175108509932</v>
      </c>
      <c r="I348" s="859">
        <v>323091.52</v>
      </c>
      <c r="J348" s="852">
        <v>300000</v>
      </c>
      <c r="K348" s="852">
        <f t="shared" si="152"/>
        <v>-5687.1999999999534</v>
      </c>
      <c r="L348" s="814">
        <f t="shared" si="155"/>
        <v>-1.7297956510080561E-2</v>
      </c>
      <c r="M348" s="853">
        <f t="shared" si="163"/>
        <v>23091.520000000019</v>
      </c>
      <c r="N348" s="854">
        <f t="shared" si="149"/>
        <v>7.6971733333333389E-2</v>
      </c>
      <c r="O348" s="808">
        <f t="shared" si="159"/>
        <v>5.2845724812030113E-2</v>
      </c>
      <c r="P348" s="853" t="b">
        <f t="shared" si="153"/>
        <v>0</v>
      </c>
      <c r="Q348" s="854">
        <f>COUNTIF(P$2:P348, TRUE)/(COUNTIF(P$2:P348,FALSE) + COUNTIF(P$2:P348, TRUE))</f>
        <v>0.49279538904899134</v>
      </c>
      <c r="R348" s="852">
        <v>273132.59999999998</v>
      </c>
      <c r="S348" s="852">
        <f t="shared" si="160"/>
        <v>49958.920000000042</v>
      </c>
      <c r="T348" s="852">
        <v>-28819</v>
      </c>
      <c r="U348" s="852">
        <f t="shared" si="148"/>
        <v>51910.520000000019</v>
      </c>
      <c r="V348" s="854">
        <f>STDEV(D$2:D348)*SQRT(252)</f>
        <v>0.16149074119515683</v>
      </c>
      <c r="W348" s="854">
        <f>STDEV(L$2:L348)*SQRT(252)</f>
        <v>0.35027731512032595</v>
      </c>
      <c r="X348" s="823">
        <f t="shared" si="164"/>
        <v>0.36086789184278273</v>
      </c>
      <c r="Y348" s="823">
        <f t="shared" si="165"/>
        <v>0.15086824790202799</v>
      </c>
      <c r="Z348" s="829">
        <f t="shared" si="166"/>
        <v>-7.9105938674428611E-3</v>
      </c>
    </row>
    <row r="349" spans="1:26" ht="20.100000000000001" customHeight="1" x14ac:dyDescent="0.2">
      <c r="A349" s="798">
        <f t="shared" si="154"/>
        <v>533</v>
      </c>
      <c r="B349" s="846">
        <v>42766</v>
      </c>
      <c r="C349" s="857">
        <v>2278.87</v>
      </c>
      <c r="D349" s="814">
        <f t="shared" ref="D349:D363" si="167">(C349-C348)/C348</f>
        <v>-8.8999956157665837E-4</v>
      </c>
      <c r="E349" s="848">
        <f t="shared" si="150"/>
        <v>8.3916782405205295E-2</v>
      </c>
      <c r="F349" s="849">
        <v>5614.78</v>
      </c>
      <c r="G349" s="814">
        <f t="shared" si="161"/>
        <v>1.9060478720840743E-4</v>
      </c>
      <c r="H349" s="850">
        <f t="shared" si="151"/>
        <v>0.10273189700885754</v>
      </c>
      <c r="I349" s="860">
        <v>326440.17</v>
      </c>
      <c r="J349" s="852">
        <v>300000</v>
      </c>
      <c r="K349" s="852">
        <f t="shared" si="152"/>
        <v>3348.6499999999651</v>
      </c>
      <c r="L349" s="814">
        <f t="shared" si="155"/>
        <v>1.0364400774121107E-2</v>
      </c>
      <c r="M349" s="858">
        <f t="shared" si="163"/>
        <v>26440.169999999984</v>
      </c>
      <c r="N349" s="854">
        <f t="shared" si="149"/>
        <v>8.8133899999999946E-2</v>
      </c>
      <c r="O349" s="808">
        <f t="shared" si="159"/>
        <v>6.039569788930578E-2</v>
      </c>
      <c r="P349" s="853" t="b">
        <f t="shared" si="153"/>
        <v>1</v>
      </c>
      <c r="Q349" s="854">
        <f>COUNTIF(P$2:P349, TRUE)/(COUNTIF(P$2:P349,FALSE) + COUNTIF(P$2:P349, TRUE))</f>
        <v>0.4942528735632184</v>
      </c>
      <c r="R349" s="852">
        <v>269996.05</v>
      </c>
      <c r="S349" s="852">
        <f t="shared" si="160"/>
        <v>56444.119999999995</v>
      </c>
      <c r="T349" s="852">
        <v>-28046</v>
      </c>
      <c r="U349" s="852">
        <f t="shared" ref="U349:U361" si="168">M349-T349</f>
        <v>54486.169999999984</v>
      </c>
      <c r="V349" s="854">
        <f>STDEV(D$2:D349)*SQRT(252)</f>
        <v>0.16126032344317026</v>
      </c>
      <c r="W349" s="854">
        <f>STDEV(L$2:L349)*SQRT(252)</f>
        <v>0.34986792755966306</v>
      </c>
      <c r="X349" s="823">
        <f t="shared" si="164"/>
        <v>0.35660244171135069</v>
      </c>
      <c r="Y349" s="823">
        <f t="shared" si="165"/>
        <v>0.17262427656792431</v>
      </c>
      <c r="Z349" s="829">
        <f t="shared" si="166"/>
        <v>4.2171175947946504E-3</v>
      </c>
    </row>
    <row r="350" spans="1:26" ht="20.100000000000001" customHeight="1" x14ac:dyDescent="0.2">
      <c r="A350" s="798">
        <f t="shared" si="154"/>
        <v>534</v>
      </c>
      <c r="B350" s="846">
        <v>42767</v>
      </c>
      <c r="C350" s="857">
        <v>2279.5500000000002</v>
      </c>
      <c r="D350" s="814">
        <f t="shared" si="167"/>
        <v>2.9839350204280678E-4</v>
      </c>
      <c r="E350" s="848">
        <f t="shared" si="150"/>
        <v>8.4240216129830167E-2</v>
      </c>
      <c r="F350" s="849">
        <v>5642.65</v>
      </c>
      <c r="G350" s="814">
        <f t="shared" si="161"/>
        <v>4.9636851310291569E-3</v>
      </c>
      <c r="H350" s="850">
        <f t="shared" si="151"/>
        <v>0.10820551092955198</v>
      </c>
      <c r="I350" s="859">
        <v>325798.71999999997</v>
      </c>
      <c r="J350" s="852">
        <v>300000</v>
      </c>
      <c r="K350" s="852">
        <f t="shared" si="152"/>
        <v>-641.45000000001164</v>
      </c>
      <c r="L350" s="814">
        <f t="shared" si="155"/>
        <v>-1.9649848852854464E-3</v>
      </c>
      <c r="M350" s="861">
        <f t="shared" si="163"/>
        <v>25798.719999999972</v>
      </c>
      <c r="N350" s="854">
        <f t="shared" ref="N350:N361" si="169">M350/J350</f>
        <v>8.5995733333333241E-2</v>
      </c>
      <c r="O350" s="808">
        <f t="shared" si="159"/>
        <v>5.8820115355805183E-2</v>
      </c>
      <c r="P350" s="853" t="b">
        <f t="shared" si="153"/>
        <v>0</v>
      </c>
      <c r="Q350" s="854">
        <f>COUNTIF(P$2:P350, TRUE)/(COUNTIF(P$2:P350,FALSE) + COUNTIF(P$2:P350, TRUE))</f>
        <v>0.49283667621776506</v>
      </c>
      <c r="R350" s="852">
        <v>267944.34999999998</v>
      </c>
      <c r="S350" s="852">
        <f t="shared" si="160"/>
        <v>57854.369999999995</v>
      </c>
      <c r="T350" s="852">
        <v>-28725</v>
      </c>
      <c r="U350" s="852">
        <f t="shared" si="168"/>
        <v>54523.719999999972</v>
      </c>
      <c r="V350" s="854">
        <f>STDEV(D$2:D350)*SQRT(252)</f>
        <v>0.1610277927077004</v>
      </c>
      <c r="W350" s="854">
        <f>STDEV(L$2:L350)*SQRT(252)</f>
        <v>0.34937088827322704</v>
      </c>
      <c r="X350" s="823">
        <f t="shared" si="164"/>
        <v>0.35782246247461669</v>
      </c>
      <c r="Y350" s="823">
        <f t="shared" si="165"/>
        <v>0.16836009332810997</v>
      </c>
      <c r="Z350" s="829">
        <f t="shared" si="166"/>
        <v>1.7555172035030736E-3</v>
      </c>
    </row>
    <row r="351" spans="1:26" ht="20.100000000000001" customHeight="1" x14ac:dyDescent="0.2">
      <c r="A351" s="798">
        <f t="shared" si="154"/>
        <v>535</v>
      </c>
      <c r="B351" s="846">
        <v>42768</v>
      </c>
      <c r="C351" s="857">
        <v>2280.85</v>
      </c>
      <c r="D351" s="814">
        <f t="shared" si="167"/>
        <v>5.7028799543757628E-4</v>
      </c>
      <c r="E351" s="848">
        <f t="shared" si="150"/>
        <v>8.4858545309259639E-2</v>
      </c>
      <c r="F351" s="849">
        <v>5636.19</v>
      </c>
      <c r="G351" s="814">
        <f t="shared" si="161"/>
        <v>-1.1448521528005524E-3</v>
      </c>
      <c r="H351" s="850">
        <f t="shared" si="151"/>
        <v>0.10693677946461885</v>
      </c>
      <c r="I351" s="859">
        <v>326587.24</v>
      </c>
      <c r="J351" s="852">
        <v>300000</v>
      </c>
      <c r="K351" s="852">
        <f t="shared" si="152"/>
        <v>788.52000000001863</v>
      </c>
      <c r="L351" s="814">
        <f t="shared" si="155"/>
        <v>2.4202673356114434E-3</v>
      </c>
      <c r="M351" s="861">
        <f t="shared" si="163"/>
        <v>26587.239999999991</v>
      </c>
      <c r="N351" s="854">
        <f t="shared" si="169"/>
        <v>8.8624133333333299E-2</v>
      </c>
      <c r="O351" s="808">
        <f t="shared" si="159"/>
        <v>6.0504606915887826E-2</v>
      </c>
      <c r="P351" s="853" t="b">
        <f t="shared" si="153"/>
        <v>1</v>
      </c>
      <c r="Q351" s="854">
        <f>COUNTIF(P$2:P351, TRUE)/(COUNTIF(P$2:P351,FALSE) + COUNTIF(P$2:P351, TRUE))</f>
        <v>0.49428571428571427</v>
      </c>
      <c r="R351" s="852">
        <v>272398.15000000002</v>
      </c>
      <c r="S351" s="852">
        <f t="shared" si="160"/>
        <v>54189.089999999967</v>
      </c>
      <c r="T351" s="852">
        <v>-29233</v>
      </c>
      <c r="U351" s="852">
        <f t="shared" si="168"/>
        <v>55820.239999999991</v>
      </c>
      <c r="V351" s="854">
        <f>STDEV(D$2:D351)*SQRT(252)</f>
        <v>0.16079644900185747</v>
      </c>
      <c r="W351" s="854">
        <f>STDEV(L$2:L351)*SQRT(252)</f>
        <v>0.34887158546682562</v>
      </c>
      <c r="X351" s="823">
        <f t="shared" si="164"/>
        <v>0.36029279016933341</v>
      </c>
      <c r="Y351" s="823">
        <f t="shared" si="165"/>
        <v>0.17342944921962195</v>
      </c>
      <c r="Z351" s="829">
        <f t="shared" si="166"/>
        <v>3.76558802407366E-3</v>
      </c>
    </row>
    <row r="352" spans="1:26" ht="20.100000000000001" customHeight="1" x14ac:dyDescent="0.2">
      <c r="A352" s="798">
        <f t="shared" si="154"/>
        <v>536</v>
      </c>
      <c r="B352" s="846">
        <v>42769</v>
      </c>
      <c r="C352" s="857">
        <v>2297.42</v>
      </c>
      <c r="D352" s="814">
        <f t="shared" si="167"/>
        <v>7.2648354780016945E-3</v>
      </c>
      <c r="E352" s="848">
        <f t="shared" ref="E352:E361" si="170">(C352-$C$2)/$C$2</f>
        <v>9.2739864157835666E-2</v>
      </c>
      <c r="F352" s="849">
        <v>5666.76</v>
      </c>
      <c r="G352" s="814">
        <f t="shared" si="161"/>
        <v>5.4238767678166672E-3</v>
      </c>
      <c r="H352" s="850">
        <f t="shared" ref="H352:H361" si="171">(F352-F$2)/F$2</f>
        <v>0.1129406681461988</v>
      </c>
      <c r="I352" s="859">
        <v>330217.57</v>
      </c>
      <c r="J352" s="852">
        <v>300000</v>
      </c>
      <c r="K352" s="852">
        <f t="shared" ref="K352:K361" si="172">I352-I351-J352+J351</f>
        <v>3630.3300000000163</v>
      </c>
      <c r="L352" s="814">
        <f t="shared" si="155"/>
        <v>1.1115957867796723E-2</v>
      </c>
      <c r="M352" s="861">
        <f t="shared" si="163"/>
        <v>30217.570000000007</v>
      </c>
      <c r="N352" s="854">
        <f t="shared" si="169"/>
        <v>0.10072523333333336</v>
      </c>
      <c r="O352" s="808">
        <f t="shared" si="159"/>
        <v>6.8637857229477628E-2</v>
      </c>
      <c r="P352" s="853" t="b">
        <f t="shared" ref="P352:P361" si="173">L352&gt;D352</f>
        <v>1</v>
      </c>
      <c r="Q352" s="854">
        <f>COUNTIF(P$2:P352, TRUE)/(COUNTIF(P$2:P352,FALSE) + COUNTIF(P$2:P352, TRUE))</f>
        <v>0.49572649572649574</v>
      </c>
      <c r="R352" s="852">
        <v>260496.3</v>
      </c>
      <c r="S352" s="852">
        <f t="shared" si="160"/>
        <v>69721.270000000019</v>
      </c>
      <c r="T352" s="852">
        <v>-28712</v>
      </c>
      <c r="U352" s="852">
        <f t="shared" si="168"/>
        <v>58929.570000000007</v>
      </c>
      <c r="V352" s="854">
        <f>STDEV(D$2:D352)*SQRT(252)</f>
        <v>0.16067512606366424</v>
      </c>
      <c r="W352" s="854">
        <f>STDEV(L$2:L352)*SQRT(252)</f>
        <v>0.34848319217701207</v>
      </c>
      <c r="X352" s="823">
        <f t="shared" si="164"/>
        <v>0.3933174737074584</v>
      </c>
      <c r="Y352" s="823">
        <f t="shared" si="165"/>
        <v>0.19696174383817347</v>
      </c>
      <c r="Z352" s="829">
        <f t="shared" si="166"/>
        <v>7.9853691754976919E-3</v>
      </c>
    </row>
    <row r="353" spans="1:26" ht="20.100000000000001" customHeight="1" x14ac:dyDescent="0.2">
      <c r="A353" s="798">
        <f t="shared" si="154"/>
        <v>539</v>
      </c>
      <c r="B353" s="817">
        <v>42772</v>
      </c>
      <c r="C353" s="842">
        <v>2292.56</v>
      </c>
      <c r="D353" s="814">
        <f t="shared" si="167"/>
        <v>-2.115416423640487E-3</v>
      </c>
      <c r="E353" s="841">
        <f t="shared" si="170"/>
        <v>9.0428264302429506E-2</v>
      </c>
      <c r="F353" s="838">
        <v>5663.55</v>
      </c>
      <c r="G353" s="814">
        <f t="shared" si="161"/>
        <v>-5.6646125828516407E-4</v>
      </c>
      <c r="H353" s="819">
        <f t="shared" si="171"/>
        <v>0.11231023037492398</v>
      </c>
      <c r="I353" s="821">
        <v>324431.87</v>
      </c>
      <c r="J353" s="822">
        <v>300000</v>
      </c>
      <c r="K353" s="822">
        <f t="shared" si="172"/>
        <v>-5785.7000000000116</v>
      </c>
      <c r="L353" s="814">
        <f t="shared" si="155"/>
        <v>-1.7520872677974135E-2</v>
      </c>
      <c r="M353" s="839">
        <f t="shared" si="163"/>
        <v>24431.869999999995</v>
      </c>
      <c r="N353" s="824">
        <f t="shared" si="169"/>
        <v>8.1439566666666657E-2</v>
      </c>
      <c r="O353" s="808">
        <f t="shared" si="159"/>
        <v>5.5187016187384037E-2</v>
      </c>
      <c r="P353" s="839" t="b">
        <f t="shared" si="173"/>
        <v>0</v>
      </c>
      <c r="Q353" s="824">
        <f>COUNTIF(P$2:P353, TRUE)/(COUNTIF(P$2:P353,FALSE) + COUNTIF(P$2:P353, TRUE))</f>
        <v>0.49431818181818182</v>
      </c>
      <c r="R353" s="822">
        <v>275813.84999999998</v>
      </c>
      <c r="S353" s="822">
        <f t="shared" si="160"/>
        <v>48618.020000000019</v>
      </c>
      <c r="T353" s="822">
        <v>-29700</v>
      </c>
      <c r="U353" s="822">
        <f t="shared" si="168"/>
        <v>54131.869999999995</v>
      </c>
      <c r="V353" s="824">
        <f>STDEV(D$2:D353)*SQRT(252)</f>
        <v>0.16045852618505879</v>
      </c>
      <c r="W353" s="824">
        <f>STDEV(L$2:L353)*SQRT(252)</f>
        <v>0.34832898633424447</v>
      </c>
      <c r="X353" s="823">
        <f t="shared" si="164"/>
        <v>0.38189401791533517</v>
      </c>
      <c r="Y353" s="823">
        <f t="shared" si="165"/>
        <v>0.15843360257830646</v>
      </c>
      <c r="Z353" s="829">
        <f t="shared" si="166"/>
        <v>-8.988697635762849E-3</v>
      </c>
    </row>
    <row r="354" spans="1:26" ht="20.100000000000001" customHeight="1" x14ac:dyDescent="0.2">
      <c r="A354" s="798">
        <f t="shared" si="154"/>
        <v>540</v>
      </c>
      <c r="B354" s="817">
        <v>42773</v>
      </c>
      <c r="C354" s="842">
        <v>2293.08</v>
      </c>
      <c r="D354" s="814">
        <f t="shared" si="167"/>
        <v>2.2682067208709122E-4</v>
      </c>
      <c r="E354" s="841">
        <f t="shared" si="170"/>
        <v>9.0675595974201342E-2</v>
      </c>
      <c r="F354" s="838">
        <v>5674.21</v>
      </c>
      <c r="G354" s="814">
        <f t="shared" si="161"/>
        <v>1.8822116870160683E-3</v>
      </c>
      <c r="H354" s="819">
        <f t="shared" si="171"/>
        <v>0.11440383369012319</v>
      </c>
      <c r="I354" s="821">
        <v>321983.64</v>
      </c>
      <c r="J354" s="822">
        <v>300000</v>
      </c>
      <c r="K354" s="822">
        <f t="shared" si="172"/>
        <v>-2448.2299999999814</v>
      </c>
      <c r="L354" s="814">
        <f t="shared" si="155"/>
        <v>-7.5462068507634022E-3</v>
      </c>
      <c r="M354" s="839">
        <f t="shared" si="163"/>
        <v>21983.640000000014</v>
      </c>
      <c r="N354" s="824">
        <f t="shared" si="169"/>
        <v>7.3278800000000047E-2</v>
      </c>
      <c r="O354" s="808">
        <f t="shared" si="159"/>
        <v>4.9564966111111143E-2</v>
      </c>
      <c r="P354" s="839" t="b">
        <f t="shared" si="173"/>
        <v>0</v>
      </c>
      <c r="Q354" s="824">
        <f>COUNTIF(P$2:P354, TRUE)/(COUNTIF(P$2:P354,FALSE) + COUNTIF(P$2:P354, TRUE))</f>
        <v>0.49291784702549574</v>
      </c>
      <c r="R354" s="822">
        <v>303519</v>
      </c>
      <c r="S354" s="822">
        <f t="shared" si="160"/>
        <v>18464.640000000014</v>
      </c>
      <c r="T354" s="822">
        <v>-29290</v>
      </c>
      <c r="U354" s="822">
        <f t="shared" si="168"/>
        <v>51273.640000000014</v>
      </c>
      <c r="V354" s="824">
        <f>STDEV(D$2:D354)*SQRT(252)</f>
        <v>0.16022980090956176</v>
      </c>
      <c r="W354" s="824">
        <f>STDEV(L$2:L354)*SQRT(252)</f>
        <v>0.34790227833602405</v>
      </c>
      <c r="X354" s="823">
        <f t="shared" si="164"/>
        <v>0.38277502226283955</v>
      </c>
      <c r="Y354" s="823">
        <f t="shared" si="165"/>
        <v>0.14246806990794825</v>
      </c>
      <c r="Z354" s="829">
        <f t="shared" si="166"/>
        <v>-1.7396795974201296E-2</v>
      </c>
    </row>
    <row r="355" spans="1:26" ht="20.100000000000001" customHeight="1" x14ac:dyDescent="0.2">
      <c r="A355" s="798">
        <f t="shared" si="154"/>
        <v>541</v>
      </c>
      <c r="B355" s="817">
        <v>42774</v>
      </c>
      <c r="C355" s="842">
        <v>2294.67</v>
      </c>
      <c r="D355" s="814">
        <f t="shared" si="167"/>
        <v>6.9339054895605282E-4</v>
      </c>
      <c r="E355" s="841">
        <f t="shared" si="170"/>
        <v>9.1431860124426861E-2</v>
      </c>
      <c r="F355" s="838">
        <v>5682.45</v>
      </c>
      <c r="G355" s="814">
        <f t="shared" si="161"/>
        <v>1.4521845331772673E-3</v>
      </c>
      <c r="H355" s="819">
        <f t="shared" si="171"/>
        <v>0.11602215370112144</v>
      </c>
      <c r="I355" s="821">
        <v>320220.33</v>
      </c>
      <c r="J355" s="822">
        <v>300000</v>
      </c>
      <c r="K355" s="822">
        <f t="shared" si="172"/>
        <v>-1763.3099999999977</v>
      </c>
      <c r="L355" s="814">
        <f t="shared" si="155"/>
        <v>-5.4763962541699253E-3</v>
      </c>
      <c r="M355" s="839">
        <f t="shared" si="163"/>
        <v>20220.330000000016</v>
      </c>
      <c r="N355" s="824">
        <f t="shared" si="169"/>
        <v>6.7401100000000061E-2</v>
      </c>
      <c r="O355" s="808">
        <f t="shared" si="159"/>
        <v>4.5505086460258824E-2</v>
      </c>
      <c r="P355" s="839" t="b">
        <f t="shared" si="173"/>
        <v>0</v>
      </c>
      <c r="Q355" s="824">
        <f>COUNTIF(P$2:P355, TRUE)/(COUNTIF(P$2:P355,FALSE) + COUNTIF(P$2:P355, TRUE))</f>
        <v>0.49152542372881358</v>
      </c>
      <c r="R355" s="822">
        <v>292567</v>
      </c>
      <c r="S355" s="822">
        <f t="shared" si="160"/>
        <v>27653.330000000016</v>
      </c>
      <c r="T355" s="822">
        <v>-30165</v>
      </c>
      <c r="U355" s="822">
        <f t="shared" si="168"/>
        <v>50385.330000000016</v>
      </c>
      <c r="V355" s="824">
        <f>STDEV(D$2:D355)*SQRT(252)</f>
        <v>0.16000238989195567</v>
      </c>
      <c r="W355" s="824">
        <f>STDEV(L$2:L355)*SQRT(252)</f>
        <v>0.34744654612529025</v>
      </c>
      <c r="X355" s="823">
        <f t="shared" si="164"/>
        <v>0.38580161847693056</v>
      </c>
      <c r="Y355" s="823">
        <f t="shared" si="165"/>
        <v>0.13097003544208369</v>
      </c>
      <c r="Z355" s="829">
        <f t="shared" si="166"/>
        <v>-2.40307601244268E-2</v>
      </c>
    </row>
    <row r="356" spans="1:26" ht="20.100000000000001" customHeight="1" x14ac:dyDescent="0.2">
      <c r="A356" s="798">
        <f t="shared" si="154"/>
        <v>542</v>
      </c>
      <c r="B356" s="817">
        <v>42775</v>
      </c>
      <c r="C356" s="842">
        <v>2307.87</v>
      </c>
      <c r="D356" s="814">
        <f t="shared" si="167"/>
        <v>5.7524611382027994E-3</v>
      </c>
      <c r="E356" s="841">
        <f t="shared" si="170"/>
        <v>9.7710279484789025E-2</v>
      </c>
      <c r="F356" s="838">
        <v>5715.18</v>
      </c>
      <c r="G356" s="814">
        <f t="shared" si="161"/>
        <v>5.7598395058470336E-3</v>
      </c>
      <c r="H356" s="819">
        <f t="shared" si="171"/>
        <v>0.12245026219140964</v>
      </c>
      <c r="I356" s="821">
        <v>320817.13</v>
      </c>
      <c r="J356" s="822">
        <v>300000</v>
      </c>
      <c r="K356" s="822">
        <f t="shared" si="172"/>
        <v>596.79999999998836</v>
      </c>
      <c r="L356" s="814">
        <f t="shared" si="155"/>
        <v>1.8637167727607686E-3</v>
      </c>
      <c r="M356" s="839">
        <f t="shared" si="163"/>
        <v>20817.130000000005</v>
      </c>
      <c r="N356" s="824">
        <f t="shared" si="169"/>
        <v>6.9390433333333348E-2</v>
      </c>
      <c r="O356" s="808">
        <f t="shared" si="159"/>
        <v>4.676172652214023E-2</v>
      </c>
      <c r="P356" s="839" t="b">
        <f t="shared" si="173"/>
        <v>0</v>
      </c>
      <c r="Q356" s="824">
        <f>COUNTIF(P$2:P356, TRUE)/(COUNTIF(P$2:P356,FALSE) + COUNTIF(P$2:P356, TRUE))</f>
        <v>0.49014084507042255</v>
      </c>
      <c r="R356" s="822">
        <v>304352.8</v>
      </c>
      <c r="S356" s="822">
        <f t="shared" si="160"/>
        <v>16464.330000000016</v>
      </c>
      <c r="T356" s="822">
        <v>-31263</v>
      </c>
      <c r="U356" s="822">
        <f t="shared" si="168"/>
        <v>52080.130000000005</v>
      </c>
      <c r="V356" s="824">
        <f>STDEV(D$2:D356)*SQRT(252)</f>
        <v>0.15984184975435473</v>
      </c>
      <c r="W356" s="824">
        <f>STDEV(L$2:L356)*SQRT(252)</f>
        <v>0.34695557071098138</v>
      </c>
      <c r="X356" s="823">
        <f t="shared" si="164"/>
        <v>0.41194638570794817</v>
      </c>
      <c r="Y356" s="823">
        <f t="shared" si="165"/>
        <v>0.13477727544860021</v>
      </c>
      <c r="Z356" s="829">
        <f t="shared" si="166"/>
        <v>-2.8319846151455677E-2</v>
      </c>
    </row>
    <row r="357" spans="1:26" ht="20.100000000000001" customHeight="1" x14ac:dyDescent="0.2">
      <c r="A357" s="798">
        <f t="shared" si="154"/>
        <v>543</v>
      </c>
      <c r="B357" s="817">
        <v>42776</v>
      </c>
      <c r="C357" s="842">
        <v>2316.1</v>
      </c>
      <c r="D357" s="814">
        <f t="shared" si="167"/>
        <v>3.566058746809837E-3</v>
      </c>
      <c r="E357" s="841">
        <f t="shared" si="170"/>
        <v>0.10162477882840883</v>
      </c>
      <c r="F357" s="838">
        <v>5734.12</v>
      </c>
      <c r="G357" s="814">
        <f t="shared" si="161"/>
        <v>3.3139813619167896E-3</v>
      </c>
      <c r="H357" s="819">
        <f t="shared" si="171"/>
        <v>0.12617004143999058</v>
      </c>
      <c r="I357" s="821">
        <v>324003.01</v>
      </c>
      <c r="J357" s="822">
        <v>300000</v>
      </c>
      <c r="K357" s="822">
        <f t="shared" si="172"/>
        <v>3185.8800000000047</v>
      </c>
      <c r="L357" s="814">
        <f t="shared" si="155"/>
        <v>9.9305171142201939E-3</v>
      </c>
      <c r="M357" s="839">
        <f t="shared" si="163"/>
        <v>24003.010000000009</v>
      </c>
      <c r="N357" s="824">
        <f t="shared" si="169"/>
        <v>8.0010033333333369E-2</v>
      </c>
      <c r="O357" s="808">
        <f t="shared" si="159"/>
        <v>5.3818903637200759E-2</v>
      </c>
      <c r="P357" s="839" t="b">
        <f t="shared" si="173"/>
        <v>1</v>
      </c>
      <c r="Q357" s="824">
        <f>COUNTIF(P$2:P357, TRUE)/(COUNTIF(P$2:P357,FALSE) + COUNTIF(P$2:P357, TRUE))</f>
        <v>0.49157303370786515</v>
      </c>
      <c r="R357" s="822">
        <v>304805.15000000002</v>
      </c>
      <c r="S357" s="822">
        <f t="shared" si="160"/>
        <v>19197.859999999986</v>
      </c>
      <c r="T357" s="822">
        <v>-29099</v>
      </c>
      <c r="U357" s="822">
        <f t="shared" si="168"/>
        <v>53102.010000000009</v>
      </c>
      <c r="V357" s="824">
        <f>STDEV(D$2:D357)*SQRT(252)</f>
        <v>0.15963944268127239</v>
      </c>
      <c r="W357" s="824">
        <f>STDEV(L$2:L357)*SQRT(252)</f>
        <v>0.34655330158164083</v>
      </c>
      <c r="X357" s="823">
        <f t="shared" si="164"/>
        <v>0.42820309844987747</v>
      </c>
      <c r="Y357" s="823">
        <f t="shared" si="165"/>
        <v>0.15529762201536013</v>
      </c>
      <c r="Z357" s="829">
        <f t="shared" si="166"/>
        <v>-2.1614745495075458E-2</v>
      </c>
    </row>
    <row r="358" spans="1:26" ht="20.100000000000001" customHeight="1" x14ac:dyDescent="0.2">
      <c r="A358" s="798">
        <f t="shared" si="154"/>
        <v>546</v>
      </c>
      <c r="B358" s="846">
        <v>42779</v>
      </c>
      <c r="C358" s="857">
        <v>2328.25</v>
      </c>
      <c r="D358" s="814">
        <f t="shared" si="167"/>
        <v>5.2458874832693285E-3</v>
      </c>
      <c r="E358" s="848">
        <f t="shared" si="170"/>
        <v>0.10740377846692412</v>
      </c>
      <c r="F358" s="849">
        <v>5763.95</v>
      </c>
      <c r="G358" s="814">
        <f t="shared" si="161"/>
        <v>5.2021931874463613E-3</v>
      </c>
      <c r="H358" s="850">
        <f t="shared" si="171"/>
        <v>0.1320285955574759</v>
      </c>
      <c r="I358" s="859">
        <v>323021.71000000002</v>
      </c>
      <c r="J358" s="852">
        <v>300000</v>
      </c>
      <c r="K358" s="852">
        <f t="shared" si="172"/>
        <v>-981.29999999998836</v>
      </c>
      <c r="L358" s="814">
        <f t="shared" si="155"/>
        <v>-3.0286755669337402E-3</v>
      </c>
      <c r="M358" s="861">
        <f t="shared" si="163"/>
        <v>23021.710000000021</v>
      </c>
      <c r="N358" s="854">
        <f t="shared" si="169"/>
        <v>7.6739033333333401E-2</v>
      </c>
      <c r="O358" s="808">
        <f t="shared" si="159"/>
        <v>5.1335040155677705E-2</v>
      </c>
      <c r="P358" s="853" t="b">
        <f t="shared" si="173"/>
        <v>0</v>
      </c>
      <c r="Q358" s="854">
        <f>COUNTIF(P$2:P358, TRUE)/(COUNTIF(P$2:P358,FALSE) + COUNTIF(P$2:P358, TRUE))</f>
        <v>0.49019607843137253</v>
      </c>
      <c r="R358" s="852">
        <v>303829.84999999998</v>
      </c>
      <c r="S358" s="852">
        <f t="shared" si="160"/>
        <v>19191.860000000044</v>
      </c>
      <c r="T358" s="852">
        <v>-28482</v>
      </c>
      <c r="U358" s="852">
        <f t="shared" si="168"/>
        <v>51503.710000000021</v>
      </c>
      <c r="V358" s="854">
        <f>STDEV(D$2:D358)*SQRT(252)</f>
        <v>0.15946823741298166</v>
      </c>
      <c r="W358" s="854">
        <f>STDEV(L$2:L358)*SQRT(252)</f>
        <v>0.34607892866590223</v>
      </c>
      <c r="X358" s="823">
        <f t="shared" si="164"/>
        <v>0.45054995223340955</v>
      </c>
      <c r="Y358" s="823">
        <f t="shared" si="165"/>
        <v>0.14833333064676568</v>
      </c>
      <c r="Z358" s="829">
        <f t="shared" si="166"/>
        <v>-3.0664745133590715E-2</v>
      </c>
    </row>
    <row r="359" spans="1:26" ht="20.100000000000001" customHeight="1" x14ac:dyDescent="0.2">
      <c r="A359" s="798">
        <f t="shared" si="154"/>
        <v>547</v>
      </c>
      <c r="B359" s="846">
        <v>42780</v>
      </c>
      <c r="C359" s="857">
        <v>2337.58</v>
      </c>
      <c r="D359" s="814">
        <f t="shared" si="167"/>
        <v>4.0073016213894247E-3</v>
      </c>
      <c r="E359" s="848">
        <f t="shared" si="170"/>
        <v>0.1118414794239074</v>
      </c>
      <c r="F359" s="849">
        <v>5782.57</v>
      </c>
      <c r="G359" s="814">
        <f>(F359-F358)/F358</f>
        <v>3.2304235810511699E-3</v>
      </c>
      <c r="H359" s="850">
        <f t="shared" si="171"/>
        <v>0.135685527426989</v>
      </c>
      <c r="I359" s="859">
        <v>323822.24</v>
      </c>
      <c r="J359" s="852">
        <v>300000</v>
      </c>
      <c r="K359" s="852">
        <f t="shared" si="172"/>
        <v>800.52999999996973</v>
      </c>
      <c r="L359" s="814">
        <f t="shared" si="155"/>
        <v>2.4782544801709139E-3</v>
      </c>
      <c r="M359" s="861">
        <f t="shared" si="163"/>
        <v>23822.239999999991</v>
      </c>
      <c r="N359" s="854">
        <f t="shared" si="169"/>
        <v>7.9407466666666635E-2</v>
      </c>
      <c r="O359" s="808">
        <f t="shared" si="159"/>
        <v>5.3022993053016436E-2</v>
      </c>
      <c r="P359" s="853" t="b">
        <f t="shared" si="173"/>
        <v>0</v>
      </c>
      <c r="Q359" s="854">
        <f>COUNTIF(P$2:P359, TRUE)/(COUNTIF(P$2:P359,FALSE) + COUNTIF(P$2:P359, TRUE))</f>
        <v>0.48882681564245811</v>
      </c>
      <c r="R359" s="852">
        <v>305870.8</v>
      </c>
      <c r="S359" s="852">
        <f t="shared" si="160"/>
        <v>17951.440000000002</v>
      </c>
      <c r="T359" s="852">
        <v>-29398</v>
      </c>
      <c r="U359" s="852">
        <f t="shared" si="168"/>
        <v>53220.239999999991</v>
      </c>
      <c r="V359" s="854">
        <f>STDEV(D$2:D359)*SQRT(252)</f>
        <v>0.15927396470902513</v>
      </c>
      <c r="W359" s="854">
        <f>STDEV(L$2:L359)*SQRT(252)</f>
        <v>0.34559585796203202</v>
      </c>
      <c r="X359" s="823">
        <f t="shared" si="164"/>
        <v>0.46887924674508236</v>
      </c>
      <c r="Y359" s="823">
        <f t="shared" si="165"/>
        <v>0.15342485111277482</v>
      </c>
      <c r="Z359" s="829">
        <f t="shared" si="166"/>
        <v>-3.2434012757240768E-2</v>
      </c>
    </row>
    <row r="360" spans="1:26" ht="20.100000000000001" customHeight="1" x14ac:dyDescent="0.2">
      <c r="A360" s="798">
        <f t="shared" si="154"/>
        <v>548</v>
      </c>
      <c r="B360" s="846">
        <v>42781</v>
      </c>
      <c r="C360" s="857">
        <v>2349.25</v>
      </c>
      <c r="D360" s="814">
        <f t="shared" si="167"/>
        <v>4.9923425080639263E-3</v>
      </c>
      <c r="E360" s="848">
        <f t="shared" si="170"/>
        <v>0.11739217290386406</v>
      </c>
      <c r="F360" s="849">
        <v>5819.44</v>
      </c>
      <c r="G360" s="814">
        <f t="shared" ref="G360:G367" si="174">(F360-F359)/F359</f>
        <v>6.376057704446274E-3</v>
      </c>
      <c r="H360" s="850">
        <f t="shared" si="171"/>
        <v>0.14292672388396799</v>
      </c>
      <c r="I360" s="859">
        <v>324896.15000000002</v>
      </c>
      <c r="J360" s="852">
        <v>300000</v>
      </c>
      <c r="K360" s="852">
        <f t="shared" si="172"/>
        <v>1073.9100000000326</v>
      </c>
      <c r="L360" s="814">
        <f t="shared" si="155"/>
        <v>3.3163565294342741E-3</v>
      </c>
      <c r="M360" s="861">
        <f t="shared" si="163"/>
        <v>24896.150000000023</v>
      </c>
      <c r="N360" s="854">
        <f t="shared" si="169"/>
        <v>8.2987166666666751E-2</v>
      </c>
      <c r="O360" s="808">
        <f t="shared" si="159"/>
        <v>5.5312158074817569E-2</v>
      </c>
      <c r="P360" s="853" t="b">
        <f t="shared" si="173"/>
        <v>0</v>
      </c>
      <c r="Q360" s="854">
        <f>COUNTIF(P$2:P360, TRUE)/(COUNTIF(P$2:P360,FALSE) + COUNTIF(P$2:P360, TRUE))</f>
        <v>0.48746518105849584</v>
      </c>
      <c r="R360" s="852">
        <v>284558.05</v>
      </c>
      <c r="S360" s="852">
        <f t="shared" si="160"/>
        <v>40338.100000000035</v>
      </c>
      <c r="T360" s="852">
        <v>-27681</v>
      </c>
      <c r="U360" s="852">
        <f t="shared" si="168"/>
        <v>52577.150000000023</v>
      </c>
      <c r="V360" s="854">
        <f>STDEV(D$2:D360)*SQRT(252)</f>
        <v>0.15909847799191273</v>
      </c>
      <c r="W360" s="854">
        <f>STDEV(L$2:L360)*SQRT(252)</f>
        <v>0.34511860211054446</v>
      </c>
      <c r="X360" s="823">
        <f t="shared" si="164"/>
        <v>0.49179349785327053</v>
      </c>
      <c r="Y360" s="823">
        <f t="shared" si="165"/>
        <v>0.16026999917292378</v>
      </c>
      <c r="Z360" s="829">
        <f t="shared" si="166"/>
        <v>-3.4405006237197305E-2</v>
      </c>
    </row>
    <row r="361" spans="1:26" ht="20.100000000000001" customHeight="1" x14ac:dyDescent="0.2">
      <c r="A361" s="798">
        <f t="shared" si="154"/>
        <v>549</v>
      </c>
      <c r="B361" s="846">
        <v>42782</v>
      </c>
      <c r="C361" s="857">
        <v>2347.2199999999998</v>
      </c>
      <c r="D361" s="814">
        <f t="shared" si="167"/>
        <v>-8.6410556560612964E-4</v>
      </c>
      <c r="E361" s="848">
        <f t="shared" si="170"/>
        <v>0.1164266281082931</v>
      </c>
      <c r="F361" s="849">
        <v>5814.9</v>
      </c>
      <c r="G361" s="814">
        <f t="shared" si="174"/>
        <v>-7.8014379390456195E-4</v>
      </c>
      <c r="H361" s="850">
        <f t="shared" si="171"/>
        <v>0.14203507669344223</v>
      </c>
      <c r="I361" s="859">
        <v>324092.39</v>
      </c>
      <c r="J361" s="852">
        <v>300000</v>
      </c>
      <c r="K361" s="852">
        <f t="shared" si="172"/>
        <v>-803.76000000000931</v>
      </c>
      <c r="L361" s="814">
        <f t="shared" si="155"/>
        <v>-2.4738981979318909E-3</v>
      </c>
      <c r="M361" s="861">
        <f t="shared" si="163"/>
        <v>24092.390000000014</v>
      </c>
      <c r="N361" s="854">
        <f t="shared" si="169"/>
        <v>8.0307966666666716E-2</v>
      </c>
      <c r="O361" s="808">
        <f t="shared" si="159"/>
        <v>5.3428934107468157E-2</v>
      </c>
      <c r="P361" s="853" t="b">
        <f t="shared" si="173"/>
        <v>0</v>
      </c>
      <c r="Q361" s="854">
        <f>COUNTIF(P$2:P361, TRUE)/(COUNTIF(P$2:P361,FALSE) + COUNTIF(P$2:P361, TRUE))</f>
        <v>0.4861111111111111</v>
      </c>
      <c r="R361" s="852">
        <v>276682.59999999998</v>
      </c>
      <c r="S361" s="852">
        <f t="shared" si="160"/>
        <v>47409.790000000037</v>
      </c>
      <c r="T361" s="852">
        <v>-27918</v>
      </c>
      <c r="U361" s="852">
        <f t="shared" si="168"/>
        <v>52010.390000000014</v>
      </c>
      <c r="V361" s="854">
        <f>STDEV(D$2:D361)*SQRT(252)</f>
        <v>0.15887942855924012</v>
      </c>
      <c r="W361" s="854">
        <f>STDEV(L$2:L361)*SQRT(252)</f>
        <v>0.34464640532598995</v>
      </c>
      <c r="X361" s="823">
        <f t="shared" si="164"/>
        <v>0.48753133117340131</v>
      </c>
      <c r="Y361" s="823">
        <f t="shared" si="165"/>
        <v>0.15502536304399125</v>
      </c>
      <c r="Z361" s="829">
        <f t="shared" si="166"/>
        <v>-3.6118661441626385E-2</v>
      </c>
    </row>
    <row r="362" spans="1:26" ht="20.100000000000001" customHeight="1" x14ac:dyDescent="0.2">
      <c r="A362" s="798">
        <f t="shared" si="154"/>
        <v>550</v>
      </c>
      <c r="B362" s="846">
        <v>42783</v>
      </c>
      <c r="C362" s="857">
        <v>2351.16</v>
      </c>
      <c r="D362" s="814">
        <f t="shared" si="167"/>
        <v>1.6785814708463864E-3</v>
      </c>
      <c r="E362" s="848">
        <f t="shared" ref="E362:E425" si="175">(C362-$C$2)/$C$2</f>
        <v>0.11830064115979519</v>
      </c>
      <c r="F362" s="849">
        <v>5838.57</v>
      </c>
      <c r="G362" s="814">
        <f t="shared" si="174"/>
        <v>4.0705773100139422E-3</v>
      </c>
      <c r="H362" s="850">
        <f t="shared" ref="H362:H393" si="176">(F362-F$2)/F$2</f>
        <v>0.1466838187638706</v>
      </c>
      <c r="I362" s="859">
        <v>324795.14</v>
      </c>
      <c r="J362" s="852">
        <v>300000</v>
      </c>
      <c r="K362" s="852">
        <f t="shared" ref="K362:K393" si="177">I362-I361-J362+J361</f>
        <v>702.75</v>
      </c>
      <c r="L362" s="814">
        <f t="shared" si="155"/>
        <v>2.1683631633559798E-3</v>
      </c>
      <c r="M362" s="861">
        <f t="shared" ref="M362:M425" si="178">I362-J362</f>
        <v>24795.140000000014</v>
      </c>
      <c r="N362" s="854">
        <f t="shared" ref="N362:N378" si="179">M362/J362</f>
        <v>8.2650466666666714E-2</v>
      </c>
      <c r="O362" s="808">
        <f t="shared" si="159"/>
        <v>5.4887423545454575E-2</v>
      </c>
      <c r="P362" s="853" t="b">
        <f t="shared" ref="P362:P425" si="180">L362&gt;D362</f>
        <v>1</v>
      </c>
      <c r="Q362" s="854">
        <f>COUNTIF(P$2:P362, TRUE)/(COUNTIF(P$2:P362,FALSE) + COUNTIF(P$2:P362, TRUE))</f>
        <v>0.48753462603878117</v>
      </c>
      <c r="R362" s="852">
        <v>278866.34999999998</v>
      </c>
      <c r="S362" s="852">
        <f t="shared" ref="S362:S393" si="181">I362-R362</f>
        <v>45928.790000000037</v>
      </c>
      <c r="T362" s="852">
        <v>-28366</v>
      </c>
      <c r="U362" s="852">
        <f t="shared" ref="U362:U393" si="182">M362-T362</f>
        <v>53161.140000000014</v>
      </c>
      <c r="V362" s="854">
        <f>STDEV(D$2:D362)*SQRT(252)</f>
        <v>0.15866184861852722</v>
      </c>
      <c r="W362" s="854">
        <f>STDEV(L$2:L362)*SQRT(252)</f>
        <v>0.34416833184520351</v>
      </c>
      <c r="X362" s="823">
        <f t="shared" si="164"/>
        <v>0.49515608835955494</v>
      </c>
      <c r="Y362" s="823">
        <f t="shared" si="165"/>
        <v>0.15947842513918822</v>
      </c>
      <c r="Z362" s="829">
        <f t="shared" si="166"/>
        <v>-3.5650174493128475E-2</v>
      </c>
    </row>
    <row r="363" spans="1:26" ht="20.100000000000001" customHeight="1" x14ac:dyDescent="0.2">
      <c r="A363" s="798">
        <f t="shared" si="154"/>
        <v>554</v>
      </c>
      <c r="B363" s="817">
        <v>42787</v>
      </c>
      <c r="C363" s="842">
        <v>2365.38</v>
      </c>
      <c r="D363" s="814">
        <f t="shared" si="167"/>
        <v>6.048078395345385E-3</v>
      </c>
      <c r="E363" s="841">
        <f t="shared" si="175"/>
        <v>0.12506421110709465</v>
      </c>
      <c r="F363" s="838">
        <v>5865.94</v>
      </c>
      <c r="G363" s="814">
        <f t="shared" si="174"/>
        <v>4.6877917024202662E-3</v>
      </c>
      <c r="H363" s="819">
        <f t="shared" si="176"/>
        <v>0.15205923365477145</v>
      </c>
      <c r="I363" s="821">
        <v>327591.99</v>
      </c>
      <c r="J363" s="822">
        <v>300000</v>
      </c>
      <c r="K363" s="822">
        <f t="shared" si="177"/>
        <v>2796.8499999999767</v>
      </c>
      <c r="L363" s="814">
        <f t="shared" si="155"/>
        <v>8.6111202279688555E-3</v>
      </c>
      <c r="M363" s="839">
        <f t="shared" si="178"/>
        <v>27591.989999999991</v>
      </c>
      <c r="N363" s="824">
        <f t="shared" si="179"/>
        <v>9.1973299999999966E-2</v>
      </c>
      <c r="O363" s="808">
        <f t="shared" si="159"/>
        <v>6.0637631453068573E-2</v>
      </c>
      <c r="P363" s="839" t="b">
        <f t="shared" si="180"/>
        <v>1</v>
      </c>
      <c r="Q363" s="824">
        <f>COUNTIF(P$2:P363, TRUE)/(COUNTIF(P$2:P363,FALSE) + COUNTIF(P$2:P363, TRUE))</f>
        <v>0.4889502762430939</v>
      </c>
      <c r="R363" s="822">
        <v>277216.90000000002</v>
      </c>
      <c r="S363" s="822">
        <f t="shared" si="181"/>
        <v>50375.089999999967</v>
      </c>
      <c r="T363" s="822">
        <v>-27825</v>
      </c>
      <c r="U363" s="822">
        <f t="shared" si="182"/>
        <v>55416.989999999991</v>
      </c>
      <c r="V363" s="824">
        <f>STDEV(D$2:D363)*SQRT(252)</f>
        <v>0.15851258059839493</v>
      </c>
      <c r="W363" s="824">
        <f>STDEV(L$2:L363)*SQRT(252)</f>
        <v>0.34375388760818432</v>
      </c>
      <c r="X363" s="823">
        <f t="shared" si="164"/>
        <v>0.52017535407445614</v>
      </c>
      <c r="Y363" s="823">
        <f t="shared" si="165"/>
        <v>0.17639838744801115</v>
      </c>
      <c r="Z363" s="829">
        <f t="shared" si="166"/>
        <v>-3.3090911107094681E-2</v>
      </c>
    </row>
    <row r="364" spans="1:26" ht="20.100000000000001" customHeight="1" x14ac:dyDescent="0.2">
      <c r="A364" s="798">
        <f t="shared" si="154"/>
        <v>555</v>
      </c>
      <c r="B364" s="817">
        <v>42788</v>
      </c>
      <c r="C364" s="842">
        <v>2362.8200000000002</v>
      </c>
      <c r="D364" s="814">
        <f>(C364-C363)/C363</f>
        <v>-1.0822785345271986E-3</v>
      </c>
      <c r="E364" s="841">
        <f t="shared" si="175"/>
        <v>0.12384657826144865</v>
      </c>
      <c r="F364" s="838">
        <v>5860.62</v>
      </c>
      <c r="G364" s="814">
        <f t="shared" si="174"/>
        <v>-9.069305175299627E-4</v>
      </c>
      <c r="H364" s="819">
        <f t="shared" si="176"/>
        <v>0.15101439597776775</v>
      </c>
      <c r="I364" s="821">
        <v>323529.21999999997</v>
      </c>
      <c r="J364" s="822">
        <v>300000</v>
      </c>
      <c r="K364" s="822">
        <f t="shared" si="177"/>
        <v>-4062.7700000000186</v>
      </c>
      <c r="L364" s="814">
        <f t="shared" si="155"/>
        <v>-1.2401921060402053E-2</v>
      </c>
      <c r="M364" s="839">
        <f t="shared" si="178"/>
        <v>23529.219999999972</v>
      </c>
      <c r="N364" s="824">
        <f t="shared" si="179"/>
        <v>7.8430733333333238E-2</v>
      </c>
      <c r="O364" s="808">
        <f t="shared" si="159"/>
        <v>5.1615901531531463E-2</v>
      </c>
      <c r="P364" s="839" t="b">
        <f t="shared" si="180"/>
        <v>0</v>
      </c>
      <c r="Q364" s="824">
        <f>COUNTIF(P$2:P364, TRUE)/(COUNTIF(P$2:P364,FALSE) + COUNTIF(P$2:P364, TRUE))</f>
        <v>0.48760330578512395</v>
      </c>
      <c r="R364" s="822">
        <v>282939</v>
      </c>
      <c r="S364" s="822">
        <f t="shared" si="181"/>
        <v>40590.219999999972</v>
      </c>
      <c r="T364" s="822">
        <v>-27755</v>
      </c>
      <c r="U364" s="822">
        <f t="shared" si="182"/>
        <v>51284.219999999972</v>
      </c>
      <c r="V364" s="824">
        <f>STDEV(D$2:D364)*SQRT(252)</f>
        <v>0.15829755838348511</v>
      </c>
      <c r="W364" s="824">
        <f>STDEV(L$2:L364)*SQRT(252)</f>
        <v>0.34345146520795911</v>
      </c>
      <c r="X364" s="823">
        <f t="shared" si="164"/>
        <v>0.51488120314436836</v>
      </c>
      <c r="Y364" s="823">
        <f t="shared" si="165"/>
        <v>0.15028586790357162</v>
      </c>
      <c r="Z364" s="829">
        <f t="shared" si="166"/>
        <v>-4.5415844928115415E-2</v>
      </c>
    </row>
    <row r="365" spans="1:26" ht="20.100000000000001" customHeight="1" x14ac:dyDescent="0.2">
      <c r="A365" s="798">
        <f t="shared" si="154"/>
        <v>556</v>
      </c>
      <c r="B365" s="817">
        <v>42789</v>
      </c>
      <c r="C365" s="842">
        <v>2363.81</v>
      </c>
      <c r="D365" s="814">
        <f>(C365-C364)/C364</f>
        <v>4.1899086684545658E-4</v>
      </c>
      <c r="E365" s="841">
        <f t="shared" si="175"/>
        <v>0.12431745971347571</v>
      </c>
      <c r="F365" s="838">
        <v>5835.5</v>
      </c>
      <c r="G365" s="814">
        <f t="shared" si="174"/>
        <v>-4.2862359272568245E-3</v>
      </c>
      <c r="H365" s="819">
        <f t="shared" si="176"/>
        <v>0.14608087672093803</v>
      </c>
      <c r="I365" s="821">
        <v>324343.32</v>
      </c>
      <c r="J365" s="822">
        <v>300000</v>
      </c>
      <c r="K365" s="822">
        <f t="shared" si="177"/>
        <v>814.10000000003492</v>
      </c>
      <c r="L365" s="814">
        <f t="shared" si="155"/>
        <v>2.5163105823951077E-3</v>
      </c>
      <c r="M365" s="839">
        <f t="shared" si="178"/>
        <v>24343.320000000007</v>
      </c>
      <c r="N365" s="824">
        <f t="shared" si="179"/>
        <v>8.1144400000000019E-2</v>
      </c>
      <c r="O365" s="808">
        <f t="shared" si="159"/>
        <v>5.3305741187050372E-2</v>
      </c>
      <c r="P365" s="839" t="b">
        <f t="shared" si="180"/>
        <v>1</v>
      </c>
      <c r="Q365" s="824">
        <f>COUNTIF(P$2:P365, TRUE)/(COUNTIF(P$2:P365,FALSE) + COUNTIF(P$2:P365, TRUE))</f>
        <v>0.48901098901098899</v>
      </c>
      <c r="R365" s="822">
        <v>285337.09999999998</v>
      </c>
      <c r="S365" s="822">
        <f t="shared" si="181"/>
        <v>39006.22000000003</v>
      </c>
      <c r="T365" s="822">
        <v>-27553</v>
      </c>
      <c r="U365" s="822">
        <f t="shared" si="182"/>
        <v>51896.320000000007</v>
      </c>
      <c r="V365" s="824">
        <f>STDEV(D$2:D365)*SQRT(252)</f>
        <v>0.15807876897869375</v>
      </c>
      <c r="W365" s="824">
        <f>STDEV(L$2:L365)*SQRT(252)</f>
        <v>0.34298022830974206</v>
      </c>
      <c r="X365" s="823">
        <f t="shared" si="164"/>
        <v>0.51662333071126265</v>
      </c>
      <c r="Y365" s="823">
        <f t="shared" si="165"/>
        <v>0.15541928305823646</v>
      </c>
      <c r="Z365" s="829">
        <f t="shared" si="166"/>
        <v>-4.3173059713475695E-2</v>
      </c>
    </row>
    <row r="366" spans="1:26" ht="20.100000000000001" customHeight="1" x14ac:dyDescent="0.2">
      <c r="A366" s="798">
        <f t="shared" si="154"/>
        <v>557</v>
      </c>
      <c r="B366" s="817">
        <v>42790</v>
      </c>
      <c r="C366" s="842">
        <v>2367.34</v>
      </c>
      <c r="D366" s="814">
        <f>(C366-C365)/C365</f>
        <v>1.4933518345383937E-3</v>
      </c>
      <c r="E366" s="841">
        <f t="shared" si="175"/>
        <v>0.12599646125454239</v>
      </c>
      <c r="F366" s="838">
        <v>5845.3</v>
      </c>
      <c r="G366" s="814">
        <f t="shared" si="174"/>
        <v>1.6793762316854052E-3</v>
      </c>
      <c r="H366" s="819">
        <f t="shared" si="176"/>
        <v>0.14800557770489237</v>
      </c>
      <c r="I366" s="821">
        <v>322787.92</v>
      </c>
      <c r="J366" s="822">
        <v>300000</v>
      </c>
      <c r="K366" s="822">
        <f t="shared" si="177"/>
        <v>-1555.4000000000233</v>
      </c>
      <c r="L366" s="814">
        <f t="shared" si="155"/>
        <v>-4.7955357921353929E-3</v>
      </c>
      <c r="M366" s="839">
        <f t="shared" si="178"/>
        <v>22787.919999999984</v>
      </c>
      <c r="N366" s="824">
        <f t="shared" si="179"/>
        <v>7.5959733333333279E-2</v>
      </c>
      <c r="O366" s="808">
        <f t="shared" si="159"/>
        <v>4.9810220107719891E-2</v>
      </c>
      <c r="P366" s="839" t="b">
        <f t="shared" si="180"/>
        <v>0</v>
      </c>
      <c r="Q366" s="824">
        <f>COUNTIF(P$2:P366, TRUE)/(COUNTIF(P$2:P366,FALSE) + COUNTIF(P$2:P366, TRUE))</f>
        <v>0.48767123287671232</v>
      </c>
      <c r="R366" s="822">
        <v>281387.75</v>
      </c>
      <c r="S366" s="822">
        <f t="shared" si="181"/>
        <v>41400.169999999984</v>
      </c>
      <c r="T366" s="822">
        <v>-27481</v>
      </c>
      <c r="U366" s="822">
        <f t="shared" si="182"/>
        <v>50268.919999999984</v>
      </c>
      <c r="V366" s="824">
        <f>STDEV(D$2:D366)*SQRT(252)</f>
        <v>0.1578636357935907</v>
      </c>
      <c r="W366" s="824">
        <f>STDEV(L$2:L366)*SQRT(252)</f>
        <v>0.34253765890970073</v>
      </c>
      <c r="X366" s="823">
        <f t="shared" si="164"/>
        <v>0.52337295405118689</v>
      </c>
      <c r="Y366" s="823">
        <f t="shared" si="165"/>
        <v>0.1454153107318655</v>
      </c>
      <c r="Z366" s="829">
        <f t="shared" si="166"/>
        <v>-5.0036727921209112E-2</v>
      </c>
    </row>
    <row r="367" spans="1:26" ht="20.100000000000001" customHeight="1" x14ac:dyDescent="0.2">
      <c r="A367" s="798">
        <f t="shared" si="154"/>
        <v>560</v>
      </c>
      <c r="B367" s="846">
        <v>42793</v>
      </c>
      <c r="C367" s="857">
        <v>2369.75</v>
      </c>
      <c r="D367" s="814">
        <f>(C367-C366)/C366</f>
        <v>1.0180202252316332E-3</v>
      </c>
      <c r="E367" s="848">
        <f t="shared" si="175"/>
        <v>0.12714274842563875</v>
      </c>
      <c r="F367" s="849">
        <v>5861.89</v>
      </c>
      <c r="G367" s="814">
        <f t="shared" si="174"/>
        <v>2.8381776812139918E-3</v>
      </c>
      <c r="H367" s="850">
        <f t="shared" si="176"/>
        <v>0.15126382151344356</v>
      </c>
      <c r="I367" s="859">
        <v>323797.27</v>
      </c>
      <c r="J367" s="852">
        <v>300000</v>
      </c>
      <c r="K367" s="852">
        <f t="shared" si="177"/>
        <v>1009.3500000000349</v>
      </c>
      <c r="L367" s="814">
        <f t="shared" si="155"/>
        <v>3.126975755474477E-3</v>
      </c>
      <c r="M367" s="861">
        <f t="shared" si="178"/>
        <v>23797.270000000019</v>
      </c>
      <c r="N367" s="854">
        <f t="shared" si="179"/>
        <v>7.9324233333333397E-2</v>
      </c>
      <c r="O367" s="808">
        <f t="shared" si="159"/>
        <v>5.1737814687500043E-2</v>
      </c>
      <c r="P367" s="853" t="b">
        <f t="shared" si="180"/>
        <v>1</v>
      </c>
      <c r="Q367" s="854">
        <f>COUNTIF(P$2:P367, TRUE)/(COUNTIF(P$2:P367,FALSE) + COUNTIF(P$2:P367, TRUE))</f>
        <v>0.48907103825136611</v>
      </c>
      <c r="R367" s="852">
        <v>291059.09999999998</v>
      </c>
      <c r="S367" s="852">
        <f t="shared" si="181"/>
        <v>32738.170000000042</v>
      </c>
      <c r="T367" s="852">
        <v>-27481</v>
      </c>
      <c r="U367" s="852">
        <f t="shared" si="182"/>
        <v>51278.270000000019</v>
      </c>
      <c r="V367" s="854">
        <f>STDEV(D$2:D367)*SQRT(252)</f>
        <v>0.15764754565745331</v>
      </c>
      <c r="W367" s="854">
        <f>STDEV(L$2:L367)*SQRT(252)</f>
        <v>0.34207298681396164</v>
      </c>
      <c r="X367" s="823">
        <f t="shared" si="164"/>
        <v>0.52602523501754472</v>
      </c>
      <c r="Y367" s="823">
        <f t="shared" si="165"/>
        <v>0.15124788183183244</v>
      </c>
      <c r="Z367" s="829">
        <f t="shared" si="166"/>
        <v>-4.781851509230535E-2</v>
      </c>
    </row>
    <row r="368" spans="1:26" ht="20.100000000000001" customHeight="1" x14ac:dyDescent="0.2">
      <c r="A368" s="798">
        <f t="shared" si="154"/>
        <v>561</v>
      </c>
      <c r="B368" s="846">
        <v>42794</v>
      </c>
      <c r="C368" s="857">
        <v>2363.64</v>
      </c>
      <c r="D368" s="814">
        <f>(C368-C367)/C367</f>
        <v>-2.5783310475789123E-3</v>
      </c>
      <c r="E368" s="848">
        <f t="shared" si="175"/>
        <v>0.1242366012823195</v>
      </c>
      <c r="F368" s="849">
        <v>5825.43</v>
      </c>
      <c r="G368" s="814">
        <f>(F368-F367)/F367</f>
        <v>-6.2198369467867934E-3</v>
      </c>
      <c r="H368" s="850">
        <f t="shared" si="176"/>
        <v>0.14410314826089529</v>
      </c>
      <c r="I368" s="862">
        <v>320573.07</v>
      </c>
      <c r="J368" s="852">
        <v>300000</v>
      </c>
      <c r="K368" s="852">
        <f t="shared" si="177"/>
        <v>-3224.2000000000116</v>
      </c>
      <c r="L368" s="814">
        <f t="shared" si="155"/>
        <v>-9.9574650521297211E-3</v>
      </c>
      <c r="M368" s="856">
        <f t="shared" si="178"/>
        <v>20573.070000000007</v>
      </c>
      <c r="N368" s="854">
        <f t="shared" si="179"/>
        <v>6.8576900000000024E-2</v>
      </c>
      <c r="O368" s="808">
        <f t="shared" si="159"/>
        <v>4.4648329278074883E-2</v>
      </c>
      <c r="P368" s="853" t="b">
        <f t="shared" si="180"/>
        <v>0</v>
      </c>
      <c r="Q368" s="854">
        <f>COUNTIF(P$2:P368, TRUE)/(COUNTIF(P$2:P368,FALSE) + COUNTIF(P$2:P368, TRUE))</f>
        <v>0.4877384196185286</v>
      </c>
      <c r="R368" s="852">
        <v>291060.09999999998</v>
      </c>
      <c r="S368" s="852">
        <f t="shared" si="181"/>
        <v>29512.97000000003</v>
      </c>
      <c r="T368" s="852">
        <v>-28947</v>
      </c>
      <c r="U368" s="852">
        <f t="shared" si="182"/>
        <v>49520.070000000007</v>
      </c>
      <c r="V368" s="854">
        <f>STDEV(D$2:D368)*SQRT(252)</f>
        <v>0.15745054015923535</v>
      </c>
      <c r="W368" s="854">
        <f>STDEV(L$2:L368)*SQRT(252)</f>
        <v>0.34171768375155076</v>
      </c>
      <c r="X368" s="823">
        <f t="shared" si="164"/>
        <v>0.51372744813742488</v>
      </c>
      <c r="Y368" s="823">
        <f t="shared" si="165"/>
        <v>0.13065852720263929</v>
      </c>
      <c r="Z368" s="829">
        <f t="shared" si="166"/>
        <v>-5.5659701282319479E-2</v>
      </c>
    </row>
    <row r="369" spans="1:26" ht="20.100000000000001" customHeight="1" x14ac:dyDescent="0.2">
      <c r="A369" s="798">
        <f t="shared" si="154"/>
        <v>562</v>
      </c>
      <c r="B369" s="846">
        <v>42795</v>
      </c>
      <c r="C369" s="857">
        <v>2395.96</v>
      </c>
      <c r="D369" s="814">
        <f t="shared" ref="D369:D377" si="183">(C369-C368)/C368</f>
        <v>1.3673825117192197E-2</v>
      </c>
      <c r="E369" s="848">
        <f t="shared" si="175"/>
        <v>0.13960921595860046</v>
      </c>
      <c r="F369" s="849">
        <v>5904.02</v>
      </c>
      <c r="G369" s="814">
        <f t="shared" ref="G369:G382" si="184">(F369-F368)/F368</f>
        <v>1.3490849602518637E-2</v>
      </c>
      <c r="H369" s="850">
        <f t="shared" si="176"/>
        <v>0.1595380717638511</v>
      </c>
      <c r="I369" s="859">
        <v>325744.14</v>
      </c>
      <c r="J369" s="852">
        <v>300000</v>
      </c>
      <c r="K369" s="852">
        <f t="shared" si="177"/>
        <v>5171.070000000007</v>
      </c>
      <c r="L369" s="814">
        <f t="shared" si="155"/>
        <v>1.613070617566225E-2</v>
      </c>
      <c r="M369" s="861">
        <f t="shared" si="178"/>
        <v>25744.140000000014</v>
      </c>
      <c r="N369" s="854">
        <f t="shared" si="179"/>
        <v>8.5813800000000051E-2</v>
      </c>
      <c r="O369" s="808">
        <f t="shared" si="159"/>
        <v>5.5771335320284728E-2</v>
      </c>
      <c r="P369" s="853" t="b">
        <f t="shared" si="180"/>
        <v>1</v>
      </c>
      <c r="Q369" s="854">
        <f>COUNTIF(P$2:P369, TRUE)/(COUNTIF(P$2:P369,FALSE) + COUNTIF(P$2:P369, TRUE))</f>
        <v>0.4891304347826087</v>
      </c>
      <c r="R369" s="852">
        <v>291563.05</v>
      </c>
      <c r="S369" s="852">
        <f t="shared" si="181"/>
        <v>34181.090000000026</v>
      </c>
      <c r="T369" s="852">
        <v>-28845</v>
      </c>
      <c r="U369" s="852">
        <f t="shared" si="182"/>
        <v>54589.140000000014</v>
      </c>
      <c r="V369" s="854">
        <f>STDEV(D$2:D369)*SQRT(252)</f>
        <v>0.15762134629623176</v>
      </c>
      <c r="W369" s="854">
        <f>STDEV(L$2:L369)*SQRT(252)</f>
        <v>0.34149211977878058</v>
      </c>
      <c r="X369" s="823">
        <f t="shared" si="164"/>
        <v>0.57564265092505862</v>
      </c>
      <c r="Y369" s="823">
        <f t="shared" si="165"/>
        <v>0.16331660993059965</v>
      </c>
      <c r="Z369" s="829">
        <f t="shared" si="166"/>
        <v>-5.3795415958600407E-2</v>
      </c>
    </row>
    <row r="370" spans="1:26" ht="20.100000000000001" customHeight="1" x14ac:dyDescent="0.2">
      <c r="A370" s="798">
        <f t="shared" si="154"/>
        <v>563</v>
      </c>
      <c r="B370" s="846">
        <v>42796</v>
      </c>
      <c r="C370" s="857">
        <v>2381.92</v>
      </c>
      <c r="D370" s="814">
        <f t="shared" si="183"/>
        <v>-5.8598641045760208E-3</v>
      </c>
      <c r="E370" s="848">
        <f t="shared" si="175"/>
        <v>0.13293126082076065</v>
      </c>
      <c r="F370" s="849">
        <v>5861.22</v>
      </c>
      <c r="G370" s="814">
        <f t="shared" si="184"/>
        <v>-7.2492979359826317E-3</v>
      </c>
      <c r="H370" s="850">
        <f t="shared" si="176"/>
        <v>0.15113223481352014</v>
      </c>
      <c r="I370" s="859">
        <v>374005.77</v>
      </c>
      <c r="J370" s="852">
        <v>350000</v>
      </c>
      <c r="K370" s="852">
        <f t="shared" si="177"/>
        <v>-1738.3699999999953</v>
      </c>
      <c r="L370" s="814">
        <f t="shared" si="155"/>
        <v>-5.3366117345963471E-3</v>
      </c>
      <c r="M370" s="861">
        <f t="shared" si="178"/>
        <v>24005.770000000019</v>
      </c>
      <c r="N370" s="854">
        <f t="shared" si="179"/>
        <v>6.8587914285714341E-2</v>
      </c>
      <c r="O370" s="808">
        <f t="shared" si="159"/>
        <v>4.4496866239533146E-2</v>
      </c>
      <c r="P370" s="853" t="b">
        <f t="shared" si="180"/>
        <v>1</v>
      </c>
      <c r="Q370" s="854">
        <f>COUNTIF(P$2:P370, TRUE)/(COUNTIF(P$2:P370,FALSE) + COUNTIF(P$2:P370, TRUE))</f>
        <v>0.49051490514905149</v>
      </c>
      <c r="R370" s="852">
        <v>304393.15000000002</v>
      </c>
      <c r="S370" s="852">
        <f t="shared" si="181"/>
        <v>69612.62</v>
      </c>
      <c r="T370" s="852">
        <v>-27836</v>
      </c>
      <c r="U370" s="852">
        <f t="shared" si="182"/>
        <v>51841.770000000019</v>
      </c>
      <c r="V370" s="854">
        <f>STDEV(D$2:D370)*SQRT(252)</f>
        <v>0.15749181284138711</v>
      </c>
      <c r="W370" s="854">
        <f>STDEV(L$2:L370)*SQRT(252)</f>
        <v>0.34106282769709534</v>
      </c>
      <c r="X370" s="823">
        <f t="shared" si="164"/>
        <v>0.54758427960751621</v>
      </c>
      <c r="Y370" s="823">
        <f t="shared" si="165"/>
        <v>0.1304653061724208</v>
      </c>
      <c r="Z370" s="829">
        <f t="shared" si="166"/>
        <v>-6.4343346535046309E-2</v>
      </c>
    </row>
    <row r="371" spans="1:26" ht="20.100000000000001" customHeight="1" x14ac:dyDescent="0.2">
      <c r="A371" s="798">
        <f t="shared" si="154"/>
        <v>564</v>
      </c>
      <c r="B371" s="846">
        <v>42797</v>
      </c>
      <c r="C371" s="857">
        <v>2383.12</v>
      </c>
      <c r="D371" s="814">
        <f t="shared" si="183"/>
        <v>5.0379525760723201E-4</v>
      </c>
      <c r="E371" s="848">
        <f t="shared" si="175"/>
        <v>0.13350202621715712</v>
      </c>
      <c r="F371" s="849">
        <v>5870.75</v>
      </c>
      <c r="G371" s="814">
        <f t="shared" si="184"/>
        <v>1.6259413569188232E-3</v>
      </c>
      <c r="H371" s="850">
        <f t="shared" si="176"/>
        <v>0.15300390832138583</v>
      </c>
      <c r="I371" s="859">
        <v>372756.96</v>
      </c>
      <c r="J371" s="852">
        <v>350000</v>
      </c>
      <c r="K371" s="852">
        <f t="shared" si="177"/>
        <v>-1248.8099999999977</v>
      </c>
      <c r="L371" s="814">
        <f t="shared" si="155"/>
        <v>-3.3390126574785132E-3</v>
      </c>
      <c r="M371" s="861">
        <f t="shared" si="178"/>
        <v>22756.960000000021</v>
      </c>
      <c r="N371" s="854">
        <f t="shared" si="179"/>
        <v>6.5019885714285769E-2</v>
      </c>
      <c r="O371" s="808">
        <f t="shared" si="159"/>
        <v>4.2107293009118578E-2</v>
      </c>
      <c r="P371" s="853" t="b">
        <f t="shared" si="180"/>
        <v>0</v>
      </c>
      <c r="Q371" s="854">
        <f>COUNTIF(P$2:P371, TRUE)/(COUNTIF(P$2:P371,FALSE) + COUNTIF(P$2:P371, TRUE))</f>
        <v>0.48918918918918919</v>
      </c>
      <c r="R371" s="852">
        <v>303942.95</v>
      </c>
      <c r="S371" s="852">
        <f t="shared" si="181"/>
        <v>68814.010000000009</v>
      </c>
      <c r="T371" s="852">
        <v>-28592</v>
      </c>
      <c r="U371" s="852">
        <f t="shared" si="182"/>
        <v>51348.960000000021</v>
      </c>
      <c r="V371" s="854">
        <f>STDEV(D$2:D371)*SQRT(252)</f>
        <v>0.15727771285381495</v>
      </c>
      <c r="W371" s="854">
        <f>STDEV(L$2:L371)*SQRT(252)</f>
        <v>0.34061512766334867</v>
      </c>
      <c r="X371" s="823">
        <f t="shared" si="164"/>
        <v>0.54970766518701131</v>
      </c>
      <c r="Y371" s="823">
        <f t="shared" si="165"/>
        <v>0.12362132386185695</v>
      </c>
      <c r="Z371" s="829">
        <f t="shared" si="166"/>
        <v>-6.8482140502871353E-2</v>
      </c>
    </row>
    <row r="372" spans="1:26" ht="20.100000000000001" customHeight="1" x14ac:dyDescent="0.2">
      <c r="A372" s="798">
        <f t="shared" si="154"/>
        <v>567</v>
      </c>
      <c r="B372" s="817">
        <v>42800</v>
      </c>
      <c r="C372" s="842">
        <v>2375.31</v>
      </c>
      <c r="D372" s="814">
        <f t="shared" si="183"/>
        <v>-3.2772164221692344E-3</v>
      </c>
      <c r="E372" s="841">
        <f t="shared" si="175"/>
        <v>0.12978729476227616</v>
      </c>
      <c r="F372" s="838">
        <v>5849.17</v>
      </c>
      <c r="G372" s="814">
        <f t="shared" si="184"/>
        <v>-3.6758506153387431E-3</v>
      </c>
      <c r="H372" s="819">
        <f t="shared" si="176"/>
        <v>0.14876563819549468</v>
      </c>
      <c r="I372" s="821">
        <v>373390.96</v>
      </c>
      <c r="J372" s="822">
        <v>350000</v>
      </c>
      <c r="K372" s="822">
        <f t="shared" si="177"/>
        <v>634</v>
      </c>
      <c r="L372" s="814">
        <f t="shared" si="155"/>
        <v>1.7008401399131487E-3</v>
      </c>
      <c r="M372" s="839">
        <f t="shared" si="178"/>
        <v>23390.960000000021</v>
      </c>
      <c r="N372" s="824">
        <f t="shared" si="179"/>
        <v>6.6831314285714344E-2</v>
      </c>
      <c r="O372" s="808">
        <f t="shared" si="159"/>
        <v>4.3051388964474718E-2</v>
      </c>
      <c r="P372" s="839" t="b">
        <f t="shared" si="180"/>
        <v>1</v>
      </c>
      <c r="Q372" s="824">
        <f>COUNTIF(P$2:P372, TRUE)/(COUNTIF(P$2:P372,FALSE) + COUNTIF(P$2:P372, TRUE))</f>
        <v>0.49056603773584906</v>
      </c>
      <c r="R372" s="822">
        <v>304576.95</v>
      </c>
      <c r="S372" s="822">
        <f t="shared" si="181"/>
        <v>68814.010000000009</v>
      </c>
      <c r="T372" s="822">
        <v>-29562</v>
      </c>
      <c r="U372" s="822">
        <f t="shared" si="182"/>
        <v>52952.960000000021</v>
      </c>
      <c r="V372" s="824">
        <f>STDEV(D$2:D372)*SQRT(252)</f>
        <v>0.15709358659899947</v>
      </c>
      <c r="W372" s="824">
        <f>STDEV(L$2:L372)*SQRT(252)</f>
        <v>0.34015438804580067</v>
      </c>
      <c r="X372" s="823">
        <f t="shared" si="164"/>
        <v>0.53220737788152506</v>
      </c>
      <c r="Y372" s="823">
        <f t="shared" si="165"/>
        <v>0.12656426163368498</v>
      </c>
      <c r="Z372" s="829">
        <f t="shared" si="166"/>
        <v>-6.2955980476561813E-2</v>
      </c>
    </row>
    <row r="373" spans="1:26" ht="20.100000000000001" customHeight="1" x14ac:dyDescent="0.2">
      <c r="A373" s="798">
        <f t="shared" si="154"/>
        <v>568</v>
      </c>
      <c r="B373" s="817">
        <v>42801</v>
      </c>
      <c r="C373" s="842">
        <v>2368.39</v>
      </c>
      <c r="D373" s="814">
        <f t="shared" si="183"/>
        <v>-2.9133039476952789E-3</v>
      </c>
      <c r="E373" s="841">
        <f t="shared" si="175"/>
        <v>0.12649588097638925</v>
      </c>
      <c r="F373" s="838">
        <v>5833.92</v>
      </c>
      <c r="G373" s="814">
        <f t="shared" si="184"/>
        <v>-2.6072075183316609E-3</v>
      </c>
      <c r="H373" s="819">
        <f t="shared" si="176"/>
        <v>0.14577056778679032</v>
      </c>
      <c r="I373" s="821">
        <v>368594.91</v>
      </c>
      <c r="J373" s="822">
        <v>350000</v>
      </c>
      <c r="K373" s="822">
        <f t="shared" si="177"/>
        <v>-4796.0500000000466</v>
      </c>
      <c r="L373" s="814">
        <f t="shared" si="155"/>
        <v>-1.2844579847353686E-2</v>
      </c>
      <c r="M373" s="839">
        <f t="shared" si="178"/>
        <v>18594.909999999974</v>
      </c>
      <c r="N373" s="824">
        <f t="shared" si="179"/>
        <v>5.3128314285714212E-2</v>
      </c>
      <c r="O373" s="808">
        <f t="shared" si="159"/>
        <v>3.416393801559351E-2</v>
      </c>
      <c r="P373" s="839" t="b">
        <f t="shared" si="180"/>
        <v>0</v>
      </c>
      <c r="Q373" s="824">
        <f>COUNTIF(P$2:P373, TRUE)/(COUNTIF(P$2:P373,FALSE) + COUNTIF(P$2:P373, TRUE))</f>
        <v>0.489247311827957</v>
      </c>
      <c r="R373" s="822">
        <v>299780.90000000002</v>
      </c>
      <c r="S373" s="822">
        <f t="shared" si="181"/>
        <v>68814.009999999951</v>
      </c>
      <c r="T373" s="822">
        <v>-31802</v>
      </c>
      <c r="U373" s="822">
        <f t="shared" si="182"/>
        <v>50396.909999999974</v>
      </c>
      <c r="V373" s="824">
        <f>STDEV(D$2:D373)*SQRT(252)</f>
        <v>0.15690461195475305</v>
      </c>
      <c r="W373" s="824">
        <f>STDEV(L$2:L373)*SQRT(252)</f>
        <v>0.3398764241842348</v>
      </c>
      <c r="X373" s="823">
        <f t="shared" si="164"/>
        <v>0.51842097411187726</v>
      </c>
      <c r="Y373" s="823">
        <f t="shared" si="165"/>
        <v>0.10051870498988912</v>
      </c>
      <c r="Z373" s="829">
        <f t="shared" si="166"/>
        <v>-7.336756669067504E-2</v>
      </c>
    </row>
    <row r="374" spans="1:26" ht="20.100000000000001" customHeight="1" x14ac:dyDescent="0.2">
      <c r="A374" s="798">
        <f t="shared" si="154"/>
        <v>569</v>
      </c>
      <c r="B374" s="817">
        <v>42802</v>
      </c>
      <c r="C374" s="842">
        <v>2369.39</v>
      </c>
      <c r="D374" s="814">
        <f t="shared" si="183"/>
        <v>4.2222775809727285E-4</v>
      </c>
      <c r="E374" s="841">
        <f t="shared" si="175"/>
        <v>0.12697151880671972</v>
      </c>
      <c r="F374" s="838">
        <v>5834.92</v>
      </c>
      <c r="G374" s="814">
        <f t="shared" si="184"/>
        <v>1.7141133234600405E-4</v>
      </c>
      <c r="H374" s="819">
        <f t="shared" si="176"/>
        <v>0.1459669658463775</v>
      </c>
      <c r="I374" s="821">
        <v>359694.56</v>
      </c>
      <c r="J374" s="822">
        <v>350000</v>
      </c>
      <c r="K374" s="822">
        <f t="shared" si="177"/>
        <v>-8900.3499999999767</v>
      </c>
      <c r="L374" s="814">
        <f t="shared" si="155"/>
        <v>-2.4146698064821288E-2</v>
      </c>
      <c r="M374" s="839">
        <f t="shared" si="178"/>
        <v>9694.5599999999977</v>
      </c>
      <c r="N374" s="824">
        <f t="shared" si="179"/>
        <v>2.7698742857142852E-2</v>
      </c>
      <c r="O374" s="808">
        <f t="shared" si="159"/>
        <v>1.7780256289229218E-2</v>
      </c>
      <c r="P374" s="839" t="b">
        <f t="shared" si="180"/>
        <v>0</v>
      </c>
      <c r="Q374" s="824">
        <f>COUNTIF(P$2:P374, TRUE)/(COUNTIF(P$2:P374,FALSE) + COUNTIF(P$2:P374, TRUE))</f>
        <v>0.48793565683646112</v>
      </c>
      <c r="R374" s="822">
        <v>301406.55</v>
      </c>
      <c r="S374" s="822">
        <f t="shared" si="181"/>
        <v>58288.010000000009</v>
      </c>
      <c r="T374" s="822">
        <v>-32022</v>
      </c>
      <c r="U374" s="822">
        <f t="shared" si="182"/>
        <v>41716.559999999998</v>
      </c>
      <c r="V374" s="824">
        <f>STDEV(D$2:D374)*SQRT(252)</f>
        <v>0.1566930134881471</v>
      </c>
      <c r="W374" s="824">
        <f>STDEV(L$2:L374)*SQRT(252)</f>
        <v>0.34002930219024635</v>
      </c>
      <c r="X374" s="823">
        <f t="shared" si="164"/>
        <v>0.52015723055959784</v>
      </c>
      <c r="Y374" s="823">
        <f t="shared" si="165"/>
        <v>5.2290364902966999E-2</v>
      </c>
      <c r="Z374" s="829">
        <f t="shared" si="166"/>
        <v>-9.9272775949576869E-2</v>
      </c>
    </row>
    <row r="375" spans="1:26" ht="20.100000000000001" customHeight="1" x14ac:dyDescent="0.2">
      <c r="A375" s="798">
        <f t="shared" si="154"/>
        <v>570</v>
      </c>
      <c r="B375" s="817">
        <v>42803</v>
      </c>
      <c r="C375" s="842">
        <v>2364.87</v>
      </c>
      <c r="D375" s="814">
        <f t="shared" si="183"/>
        <v>-1.9076639979066267E-3</v>
      </c>
      <c r="E375" s="841">
        <f t="shared" si="175"/>
        <v>0.12482163581362599</v>
      </c>
      <c r="F375" s="838">
        <v>5838.8</v>
      </c>
      <c r="G375" s="814">
        <f t="shared" si="184"/>
        <v>6.6496198748228067E-4</v>
      </c>
      <c r="H375" s="819">
        <f t="shared" si="176"/>
        <v>0.14672899031757575</v>
      </c>
      <c r="I375" s="821">
        <v>368952.54</v>
      </c>
      <c r="J375" s="822">
        <v>350000</v>
      </c>
      <c r="K375" s="822">
        <f t="shared" si="177"/>
        <v>9257.9799999999814</v>
      </c>
      <c r="L375" s="814">
        <f t="shared" si="155"/>
        <v>2.573844875496583E-2</v>
      </c>
      <c r="M375" s="839">
        <f t="shared" si="178"/>
        <v>18952.539999999979</v>
      </c>
      <c r="N375" s="824">
        <f t="shared" si="179"/>
        <v>5.4150114285714229E-2</v>
      </c>
      <c r="O375" s="808">
        <f t="shared" si="159"/>
        <v>3.4698823233082668E-2</v>
      </c>
      <c r="P375" s="839" t="b">
        <f t="shared" si="180"/>
        <v>1</v>
      </c>
      <c r="Q375" s="824">
        <f>COUNTIF(P$2:P375, TRUE)/(COUNTIF(P$2:P375,FALSE) + COUNTIF(P$2:P375, TRUE))</f>
        <v>0.48930481283422461</v>
      </c>
      <c r="R375" s="822">
        <v>279646.25</v>
      </c>
      <c r="S375" s="822">
        <f t="shared" si="181"/>
        <v>89306.289999999979</v>
      </c>
      <c r="T375" s="822">
        <v>-32329</v>
      </c>
      <c r="U375" s="822">
        <f t="shared" si="182"/>
        <v>51281.539999999979</v>
      </c>
      <c r="V375" s="824">
        <f>STDEV(D$2:D375)*SQRT(252)</f>
        <v>0.15649345994634845</v>
      </c>
      <c r="W375" s="824">
        <f>STDEV(L$2:L375)*SQRT(252)</f>
        <v>0.34020267972894408</v>
      </c>
      <c r="X375" s="823">
        <f t="shared" si="164"/>
        <v>0.5111037250044641</v>
      </c>
      <c r="Y375" s="823">
        <f t="shared" si="165"/>
        <v>0.10199456177337844</v>
      </c>
      <c r="Z375" s="829">
        <f t="shared" si="166"/>
        <v>-7.0671521527911757E-2</v>
      </c>
    </row>
    <row r="376" spans="1:26" ht="20.100000000000001" customHeight="1" x14ac:dyDescent="0.2">
      <c r="A376" s="798">
        <f t="shared" si="154"/>
        <v>571</v>
      </c>
      <c r="B376" s="817">
        <v>42804</v>
      </c>
      <c r="C376" s="842">
        <v>2372.6</v>
      </c>
      <c r="D376" s="814">
        <f t="shared" si="183"/>
        <v>3.2686786165835834E-3</v>
      </c>
      <c r="E376" s="841">
        <f t="shared" si="175"/>
        <v>0.12849831624208055</v>
      </c>
      <c r="F376" s="838">
        <v>5861.72</v>
      </c>
      <c r="G376" s="814">
        <f t="shared" si="184"/>
        <v>3.9254641364664094E-3</v>
      </c>
      <c r="H376" s="819">
        <f t="shared" si="176"/>
        <v>0.15123043384331372</v>
      </c>
      <c r="I376" s="821">
        <v>320075.84000000003</v>
      </c>
      <c r="J376" s="822">
        <v>300000</v>
      </c>
      <c r="K376" s="822">
        <f t="shared" si="177"/>
        <v>1123.3000000000466</v>
      </c>
      <c r="L376" s="814">
        <f t="shared" si="155"/>
        <v>3.0445650272526831E-3</v>
      </c>
      <c r="M376" s="839">
        <f t="shared" si="178"/>
        <v>20075.840000000026</v>
      </c>
      <c r="N376" s="824">
        <f t="shared" si="179"/>
        <v>6.6919466666666746E-2</v>
      </c>
      <c r="O376" s="808">
        <f t="shared" si="159"/>
        <v>4.2806191243432629E-2</v>
      </c>
      <c r="P376" s="839" t="b">
        <f t="shared" si="180"/>
        <v>0</v>
      </c>
      <c r="Q376" s="824">
        <f>COUNTIF(P$2:P376, TRUE)/(COUNTIF(P$2:P376,FALSE) + COUNTIF(P$2:P376, TRUE))</f>
        <v>0.48799999999999999</v>
      </c>
      <c r="R376" s="822">
        <v>269279.3</v>
      </c>
      <c r="S376" s="822">
        <f t="shared" si="181"/>
        <v>50796.540000000037</v>
      </c>
      <c r="T376" s="822">
        <v>-32569</v>
      </c>
      <c r="U376" s="822">
        <f t="shared" si="182"/>
        <v>52644.840000000026</v>
      </c>
      <c r="V376" s="824">
        <f>STDEV(D$2:D376)*SQRT(252)</f>
        <v>0.15630173237062933</v>
      </c>
      <c r="W376" s="824">
        <f>STDEV(L$2:L376)*SQRT(252)</f>
        <v>0.33975219328051109</v>
      </c>
      <c r="X376" s="823">
        <f t="shared" si="164"/>
        <v>0.52588134110730878</v>
      </c>
      <c r="Y376" s="823">
        <f t="shared" si="165"/>
        <v>0.12599239118992342</v>
      </c>
      <c r="Z376" s="829">
        <f t="shared" si="166"/>
        <v>-6.1578849575413805E-2</v>
      </c>
    </row>
    <row r="377" spans="1:26" ht="20.100000000000001" customHeight="1" x14ac:dyDescent="0.2">
      <c r="A377" s="798">
        <f t="shared" si="154"/>
        <v>574</v>
      </c>
      <c r="B377" s="846">
        <v>42807</v>
      </c>
      <c r="C377" s="857">
        <v>2373.4699999999998</v>
      </c>
      <c r="D377" s="814">
        <f t="shared" si="183"/>
        <v>3.6668633566546864E-4</v>
      </c>
      <c r="E377" s="848">
        <f t="shared" si="175"/>
        <v>0.12891212115446801</v>
      </c>
      <c r="F377" s="849">
        <v>5875.78</v>
      </c>
      <c r="G377" s="814">
        <f t="shared" si="184"/>
        <v>2.3986133762785478E-3</v>
      </c>
      <c r="H377" s="850">
        <f t="shared" si="176"/>
        <v>0.15399179056110926</v>
      </c>
      <c r="I377" s="859">
        <v>317453.64</v>
      </c>
      <c r="J377" s="852">
        <v>300000</v>
      </c>
      <c r="K377" s="852">
        <f t="shared" si="177"/>
        <v>-2622.2000000000116</v>
      </c>
      <c r="L377" s="814">
        <f t="shared" si="155"/>
        <v>-8.1924333932858265E-3</v>
      </c>
      <c r="M377" s="861">
        <f t="shared" si="178"/>
        <v>17453.640000000014</v>
      </c>
      <c r="N377" s="854">
        <f t="shared" si="179"/>
        <v>5.8178800000000044E-2</v>
      </c>
      <c r="O377" s="808">
        <f t="shared" si="159"/>
        <v>3.7020569163763097E-2</v>
      </c>
      <c r="P377" s="853" t="b">
        <f t="shared" si="180"/>
        <v>0</v>
      </c>
      <c r="Q377" s="854">
        <f>COUNTIF(P$2:P377, TRUE)/(COUNTIF(P$2:P377,FALSE) + COUNTIF(P$2:P377, TRUE))</f>
        <v>0.48670212765957449</v>
      </c>
      <c r="R377" s="852">
        <v>266657.09999999998</v>
      </c>
      <c r="S377" s="852">
        <f t="shared" si="181"/>
        <v>50796.540000000037</v>
      </c>
      <c r="T377" s="852">
        <v>-33037</v>
      </c>
      <c r="U377" s="852">
        <f t="shared" si="182"/>
        <v>50490.640000000014</v>
      </c>
      <c r="V377" s="854">
        <f>STDEV(D$2:D377)*SQRT(252)</f>
        <v>0.15609263301968265</v>
      </c>
      <c r="W377" s="854">
        <f>STDEV(L$2:L377)*SQRT(252)</f>
        <v>0.33937458902110801</v>
      </c>
      <c r="X377" s="823">
        <f t="shared" si="164"/>
        <v>0.52552052191473964</v>
      </c>
      <c r="Y377" s="823">
        <f t="shared" si="165"/>
        <v>0.10908468212232748</v>
      </c>
      <c r="Z377" s="829">
        <f t="shared" si="166"/>
        <v>-7.0733321154467968E-2</v>
      </c>
    </row>
    <row r="378" spans="1:26" ht="20.100000000000001" customHeight="1" x14ac:dyDescent="0.2">
      <c r="A378" s="798">
        <f t="shared" si="154"/>
        <v>575</v>
      </c>
      <c r="B378" s="846">
        <v>42808</v>
      </c>
      <c r="C378" s="857">
        <v>2365.4499999999998</v>
      </c>
      <c r="D378" s="814">
        <f t="shared" ref="D378:D413" si="185">(C378-C377)/C377</f>
        <v>-3.3790189048102494E-3</v>
      </c>
      <c r="E378" s="848">
        <f t="shared" si="175"/>
        <v>0.12509750575521764</v>
      </c>
      <c r="F378" s="849">
        <v>5856.81</v>
      </c>
      <c r="G378" s="814">
        <f t="shared" si="184"/>
        <v>-3.2285075343187366E-3</v>
      </c>
      <c r="H378" s="850">
        <f t="shared" si="176"/>
        <v>0.15026611937074075</v>
      </c>
      <c r="I378" s="859">
        <v>413367.17</v>
      </c>
      <c r="J378" s="852">
        <v>400000</v>
      </c>
      <c r="K378" s="852">
        <f t="shared" si="177"/>
        <v>-4086.4700000000303</v>
      </c>
      <c r="L378" s="814">
        <f t="shared" si="155"/>
        <v>-1.2872651263346769E-2</v>
      </c>
      <c r="M378" s="861">
        <f t="shared" si="178"/>
        <v>13367.169999999984</v>
      </c>
      <c r="N378" s="854">
        <f t="shared" si="179"/>
        <v>3.3417924999999959E-2</v>
      </c>
      <c r="O378" s="808">
        <f t="shared" si="159"/>
        <v>2.1227647141304321E-2</v>
      </c>
      <c r="P378" s="853" t="b">
        <f t="shared" si="180"/>
        <v>0</v>
      </c>
      <c r="Q378" s="854">
        <f>COUNTIF(P$2:P378, TRUE)/(COUNTIF(P$2:P378,FALSE) + COUNTIF(P$2:P378, TRUE))</f>
        <v>0.48541114058355439</v>
      </c>
      <c r="R378" s="852">
        <v>277189.8</v>
      </c>
      <c r="S378" s="852">
        <f t="shared" si="181"/>
        <v>136177.37</v>
      </c>
      <c r="T378" s="852">
        <v>-33401</v>
      </c>
      <c r="U378" s="852">
        <f t="shared" si="182"/>
        <v>46768.169999999984</v>
      </c>
      <c r="V378" s="854">
        <f>STDEV(D$2:D378)*SQRT(252)</f>
        <v>0.15591460635897464</v>
      </c>
      <c r="W378" s="854">
        <f>STDEV(L$2:L378)*SQRT(252)</f>
        <v>0.33910114383939616</v>
      </c>
      <c r="X378" s="823">
        <f t="shared" si="164"/>
        <v>0.50966431638581333</v>
      </c>
      <c r="Y378" s="823">
        <f t="shared" si="165"/>
        <v>6.2599750920799252E-2</v>
      </c>
      <c r="Z378" s="829">
        <f t="shared" si="166"/>
        <v>-9.1679580755217677E-2</v>
      </c>
    </row>
    <row r="379" spans="1:26" ht="20.100000000000001" customHeight="1" x14ac:dyDescent="0.2">
      <c r="A379" s="798">
        <f t="shared" si="154"/>
        <v>576</v>
      </c>
      <c r="B379" s="846">
        <v>42809</v>
      </c>
      <c r="C379" s="857">
        <v>2385.2600000000002</v>
      </c>
      <c r="D379" s="814">
        <f t="shared" si="185"/>
        <v>8.3747278530513867E-3</v>
      </c>
      <c r="E379" s="848">
        <f t="shared" si="175"/>
        <v>0.13451989117406449</v>
      </c>
      <c r="F379" s="849">
        <v>5900.04</v>
      </c>
      <c r="G379" s="814">
        <f t="shared" si="184"/>
        <v>7.3811511727373026E-3</v>
      </c>
      <c r="H379" s="850">
        <f t="shared" si="176"/>
        <v>0.15875640748669406</v>
      </c>
      <c r="I379" s="859">
        <v>417096.77</v>
      </c>
      <c r="J379" s="852">
        <v>400000</v>
      </c>
      <c r="K379" s="852">
        <f t="shared" si="177"/>
        <v>3729.6000000000349</v>
      </c>
      <c r="L379" s="814">
        <f t="shared" si="155"/>
        <v>9.0224871994552328E-3</v>
      </c>
      <c r="M379" s="861">
        <f t="shared" si="178"/>
        <v>17096.770000000019</v>
      </c>
      <c r="N379" s="854">
        <f t="shared" ref="N379:N384" si="186">M379/J379</f>
        <v>4.2741925000000049E-2</v>
      </c>
      <c r="O379" s="808">
        <f t="shared" si="159"/>
        <v>2.7103277962239613E-2</v>
      </c>
      <c r="P379" s="853" t="b">
        <f t="shared" si="180"/>
        <v>1</v>
      </c>
      <c r="Q379" s="854">
        <f>COUNTIF(P$2:P379, TRUE)/(COUNTIF(P$2:P379,FALSE) + COUNTIF(P$2:P379, TRUE))</f>
        <v>0.48677248677248675</v>
      </c>
      <c r="R379" s="852">
        <v>272622.8</v>
      </c>
      <c r="S379" s="852">
        <f t="shared" si="181"/>
        <v>144473.97000000003</v>
      </c>
      <c r="T379" s="852">
        <v>-33400</v>
      </c>
      <c r="U379" s="852">
        <f t="shared" si="182"/>
        <v>50496.770000000019</v>
      </c>
      <c r="V379" s="854">
        <f>STDEV(D$2:D379)*SQRT(252)</f>
        <v>0.15584490061103998</v>
      </c>
      <c r="W379" s="854">
        <f>STDEV(L$2:L379)*SQRT(252)</f>
        <v>0.33872055138052226</v>
      </c>
      <c r="X379" s="823">
        <f t="shared" si="164"/>
        <v>0.54734562637235606</v>
      </c>
      <c r="Y379" s="823">
        <f t="shared" si="165"/>
        <v>8.0016632742757623E-2</v>
      </c>
      <c r="Z379" s="829">
        <f t="shared" si="166"/>
        <v>-9.1777966174064446E-2</v>
      </c>
    </row>
    <row r="380" spans="1:26" ht="20.100000000000001" customHeight="1" x14ac:dyDescent="0.2">
      <c r="A380" s="798">
        <f t="shared" si="154"/>
        <v>577</v>
      </c>
      <c r="B380" s="846">
        <v>42810</v>
      </c>
      <c r="C380" s="857">
        <v>2381.38</v>
      </c>
      <c r="D380" s="814">
        <f t="shared" si="185"/>
        <v>-1.6266570520614562E-3</v>
      </c>
      <c r="E380" s="848">
        <f t="shared" si="175"/>
        <v>0.1326744163923822</v>
      </c>
      <c r="F380" s="849">
        <v>5900.76</v>
      </c>
      <c r="G380" s="814">
        <f t="shared" si="184"/>
        <v>1.2203307096227393E-4</v>
      </c>
      <c r="H380" s="850">
        <f t="shared" si="176"/>
        <v>0.15889781408959688</v>
      </c>
      <c r="I380" s="859">
        <v>418538.3</v>
      </c>
      <c r="J380" s="852">
        <v>400000</v>
      </c>
      <c r="K380" s="852">
        <f t="shared" si="177"/>
        <v>1441.5299999999697</v>
      </c>
      <c r="L380" s="814">
        <f t="shared" si="155"/>
        <v>3.4561044431007455E-3</v>
      </c>
      <c r="M380" s="861">
        <f t="shared" si="178"/>
        <v>18538.299999999988</v>
      </c>
      <c r="N380" s="854">
        <f t="shared" si="186"/>
        <v>4.634574999999997E-2</v>
      </c>
      <c r="O380" s="808">
        <f t="shared" si="159"/>
        <v>2.9337582647313672E-2</v>
      </c>
      <c r="P380" s="853" t="b">
        <f t="shared" si="180"/>
        <v>1</v>
      </c>
      <c r="Q380" s="854">
        <f>COUNTIF(P$2:P380, TRUE)/(COUNTIF(P$2:P380,FALSE) + COUNTIF(P$2:P380, TRUE))</f>
        <v>0.48812664907651715</v>
      </c>
      <c r="R380" s="852">
        <v>275894.34999999998</v>
      </c>
      <c r="S380" s="852">
        <f t="shared" si="181"/>
        <v>142643.95000000001</v>
      </c>
      <c r="T380" s="852">
        <v>-31087</v>
      </c>
      <c r="U380" s="852">
        <f t="shared" si="182"/>
        <v>49625.299999999988</v>
      </c>
      <c r="V380" s="854">
        <f>STDEV(D$2:D380)*SQRT(252)</f>
        <v>0.15564672021947359</v>
      </c>
      <c r="W380" s="854">
        <f>STDEV(L$2:L380)*SQRT(252)</f>
        <v>0.33827914909370027</v>
      </c>
      <c r="X380" s="823">
        <f t="shared" si="164"/>
        <v>0.53958718116849824</v>
      </c>
      <c r="Y380" s="823">
        <f t="shared" si="165"/>
        <v>8.6725956139813473E-2</v>
      </c>
      <c r="Z380" s="829">
        <f t="shared" si="166"/>
        <v>-8.6328666392382236E-2</v>
      </c>
    </row>
    <row r="381" spans="1:26" ht="20.100000000000001" customHeight="1" x14ac:dyDescent="0.2">
      <c r="A381" s="798">
        <f t="shared" si="154"/>
        <v>578</v>
      </c>
      <c r="B381" s="846">
        <v>42811</v>
      </c>
      <c r="C381" s="857">
        <v>2378.25</v>
      </c>
      <c r="D381" s="814">
        <f t="shared" si="185"/>
        <v>-1.3143639402363792E-3</v>
      </c>
      <c r="E381" s="848">
        <f t="shared" si="175"/>
        <v>0.13118566998344777</v>
      </c>
      <c r="F381" s="849">
        <v>5900.99</v>
      </c>
      <c r="G381" s="814">
        <f t="shared" si="184"/>
        <v>3.8978029948610593E-5</v>
      </c>
      <c r="H381" s="850">
        <f t="shared" si="176"/>
        <v>0.15894298564330184</v>
      </c>
      <c r="I381" s="859">
        <v>417260.19</v>
      </c>
      <c r="J381" s="852">
        <v>400000</v>
      </c>
      <c r="K381" s="852">
        <f t="shared" si="177"/>
        <v>-1278.109999999986</v>
      </c>
      <c r="L381" s="814">
        <f t="shared" si="155"/>
        <v>-3.0537468136129621E-3</v>
      </c>
      <c r="M381" s="861">
        <f t="shared" si="178"/>
        <v>17260.190000000002</v>
      </c>
      <c r="N381" s="854">
        <f t="shared" si="186"/>
        <v>4.3150475000000008E-2</v>
      </c>
      <c r="O381" s="808">
        <f t="shared" si="159"/>
        <v>2.7267666079152254E-2</v>
      </c>
      <c r="P381" s="853" t="b">
        <f t="shared" si="180"/>
        <v>0</v>
      </c>
      <c r="Q381" s="854">
        <f>COUNTIF(P$2:P381, TRUE)/(COUNTIF(P$2:P381,FALSE) + COUNTIF(P$2:P381, TRUE))</f>
        <v>0.48684210526315791</v>
      </c>
      <c r="R381" s="852">
        <v>272622.8</v>
      </c>
      <c r="S381" s="852">
        <f t="shared" si="181"/>
        <v>144637.39000000001</v>
      </c>
      <c r="T381" s="852">
        <v>-31412</v>
      </c>
      <c r="U381" s="852">
        <f t="shared" si="182"/>
        <v>48672.19</v>
      </c>
      <c r="V381" s="854">
        <f>STDEV(D$2:D381)*SQRT(252)</f>
        <v>0.15544682366475293</v>
      </c>
      <c r="W381" s="854">
        <f>STDEV(L$2:L381)*SQRT(252)</f>
        <v>0.33784447155709396</v>
      </c>
      <c r="X381" s="823">
        <f t="shared" si="164"/>
        <v>0.53329428735246553</v>
      </c>
      <c r="Y381" s="823">
        <f t="shared" si="165"/>
        <v>8.0710706774268351E-2</v>
      </c>
      <c r="Z381" s="829">
        <f t="shared" si="166"/>
        <v>-8.8035194983447765E-2</v>
      </c>
    </row>
    <row r="382" spans="1:26" ht="20.100000000000001" customHeight="1" x14ac:dyDescent="0.2">
      <c r="A382" s="798">
        <f t="shared" si="154"/>
        <v>581</v>
      </c>
      <c r="B382" s="817">
        <v>42814</v>
      </c>
      <c r="C382" s="842">
        <v>2373.4699999999998</v>
      </c>
      <c r="D382" s="814">
        <f t="shared" si="185"/>
        <v>-2.0098812151793126E-3</v>
      </c>
      <c r="E382" s="841">
        <f t="shared" si="175"/>
        <v>0.12891212115446801</v>
      </c>
      <c r="F382" s="838">
        <v>5901.52</v>
      </c>
      <c r="G382" s="814">
        <f t="shared" si="184"/>
        <v>8.9815437748692146E-5</v>
      </c>
      <c r="H382" s="819">
        <f t="shared" si="176"/>
        <v>0.15904707661488318</v>
      </c>
      <c r="I382" s="821">
        <v>416415.39</v>
      </c>
      <c r="J382" s="822">
        <v>400000</v>
      </c>
      <c r="K382" s="822">
        <f t="shared" si="177"/>
        <v>-844.79999999998836</v>
      </c>
      <c r="L382" s="814">
        <f t="shared" si="155"/>
        <v>-2.0246359951089231E-3</v>
      </c>
      <c r="M382" s="839">
        <f t="shared" si="178"/>
        <v>16415.390000000014</v>
      </c>
      <c r="N382" s="824">
        <f t="shared" si="186"/>
        <v>4.1038475000000033E-2</v>
      </c>
      <c r="O382" s="808">
        <f t="shared" si="159"/>
        <v>2.579914456755596E-2</v>
      </c>
      <c r="P382" s="839" t="b">
        <f t="shared" si="180"/>
        <v>0</v>
      </c>
      <c r="Q382" s="824">
        <f>COUNTIF(P$2:P382, TRUE)/(COUNTIF(P$2:P382,FALSE) + COUNTIF(P$2:P382, TRUE))</f>
        <v>0.48556430446194226</v>
      </c>
      <c r="R382" s="822">
        <v>273908</v>
      </c>
      <c r="S382" s="822">
        <f t="shared" si="181"/>
        <v>142507.39000000001</v>
      </c>
      <c r="T382" s="822">
        <v>-32614</v>
      </c>
      <c r="U382" s="822">
        <f t="shared" si="182"/>
        <v>49029.390000000014</v>
      </c>
      <c r="V382" s="824">
        <f>STDEV(D$2:D382)*SQRT(252)</f>
        <v>0.15525374064420308</v>
      </c>
      <c r="W382" s="824">
        <f>STDEV(L$2:L382)*SQRT(252)</f>
        <v>0.33740515012051464</v>
      </c>
      <c r="X382" s="823">
        <f t="shared" si="164"/>
        <v>0.52199431591339873</v>
      </c>
      <c r="Y382" s="823">
        <f t="shared" si="165"/>
        <v>7.646339884954631E-2</v>
      </c>
      <c r="Z382" s="829">
        <f t="shared" si="166"/>
        <v>-8.787364615446798E-2</v>
      </c>
    </row>
    <row r="383" spans="1:26" ht="20.100000000000001" customHeight="1" x14ac:dyDescent="0.2">
      <c r="A383" s="798">
        <f t="shared" si="154"/>
        <v>582</v>
      </c>
      <c r="B383" s="817">
        <v>42815</v>
      </c>
      <c r="C383" s="842">
        <v>2344.02</v>
      </c>
      <c r="D383" s="814">
        <f t="shared" si="185"/>
        <v>-1.240799335993285E-2</v>
      </c>
      <c r="E383" s="841">
        <f t="shared" si="175"/>
        <v>0.11490458705123567</v>
      </c>
      <c r="F383" s="838">
        <v>5793.82</v>
      </c>
      <c r="G383" s="814">
        <f t="shared" ref="G383:G388" si="187">(F383-F382)/F382</f>
        <v>-1.8249535712833425E-2</v>
      </c>
      <c r="H383" s="819">
        <f t="shared" si="176"/>
        <v>0.13789500559734469</v>
      </c>
      <c r="I383" s="821">
        <v>411936.49</v>
      </c>
      <c r="J383" s="822">
        <v>400000</v>
      </c>
      <c r="K383" s="822">
        <f t="shared" si="177"/>
        <v>-4478.9000000000233</v>
      </c>
      <c r="L383" s="814">
        <f t="shared" si="155"/>
        <v>-1.0755846463791895E-2</v>
      </c>
      <c r="M383" s="839">
        <f t="shared" si="178"/>
        <v>11936.489999999991</v>
      </c>
      <c r="N383" s="824">
        <f t="shared" si="186"/>
        <v>2.9841224999999978E-2</v>
      </c>
      <c r="O383" s="808">
        <f t="shared" si="159"/>
        <v>1.8727675998711325E-2</v>
      </c>
      <c r="P383" s="839" t="b">
        <f t="shared" si="180"/>
        <v>1</v>
      </c>
      <c r="Q383" s="824">
        <f>COUNTIF(P$2:P383, TRUE)/(COUNTIF(P$2:P383,FALSE) + COUNTIF(P$2:P383, TRUE))</f>
        <v>0.48691099476439792</v>
      </c>
      <c r="R383" s="822">
        <v>281359.3</v>
      </c>
      <c r="S383" s="822">
        <f t="shared" si="181"/>
        <v>130577.19</v>
      </c>
      <c r="T383" s="822">
        <v>-32572</v>
      </c>
      <c r="U383" s="822">
        <f t="shared" si="182"/>
        <v>44508.489999999991</v>
      </c>
      <c r="V383" s="824">
        <f>STDEV(D$2:D383)*SQRT(252)</f>
        <v>0.15539701480265106</v>
      </c>
      <c r="W383" s="824">
        <f>STDEV(L$2:L383)*SQRT(252)</f>
        <v>0.33708689228182726</v>
      </c>
      <c r="X383" s="823">
        <f t="shared" si="164"/>
        <v>0.46404696281660901</v>
      </c>
      <c r="Y383" s="823">
        <f t="shared" si="165"/>
        <v>5.5557413911703608E-2</v>
      </c>
      <c r="Z383" s="829">
        <f t="shared" si="166"/>
        <v>-8.5063362051235686E-2</v>
      </c>
    </row>
    <row r="384" spans="1:26" ht="20.100000000000001" customHeight="1" x14ac:dyDescent="0.2">
      <c r="A384" s="798">
        <f t="shared" si="154"/>
        <v>583</v>
      </c>
      <c r="B384" s="817">
        <v>42816</v>
      </c>
      <c r="C384" s="842">
        <v>2348.4499999999998</v>
      </c>
      <c r="D384" s="814">
        <f t="shared" si="185"/>
        <v>1.8899156150544091E-3</v>
      </c>
      <c r="E384" s="841">
        <f t="shared" si="175"/>
        <v>0.11701166263959958</v>
      </c>
      <c r="F384" s="838">
        <v>5821.64</v>
      </c>
      <c r="G384" s="814">
        <f t="shared" si="187"/>
        <v>4.8016679841625422E-3</v>
      </c>
      <c r="H384" s="819">
        <f t="shared" si="176"/>
        <v>0.1433587996150599</v>
      </c>
      <c r="I384" s="821">
        <v>410749.09</v>
      </c>
      <c r="J384" s="822">
        <v>400000</v>
      </c>
      <c r="K384" s="822">
        <f t="shared" si="177"/>
        <v>-1187.3999999999651</v>
      </c>
      <c r="L384" s="814">
        <f t="shared" si="155"/>
        <v>-2.8824831711314653E-3</v>
      </c>
      <c r="M384" s="839">
        <f t="shared" si="178"/>
        <v>10749.090000000026</v>
      </c>
      <c r="N384" s="824">
        <f t="shared" si="186"/>
        <v>2.6872725000000063E-2</v>
      </c>
      <c r="O384" s="808">
        <f t="shared" si="159"/>
        <v>1.6835785259434001E-2</v>
      </c>
      <c r="P384" s="839" t="b">
        <f t="shared" si="180"/>
        <v>0</v>
      </c>
      <c r="Q384" s="824">
        <f>COUNTIF(P$2:P384, TRUE)/(COUNTIF(P$2:P384,FALSE) + COUNTIF(P$2:P384, TRUE))</f>
        <v>0.48563968668407309</v>
      </c>
      <c r="R384" s="822">
        <v>286091.90000000002</v>
      </c>
      <c r="S384" s="822">
        <f t="shared" si="181"/>
        <v>124657.19</v>
      </c>
      <c r="T384" s="822">
        <v>-33152</v>
      </c>
      <c r="U384" s="822">
        <f t="shared" si="182"/>
        <v>43901.090000000026</v>
      </c>
      <c r="V384" s="824">
        <f>STDEV(D$2:D384)*SQRT(252)</f>
        <v>0.15519809817215222</v>
      </c>
      <c r="W384" s="824">
        <f>STDEV(L$2:L384)*SQRT(252)</f>
        <v>0.33665574417634986</v>
      </c>
      <c r="X384" s="823">
        <f t="shared" si="164"/>
        <v>0.47235054978217828</v>
      </c>
      <c r="Y384" s="823">
        <f t="shared" si="165"/>
        <v>5.0008905389759037E-2</v>
      </c>
      <c r="Z384" s="829">
        <f t="shared" si="166"/>
        <v>-9.0138937639599515E-2</v>
      </c>
    </row>
    <row r="385" spans="1:26" ht="20.100000000000001" customHeight="1" x14ac:dyDescent="0.2">
      <c r="A385" s="798">
        <f t="shared" ref="A385:A448" si="188">B385-$B$2</f>
        <v>584</v>
      </c>
      <c r="B385" s="817">
        <v>42817</v>
      </c>
      <c r="C385" s="842">
        <v>2345.96</v>
      </c>
      <c r="D385" s="814">
        <f t="shared" si="185"/>
        <v>-1.0602737976110974E-3</v>
      </c>
      <c r="E385" s="841">
        <f t="shared" si="175"/>
        <v>0.11582732444207681</v>
      </c>
      <c r="F385" s="838">
        <v>5817.69</v>
      </c>
      <c r="G385" s="814">
        <f t="shared" si="187"/>
        <v>-6.7850296480042173E-4</v>
      </c>
      <c r="H385" s="819">
        <f t="shared" si="176"/>
        <v>0.14258302727969044</v>
      </c>
      <c r="I385" s="821">
        <v>409192.08</v>
      </c>
      <c r="J385" s="822">
        <v>400000</v>
      </c>
      <c r="K385" s="822">
        <f t="shared" si="177"/>
        <v>-1557.0100000000093</v>
      </c>
      <c r="L385" s="814">
        <f t="shared" si="155"/>
        <v>-3.7906596457706315E-3</v>
      </c>
      <c r="M385" s="839">
        <f t="shared" si="178"/>
        <v>9192.0800000000163</v>
      </c>
      <c r="N385" s="824">
        <f t="shared" ref="N385:N448" si="189">M385/J385</f>
        <v>2.2980200000000041E-2</v>
      </c>
      <c r="O385" s="808">
        <f t="shared" si="159"/>
        <v>1.4372462414383587E-2</v>
      </c>
      <c r="P385" s="839" t="b">
        <f t="shared" si="180"/>
        <v>0</v>
      </c>
      <c r="Q385" s="824">
        <f>COUNTIF(P$2:P385, TRUE)/(COUNTIF(P$2:P385,FALSE) + COUNTIF(P$2:P385, TRUE))</f>
        <v>0.484375</v>
      </c>
      <c r="R385" s="822">
        <v>281636.95</v>
      </c>
      <c r="S385" s="822">
        <f t="shared" si="181"/>
        <v>127555.13</v>
      </c>
      <c r="T385" s="822">
        <v>-33283</v>
      </c>
      <c r="U385" s="822">
        <f t="shared" si="182"/>
        <v>42475.080000000016</v>
      </c>
      <c r="V385" s="824">
        <f>STDEV(D$2:D385)*SQRT(252)</f>
        <v>0.15499897175263969</v>
      </c>
      <c r="W385" s="824">
        <f>STDEV(L$2:L385)*SQRT(252)</f>
        <v>0.336233128166948</v>
      </c>
      <c r="X385" s="823">
        <f t="shared" si="164"/>
        <v>0.46736865781807724</v>
      </c>
      <c r="Y385" s="823">
        <f t="shared" si="165"/>
        <v>4.274552746404961E-2</v>
      </c>
      <c r="Z385" s="829">
        <f t="shared" si="166"/>
        <v>-9.2847124442076767E-2</v>
      </c>
    </row>
    <row r="386" spans="1:26" ht="20.100000000000001" customHeight="1" x14ac:dyDescent="0.2">
      <c r="A386" s="798">
        <f t="shared" si="188"/>
        <v>585</v>
      </c>
      <c r="B386" s="817">
        <v>42818</v>
      </c>
      <c r="C386" s="842">
        <v>2343.98</v>
      </c>
      <c r="D386" s="814">
        <f t="shared" si="185"/>
        <v>-8.4400416034374759E-4</v>
      </c>
      <c r="E386" s="841">
        <f t="shared" si="175"/>
        <v>0.11488556153802247</v>
      </c>
      <c r="F386" s="838">
        <v>5828.73</v>
      </c>
      <c r="G386" s="814">
        <f t="shared" si="187"/>
        <v>1.8976604116066624E-3</v>
      </c>
      <c r="H386" s="819">
        <f t="shared" si="176"/>
        <v>0.14475126185753281</v>
      </c>
      <c r="I386" s="821">
        <v>410959.03</v>
      </c>
      <c r="J386" s="822">
        <v>400000</v>
      </c>
      <c r="K386" s="822">
        <f t="shared" si="177"/>
        <v>1766.9500000000116</v>
      </c>
      <c r="L386" s="814">
        <f t="shared" si="155"/>
        <v>4.3181432055087957E-3</v>
      </c>
      <c r="M386" s="839">
        <f t="shared" si="178"/>
        <v>10959.030000000028</v>
      </c>
      <c r="N386" s="824">
        <f t="shared" si="189"/>
        <v>2.739757500000007E-2</v>
      </c>
      <c r="O386" s="808">
        <f t="shared" si="159"/>
        <v>1.710592182692312E-2</v>
      </c>
      <c r="P386" s="839" t="b">
        <f t="shared" si="180"/>
        <v>1</v>
      </c>
      <c r="Q386" s="824">
        <f>COUNTIF(P$2:P386, TRUE)/(COUNTIF(P$2:P386,FALSE) + COUNTIF(P$2:P386, TRUE))</f>
        <v>0.48571428571428571</v>
      </c>
      <c r="R386" s="822">
        <v>286251.90000000002</v>
      </c>
      <c r="S386" s="822">
        <f t="shared" si="181"/>
        <v>124707.13</v>
      </c>
      <c r="T386" s="822">
        <v>-32644</v>
      </c>
      <c r="U386" s="822">
        <f t="shared" si="182"/>
        <v>43603.030000000028</v>
      </c>
      <c r="V386" s="824">
        <f>STDEV(D$2:D386)*SQRT(252)</f>
        <v>0.15479943060985338</v>
      </c>
      <c r="W386" s="824">
        <f>STDEV(L$2:L386)*SQRT(252)</f>
        <v>0.33580795162240923</v>
      </c>
      <c r="X386" s="823">
        <f t="shared" si="164"/>
        <v>0.46337270807744663</v>
      </c>
      <c r="Y386" s="823">
        <f t="shared" si="165"/>
        <v>5.0939597303393938E-2</v>
      </c>
      <c r="Z386" s="829">
        <f t="shared" si="166"/>
        <v>-8.7487986538022394E-2</v>
      </c>
    </row>
    <row r="387" spans="1:26" ht="20.100000000000001" customHeight="1" x14ac:dyDescent="0.2">
      <c r="A387" s="798">
        <f t="shared" si="188"/>
        <v>588</v>
      </c>
      <c r="B387" s="846">
        <v>42821</v>
      </c>
      <c r="C387" s="857">
        <v>2341.59</v>
      </c>
      <c r="D387" s="814">
        <f t="shared" si="185"/>
        <v>-1.0196332733213903E-3</v>
      </c>
      <c r="E387" s="848">
        <f t="shared" si="175"/>
        <v>0.1137487871235327</v>
      </c>
      <c r="F387" s="849">
        <v>5840.37</v>
      </c>
      <c r="G387" s="814">
        <f t="shared" si="187"/>
        <v>1.9970044932601664E-3</v>
      </c>
      <c r="H387" s="850">
        <f t="shared" si="176"/>
        <v>0.14703733527112753</v>
      </c>
      <c r="I387" s="859">
        <v>411631.08</v>
      </c>
      <c r="J387" s="852">
        <v>400000</v>
      </c>
      <c r="K387" s="852">
        <f t="shared" si="177"/>
        <v>672.04999999998836</v>
      </c>
      <c r="L387" s="814">
        <f>K387/I386</f>
        <v>1.6353211657132544E-3</v>
      </c>
      <c r="M387" s="861">
        <f t="shared" si="178"/>
        <v>11631.080000000016</v>
      </c>
      <c r="N387" s="854">
        <f t="shared" si="189"/>
        <v>2.907770000000004E-2</v>
      </c>
      <c r="O387" s="808">
        <f t="shared" si="159"/>
        <v>1.8062295790816349E-2</v>
      </c>
      <c r="P387" s="853" t="b">
        <f t="shared" si="180"/>
        <v>1</v>
      </c>
      <c r="Q387" s="854">
        <f>COUNTIF(P$2:P387, TRUE)/(COUNTIF(P$2:P387,FALSE) + COUNTIF(P$2:P387, TRUE))</f>
        <v>0.48704663212435234</v>
      </c>
      <c r="R387" s="852">
        <v>286923.95</v>
      </c>
      <c r="S387" s="852">
        <f t="shared" si="181"/>
        <v>124707.13</v>
      </c>
      <c r="T387" s="852">
        <v>-32983</v>
      </c>
      <c r="U387" s="852">
        <f t="shared" si="182"/>
        <v>44614.080000000016</v>
      </c>
      <c r="V387" s="854">
        <f>STDEV(D$2:D387)*SQRT(252)</f>
        <v>0.15460159662915288</v>
      </c>
      <c r="W387" s="854">
        <f>STDEV(L$2:L387)*SQRT(252)</f>
        <v>0.33537159778544912</v>
      </c>
      <c r="X387" s="823">
        <f t="shared" si="164"/>
        <v>0.45703104157237562</v>
      </c>
      <c r="Y387" s="823">
        <f t="shared" si="165"/>
        <v>5.3857559525274816E-2</v>
      </c>
      <c r="Z387" s="829">
        <f t="shared" si="166"/>
        <v>-8.4671087123532662E-2</v>
      </c>
    </row>
    <row r="388" spans="1:26" ht="20.100000000000001" customHeight="1" x14ac:dyDescent="0.2">
      <c r="A388" s="798">
        <f t="shared" si="188"/>
        <v>589</v>
      </c>
      <c r="B388" s="846">
        <v>42822</v>
      </c>
      <c r="C388" s="857">
        <v>2358.5700000000002</v>
      </c>
      <c r="D388" s="814">
        <f t="shared" si="185"/>
        <v>7.2514829667021203E-3</v>
      </c>
      <c r="E388" s="848">
        <f t="shared" si="175"/>
        <v>0.12182511748254414</v>
      </c>
      <c r="F388" s="849">
        <v>5875.14</v>
      </c>
      <c r="G388" s="814">
        <f t="shared" si="187"/>
        <v>5.9533899393361097E-3</v>
      </c>
      <c r="H388" s="850">
        <f t="shared" si="176"/>
        <v>0.15386609580297358</v>
      </c>
      <c r="I388" s="859">
        <v>415160.28</v>
      </c>
      <c r="J388" s="852">
        <v>400000</v>
      </c>
      <c r="K388" s="852">
        <f t="shared" si="177"/>
        <v>3529.2000000000116</v>
      </c>
      <c r="L388" s="814">
        <f t="shared" ref="L388:L401" si="190">K388/I387</f>
        <v>8.5736966217420021E-3</v>
      </c>
      <c r="M388" s="861">
        <f t="shared" si="178"/>
        <v>15160.280000000028</v>
      </c>
      <c r="N388" s="854">
        <f t="shared" si="189"/>
        <v>3.7900700000000072E-2</v>
      </c>
      <c r="O388" s="808">
        <f t="shared" si="159"/>
        <v>2.3502938327674066E-2</v>
      </c>
      <c r="P388" s="853" t="b">
        <f t="shared" si="180"/>
        <v>1</v>
      </c>
      <c r="Q388" s="854">
        <f>COUNTIF(P$2:P388, TRUE)/(COUNTIF(P$2:P388,FALSE) + COUNTIF(P$2:P388, TRUE))</f>
        <v>0.48837209302325579</v>
      </c>
      <c r="R388" s="852">
        <v>290453.15000000002</v>
      </c>
      <c r="S388" s="852">
        <f t="shared" si="181"/>
        <v>124707.13</v>
      </c>
      <c r="T388" s="852">
        <v>-33166</v>
      </c>
      <c r="U388" s="852">
        <f t="shared" si="182"/>
        <v>48326.280000000028</v>
      </c>
      <c r="V388" s="854">
        <f>STDEV(D$2:D388)*SQRT(252)</f>
        <v>0.15450201975673039</v>
      </c>
      <c r="W388" s="854">
        <f>STDEV(L$2:L388)*SQRT(252)</f>
        <v>0.33499869256198822</v>
      </c>
      <c r="X388" s="823">
        <f t="shared" si="164"/>
        <v>0.48896481305054024</v>
      </c>
      <c r="Y388" s="823">
        <f t="shared" si="165"/>
        <v>7.0158298672539088E-2</v>
      </c>
      <c r="Z388" s="829">
        <f t="shared" si="166"/>
        <v>-8.3924417482544061E-2</v>
      </c>
    </row>
    <row r="389" spans="1:26" ht="20.100000000000001" customHeight="1" x14ac:dyDescent="0.2">
      <c r="A389" s="798">
        <f t="shared" si="188"/>
        <v>590</v>
      </c>
      <c r="B389" s="846">
        <v>42823</v>
      </c>
      <c r="C389" s="857">
        <v>2361.13</v>
      </c>
      <c r="D389" s="814">
        <f t="shared" si="185"/>
        <v>1.0854034436119959E-3</v>
      </c>
      <c r="E389" s="848">
        <f t="shared" si="175"/>
        <v>0.12304275032819012</v>
      </c>
      <c r="F389" s="849">
        <v>5897.54</v>
      </c>
      <c r="G389" s="814">
        <f t="shared" ref="G389:G401" si="191">(F389-F388)/F388</f>
        <v>3.8126751022102682E-3</v>
      </c>
      <c r="H389" s="850">
        <f t="shared" si="176"/>
        <v>0.15826541233772615</v>
      </c>
      <c r="I389" s="859">
        <v>420963.65</v>
      </c>
      <c r="J389" s="852">
        <v>400000</v>
      </c>
      <c r="K389" s="852">
        <f t="shared" si="177"/>
        <v>5803.3699999999953</v>
      </c>
      <c r="L389" s="814">
        <f t="shared" si="190"/>
        <v>1.3978625315504641E-2</v>
      </c>
      <c r="M389" s="861">
        <f t="shared" si="178"/>
        <v>20963.650000000023</v>
      </c>
      <c r="N389" s="854">
        <f t="shared" si="189"/>
        <v>5.2409125000000056E-2</v>
      </c>
      <c r="O389" s="808">
        <f t="shared" si="159"/>
        <v>3.2444801536016983E-2</v>
      </c>
      <c r="P389" s="853" t="b">
        <f t="shared" si="180"/>
        <v>1</v>
      </c>
      <c r="Q389" s="854">
        <f>COUNTIF(P$2:P389, TRUE)/(COUNTIF(P$2:P389,FALSE) + COUNTIF(P$2:P389, TRUE))</f>
        <v>0.48969072164948452</v>
      </c>
      <c r="R389" s="852">
        <v>287876.7</v>
      </c>
      <c r="S389" s="852">
        <f t="shared" si="181"/>
        <v>133086.95000000001</v>
      </c>
      <c r="T389" s="852">
        <v>-32529</v>
      </c>
      <c r="U389" s="852">
        <f t="shared" si="182"/>
        <v>53492.650000000023</v>
      </c>
      <c r="V389" s="854">
        <f>STDEV(D$2:D389)*SQRT(252)</f>
        <v>0.15430291454708026</v>
      </c>
      <c r="W389" s="854">
        <f>STDEV(L$2:L389)*SQRT(252)</f>
        <v>0.3347396845919004</v>
      </c>
      <c r="X389" s="823">
        <f t="shared" si="164"/>
        <v>0.49365110541244273</v>
      </c>
      <c r="Y389" s="823">
        <f t="shared" si="165"/>
        <v>9.6925470834365604E-2</v>
      </c>
      <c r="Z389" s="829">
        <f t="shared" si="166"/>
        <v>-7.0633625328190064E-2</v>
      </c>
    </row>
    <row r="390" spans="1:26" ht="20.100000000000001" customHeight="1" x14ac:dyDescent="0.2">
      <c r="A390" s="798">
        <f t="shared" si="188"/>
        <v>591</v>
      </c>
      <c r="B390" s="846">
        <v>42824</v>
      </c>
      <c r="C390" s="857">
        <v>2368.06</v>
      </c>
      <c r="D390" s="814">
        <f t="shared" si="185"/>
        <v>2.9350353432465964E-3</v>
      </c>
      <c r="E390" s="848">
        <f t="shared" si="175"/>
        <v>0.12633892049238021</v>
      </c>
      <c r="F390" s="849">
        <v>5914.34</v>
      </c>
      <c r="G390" s="814">
        <f t="shared" si="191"/>
        <v>2.848645367390502E-3</v>
      </c>
      <c r="H390" s="850">
        <f t="shared" si="176"/>
        <v>0.16156489973879065</v>
      </c>
      <c r="I390" s="859">
        <v>421561.9</v>
      </c>
      <c r="J390" s="852">
        <v>400000</v>
      </c>
      <c r="K390" s="852">
        <f t="shared" si="177"/>
        <v>598.25</v>
      </c>
      <c r="L390" s="814">
        <f t="shared" si="190"/>
        <v>1.4211440821553119E-3</v>
      </c>
      <c r="M390" s="861">
        <f t="shared" si="178"/>
        <v>21561.900000000023</v>
      </c>
      <c r="N390" s="854">
        <f t="shared" si="189"/>
        <v>5.3904750000000057E-2</v>
      </c>
      <c r="O390" s="808">
        <f t="shared" si="159"/>
        <v>3.3314230012690391E-2</v>
      </c>
      <c r="P390" s="853" t="b">
        <f t="shared" si="180"/>
        <v>0</v>
      </c>
      <c r="Q390" s="854">
        <f>COUNTIF(P$2:P390, TRUE)/(COUNTIF(P$2:P390,FALSE) + COUNTIF(P$2:P390, TRUE))</f>
        <v>0.4884318766066838</v>
      </c>
      <c r="R390" s="852">
        <v>288474.95</v>
      </c>
      <c r="S390" s="852">
        <f t="shared" si="181"/>
        <v>133086.95000000001</v>
      </c>
      <c r="T390" s="852">
        <v>-32386</v>
      </c>
      <c r="U390" s="852">
        <f t="shared" si="182"/>
        <v>53947.900000000023</v>
      </c>
      <c r="V390" s="854">
        <f>STDEV(D$2:D390)*SQRT(252)</f>
        <v>0.15411754273939668</v>
      </c>
      <c r="W390" s="854">
        <f>STDEV(L$2:L390)*SQRT(252)</f>
        <v>0.3343075900232127</v>
      </c>
      <c r="X390" s="823">
        <f t="shared" si="164"/>
        <v>0.50662641470730152</v>
      </c>
      <c r="Y390" s="823">
        <f t="shared" si="165"/>
        <v>9.9651431815763483E-2</v>
      </c>
      <c r="Z390" s="829">
        <f t="shared" si="166"/>
        <v>-7.2434170492380157E-2</v>
      </c>
    </row>
    <row r="391" spans="1:26" ht="20.100000000000001" customHeight="1" x14ac:dyDescent="0.2">
      <c r="A391" s="798">
        <f t="shared" si="188"/>
        <v>592</v>
      </c>
      <c r="B391" s="846">
        <v>42825</v>
      </c>
      <c r="C391" s="857">
        <v>2362.7199999999998</v>
      </c>
      <c r="D391" s="814">
        <f t="shared" si="185"/>
        <v>-2.2550104304790188E-3</v>
      </c>
      <c r="E391" s="848">
        <f t="shared" si="175"/>
        <v>0.12379901447841543</v>
      </c>
      <c r="F391" s="849">
        <v>5911.73</v>
      </c>
      <c r="G391" s="814">
        <f t="shared" si="191"/>
        <v>-4.4130029724374692E-4</v>
      </c>
      <c r="H391" s="850">
        <f t="shared" si="176"/>
        <v>0.16105230080326802</v>
      </c>
      <c r="I391" s="860">
        <v>422230.44</v>
      </c>
      <c r="J391" s="852">
        <v>400000</v>
      </c>
      <c r="K391" s="852">
        <f t="shared" si="177"/>
        <v>668.53999999997905</v>
      </c>
      <c r="L391" s="814">
        <f t="shared" si="190"/>
        <v>1.5858643772124071E-3</v>
      </c>
      <c r="M391" s="858">
        <f t="shared" si="178"/>
        <v>22230.440000000002</v>
      </c>
      <c r="N391" s="854">
        <f t="shared" si="189"/>
        <v>5.5576100000000003E-2</v>
      </c>
      <c r="O391" s="808">
        <f t="shared" ref="O391:O454" si="192">N391/(A391/365.25)</f>
        <v>3.4289139400337842E-2</v>
      </c>
      <c r="P391" s="853" t="b">
        <f t="shared" si="180"/>
        <v>1</v>
      </c>
      <c r="Q391" s="854">
        <f>COUNTIF(P$2:P391, TRUE)/(COUNTIF(P$2:P391,FALSE) + COUNTIF(P$2:P391, TRUE))</f>
        <v>0.48974358974358972</v>
      </c>
      <c r="R391" s="852">
        <v>285478.7</v>
      </c>
      <c r="S391" s="852">
        <f t="shared" si="181"/>
        <v>136751.74</v>
      </c>
      <c r="T391" s="852">
        <v>-31395</v>
      </c>
      <c r="U391" s="852">
        <f t="shared" si="182"/>
        <v>53625.440000000002</v>
      </c>
      <c r="V391" s="854">
        <f>STDEV(D$2:D391)*SQRT(252)</f>
        <v>0.15393312876739909</v>
      </c>
      <c r="W391" s="854">
        <f>STDEV(L$2:L391)*SQRT(252)</f>
        <v>0.33387745459794199</v>
      </c>
      <c r="X391" s="823">
        <f t="shared" si="164"/>
        <v>0.4961963994716278</v>
      </c>
      <c r="Y391" s="823">
        <f t="shared" si="165"/>
        <v>0.10269977480698453</v>
      </c>
      <c r="Z391" s="829">
        <f t="shared" si="166"/>
        <v>-6.8222914478415428E-2</v>
      </c>
    </row>
    <row r="392" spans="1:26" ht="20.100000000000001" customHeight="1" x14ac:dyDescent="0.2">
      <c r="A392" s="798">
        <f t="shared" si="188"/>
        <v>595</v>
      </c>
      <c r="B392" s="817">
        <v>42828</v>
      </c>
      <c r="C392" s="842">
        <v>2358.84</v>
      </c>
      <c r="D392" s="814">
        <f t="shared" si="185"/>
        <v>-1.6421751202003007E-3</v>
      </c>
      <c r="E392" s="841">
        <f t="shared" si="175"/>
        <v>0.12195353969673337</v>
      </c>
      <c r="F392" s="838">
        <v>5894.68</v>
      </c>
      <c r="G392" s="814">
        <f t="shared" si="191"/>
        <v>-2.8840965335019146E-3</v>
      </c>
      <c r="H392" s="819">
        <f t="shared" si="176"/>
        <v>0.15770371388730689</v>
      </c>
      <c r="I392" s="821">
        <v>420788.86</v>
      </c>
      <c r="J392" s="822">
        <v>400000</v>
      </c>
      <c r="K392" s="822">
        <f t="shared" si="177"/>
        <v>-1441.5800000000163</v>
      </c>
      <c r="L392" s="814">
        <f t="shared" si="190"/>
        <v>-3.4142019699006454E-3</v>
      </c>
      <c r="M392" s="839">
        <f t="shared" si="178"/>
        <v>20788.859999999986</v>
      </c>
      <c r="N392" s="824">
        <f t="shared" si="189"/>
        <v>5.1972149999999967E-2</v>
      </c>
      <c r="O392" s="808">
        <f t="shared" si="192"/>
        <v>3.1903912247899138E-2</v>
      </c>
      <c r="P392" s="839" t="b">
        <f t="shared" si="180"/>
        <v>0</v>
      </c>
      <c r="Q392" s="824">
        <f>COUNTIF(P$2:P392, TRUE)/(COUNTIF(P$2:P392,FALSE) + COUNTIF(P$2:P392, TRUE))</f>
        <v>0.48849104859335041</v>
      </c>
      <c r="R392" s="822">
        <v>278736.34999999998</v>
      </c>
      <c r="S392" s="822">
        <f t="shared" si="181"/>
        <v>142052.51</v>
      </c>
      <c r="T392" s="822">
        <v>-32014</v>
      </c>
      <c r="U392" s="822">
        <f t="shared" si="182"/>
        <v>52802.859999999986</v>
      </c>
      <c r="V392" s="824">
        <f>STDEV(D$2:D392)*SQRT(252)</f>
        <v>0.15374345797285574</v>
      </c>
      <c r="W392" s="824">
        <f>STDEV(L$2:L392)*SQRT(252)</f>
        <v>0.33346362819879094</v>
      </c>
      <c r="X392" s="823">
        <f t="shared" si="164"/>
        <v>0.48693503610690675</v>
      </c>
      <c r="Y392" s="823">
        <f t="shared" si="165"/>
        <v>9.5674339118267934E-2</v>
      </c>
      <c r="Z392" s="829">
        <f t="shared" si="166"/>
        <v>-6.9981389696733398E-2</v>
      </c>
    </row>
    <row r="393" spans="1:26" ht="20.100000000000001" customHeight="1" x14ac:dyDescent="0.2">
      <c r="A393" s="798">
        <f t="shared" si="188"/>
        <v>596</v>
      </c>
      <c r="B393" s="817">
        <v>42829</v>
      </c>
      <c r="C393" s="842">
        <v>2360.16</v>
      </c>
      <c r="D393" s="814">
        <f t="shared" si="185"/>
        <v>5.5959709009500806E-4</v>
      </c>
      <c r="E393" s="841">
        <f t="shared" si="175"/>
        <v>0.12258138163276945</v>
      </c>
      <c r="F393" s="838">
        <v>5898.6</v>
      </c>
      <c r="G393" s="814">
        <f t="shared" si="191"/>
        <v>6.6500641256184774E-4</v>
      </c>
      <c r="H393" s="819">
        <f t="shared" si="176"/>
        <v>0.15847359428088861</v>
      </c>
      <c r="I393" s="821">
        <v>422816.59</v>
      </c>
      <c r="J393" s="822">
        <v>400000</v>
      </c>
      <c r="K393" s="822">
        <f t="shared" si="177"/>
        <v>2027.7300000000396</v>
      </c>
      <c r="L393" s="814">
        <f t="shared" si="190"/>
        <v>4.8188775719966532E-3</v>
      </c>
      <c r="M393" s="839">
        <f t="shared" si="178"/>
        <v>22816.590000000026</v>
      </c>
      <c r="N393" s="824">
        <f t="shared" si="189"/>
        <v>5.7041475000000064E-2</v>
      </c>
      <c r="O393" s="808">
        <f t="shared" si="192"/>
        <v>3.4957044872063796E-2</v>
      </c>
      <c r="P393" s="839" t="b">
        <f t="shared" si="180"/>
        <v>1</v>
      </c>
      <c r="Q393" s="824">
        <f>COUNTIF(P$2:P393, TRUE)/(COUNTIF(P$2:P393,FALSE) + COUNTIF(P$2:P393, TRUE))</f>
        <v>0.48979591836734693</v>
      </c>
      <c r="R393" s="822">
        <v>279812.09999999998</v>
      </c>
      <c r="S393" s="822">
        <f t="shared" si="181"/>
        <v>143004.49000000005</v>
      </c>
      <c r="T393" s="822">
        <v>-31748</v>
      </c>
      <c r="U393" s="822">
        <f t="shared" si="182"/>
        <v>54564.590000000026</v>
      </c>
      <c r="V393" s="824">
        <f>STDEV(D$2:D393)*SQRT(252)</f>
        <v>0.15354632404261861</v>
      </c>
      <c r="W393" s="824">
        <f>STDEV(L$2:L393)*SQRT(252)</f>
        <v>0.33305315734956037</v>
      </c>
      <c r="X393" s="823">
        <f t="shared" si="164"/>
        <v>0.48924799346575887</v>
      </c>
      <c r="Y393" s="823">
        <f t="shared" si="165"/>
        <v>0.10495935588856815</v>
      </c>
      <c r="Z393" s="829">
        <f t="shared" si="166"/>
        <v>-6.5539906632769387E-2</v>
      </c>
    </row>
    <row r="394" spans="1:26" ht="20.100000000000001" customHeight="1" x14ac:dyDescent="0.2">
      <c r="A394" s="798">
        <f t="shared" si="188"/>
        <v>597</v>
      </c>
      <c r="B394" s="817">
        <v>42830</v>
      </c>
      <c r="C394" s="842">
        <v>2352.9499999999998</v>
      </c>
      <c r="D394" s="814">
        <f t="shared" si="185"/>
        <v>-3.054877635414564E-3</v>
      </c>
      <c r="E394" s="841">
        <f t="shared" si="175"/>
        <v>0.11915203287608672</v>
      </c>
      <c r="F394" s="838">
        <v>5864.47</v>
      </c>
      <c r="G394" s="814">
        <f t="shared" si="191"/>
        <v>-5.7861187400400273E-3</v>
      </c>
      <c r="H394" s="819">
        <f t="shared" ref="H394:H425" si="193">(F394-F$2)/F$2</f>
        <v>0.15177052850717845</v>
      </c>
      <c r="I394" s="821">
        <v>421093.29</v>
      </c>
      <c r="J394" s="822">
        <v>400000</v>
      </c>
      <c r="K394" s="822">
        <f t="shared" ref="K394:K425" si="194">I394-I393-J394+J393</f>
        <v>-1723.3000000000466</v>
      </c>
      <c r="L394" s="814">
        <f t="shared" si="190"/>
        <v>-4.0757624955067313E-3</v>
      </c>
      <c r="M394" s="839">
        <f t="shared" si="178"/>
        <v>21093.289999999979</v>
      </c>
      <c r="N394" s="824">
        <f t="shared" si="189"/>
        <v>5.2733224999999946E-2</v>
      </c>
      <c r="O394" s="808">
        <f t="shared" si="192"/>
        <v>3.2262664038944691E-2</v>
      </c>
      <c r="P394" s="839" t="b">
        <f t="shared" si="180"/>
        <v>0</v>
      </c>
      <c r="Q394" s="824">
        <f>COUNTIF(P$2:P394, TRUE)/(COUNTIF(P$2:P394,FALSE) + COUNTIF(P$2:P394, TRUE))</f>
        <v>0.48854961832061067</v>
      </c>
      <c r="R394" s="822">
        <v>275976.95</v>
      </c>
      <c r="S394" s="822">
        <f t="shared" ref="S394:S425" si="195">I394-R394</f>
        <v>145116.33999999997</v>
      </c>
      <c r="T394" s="822">
        <v>-31864</v>
      </c>
      <c r="U394" s="822">
        <f t="shared" ref="U394:U425" si="196">M394-T394</f>
        <v>52957.289999999979</v>
      </c>
      <c r="V394" s="824">
        <f>STDEV(D$2:D394)*SQRT(252)</f>
        <v>0.15337403613806713</v>
      </c>
      <c r="W394" s="824">
        <f>STDEV(L$2:L394)*SQRT(252)</f>
        <v>0.33264809996553257</v>
      </c>
      <c r="X394" s="823">
        <f t="shared" si="164"/>
        <v>0.47529747085124752</v>
      </c>
      <c r="Y394" s="823">
        <f t="shared" si="165"/>
        <v>9.6987369061442397E-2</v>
      </c>
      <c r="Z394" s="829">
        <f t="shared" si="166"/>
        <v>-6.6418807876086783E-2</v>
      </c>
    </row>
    <row r="395" spans="1:26" ht="20.100000000000001" customHeight="1" x14ac:dyDescent="0.2">
      <c r="A395" s="798">
        <f t="shared" si="188"/>
        <v>598</v>
      </c>
      <c r="B395" s="817">
        <v>42831</v>
      </c>
      <c r="C395" s="842">
        <v>2357.4899999999998</v>
      </c>
      <c r="D395" s="814">
        <f t="shared" si="185"/>
        <v>1.9294927644021181E-3</v>
      </c>
      <c r="E395" s="841">
        <f t="shared" si="175"/>
        <v>0.12131142862578705</v>
      </c>
      <c r="F395" s="838">
        <v>5878.95</v>
      </c>
      <c r="G395" s="814">
        <f t="shared" si="191"/>
        <v>2.4691063301542277E-3</v>
      </c>
      <c r="H395" s="819">
        <f t="shared" si="193"/>
        <v>0.15461437241000059</v>
      </c>
      <c r="I395" s="821">
        <v>424138.1</v>
      </c>
      <c r="J395" s="822">
        <v>400000</v>
      </c>
      <c r="K395" s="822">
        <f t="shared" si="194"/>
        <v>3044.8099999999977</v>
      </c>
      <c r="L395" s="814">
        <f t="shared" si="190"/>
        <v>7.2307255240281736E-3</v>
      </c>
      <c r="M395" s="839">
        <f t="shared" si="178"/>
        <v>24138.099999999977</v>
      </c>
      <c r="N395" s="824">
        <f t="shared" si="189"/>
        <v>6.0345249999999941E-2</v>
      </c>
      <c r="O395" s="808">
        <f t="shared" si="192"/>
        <v>3.6858031040969866E-2</v>
      </c>
      <c r="P395" s="839" t="b">
        <f t="shared" si="180"/>
        <v>1</v>
      </c>
      <c r="Q395" s="824">
        <f>COUNTIF(P$2:P395, TRUE)/(COUNTIF(P$2:P395,FALSE) + COUNTIF(P$2:P395, TRUE))</f>
        <v>0.48984771573604063</v>
      </c>
      <c r="R395" s="822">
        <v>278419.3</v>
      </c>
      <c r="S395" s="822">
        <f t="shared" si="195"/>
        <v>145718.79999999999</v>
      </c>
      <c r="T395" s="822">
        <v>-32100</v>
      </c>
      <c r="U395" s="822">
        <f t="shared" si="196"/>
        <v>56238.099999999977</v>
      </c>
      <c r="V395" s="824">
        <f>STDEV(D$2:D395)*SQRT(252)</f>
        <v>0.15318361130660466</v>
      </c>
      <c r="W395" s="824">
        <f>STDEV(L$2:L395)*SQRT(252)</f>
        <v>0.33226612910747538</v>
      </c>
      <c r="X395" s="823">
        <f t="shared" si="164"/>
        <v>0.48370263589223456</v>
      </c>
      <c r="Y395" s="823">
        <f t="shared" si="165"/>
        <v>0.11092924560194248</v>
      </c>
      <c r="Z395" s="829">
        <f t="shared" si="166"/>
        <v>-6.0966178625787106E-2</v>
      </c>
    </row>
    <row r="396" spans="1:26" ht="20.100000000000001" customHeight="1" x14ac:dyDescent="0.2">
      <c r="A396" s="798">
        <f t="shared" si="188"/>
        <v>599</v>
      </c>
      <c r="B396" s="817">
        <v>42832</v>
      </c>
      <c r="C396" s="842">
        <v>2355.54</v>
      </c>
      <c r="D396" s="814">
        <f t="shared" si="185"/>
        <v>-8.2715091050219439E-4</v>
      </c>
      <c r="E396" s="841">
        <f t="shared" si="175"/>
        <v>0.12038393485664271</v>
      </c>
      <c r="F396" s="838">
        <v>5877.81</v>
      </c>
      <c r="G396" s="814">
        <f t="shared" si="191"/>
        <v>-1.9391217819498687E-4</v>
      </c>
      <c r="H396" s="819">
        <f t="shared" si="193"/>
        <v>0.15439047862207134</v>
      </c>
      <c r="I396" s="821">
        <v>423331.5</v>
      </c>
      <c r="J396" s="822">
        <v>400000</v>
      </c>
      <c r="K396" s="822">
        <f t="shared" si="194"/>
        <v>-806.59999999997672</v>
      </c>
      <c r="L396" s="814">
        <f t="shared" si="190"/>
        <v>-1.901739079794946E-3</v>
      </c>
      <c r="M396" s="839">
        <f t="shared" si="178"/>
        <v>23331.5</v>
      </c>
      <c r="N396" s="824">
        <f t="shared" si="189"/>
        <v>5.8328749999999999E-2</v>
      </c>
      <c r="O396" s="808">
        <f t="shared" si="192"/>
        <v>3.5566904737061769E-2</v>
      </c>
      <c r="P396" s="839" t="b">
        <f t="shared" si="180"/>
        <v>0</v>
      </c>
      <c r="Q396" s="824">
        <f>COUNTIF(P$2:P396, TRUE)/(COUNTIF(P$2:P396,FALSE) + COUNTIF(P$2:P396, TRUE))</f>
        <v>0.48860759493670886</v>
      </c>
      <c r="R396" s="822">
        <v>280798.7</v>
      </c>
      <c r="S396" s="822">
        <f t="shared" si="195"/>
        <v>142532.79999999999</v>
      </c>
      <c r="T396" s="822">
        <v>-32984</v>
      </c>
      <c r="U396" s="822">
        <f t="shared" si="196"/>
        <v>56315.5</v>
      </c>
      <c r="V396" s="824">
        <f>STDEV(D$2:D396)*SQRT(252)</f>
        <v>0.15299143349186958</v>
      </c>
      <c r="W396" s="824">
        <f>STDEV(L$2:L396)*SQRT(252)</f>
        <v>0.33184917870470027</v>
      </c>
      <c r="X396" s="823">
        <f t="shared" si="164"/>
        <v>0.4798050590690206</v>
      </c>
      <c r="Y396" s="823">
        <f t="shared" si="165"/>
        <v>0.10717792002948237</v>
      </c>
      <c r="Z396" s="829">
        <f t="shared" si="166"/>
        <v>-6.2055184856642714E-2</v>
      </c>
    </row>
    <row r="397" spans="1:26" ht="20.100000000000001" customHeight="1" x14ac:dyDescent="0.2">
      <c r="A397" s="798">
        <f t="shared" si="188"/>
        <v>602</v>
      </c>
      <c r="B397" s="846">
        <v>42835</v>
      </c>
      <c r="C397" s="857">
        <v>2357.16</v>
      </c>
      <c r="D397" s="814">
        <f t="shared" si="185"/>
        <v>6.8774039073838311E-4</v>
      </c>
      <c r="E397" s="848">
        <f t="shared" si="175"/>
        <v>0.12115446814177802</v>
      </c>
      <c r="F397" s="849">
        <v>5880.92</v>
      </c>
      <c r="G397" s="814">
        <f t="shared" si="191"/>
        <v>5.2910863059535309E-4</v>
      </c>
      <c r="H397" s="850">
        <f t="shared" si="193"/>
        <v>0.15500127658738738</v>
      </c>
      <c r="I397" s="859">
        <v>425409.3</v>
      </c>
      <c r="J397" s="852">
        <v>400000</v>
      </c>
      <c r="K397" s="852">
        <f t="shared" si="194"/>
        <v>2077.7999999999884</v>
      </c>
      <c r="L397" s="814">
        <f t="shared" si="190"/>
        <v>4.9082102324064904E-3</v>
      </c>
      <c r="M397" s="861">
        <f t="shared" si="178"/>
        <v>25409.299999999988</v>
      </c>
      <c r="N397" s="854">
        <f t="shared" si="189"/>
        <v>6.3523249999999976E-2</v>
      </c>
      <c r="O397" s="808">
        <f t="shared" si="192"/>
        <v>3.854130741279068E-2</v>
      </c>
      <c r="P397" s="853" t="b">
        <f t="shared" si="180"/>
        <v>1</v>
      </c>
      <c r="Q397" s="854">
        <f>COUNTIF(P$2:P397, TRUE)/(COUNTIF(P$2:P397,FALSE) + COUNTIF(P$2:P397, TRUE))</f>
        <v>0.48989898989898989</v>
      </c>
      <c r="R397" s="852">
        <v>285684.5</v>
      </c>
      <c r="S397" s="852">
        <f t="shared" si="195"/>
        <v>139724.79999999999</v>
      </c>
      <c r="T397" s="852">
        <v>-32983</v>
      </c>
      <c r="U397" s="852">
        <f t="shared" si="196"/>
        <v>58392.299999999988</v>
      </c>
      <c r="V397" s="854">
        <f>STDEV(D$2:D397)*SQRT(252)</f>
        <v>0.15279741867910826</v>
      </c>
      <c r="W397" s="854">
        <f>STDEV(L$2:L397)*SQRT(252)</f>
        <v>0.3314456683195206</v>
      </c>
      <c r="X397" s="823">
        <f t="shared" si="164"/>
        <v>0.48107983277035776</v>
      </c>
      <c r="Y397" s="823">
        <f t="shared" si="165"/>
        <v>0.11628242905753122</v>
      </c>
      <c r="Z397" s="829">
        <f t="shared" si="166"/>
        <v>-5.7631218141778046E-2</v>
      </c>
    </row>
    <row r="398" spans="1:26" ht="20.100000000000001" customHeight="1" x14ac:dyDescent="0.2">
      <c r="A398" s="798">
        <f t="shared" si="188"/>
        <v>603</v>
      </c>
      <c r="B398" s="846">
        <v>42836</v>
      </c>
      <c r="C398" s="857">
        <v>2353.7800000000002</v>
      </c>
      <c r="D398" s="814">
        <f t="shared" si="185"/>
        <v>-1.4339289653649539E-3</v>
      </c>
      <c r="E398" s="848">
        <f t="shared" si="175"/>
        <v>0.11954681227526119</v>
      </c>
      <c r="F398" s="849">
        <v>5866.77</v>
      </c>
      <c r="G398" s="814">
        <f t="shared" si="191"/>
        <v>-2.4060861225793984E-3</v>
      </c>
      <c r="H398" s="850">
        <f t="shared" si="193"/>
        <v>0.15222224404422896</v>
      </c>
      <c r="I398" s="859">
        <v>423985</v>
      </c>
      <c r="J398" s="852">
        <v>400000</v>
      </c>
      <c r="K398" s="852">
        <f t="shared" si="194"/>
        <v>-1424.2999999999884</v>
      </c>
      <c r="L398" s="814">
        <f t="shared" si="190"/>
        <v>-3.3480697295521947E-3</v>
      </c>
      <c r="M398" s="861">
        <f t="shared" si="178"/>
        <v>23985</v>
      </c>
      <c r="N398" s="854">
        <f t="shared" si="189"/>
        <v>5.9962500000000002E-2</v>
      </c>
      <c r="O398" s="808">
        <f t="shared" si="192"/>
        <v>3.6320569029850744E-2</v>
      </c>
      <c r="P398" s="853" t="b">
        <f t="shared" si="180"/>
        <v>0</v>
      </c>
      <c r="Q398" s="854">
        <f>COUNTIF(P$2:P398, TRUE)/(COUNTIF(P$2:P398,FALSE) + COUNTIF(P$2:P398, TRUE))</f>
        <v>0.48866498740554154</v>
      </c>
      <c r="R398" s="852">
        <v>291945.2</v>
      </c>
      <c r="S398" s="852">
        <f t="shared" si="195"/>
        <v>132039.79999999999</v>
      </c>
      <c r="T398" s="852">
        <v>-32982</v>
      </c>
      <c r="U398" s="852">
        <f t="shared" si="196"/>
        <v>56967</v>
      </c>
      <c r="V398" s="854">
        <f>STDEV(D$2:D398)*SQRT(252)</f>
        <v>0.15261041063464104</v>
      </c>
      <c r="W398" s="854">
        <f>STDEV(L$2:L398)*SQRT(252)</f>
        <v>0.33104089578978618</v>
      </c>
      <c r="X398" s="823">
        <f t="shared" si="164"/>
        <v>0.47448965875338012</v>
      </c>
      <c r="Y398" s="823">
        <f t="shared" si="165"/>
        <v>0.10971626011100036</v>
      </c>
      <c r="Z398" s="829">
        <f t="shared" si="166"/>
        <v>-5.9584312275261189E-2</v>
      </c>
    </row>
    <row r="399" spans="1:26" ht="20.100000000000001" customHeight="1" x14ac:dyDescent="0.2">
      <c r="A399" s="798">
        <f t="shared" si="188"/>
        <v>604</v>
      </c>
      <c r="B399" s="846">
        <v>42837</v>
      </c>
      <c r="C399" s="857">
        <v>2344.9299999999998</v>
      </c>
      <c r="D399" s="814">
        <f t="shared" si="185"/>
        <v>-3.7599095922305243E-3</v>
      </c>
      <c r="E399" s="848">
        <f t="shared" si="175"/>
        <v>0.11533741747683633</v>
      </c>
      <c r="F399" s="849">
        <v>5836.16</v>
      </c>
      <c r="G399" s="814">
        <f t="shared" si="191"/>
        <v>-5.2175217368331432E-3</v>
      </c>
      <c r="H399" s="850">
        <f t="shared" si="193"/>
        <v>0.14621049944026554</v>
      </c>
      <c r="I399" s="859">
        <v>422212.73</v>
      </c>
      <c r="J399" s="852">
        <v>400000</v>
      </c>
      <c r="K399" s="852">
        <f t="shared" si="194"/>
        <v>-1772.2700000000186</v>
      </c>
      <c r="L399" s="814">
        <f t="shared" si="190"/>
        <v>-4.1800299538899219E-3</v>
      </c>
      <c r="M399" s="861">
        <f t="shared" si="178"/>
        <v>22212.729999999981</v>
      </c>
      <c r="N399" s="854">
        <f t="shared" si="189"/>
        <v>5.5531824999999951E-2</v>
      </c>
      <c r="O399" s="808">
        <f t="shared" si="192"/>
        <v>3.3581124306705269E-2</v>
      </c>
      <c r="P399" s="853" t="b">
        <f t="shared" si="180"/>
        <v>0</v>
      </c>
      <c r="Q399" s="854">
        <f>COUNTIF(P$2:P399, TRUE)/(COUNTIF(P$2:P399,FALSE) + COUNTIF(P$2:P399, TRUE))</f>
        <v>0.48743718592964824</v>
      </c>
      <c r="R399" s="852">
        <v>291946.2</v>
      </c>
      <c r="S399" s="852">
        <f t="shared" si="195"/>
        <v>130266.52999999997</v>
      </c>
      <c r="T399" s="852">
        <v>-32526</v>
      </c>
      <c r="U399" s="852">
        <f t="shared" si="196"/>
        <v>54738.729999999981</v>
      </c>
      <c r="V399" s="854">
        <f>STDEV(D$2:D399)*SQRT(252)</f>
        <v>0.15245244674413128</v>
      </c>
      <c r="W399" s="854">
        <f>STDEV(L$2:L399)*SQRT(252)</f>
        <v>0.33064456752182653</v>
      </c>
      <c r="X399" s="823">
        <f t="shared" si="164"/>
        <v>0.45749790537885804</v>
      </c>
      <c r="Y399" s="823">
        <f t="shared" si="165"/>
        <v>0.10156260711734968</v>
      </c>
      <c r="Z399" s="829">
        <f t="shared" si="166"/>
        <v>-5.9805592476836381E-2</v>
      </c>
    </row>
    <row r="400" spans="1:26" ht="20.100000000000001" customHeight="1" x14ac:dyDescent="0.2">
      <c r="A400" s="798">
        <f t="shared" si="188"/>
        <v>605</v>
      </c>
      <c r="B400" s="846">
        <v>42838</v>
      </c>
      <c r="C400" s="857">
        <v>2328.9499999999998</v>
      </c>
      <c r="D400" s="814">
        <f t="shared" si="185"/>
        <v>-6.8147023578529076E-3</v>
      </c>
      <c r="E400" s="848">
        <f t="shared" si="175"/>
        <v>0.10773672494815537</v>
      </c>
      <c r="F400" s="849">
        <v>5805.15</v>
      </c>
      <c r="G400" s="814">
        <f t="shared" si="191"/>
        <v>-5.3134252659283194E-3</v>
      </c>
      <c r="H400" s="850">
        <f t="shared" si="193"/>
        <v>0.14012019561246733</v>
      </c>
      <c r="I400" s="859">
        <v>418306.53</v>
      </c>
      <c r="J400" s="852">
        <v>400000</v>
      </c>
      <c r="K400" s="852">
        <f t="shared" si="194"/>
        <v>-3906.1999999999534</v>
      </c>
      <c r="L400" s="814">
        <f t="shared" si="190"/>
        <v>-9.2517343093846405E-3</v>
      </c>
      <c r="M400" s="861">
        <f t="shared" si="178"/>
        <v>18306.530000000028</v>
      </c>
      <c r="N400" s="854">
        <f t="shared" si="189"/>
        <v>4.5766325000000073E-2</v>
      </c>
      <c r="O400" s="808">
        <f t="shared" si="192"/>
        <v>2.7630000340909136E-2</v>
      </c>
      <c r="P400" s="853" t="b">
        <f t="shared" si="180"/>
        <v>0</v>
      </c>
      <c r="Q400" s="854">
        <f>COUNTIF(P$2:P400, TRUE)/(COUNTIF(P$2:P400,FALSE) + COUNTIF(P$2:P400, TRUE))</f>
        <v>0.48621553884711777</v>
      </c>
      <c r="R400" s="852">
        <v>286240.8</v>
      </c>
      <c r="S400" s="852">
        <f t="shared" si="195"/>
        <v>132065.73000000004</v>
      </c>
      <c r="T400" s="852">
        <v>-33099</v>
      </c>
      <c r="U400" s="852">
        <f t="shared" si="196"/>
        <v>51405.530000000028</v>
      </c>
      <c r="V400" s="854">
        <f>STDEV(D$2:D400)*SQRT(252)</f>
        <v>0.15236615023728597</v>
      </c>
      <c r="W400" s="854">
        <f>STDEV(L$2:L400)*SQRT(252)</f>
        <v>0.33032064931831551</v>
      </c>
      <c r="X400" s="823">
        <f t="shared" si="164"/>
        <v>0.42688424323951168</v>
      </c>
      <c r="Y400" s="823">
        <f t="shared" si="165"/>
        <v>8.3645997905154632E-2</v>
      </c>
      <c r="Z400" s="829">
        <f t="shared" si="166"/>
        <v>-6.1970399948155293E-2</v>
      </c>
    </row>
    <row r="401" spans="1:26" ht="20.100000000000001" customHeight="1" x14ac:dyDescent="0.2">
      <c r="A401" s="798">
        <f t="shared" si="188"/>
        <v>609</v>
      </c>
      <c r="B401" s="817">
        <v>42842</v>
      </c>
      <c r="C401" s="842">
        <v>2349.0100000000002</v>
      </c>
      <c r="D401" s="814">
        <f t="shared" si="185"/>
        <v>8.6133236007644651E-3</v>
      </c>
      <c r="E401" s="841">
        <f t="shared" si="175"/>
        <v>0.11727801982458484</v>
      </c>
      <c r="F401" s="838">
        <v>5856.78</v>
      </c>
      <c r="G401" s="814">
        <f t="shared" si="191"/>
        <v>8.8938270328932263E-3</v>
      </c>
      <c r="H401" s="819">
        <f t="shared" si="193"/>
        <v>0.15026022742895298</v>
      </c>
      <c r="I401" s="821">
        <v>420202.33</v>
      </c>
      <c r="J401" s="822">
        <v>400000</v>
      </c>
      <c r="K401" s="822">
        <f t="shared" si="194"/>
        <v>1895.7999999999884</v>
      </c>
      <c r="L401" s="814">
        <f t="shared" si="190"/>
        <v>4.5320832070204313E-3</v>
      </c>
      <c r="M401" s="839">
        <f t="shared" si="178"/>
        <v>20202.330000000016</v>
      </c>
      <c r="N401" s="824">
        <f t="shared" si="189"/>
        <v>5.0505825000000039E-2</v>
      </c>
      <c r="O401" s="808">
        <f t="shared" si="192"/>
        <v>3.0291055141625639E-2</v>
      </c>
      <c r="P401" s="839" t="b">
        <f t="shared" si="180"/>
        <v>0</v>
      </c>
      <c r="Q401" s="824">
        <f>COUNTIF(P$2:P401, TRUE)/(COUNTIF(P$2:P401,FALSE) + COUNTIF(P$2:P401, TRUE))</f>
        <v>0.48499999999999999</v>
      </c>
      <c r="R401" s="822">
        <v>288136.59999999998</v>
      </c>
      <c r="S401" s="822">
        <f t="shared" si="195"/>
        <v>132065.73000000004</v>
      </c>
      <c r="T401" s="822">
        <v>-32580</v>
      </c>
      <c r="U401" s="822">
        <f t="shared" si="196"/>
        <v>52782.330000000016</v>
      </c>
      <c r="V401" s="824">
        <f>STDEV(D$2:D401)*SQRT(252)</f>
        <v>0.15231786401444669</v>
      </c>
      <c r="W401" s="824">
        <f>STDEV(L$2:L401)*SQRT(252)</f>
        <v>0.32992050318629979</v>
      </c>
      <c r="X401" s="823">
        <f t="shared" si="164"/>
        <v>0.46178382383500471</v>
      </c>
      <c r="Y401" s="823">
        <f t="shared" si="165"/>
        <v>9.1813193933330234E-2</v>
      </c>
      <c r="Z401" s="829">
        <f t="shared" si="166"/>
        <v>-6.6772194824584796E-2</v>
      </c>
    </row>
    <row r="402" spans="1:26" ht="20.100000000000001" customHeight="1" x14ac:dyDescent="0.2">
      <c r="A402" s="798">
        <f t="shared" si="188"/>
        <v>610</v>
      </c>
      <c r="B402" s="817">
        <v>42843</v>
      </c>
      <c r="C402" s="842">
        <v>2342.19</v>
      </c>
      <c r="D402" s="814">
        <f t="shared" si="185"/>
        <v>-2.9033507733045678E-3</v>
      </c>
      <c r="E402" s="841">
        <f t="shared" si="175"/>
        <v>0.11403416982173094</v>
      </c>
      <c r="F402" s="838">
        <v>5849.47</v>
      </c>
      <c r="G402" s="814">
        <f t="shared" ref="G402:G411" si="197">(F402-F401)/F401</f>
        <v>-1.2481261034219299E-3</v>
      </c>
      <c r="H402" s="819">
        <f t="shared" si="193"/>
        <v>0.14882455761337088</v>
      </c>
      <c r="I402" s="821">
        <v>417764.53</v>
      </c>
      <c r="J402" s="822">
        <v>400000</v>
      </c>
      <c r="K402" s="822">
        <f t="shared" si="194"/>
        <v>-2437.7999999999884</v>
      </c>
      <c r="L402" s="814">
        <f t="shared" ref="L402:L411" si="198">K402/I401</f>
        <v>-5.801490915102704E-3</v>
      </c>
      <c r="M402" s="839">
        <f t="shared" si="178"/>
        <v>17764.530000000028</v>
      </c>
      <c r="N402" s="824">
        <f t="shared" si="189"/>
        <v>4.4411325000000071E-2</v>
      </c>
      <c r="O402" s="808">
        <f t="shared" si="192"/>
        <v>2.6592190911885288E-2</v>
      </c>
      <c r="P402" s="839" t="b">
        <f t="shared" si="180"/>
        <v>0</v>
      </c>
      <c r="Q402" s="824">
        <f>COUNTIF(P$2:P402, TRUE)/(COUNTIF(P$2:P402,FALSE) + COUNTIF(P$2:P402, TRUE))</f>
        <v>0.48379052369077308</v>
      </c>
      <c r="R402" s="822">
        <v>290653.2</v>
      </c>
      <c r="S402" s="822">
        <f t="shared" si="195"/>
        <v>127111.33000000002</v>
      </c>
      <c r="T402" s="822">
        <v>-32684</v>
      </c>
      <c r="U402" s="822">
        <f t="shared" si="196"/>
        <v>50448.530000000028</v>
      </c>
      <c r="V402" s="824">
        <f>STDEV(D$2:D402)*SQRT(252)</f>
        <v>0.15214843271809947</v>
      </c>
      <c r="W402" s="824">
        <f>STDEV(L$2:L402)*SQRT(252)</f>
        <v>0.32954563372803763</v>
      </c>
      <c r="X402" s="823">
        <f t="shared" si="164"/>
        <v>0.44877423136553851</v>
      </c>
      <c r="Y402" s="823">
        <f t="shared" si="165"/>
        <v>8.0693500960874159E-2</v>
      </c>
      <c r="Z402" s="829">
        <f t="shared" si="166"/>
        <v>-6.9622844821730867E-2</v>
      </c>
    </row>
    <row r="403" spans="1:26" ht="20.100000000000001" customHeight="1" x14ac:dyDescent="0.2">
      <c r="A403" s="798">
        <f t="shared" si="188"/>
        <v>611</v>
      </c>
      <c r="B403" s="817">
        <v>42844</v>
      </c>
      <c r="C403" s="842">
        <v>2338.17</v>
      </c>
      <c r="D403" s="814">
        <f t="shared" si="185"/>
        <v>-1.716342397499768E-3</v>
      </c>
      <c r="E403" s="841">
        <f t="shared" si="175"/>
        <v>0.11212210574380245</v>
      </c>
      <c r="F403" s="838">
        <v>5863.03</v>
      </c>
      <c r="G403" s="814">
        <f t="shared" si="197"/>
        <v>2.3181587391677347E-3</v>
      </c>
      <c r="H403" s="819">
        <f t="shared" si="193"/>
        <v>0.15148771530137281</v>
      </c>
      <c r="I403" s="821">
        <v>412053.83</v>
      </c>
      <c r="J403" s="822">
        <v>400000</v>
      </c>
      <c r="K403" s="822">
        <f t="shared" si="194"/>
        <v>-5710.7000000000116</v>
      </c>
      <c r="L403" s="814">
        <f t="shared" si="198"/>
        <v>-1.3669662189846542E-2</v>
      </c>
      <c r="M403" s="839">
        <f t="shared" si="178"/>
        <v>12053.830000000016</v>
      </c>
      <c r="N403" s="824">
        <f t="shared" si="189"/>
        <v>3.0134575000000042E-2</v>
      </c>
      <c r="O403" s="808">
        <f t="shared" si="192"/>
        <v>1.801416287847793E-2</v>
      </c>
      <c r="P403" s="839" t="b">
        <f t="shared" si="180"/>
        <v>0</v>
      </c>
      <c r="Q403" s="824">
        <f>COUNTIF(P$2:P403, TRUE)/(COUNTIF(P$2:P403,FALSE) + COUNTIF(P$2:P403, TRUE))</f>
        <v>0.48258706467661694</v>
      </c>
      <c r="R403" s="822">
        <v>290014.5</v>
      </c>
      <c r="S403" s="822">
        <f t="shared" si="195"/>
        <v>122039.33000000002</v>
      </c>
      <c r="T403" s="822">
        <v>-34379</v>
      </c>
      <c r="U403" s="822">
        <f t="shared" si="196"/>
        <v>46432.830000000016</v>
      </c>
      <c r="V403" s="824">
        <f>STDEV(D$2:D403)*SQRT(252)</f>
        <v>0.15196666630040803</v>
      </c>
      <c r="W403" s="824">
        <f>STDEV(L$2:L403)*SQRT(252)</f>
        <v>0.32932657085630085</v>
      </c>
      <c r="X403" s="823">
        <f t="shared" si="164"/>
        <v>0.4410541608310396</v>
      </c>
      <c r="Y403" s="823">
        <f t="shared" si="165"/>
        <v>5.4699998337936338E-2</v>
      </c>
      <c r="Z403" s="829">
        <f t="shared" si="166"/>
        <v>-8.1987530743802411E-2</v>
      </c>
    </row>
    <row r="404" spans="1:26" ht="20.100000000000001" customHeight="1" x14ac:dyDescent="0.2">
      <c r="A404" s="798">
        <f t="shared" si="188"/>
        <v>612</v>
      </c>
      <c r="B404" s="817">
        <v>42845</v>
      </c>
      <c r="C404" s="842">
        <v>2355.84</v>
      </c>
      <c r="D404" s="814">
        <f t="shared" si="185"/>
        <v>7.5571921631019442E-3</v>
      </c>
      <c r="E404" s="841">
        <f t="shared" si="175"/>
        <v>0.12052662620574194</v>
      </c>
      <c r="F404" s="838">
        <v>5916.77</v>
      </c>
      <c r="G404" s="814">
        <f t="shared" si="197"/>
        <v>9.1659090947855786E-3</v>
      </c>
      <c r="H404" s="819">
        <f t="shared" si="193"/>
        <v>0.16204214702358755</v>
      </c>
      <c r="I404" s="821">
        <v>413381.09</v>
      </c>
      <c r="J404" s="822">
        <v>400000</v>
      </c>
      <c r="K404" s="822">
        <f t="shared" si="194"/>
        <v>1327.2600000000093</v>
      </c>
      <c r="L404" s="814">
        <f t="shared" si="198"/>
        <v>3.2210840025440591E-3</v>
      </c>
      <c r="M404" s="839">
        <f t="shared" si="178"/>
        <v>13381.090000000026</v>
      </c>
      <c r="N404" s="824">
        <f t="shared" si="189"/>
        <v>3.3452725000000065E-2</v>
      </c>
      <c r="O404" s="808">
        <f t="shared" si="192"/>
        <v>1.996504543504906E-2</v>
      </c>
      <c r="P404" s="839" t="b">
        <f t="shared" si="180"/>
        <v>0</v>
      </c>
      <c r="Q404" s="824">
        <f>COUNTIF(P$2:P404, TRUE)/(COUNTIF(P$2:P404,FALSE) + COUNTIF(P$2:P404, TRUE))</f>
        <v>0.4813895781637717</v>
      </c>
      <c r="R404" s="822">
        <v>286755.8</v>
      </c>
      <c r="S404" s="822">
        <f t="shared" si="195"/>
        <v>126625.29000000004</v>
      </c>
      <c r="T404" s="822">
        <v>-34560</v>
      </c>
      <c r="U404" s="822">
        <f t="shared" si="196"/>
        <v>47941.090000000026</v>
      </c>
      <c r="V404" s="824">
        <f>STDEV(D$2:D404)*SQRT(252)</f>
        <v>0.15188546729503541</v>
      </c>
      <c r="W404" s="824">
        <f>STDEV(L$2:L404)*SQRT(252)</f>
        <v>0.32892263497234886</v>
      </c>
      <c r="X404" s="823">
        <f t="shared" si="164"/>
        <v>0.47359333376435769</v>
      </c>
      <c r="Y404" s="823">
        <f t="shared" si="165"/>
        <v>6.069830200870012E-2</v>
      </c>
      <c r="Z404" s="829">
        <f t="shared" si="166"/>
        <v>-8.7073901205741877E-2</v>
      </c>
    </row>
    <row r="405" spans="1:26" ht="20.100000000000001" customHeight="1" x14ac:dyDescent="0.2">
      <c r="A405" s="798">
        <f t="shared" si="188"/>
        <v>613</v>
      </c>
      <c r="B405" s="817">
        <v>42846</v>
      </c>
      <c r="C405" s="842">
        <v>2348.69</v>
      </c>
      <c r="D405" s="814">
        <f t="shared" si="185"/>
        <v>-3.035010866612372E-3</v>
      </c>
      <c r="E405" s="841">
        <f t="shared" si="175"/>
        <v>0.11712581571887902</v>
      </c>
      <c r="F405" s="838">
        <v>5910.52</v>
      </c>
      <c r="G405" s="814">
        <f t="shared" si="197"/>
        <v>-1.0563195797707195E-3</v>
      </c>
      <c r="H405" s="819">
        <f t="shared" si="193"/>
        <v>0.16081465915116772</v>
      </c>
      <c r="I405" s="821">
        <v>413138.88</v>
      </c>
      <c r="J405" s="822">
        <v>400000</v>
      </c>
      <c r="K405" s="822">
        <f t="shared" si="194"/>
        <v>-242.21000000002095</v>
      </c>
      <c r="L405" s="814">
        <f t="shared" si="198"/>
        <v>-5.8592423760850051E-4</v>
      </c>
      <c r="M405" s="839">
        <f t="shared" si="178"/>
        <v>13138.880000000005</v>
      </c>
      <c r="N405" s="824">
        <f t="shared" si="189"/>
        <v>3.2847200000000014E-2</v>
      </c>
      <c r="O405" s="808">
        <f t="shared" si="192"/>
        <v>1.9571679934747153E-2</v>
      </c>
      <c r="P405" s="839" t="b">
        <f t="shared" si="180"/>
        <v>1</v>
      </c>
      <c r="Q405" s="824">
        <f>COUNTIF(P$2:P405, TRUE)/(COUNTIF(P$2:P405,FALSE) + COUNTIF(P$2:P405, TRUE))</f>
        <v>0.48267326732673266</v>
      </c>
      <c r="R405" s="822">
        <v>297467.59999999998</v>
      </c>
      <c r="S405" s="822">
        <f t="shared" si="195"/>
        <v>115671.28000000003</v>
      </c>
      <c r="T405" s="822">
        <v>-34397</v>
      </c>
      <c r="U405" s="822">
        <f t="shared" si="196"/>
        <v>47535.880000000005</v>
      </c>
      <c r="V405" s="824">
        <f>STDEV(D$2:D405)*SQRT(252)</f>
        <v>0.15171975521586792</v>
      </c>
      <c r="W405" s="824">
        <f>STDEV(L$2:L405)*SQRT(252)</f>
        <v>0.32851445080511427</v>
      </c>
      <c r="X405" s="823">
        <f t="shared" si="164"/>
        <v>0.45998137305342573</v>
      </c>
      <c r="Y405" s="823">
        <f t="shared" si="165"/>
        <v>5.9576313573973423E-2</v>
      </c>
      <c r="Z405" s="829">
        <f t="shared" si="166"/>
        <v>-8.4278615718879013E-2</v>
      </c>
    </row>
    <row r="406" spans="1:26" ht="20.100000000000001" customHeight="1" x14ac:dyDescent="0.2">
      <c r="A406" s="798">
        <f t="shared" si="188"/>
        <v>616</v>
      </c>
      <c r="B406" s="846">
        <v>42849</v>
      </c>
      <c r="C406" s="857">
        <v>2374.15</v>
      </c>
      <c r="D406" s="814">
        <f t="shared" si="185"/>
        <v>1.084008532415944E-2</v>
      </c>
      <c r="E406" s="848">
        <f t="shared" si="175"/>
        <v>0.12923555487909288</v>
      </c>
      <c r="F406" s="849">
        <v>5983.81</v>
      </c>
      <c r="G406" s="814">
        <f t="shared" si="197"/>
        <v>1.2399924202946604E-2</v>
      </c>
      <c r="H406" s="850">
        <f t="shared" si="193"/>
        <v>0.17520867293831149</v>
      </c>
      <c r="I406" s="859">
        <v>413141.03</v>
      </c>
      <c r="J406" s="852">
        <v>400000</v>
      </c>
      <c r="K406" s="852">
        <f t="shared" si="194"/>
        <v>2.1500000000232831</v>
      </c>
      <c r="L406" s="814">
        <f t="shared" si="198"/>
        <v>5.2040611622495641E-6</v>
      </c>
      <c r="M406" s="861">
        <f t="shared" si="178"/>
        <v>13141.030000000028</v>
      </c>
      <c r="N406" s="854">
        <f t="shared" si="189"/>
        <v>3.2852575000000071E-2</v>
      </c>
      <c r="O406" s="808">
        <f t="shared" si="192"/>
        <v>1.9479550355113676E-2</v>
      </c>
      <c r="P406" s="853" t="b">
        <f t="shared" si="180"/>
        <v>0</v>
      </c>
      <c r="Q406" s="854">
        <f>COUNTIF(P$2:P406, TRUE)/(COUNTIF(P$2:P406,FALSE) + COUNTIF(P$2:P406, TRUE))</f>
        <v>0.48148148148148145</v>
      </c>
      <c r="R406" s="852">
        <v>297462.59999999998</v>
      </c>
      <c r="S406" s="852">
        <f t="shared" si="195"/>
        <v>115678.43000000005</v>
      </c>
      <c r="T406" s="852">
        <v>-34227</v>
      </c>
      <c r="U406" s="852">
        <f t="shared" si="196"/>
        <v>47368.030000000028</v>
      </c>
      <c r="V406" s="854">
        <f>STDEV(D$2:D406)*SQRT(252)</f>
        <v>0.15175900014627838</v>
      </c>
      <c r="W406" s="854">
        <f>STDEV(L$2:L406)*SQRT(252)</f>
        <v>0.32810686732873107</v>
      </c>
      <c r="X406" s="823">
        <f t="shared" si="164"/>
        <v>0.50493685149645251</v>
      </c>
      <c r="Y406" s="823">
        <f t="shared" si="165"/>
        <v>5.9369529549032775E-2</v>
      </c>
      <c r="Z406" s="829">
        <f t="shared" si="166"/>
        <v>-9.6382979879092806E-2</v>
      </c>
    </row>
    <row r="407" spans="1:26" ht="20.100000000000001" customHeight="1" x14ac:dyDescent="0.2">
      <c r="A407" s="798">
        <f t="shared" si="188"/>
        <v>617</v>
      </c>
      <c r="B407" s="846">
        <v>42850</v>
      </c>
      <c r="C407" s="857">
        <v>2388.61</v>
      </c>
      <c r="D407" s="814">
        <f t="shared" si="185"/>
        <v>6.0906008466188053E-3</v>
      </c>
      <c r="E407" s="848">
        <f t="shared" si="175"/>
        <v>0.13611327790567154</v>
      </c>
      <c r="F407" s="849">
        <v>6025.49</v>
      </c>
      <c r="G407" s="814">
        <f t="shared" si="197"/>
        <v>6.9654618044355313E-3</v>
      </c>
      <c r="H407" s="850">
        <f t="shared" si="193"/>
        <v>0.18339454406190467</v>
      </c>
      <c r="I407" s="859">
        <v>416914.62</v>
      </c>
      <c r="J407" s="852">
        <v>400000</v>
      </c>
      <c r="K407" s="852">
        <f t="shared" si="194"/>
        <v>3773.5899999999674</v>
      </c>
      <c r="L407" s="814">
        <f t="shared" si="198"/>
        <v>9.1339027740720089E-3</v>
      </c>
      <c r="M407" s="861">
        <f t="shared" si="178"/>
        <v>16914.619999999995</v>
      </c>
      <c r="N407" s="854">
        <f t="shared" si="189"/>
        <v>4.2286549999999985E-2</v>
      </c>
      <c r="O407" s="808">
        <f t="shared" si="192"/>
        <v>2.5032678099675843E-2</v>
      </c>
      <c r="P407" s="853" t="b">
        <f t="shared" si="180"/>
        <v>1</v>
      </c>
      <c r="Q407" s="854">
        <f>COUNTIF(P$2:P407, TRUE)/(COUNTIF(P$2:P407,FALSE) + COUNTIF(P$2:P407, TRUE))</f>
        <v>0.48275862068965519</v>
      </c>
      <c r="R407" s="852">
        <v>296317.5</v>
      </c>
      <c r="S407" s="852">
        <f t="shared" si="195"/>
        <v>120597.12</v>
      </c>
      <c r="T407" s="852">
        <v>-34395</v>
      </c>
      <c r="U407" s="852">
        <f t="shared" si="196"/>
        <v>51309.619999999995</v>
      </c>
      <c r="V407" s="854">
        <f>STDEV(D$2:D407)*SQRT(252)</f>
        <v>0.15163877531320741</v>
      </c>
      <c r="W407" s="854">
        <f>STDEV(L$2:L407)*SQRT(252)</f>
        <v>0.32777093379998218</v>
      </c>
      <c r="X407" s="823">
        <f t="shared" si="164"/>
        <v>0.53136786342339004</v>
      </c>
      <c r="Y407" s="823">
        <f t="shared" si="165"/>
        <v>7.6372476990140006E-2</v>
      </c>
      <c r="Z407" s="829">
        <f t="shared" si="166"/>
        <v>-9.3826727905671564E-2</v>
      </c>
    </row>
    <row r="408" spans="1:26" ht="20.100000000000001" customHeight="1" x14ac:dyDescent="0.2">
      <c r="A408" s="798">
        <f t="shared" si="188"/>
        <v>618</v>
      </c>
      <c r="B408" s="846">
        <v>42851</v>
      </c>
      <c r="C408" s="857">
        <v>2387.4499999999998</v>
      </c>
      <c r="D408" s="814">
        <f t="shared" si="185"/>
        <v>-4.8563809077258708E-4</v>
      </c>
      <c r="E408" s="848">
        <f t="shared" si="175"/>
        <v>0.13556153802248805</v>
      </c>
      <c r="F408" s="849">
        <v>6025.22</v>
      </c>
      <c r="G408" s="814">
        <f t="shared" si="197"/>
        <v>-4.4809633739252256E-5</v>
      </c>
      <c r="H408" s="850">
        <f t="shared" si="193"/>
        <v>0.18334151658581621</v>
      </c>
      <c r="I408" s="859">
        <v>415083.58</v>
      </c>
      <c r="J408" s="852">
        <v>400000</v>
      </c>
      <c r="K408" s="852">
        <f t="shared" si="194"/>
        <v>-1831.039999999979</v>
      </c>
      <c r="L408" s="814">
        <f t="shared" si="198"/>
        <v>-4.3918824434604356E-3</v>
      </c>
      <c r="M408" s="861">
        <f t="shared" si="178"/>
        <v>15083.580000000016</v>
      </c>
      <c r="N408" s="854">
        <f t="shared" si="189"/>
        <v>3.770895000000004E-2</v>
      </c>
      <c r="O408" s="808">
        <f t="shared" si="192"/>
        <v>2.2286721662621384E-2</v>
      </c>
      <c r="P408" s="853" t="b">
        <f t="shared" si="180"/>
        <v>0</v>
      </c>
      <c r="Q408" s="854">
        <f>COUNTIF(P$2:P408, TRUE)/(COUNTIF(P$2:P408,FALSE) + COUNTIF(P$2:P408, TRUE))</f>
        <v>0.48157248157248156</v>
      </c>
      <c r="R408" s="852">
        <v>288089.59999999998</v>
      </c>
      <c r="S408" s="852">
        <f t="shared" si="195"/>
        <v>126993.98000000004</v>
      </c>
      <c r="T408" s="852">
        <v>-34530</v>
      </c>
      <c r="U408" s="852">
        <f t="shared" si="196"/>
        <v>49613.580000000016</v>
      </c>
      <c r="V408" s="854">
        <f>STDEV(D$2:D408)*SQRT(252)</f>
        <v>0.15145291849813278</v>
      </c>
      <c r="W408" s="854">
        <f>STDEV(L$2:L408)*SQRT(252)</f>
        <v>0.32738912351132043</v>
      </c>
      <c r="X408" s="823">
        <f t="shared" si="164"/>
        <v>0.5290059909618211</v>
      </c>
      <c r="Y408" s="823">
        <f t="shared" si="165"/>
        <v>6.8074105283619041E-2</v>
      </c>
      <c r="Z408" s="829">
        <f t="shared" si="166"/>
        <v>-9.7852588022488002E-2</v>
      </c>
    </row>
    <row r="409" spans="1:26" ht="20.100000000000001" customHeight="1" x14ac:dyDescent="0.2">
      <c r="A409" s="798">
        <f t="shared" si="188"/>
        <v>619</v>
      </c>
      <c r="B409" s="846">
        <v>42852</v>
      </c>
      <c r="C409" s="857">
        <v>2388.77</v>
      </c>
      <c r="D409" s="814">
        <f t="shared" si="185"/>
        <v>5.5289116002436227E-4</v>
      </c>
      <c r="E409" s="848">
        <f t="shared" si="175"/>
        <v>0.13618937995852434</v>
      </c>
      <c r="F409" s="849">
        <v>6048.93</v>
      </c>
      <c r="G409" s="814">
        <f t="shared" si="197"/>
        <v>3.9351260202947005E-3</v>
      </c>
      <c r="H409" s="850">
        <f t="shared" si="193"/>
        <v>0.18799811457862806</v>
      </c>
      <c r="I409" s="859">
        <v>412891.26</v>
      </c>
      <c r="J409" s="852">
        <v>400000</v>
      </c>
      <c r="K409" s="852">
        <f t="shared" si="194"/>
        <v>-2192.320000000007</v>
      </c>
      <c r="L409" s="814">
        <f t="shared" si="198"/>
        <v>-5.2816350866011297E-3</v>
      </c>
      <c r="M409" s="861">
        <f t="shared" si="178"/>
        <v>12891.260000000009</v>
      </c>
      <c r="N409" s="854">
        <f t="shared" si="189"/>
        <v>3.2228150000000025E-2</v>
      </c>
      <c r="O409" s="808">
        <f t="shared" si="192"/>
        <v>1.9016691094507286E-2</v>
      </c>
      <c r="P409" s="853" t="b">
        <f t="shared" si="180"/>
        <v>0</v>
      </c>
      <c r="Q409" s="854">
        <f>COUNTIF(P$2:P409, TRUE)/(COUNTIF(P$2:P409,FALSE) + COUNTIF(P$2:P409, TRUE))</f>
        <v>0.48039215686274511</v>
      </c>
      <c r="R409" s="852">
        <v>288090.59999999998</v>
      </c>
      <c r="S409" s="852">
        <f t="shared" si="195"/>
        <v>124800.66000000003</v>
      </c>
      <c r="T409" s="852">
        <v>-34529</v>
      </c>
      <c r="U409" s="852">
        <f t="shared" si="196"/>
        <v>47420.260000000009</v>
      </c>
      <c r="V409" s="854">
        <f>STDEV(D$2:D409)*SQRT(252)</f>
        <v>0.15126636249512601</v>
      </c>
      <c r="W409" s="854">
        <f>STDEV(L$2:L409)*SQRT(252)</f>
        <v>0.32701768242254636</v>
      </c>
      <c r="X409" s="823">
        <f t="shared" si="164"/>
        <v>0.53125184909668821</v>
      </c>
      <c r="Y409" s="823">
        <f t="shared" si="165"/>
        <v>5.8151874093265159E-2</v>
      </c>
      <c r="Z409" s="829">
        <f t="shared" si="166"/>
        <v>-0.10396122995852432</v>
      </c>
    </row>
    <row r="410" spans="1:26" ht="20.100000000000001" customHeight="1" x14ac:dyDescent="0.2">
      <c r="A410" s="798">
        <f t="shared" si="188"/>
        <v>620</v>
      </c>
      <c r="B410" s="846">
        <v>42853</v>
      </c>
      <c r="C410" s="857">
        <v>2384.1999999999998</v>
      </c>
      <c r="D410" s="814">
        <f t="shared" si="185"/>
        <v>-1.913118466826092E-3</v>
      </c>
      <c r="E410" s="848">
        <f t="shared" si="175"/>
        <v>0.13401571507391399</v>
      </c>
      <c r="F410" s="849">
        <v>6047.6</v>
      </c>
      <c r="G410" s="814">
        <f t="shared" si="197"/>
        <v>-2.1987359747921155E-4</v>
      </c>
      <c r="H410" s="850">
        <f t="shared" si="193"/>
        <v>0.18773690515937713</v>
      </c>
      <c r="I410" s="862">
        <v>363198.65</v>
      </c>
      <c r="J410" s="852">
        <v>350000</v>
      </c>
      <c r="K410" s="852">
        <f t="shared" si="194"/>
        <v>307.39000000001397</v>
      </c>
      <c r="L410" s="814">
        <f t="shared" si="198"/>
        <v>7.4448173109795048E-4</v>
      </c>
      <c r="M410" s="856">
        <f t="shared" si="178"/>
        <v>13198.650000000023</v>
      </c>
      <c r="N410" s="854">
        <f t="shared" si="189"/>
        <v>3.7710428571428638E-2</v>
      </c>
      <c r="O410" s="808">
        <f t="shared" si="192"/>
        <v>2.2215700057603725E-2</v>
      </c>
      <c r="P410" s="853" t="b">
        <f t="shared" si="180"/>
        <v>1</v>
      </c>
      <c r="Q410" s="854">
        <f>COUNTIF(P$2:P410, TRUE)/(COUNTIF(P$2:P410,FALSE) + COUNTIF(P$2:P410, TRUE))</f>
        <v>0.48166259168704156</v>
      </c>
      <c r="R410" s="852">
        <v>281056.2</v>
      </c>
      <c r="S410" s="852">
        <f t="shared" si="195"/>
        <v>82142.450000000012</v>
      </c>
      <c r="T410" s="852">
        <v>-33907</v>
      </c>
      <c r="U410" s="852">
        <f t="shared" si="196"/>
        <v>47105.650000000023</v>
      </c>
      <c r="V410" s="854">
        <f>STDEV(D$2:D410)*SQRT(252)</f>
        <v>0.15109096913628567</v>
      </c>
      <c r="W410" s="854">
        <f>STDEV(L$2:L410)*SQRT(252)</f>
        <v>0.32661574241785396</v>
      </c>
      <c r="X410" s="823">
        <f t="shared" si="164"/>
        <v>0.52253544627053028</v>
      </c>
      <c r="Y410" s="823">
        <f t="shared" si="165"/>
        <v>6.8017848414612544E-2</v>
      </c>
      <c r="Z410" s="829">
        <f t="shared" si="166"/>
        <v>-9.6305286502485349E-2</v>
      </c>
    </row>
    <row r="411" spans="1:26" ht="20.100000000000001" customHeight="1" x14ac:dyDescent="0.2">
      <c r="A411" s="798">
        <f t="shared" si="188"/>
        <v>623</v>
      </c>
      <c r="B411" s="817">
        <v>42856</v>
      </c>
      <c r="C411" s="842">
        <v>2388.33</v>
      </c>
      <c r="D411" s="814">
        <f t="shared" si="185"/>
        <v>1.7322372284204804E-3</v>
      </c>
      <c r="E411" s="841">
        <f t="shared" si="175"/>
        <v>0.13598009931317892</v>
      </c>
      <c r="F411" s="838">
        <v>6091.6</v>
      </c>
      <c r="G411" s="814">
        <f t="shared" si="197"/>
        <v>7.2756134664991069E-3</v>
      </c>
      <c r="H411" s="819">
        <f t="shared" si="193"/>
        <v>0.19637841978121268</v>
      </c>
      <c r="I411" s="821">
        <v>362499.32</v>
      </c>
      <c r="J411" s="822">
        <v>350000</v>
      </c>
      <c r="K411" s="822">
        <f t="shared" si="194"/>
        <v>-699.3300000000163</v>
      </c>
      <c r="L411" s="814">
        <f t="shared" si="198"/>
        <v>-1.9254752185891007E-3</v>
      </c>
      <c r="M411" s="839">
        <f t="shared" si="178"/>
        <v>12499.320000000007</v>
      </c>
      <c r="N411" s="824">
        <f t="shared" si="189"/>
        <v>3.5712342857142879E-2</v>
      </c>
      <c r="O411" s="808">
        <f t="shared" si="192"/>
        <v>2.0937292501719801E-2</v>
      </c>
      <c r="P411" s="839" t="b">
        <f t="shared" si="180"/>
        <v>0</v>
      </c>
      <c r="Q411" s="824">
        <f>COUNTIF(P$2:P411, TRUE)/(COUNTIF(P$2:P411,FALSE) + COUNTIF(P$2:P411, TRUE))</f>
        <v>0.48048780487804876</v>
      </c>
      <c r="R411" s="822">
        <v>275826.90000000002</v>
      </c>
      <c r="S411" s="822">
        <f t="shared" si="195"/>
        <v>86672.419999999984</v>
      </c>
      <c r="T411" s="822">
        <v>-33709</v>
      </c>
      <c r="U411" s="822">
        <f t="shared" si="196"/>
        <v>46208.320000000007</v>
      </c>
      <c r="V411" s="824">
        <f>STDEV(D$2:D411)*SQRT(252)</f>
        <v>0.15090957633377333</v>
      </c>
      <c r="W411" s="824">
        <f>STDEV(L$2:L411)*SQRT(252)</f>
        <v>0.32622087133744371</v>
      </c>
      <c r="X411" s="823">
        <f t="shared" ref="X411:X474" si="199">E411/(A411/365.25)/V411</f>
        <v>0.52827581914664401</v>
      </c>
      <c r="Y411" s="823">
        <f t="shared" ref="Y411:Y474" si="200">O411/W411</f>
        <v>6.4181339519696803E-2</v>
      </c>
      <c r="Z411" s="829">
        <f t="shared" ref="Z411:Z474" si="201">-(E411-N411)</f>
        <v>-0.10026775645603604</v>
      </c>
    </row>
    <row r="412" spans="1:26" ht="20.100000000000001" customHeight="1" x14ac:dyDescent="0.2">
      <c r="A412" s="798">
        <f t="shared" si="188"/>
        <v>624</v>
      </c>
      <c r="B412" s="817">
        <v>42857</v>
      </c>
      <c r="C412" s="842">
        <v>2391.17</v>
      </c>
      <c r="D412" s="814">
        <f t="shared" si="185"/>
        <v>1.1891154069999311E-3</v>
      </c>
      <c r="E412" s="841">
        <f t="shared" si="175"/>
        <v>0.13733091075131751</v>
      </c>
      <c r="F412" s="838">
        <v>6095.36</v>
      </c>
      <c r="G412" s="814">
        <f t="shared" ref="G412:G441" si="202">(F412-F411)/F411</f>
        <v>6.1724341716450667E-4</v>
      </c>
      <c r="H412" s="819">
        <f t="shared" si="193"/>
        <v>0.1971168764852603</v>
      </c>
      <c r="I412" s="821">
        <v>359669.82</v>
      </c>
      <c r="J412" s="822">
        <v>350000</v>
      </c>
      <c r="K412" s="822">
        <f t="shared" si="194"/>
        <v>-2829.5</v>
      </c>
      <c r="L412" s="814">
        <f t="shared" ref="L412:L441" si="203">K412/I411</f>
        <v>-7.8055318834804989E-3</v>
      </c>
      <c r="M412" s="839">
        <f t="shared" si="178"/>
        <v>9669.820000000007</v>
      </c>
      <c r="N412" s="824">
        <f t="shared" si="189"/>
        <v>2.7628057142857161E-2</v>
      </c>
      <c r="O412" s="808">
        <f t="shared" si="192"/>
        <v>1.6171711332417592E-2</v>
      </c>
      <c r="P412" s="839" t="b">
        <f t="shared" si="180"/>
        <v>0</v>
      </c>
      <c r="Q412" s="824">
        <f>COUNTIF(P$2:P412, TRUE)/(COUNTIF(P$2:P412,FALSE) + COUNTIF(P$2:P412, TRUE))</f>
        <v>0.47931873479318737</v>
      </c>
      <c r="R412" s="822">
        <v>278414.40000000002</v>
      </c>
      <c r="S412" s="822">
        <f t="shared" si="195"/>
        <v>81255.419999999984</v>
      </c>
      <c r="T412" s="822">
        <v>-34708</v>
      </c>
      <c r="U412" s="822">
        <f t="shared" si="196"/>
        <v>44377.820000000007</v>
      </c>
      <c r="V412" s="824">
        <f>STDEV(D$2:D412)*SQRT(252)</f>
        <v>0.1507263900275706</v>
      </c>
      <c r="W412" s="824">
        <f>STDEV(L$2:L412)*SQRT(252)</f>
        <v>0.32588707199779721</v>
      </c>
      <c r="X412" s="823">
        <f t="shared" si="199"/>
        <v>0.53331602984880633</v>
      </c>
      <c r="Y412" s="823">
        <f t="shared" si="200"/>
        <v>4.9623666361723308E-2</v>
      </c>
      <c r="Z412" s="829">
        <f t="shared" si="201"/>
        <v>-0.10970285360846035</v>
      </c>
    </row>
    <row r="413" spans="1:26" ht="20.100000000000001" customHeight="1" x14ac:dyDescent="0.2">
      <c r="A413" s="798">
        <f t="shared" si="188"/>
        <v>625</v>
      </c>
      <c r="B413" s="817">
        <v>42858</v>
      </c>
      <c r="C413" s="842">
        <v>2388.13</v>
      </c>
      <c r="D413" s="814">
        <f t="shared" si="185"/>
        <v>-1.2713441536988017E-3</v>
      </c>
      <c r="E413" s="841">
        <f t="shared" si="175"/>
        <v>0.13588497174711289</v>
      </c>
      <c r="F413" s="838">
        <v>6072.55</v>
      </c>
      <c r="G413" s="814">
        <f t="shared" si="202"/>
        <v>-3.7421907811842929E-3</v>
      </c>
      <c r="H413" s="819">
        <f t="shared" si="193"/>
        <v>0.19263703674607702</v>
      </c>
      <c r="I413" s="821">
        <v>359426.22</v>
      </c>
      <c r="J413" s="822">
        <v>350000</v>
      </c>
      <c r="K413" s="822">
        <f t="shared" si="194"/>
        <v>-243.60000000003492</v>
      </c>
      <c r="L413" s="814">
        <f t="shared" si="203"/>
        <v>-6.7728785250882302E-4</v>
      </c>
      <c r="M413" s="839">
        <f t="shared" si="178"/>
        <v>9426.2199999999721</v>
      </c>
      <c r="N413" s="824">
        <f t="shared" si="189"/>
        <v>2.6932057142857062E-2</v>
      </c>
      <c r="O413" s="808">
        <f t="shared" si="192"/>
        <v>1.5739094194285666E-2</v>
      </c>
      <c r="P413" s="839" t="b">
        <f t="shared" si="180"/>
        <v>1</v>
      </c>
      <c r="Q413" s="824">
        <f>COUNTIF(P$2:P413, TRUE)/(COUNTIF(P$2:P413,FALSE) + COUNTIF(P$2:P413, TRUE))</f>
        <v>0.48058252427184467</v>
      </c>
      <c r="R413" s="822">
        <v>280568.8</v>
      </c>
      <c r="S413" s="822">
        <f t="shared" si="195"/>
        <v>78857.419999999984</v>
      </c>
      <c r="T413" s="822">
        <v>-36065</v>
      </c>
      <c r="U413" s="822">
        <f t="shared" si="196"/>
        <v>45491.219999999972</v>
      </c>
      <c r="V413" s="824">
        <f>STDEV(D$2:D413)*SQRT(252)</f>
        <v>0.1505478764486444</v>
      </c>
      <c r="W413" s="824">
        <f>STDEV(L$2:L413)*SQRT(252)</f>
        <v>0.32549069352237764</v>
      </c>
      <c r="X413" s="823">
        <f t="shared" si="199"/>
        <v>0.52748121967766104</v>
      </c>
      <c r="Y413" s="823">
        <f t="shared" si="200"/>
        <v>4.8354974527723617E-2</v>
      </c>
      <c r="Z413" s="829">
        <f t="shared" si="201"/>
        <v>-0.10895291460425582</v>
      </c>
    </row>
    <row r="414" spans="1:26" ht="20.100000000000001" customHeight="1" x14ac:dyDescent="0.2">
      <c r="A414" s="798">
        <f t="shared" si="188"/>
        <v>626</v>
      </c>
      <c r="B414" s="817">
        <v>42859</v>
      </c>
      <c r="C414" s="842">
        <v>2389.52</v>
      </c>
      <c r="D414" s="814">
        <f t="shared" ref="D414:D426" si="204">(C414-C413)/C413</f>
        <v>5.8204536603948388E-4</v>
      </c>
      <c r="E414" s="841">
        <f t="shared" si="175"/>
        <v>0.1365461083312722</v>
      </c>
      <c r="F414" s="838">
        <v>6075.33</v>
      </c>
      <c r="G414" s="814">
        <f t="shared" si="202"/>
        <v>4.5779779499547063E-4</v>
      </c>
      <c r="H414" s="819">
        <f t="shared" si="193"/>
        <v>0.19318302335172932</v>
      </c>
      <c r="I414" s="821">
        <v>354486.32</v>
      </c>
      <c r="J414" s="822">
        <v>350000</v>
      </c>
      <c r="K414" s="822">
        <f t="shared" si="194"/>
        <v>-4939.8999999999651</v>
      </c>
      <c r="L414" s="814">
        <f t="shared" si="203"/>
        <v>-1.3743849850464347E-2</v>
      </c>
      <c r="M414" s="839">
        <f t="shared" si="178"/>
        <v>4486.320000000007</v>
      </c>
      <c r="N414" s="824">
        <f t="shared" si="189"/>
        <v>1.2818057142857163E-2</v>
      </c>
      <c r="O414" s="808">
        <f t="shared" si="192"/>
        <v>7.4789063441351097E-3</v>
      </c>
      <c r="P414" s="839" t="b">
        <f t="shared" si="180"/>
        <v>0</v>
      </c>
      <c r="Q414" s="824">
        <f>COUNTIF(P$2:P414, TRUE)/(COUNTIF(P$2:P414,FALSE) + COUNTIF(P$2:P414, TRUE))</f>
        <v>0.47941888619854722</v>
      </c>
      <c r="R414" s="822">
        <v>275628.90000000002</v>
      </c>
      <c r="S414" s="822">
        <f t="shared" si="195"/>
        <v>78857.419999999984</v>
      </c>
      <c r="T414" s="822">
        <v>-36518</v>
      </c>
      <c r="U414" s="822">
        <f t="shared" si="196"/>
        <v>41004.320000000007</v>
      </c>
      <c r="V414" s="824">
        <f>STDEV(D$2:D414)*SQRT(252)</f>
        <v>0.15036472166048559</v>
      </c>
      <c r="W414" s="824">
        <f>STDEV(L$2:L414)*SQRT(252)</f>
        <v>0.32528498931668604</v>
      </c>
      <c r="X414" s="823">
        <f t="shared" si="199"/>
        <v>0.52984551636347244</v>
      </c>
      <c r="Y414" s="823">
        <f t="shared" si="200"/>
        <v>2.2991858185174078E-2</v>
      </c>
      <c r="Z414" s="829">
        <f t="shared" si="201"/>
        <v>-0.12372805118841504</v>
      </c>
    </row>
    <row r="415" spans="1:26" ht="20.100000000000001" customHeight="1" x14ac:dyDescent="0.2">
      <c r="A415" s="798">
        <f t="shared" si="188"/>
        <v>627</v>
      </c>
      <c r="B415" s="817">
        <v>42860</v>
      </c>
      <c r="C415" s="842">
        <v>2399.29</v>
      </c>
      <c r="D415" s="814">
        <f t="shared" si="204"/>
        <v>4.0886872677357716E-3</v>
      </c>
      <c r="E415" s="841">
        <f t="shared" si="175"/>
        <v>0.14119308993360091</v>
      </c>
      <c r="F415" s="838">
        <v>6100.75</v>
      </c>
      <c r="G415" s="814">
        <f t="shared" si="202"/>
        <v>4.1841348535799818E-3</v>
      </c>
      <c r="H415" s="819">
        <f t="shared" si="193"/>
        <v>0.19817546202643521</v>
      </c>
      <c r="I415" s="821">
        <v>357180.36</v>
      </c>
      <c r="J415" s="822">
        <v>350000</v>
      </c>
      <c r="K415" s="822">
        <f t="shared" si="194"/>
        <v>2694.039999999979</v>
      </c>
      <c r="L415" s="814">
        <f t="shared" si="203"/>
        <v>7.5998419346619047E-3</v>
      </c>
      <c r="M415" s="839">
        <f t="shared" si="178"/>
        <v>7180.359999999986</v>
      </c>
      <c r="N415" s="824">
        <f t="shared" si="189"/>
        <v>2.0515314285714247E-2</v>
      </c>
      <c r="O415" s="808">
        <f t="shared" si="192"/>
        <v>1.1950906766917272E-2</v>
      </c>
      <c r="P415" s="839" t="b">
        <f t="shared" si="180"/>
        <v>1</v>
      </c>
      <c r="Q415" s="824">
        <f>COUNTIF(P$2:P415, TRUE)/(COUNTIF(P$2:P415,FALSE) + COUNTIF(P$2:P415, TRUE))</f>
        <v>0.48067632850241548</v>
      </c>
      <c r="R415" s="822">
        <v>279741</v>
      </c>
      <c r="S415" s="822">
        <f t="shared" si="195"/>
        <v>77439.359999999986</v>
      </c>
      <c r="T415" s="822">
        <v>-36093</v>
      </c>
      <c r="U415" s="822">
        <f t="shared" si="196"/>
        <v>43273.359999999986</v>
      </c>
      <c r="V415" s="824">
        <f>STDEV(D$2:D415)*SQRT(252)</f>
        <v>0.15021044016687626</v>
      </c>
      <c r="W415" s="824">
        <f>STDEV(L$2:L415)*SQRT(252)</f>
        <v>0.32493792680240624</v>
      </c>
      <c r="X415" s="823">
        <f t="shared" si="199"/>
        <v>0.54756541244818879</v>
      </c>
      <c r="Y415" s="823">
        <f t="shared" si="200"/>
        <v>3.6779045414986541E-2</v>
      </c>
      <c r="Z415" s="829">
        <f t="shared" si="201"/>
        <v>-0.12067777564788666</v>
      </c>
    </row>
    <row r="416" spans="1:26" ht="20.100000000000001" customHeight="1" x14ac:dyDescent="0.2">
      <c r="A416" s="798">
        <f t="shared" si="188"/>
        <v>630</v>
      </c>
      <c r="B416" s="846">
        <v>42863</v>
      </c>
      <c r="C416" s="857">
        <v>2399.38</v>
      </c>
      <c r="D416" s="814">
        <f t="shared" si="204"/>
        <v>3.7511097032932877E-5</v>
      </c>
      <c r="E416" s="848">
        <f t="shared" si="175"/>
        <v>0.14123589733833072</v>
      </c>
      <c r="F416" s="849">
        <v>6102.66</v>
      </c>
      <c r="G416" s="814">
        <f t="shared" si="202"/>
        <v>3.1307626111541279E-4</v>
      </c>
      <c r="H416" s="850">
        <f t="shared" si="193"/>
        <v>0.19855058232024669</v>
      </c>
      <c r="I416" s="859">
        <v>358405.67</v>
      </c>
      <c r="J416" s="852">
        <v>350000</v>
      </c>
      <c r="K416" s="852">
        <f t="shared" si="194"/>
        <v>1225.3099999999977</v>
      </c>
      <c r="L416" s="814">
        <f t="shared" si="203"/>
        <v>3.4305077692401613E-3</v>
      </c>
      <c r="M416" s="861">
        <f t="shared" si="178"/>
        <v>8405.6699999999837</v>
      </c>
      <c r="N416" s="854">
        <f t="shared" si="189"/>
        <v>2.4016199999999953E-2</v>
      </c>
      <c r="O416" s="808">
        <f t="shared" si="192"/>
        <v>1.392367785714283E-2</v>
      </c>
      <c r="P416" s="853" t="b">
        <f t="shared" si="180"/>
        <v>1</v>
      </c>
      <c r="Q416" s="854">
        <f>COUNTIF(P$2:P416, TRUE)/(COUNTIF(P$2:P416,FALSE) + COUNTIF(P$2:P416, TRUE))</f>
        <v>0.48192771084337349</v>
      </c>
      <c r="R416" s="852">
        <v>276684</v>
      </c>
      <c r="S416" s="852">
        <f t="shared" si="195"/>
        <v>81721.669999999984</v>
      </c>
      <c r="T416" s="852">
        <v>-35635</v>
      </c>
      <c r="U416" s="852">
        <f t="shared" si="196"/>
        <v>44040.669999999984</v>
      </c>
      <c r="V416" s="854">
        <f>STDEV(D$2:D416)*SQRT(252)</f>
        <v>0.15002869389277509</v>
      </c>
      <c r="W416" s="854">
        <f>STDEV(L$2:L416)*SQRT(252)</f>
        <v>0.32455251041041699</v>
      </c>
      <c r="X416" s="823">
        <f t="shared" si="199"/>
        <v>0.54578354804680929</v>
      </c>
      <c r="Y416" s="823">
        <f t="shared" si="200"/>
        <v>4.2901155931702593E-2</v>
      </c>
      <c r="Z416" s="829">
        <f t="shared" si="201"/>
        <v>-0.11721969733833076</v>
      </c>
    </row>
    <row r="417" spans="1:26" ht="20.100000000000001" customHeight="1" x14ac:dyDescent="0.2">
      <c r="A417" s="798">
        <f t="shared" si="188"/>
        <v>631</v>
      </c>
      <c r="B417" s="846">
        <v>42864</v>
      </c>
      <c r="C417" s="857">
        <v>2396.92</v>
      </c>
      <c r="D417" s="814">
        <f t="shared" si="204"/>
        <v>-1.0252648600888713E-3</v>
      </c>
      <c r="E417" s="848">
        <f t="shared" si="175"/>
        <v>0.14006582827571773</v>
      </c>
      <c r="F417" s="849">
        <v>6120.58</v>
      </c>
      <c r="G417" s="814">
        <f t="shared" si="202"/>
        <v>2.9364244444226081E-3</v>
      </c>
      <c r="H417" s="850">
        <f t="shared" si="193"/>
        <v>0.20207003554804881</v>
      </c>
      <c r="I417" s="859">
        <v>357612.56</v>
      </c>
      <c r="J417" s="852">
        <v>350000</v>
      </c>
      <c r="K417" s="852">
        <f t="shared" si="194"/>
        <v>-793.10999999998603</v>
      </c>
      <c r="L417" s="814">
        <f t="shared" si="203"/>
        <v>-2.2128835182768903E-3</v>
      </c>
      <c r="M417" s="861">
        <f t="shared" si="178"/>
        <v>7612.5599999999977</v>
      </c>
      <c r="N417" s="854">
        <f t="shared" si="189"/>
        <v>2.1750171428571424E-2</v>
      </c>
      <c r="O417" s="808">
        <f t="shared" si="192"/>
        <v>1.2589936789676247E-2</v>
      </c>
      <c r="P417" s="853" t="b">
        <f t="shared" si="180"/>
        <v>0</v>
      </c>
      <c r="Q417" s="854">
        <f>COUNTIF(P$2:P417, TRUE)/(COUNTIF(P$2:P417,FALSE) + COUNTIF(P$2:P417, TRUE))</f>
        <v>0.48076923076923078</v>
      </c>
      <c r="R417" s="852">
        <v>250918.6</v>
      </c>
      <c r="S417" s="852">
        <f t="shared" si="195"/>
        <v>106693.95999999999</v>
      </c>
      <c r="T417" s="852">
        <v>-36105</v>
      </c>
      <c r="U417" s="852">
        <f t="shared" si="196"/>
        <v>43717.56</v>
      </c>
      <c r="V417" s="854">
        <f>STDEV(D$2:D417)*SQRT(252)</f>
        <v>0.1498512986426479</v>
      </c>
      <c r="W417" s="854">
        <f>STDEV(L$2:L417)*SQRT(252)</f>
        <v>0.32416708817907541</v>
      </c>
      <c r="X417" s="823">
        <f t="shared" si="199"/>
        <v>0.54104395386140325</v>
      </c>
      <c r="Y417" s="823">
        <f t="shared" si="200"/>
        <v>3.8837800778595243E-2</v>
      </c>
      <c r="Z417" s="829">
        <f t="shared" si="201"/>
        <v>-0.1183156568471463</v>
      </c>
    </row>
    <row r="418" spans="1:26" ht="20.100000000000001" customHeight="1" x14ac:dyDescent="0.2">
      <c r="A418" s="798">
        <f t="shared" si="188"/>
        <v>632</v>
      </c>
      <c r="B418" s="846">
        <v>42865</v>
      </c>
      <c r="C418" s="857">
        <v>2399.63</v>
      </c>
      <c r="D418" s="814">
        <f t="shared" si="204"/>
        <v>1.1306176259533219E-3</v>
      </c>
      <c r="E418" s="848">
        <f t="shared" si="175"/>
        <v>0.14135480679591333</v>
      </c>
      <c r="F418" s="849">
        <v>6129.14</v>
      </c>
      <c r="G418" s="814">
        <f t="shared" si="202"/>
        <v>1.3985602671642884E-3</v>
      </c>
      <c r="H418" s="850">
        <f t="shared" si="193"/>
        <v>0.20375120293811508</v>
      </c>
      <c r="I418" s="859">
        <v>364191.11</v>
      </c>
      <c r="J418" s="852">
        <v>350000</v>
      </c>
      <c r="K418" s="852">
        <f t="shared" si="194"/>
        <v>6578.5499999999884</v>
      </c>
      <c r="L418" s="814">
        <f t="shared" si="203"/>
        <v>1.839574650286329E-2</v>
      </c>
      <c r="M418" s="861">
        <f t="shared" si="178"/>
        <v>14191.109999999986</v>
      </c>
      <c r="N418" s="854">
        <f t="shared" si="189"/>
        <v>4.0546028571428534E-2</v>
      </c>
      <c r="O418" s="808">
        <f t="shared" si="192"/>
        <v>2.3432653379294736E-2</v>
      </c>
      <c r="P418" s="853" t="b">
        <f t="shared" si="180"/>
        <v>1</v>
      </c>
      <c r="Q418" s="854">
        <f>COUNTIF(P$2:P418, TRUE)/(COUNTIF(P$2:P418,FALSE) + COUNTIF(P$2:P418, TRUE))</f>
        <v>0.48201438848920863</v>
      </c>
      <c r="R418" s="852">
        <v>261546.2</v>
      </c>
      <c r="S418" s="852">
        <f t="shared" si="195"/>
        <v>102644.90999999997</v>
      </c>
      <c r="T418" s="852">
        <v>-32756</v>
      </c>
      <c r="U418" s="852">
        <f t="shared" si="196"/>
        <v>46947.109999999986</v>
      </c>
      <c r="V418" s="854">
        <f>STDEV(D$2:D418)*SQRT(252)</f>
        <v>0.14967184694168775</v>
      </c>
      <c r="W418" s="854">
        <f>STDEV(L$2:L418)*SQRT(252)</f>
        <v>0.32407666797384388</v>
      </c>
      <c r="X418" s="823">
        <f t="shared" si="199"/>
        <v>0.5458126662731192</v>
      </c>
      <c r="Y418" s="823">
        <f t="shared" si="200"/>
        <v>7.2305894545873259E-2</v>
      </c>
      <c r="Z418" s="829">
        <f t="shared" si="201"/>
        <v>-0.10080877822448481</v>
      </c>
    </row>
    <row r="419" spans="1:26" ht="20.100000000000001" customHeight="1" x14ac:dyDescent="0.2">
      <c r="A419" s="798">
        <f t="shared" si="188"/>
        <v>633</v>
      </c>
      <c r="B419" s="846">
        <v>42866</v>
      </c>
      <c r="C419" s="857">
        <v>2394.44</v>
      </c>
      <c r="D419" s="814">
        <f t="shared" si="204"/>
        <v>-2.1628334368215328E-3</v>
      </c>
      <c r="E419" s="848">
        <f t="shared" si="175"/>
        <v>0.13888624645649816</v>
      </c>
      <c r="F419" s="849">
        <v>6115.96</v>
      </c>
      <c r="G419" s="814">
        <f t="shared" si="202"/>
        <v>-2.1503832511576321E-3</v>
      </c>
      <c r="H419" s="850">
        <f t="shared" si="193"/>
        <v>0.2011626765127561</v>
      </c>
      <c r="I419" s="859">
        <v>363186.71</v>
      </c>
      <c r="J419" s="852">
        <v>350000</v>
      </c>
      <c r="K419" s="852">
        <f t="shared" si="194"/>
        <v>-1004.3999999999651</v>
      </c>
      <c r="L419" s="814">
        <f t="shared" si="203"/>
        <v>-2.7578926899120768E-3</v>
      </c>
      <c r="M419" s="861">
        <f t="shared" si="178"/>
        <v>13186.710000000021</v>
      </c>
      <c r="N419" s="854">
        <f t="shared" si="189"/>
        <v>3.7676314285714343E-2</v>
      </c>
      <c r="O419" s="808">
        <f t="shared" si="192"/>
        <v>2.1739769025050811E-2</v>
      </c>
      <c r="P419" s="853" t="b">
        <f t="shared" si="180"/>
        <v>0</v>
      </c>
      <c r="Q419" s="854">
        <f>COUNTIF(P$2:P419, TRUE)/(COUNTIF(P$2:P419,FALSE) + COUNTIF(P$2:P419, TRUE))</f>
        <v>0.48086124401913877</v>
      </c>
      <c r="R419" s="852">
        <v>265284.09999999998</v>
      </c>
      <c r="S419" s="852">
        <f t="shared" si="195"/>
        <v>97902.610000000044</v>
      </c>
      <c r="T419" s="852">
        <v>-32128</v>
      </c>
      <c r="U419" s="852">
        <f t="shared" si="196"/>
        <v>45314.710000000021</v>
      </c>
      <c r="V419" s="854">
        <f>STDEV(D$2:D419)*SQRT(252)</f>
        <v>0.14950473025316971</v>
      </c>
      <c r="W419" s="854">
        <f>STDEV(L$2:L419)*SQRT(252)</f>
        <v>0.32369692065240813</v>
      </c>
      <c r="X419" s="823">
        <f t="shared" si="199"/>
        <v>0.53603212925544852</v>
      </c>
      <c r="Y419" s="823">
        <f t="shared" si="200"/>
        <v>6.7160876851205475E-2</v>
      </c>
      <c r="Z419" s="829">
        <f t="shared" si="201"/>
        <v>-0.10120993217078382</v>
      </c>
    </row>
    <row r="420" spans="1:26" ht="20.100000000000001" customHeight="1" x14ac:dyDescent="0.2">
      <c r="A420" s="798">
        <f t="shared" si="188"/>
        <v>634</v>
      </c>
      <c r="B420" s="846">
        <v>42867</v>
      </c>
      <c r="C420" s="857">
        <v>2390.9</v>
      </c>
      <c r="D420" s="814">
        <f t="shared" si="204"/>
        <v>-1.4784250179582547E-3</v>
      </c>
      <c r="E420" s="848">
        <f t="shared" si="175"/>
        <v>0.1372024885371283</v>
      </c>
      <c r="F420" s="849">
        <v>6121.23</v>
      </c>
      <c r="G420" s="814">
        <f t="shared" si="202"/>
        <v>8.6167993250438639E-4</v>
      </c>
      <c r="H420" s="850">
        <f t="shared" si="193"/>
        <v>0.20219769428678042</v>
      </c>
      <c r="I420" s="859">
        <v>359448.71</v>
      </c>
      <c r="J420" s="852">
        <v>350000</v>
      </c>
      <c r="K420" s="852">
        <f t="shared" si="194"/>
        <v>-3738</v>
      </c>
      <c r="L420" s="814">
        <f t="shared" si="203"/>
        <v>-1.0292226827352795E-2</v>
      </c>
      <c r="M420" s="861">
        <f t="shared" si="178"/>
        <v>9448.710000000021</v>
      </c>
      <c r="N420" s="854">
        <f t="shared" si="189"/>
        <v>2.6996314285714345E-2</v>
      </c>
      <c r="O420" s="808">
        <f t="shared" si="192"/>
        <v>1.555268737043717E-2</v>
      </c>
      <c r="P420" s="853" t="b">
        <f t="shared" si="180"/>
        <v>0</v>
      </c>
      <c r="Q420" s="854">
        <f>COUNTIF(P$2:P420, TRUE)/(COUNTIF(P$2:P420,FALSE) + COUNTIF(P$2:P420, TRUE))</f>
        <v>0.47971360381861577</v>
      </c>
      <c r="R420" s="852">
        <v>266142.09999999998</v>
      </c>
      <c r="S420" s="852">
        <f t="shared" si="195"/>
        <v>93306.610000000044</v>
      </c>
      <c r="T420" s="852">
        <v>-32431</v>
      </c>
      <c r="U420" s="852">
        <f t="shared" si="196"/>
        <v>41879.710000000021</v>
      </c>
      <c r="V420" s="854">
        <f>STDEV(D$2:D420)*SQRT(252)</f>
        <v>0.14933215368764829</v>
      </c>
      <c r="W420" s="854">
        <f>STDEV(L$2:L420)*SQRT(252)</f>
        <v>0.32341728992205637</v>
      </c>
      <c r="X420" s="823">
        <f t="shared" si="199"/>
        <v>0.52930942435624384</v>
      </c>
      <c r="Y420" s="823">
        <f t="shared" si="200"/>
        <v>4.8088608293592995E-2</v>
      </c>
      <c r="Z420" s="829">
        <f t="shared" si="201"/>
        <v>-0.11020617425141395</v>
      </c>
    </row>
    <row r="421" spans="1:26" ht="20.100000000000001" customHeight="1" x14ac:dyDescent="0.2">
      <c r="A421" s="798">
        <f t="shared" si="188"/>
        <v>637</v>
      </c>
      <c r="B421" s="817">
        <v>42870</v>
      </c>
      <c r="C421" s="842">
        <v>2402.3200000000002</v>
      </c>
      <c r="D421" s="814">
        <f t="shared" si="204"/>
        <v>4.7764440168974326E-3</v>
      </c>
      <c r="E421" s="841">
        <f t="shared" si="175"/>
        <v>0.14263427255950234</v>
      </c>
      <c r="F421" s="838">
        <v>6149.47</v>
      </c>
      <c r="G421" s="814">
        <f t="shared" si="202"/>
        <v>4.6134518716010823E-3</v>
      </c>
      <c r="H421" s="819">
        <f t="shared" si="193"/>
        <v>0.20774397548952225</v>
      </c>
      <c r="I421" s="821">
        <v>361662.81</v>
      </c>
      <c r="J421" s="822">
        <v>350000</v>
      </c>
      <c r="K421" s="822">
        <f t="shared" si="194"/>
        <v>2214.0999999999767</v>
      </c>
      <c r="L421" s="814">
        <f t="shared" si="203"/>
        <v>6.1597105189220925E-3</v>
      </c>
      <c r="M421" s="839">
        <f t="shared" si="178"/>
        <v>11662.809999999998</v>
      </c>
      <c r="N421" s="824">
        <f t="shared" si="189"/>
        <v>3.3322314285714277E-2</v>
      </c>
      <c r="O421" s="808">
        <f t="shared" si="192"/>
        <v>1.9106711605741192E-2</v>
      </c>
      <c r="P421" s="839" t="b">
        <f t="shared" si="180"/>
        <v>1</v>
      </c>
      <c r="Q421" s="824">
        <f>COUNTIF(P$2:P421, TRUE)/(COUNTIF(P$2:P421,FALSE) + COUNTIF(P$2:P421, TRUE))</f>
        <v>0.48095238095238096</v>
      </c>
      <c r="R421" s="822">
        <v>268356.2</v>
      </c>
      <c r="S421" s="822">
        <f t="shared" si="195"/>
        <v>93306.609999999986</v>
      </c>
      <c r="T421" s="822">
        <v>-31638</v>
      </c>
      <c r="U421" s="822">
        <f t="shared" si="196"/>
        <v>43300.81</v>
      </c>
      <c r="V421" s="824">
        <f>STDEV(D$2:D421)*SQRT(252)</f>
        <v>0.14919288792479243</v>
      </c>
      <c r="W421" s="824">
        <f>STDEV(L$2:L421)*SQRT(252)</f>
        <v>0.32306020565165067</v>
      </c>
      <c r="X421" s="823">
        <f t="shared" si="199"/>
        <v>0.54818426208120785</v>
      </c>
      <c r="Y421" s="823">
        <f t="shared" si="200"/>
        <v>5.914288195044231E-2</v>
      </c>
      <c r="Z421" s="829">
        <f t="shared" si="201"/>
        <v>-0.10931195827378806</v>
      </c>
    </row>
    <row r="422" spans="1:26" ht="20.100000000000001" customHeight="1" x14ac:dyDescent="0.2">
      <c r="A422" s="798">
        <f t="shared" si="188"/>
        <v>638</v>
      </c>
      <c r="B422" s="817">
        <v>42871</v>
      </c>
      <c r="C422" s="842">
        <v>2400.67</v>
      </c>
      <c r="D422" s="814">
        <f t="shared" si="204"/>
        <v>-6.8683605847684362E-4</v>
      </c>
      <c r="E422" s="841">
        <f t="shared" si="175"/>
        <v>0.14184947013945701</v>
      </c>
      <c r="F422" s="838">
        <v>6169.87</v>
      </c>
      <c r="G422" s="814">
        <f t="shared" si="202"/>
        <v>3.3173590569593211E-3</v>
      </c>
      <c r="H422" s="819">
        <f t="shared" si="193"/>
        <v>0.21175049590510048</v>
      </c>
      <c r="I422" s="821">
        <v>359481.11</v>
      </c>
      <c r="J422" s="822">
        <v>350000</v>
      </c>
      <c r="K422" s="822">
        <f t="shared" si="194"/>
        <v>-2181.7000000000116</v>
      </c>
      <c r="L422" s="814">
        <f t="shared" si="203"/>
        <v>-6.0324145576372964E-3</v>
      </c>
      <c r="M422" s="839">
        <f t="shared" si="178"/>
        <v>9481.109999999986</v>
      </c>
      <c r="N422" s="824">
        <f t="shared" si="189"/>
        <v>2.7088885714285676E-2</v>
      </c>
      <c r="O422" s="808">
        <f t="shared" si="192"/>
        <v>1.5508174776085961E-2</v>
      </c>
      <c r="P422" s="839" t="b">
        <f t="shared" si="180"/>
        <v>0</v>
      </c>
      <c r="Q422" s="824">
        <f>COUNTIF(P$2:P422, TRUE)/(COUNTIF(P$2:P422,FALSE) + COUNTIF(P$2:P422, TRUE))</f>
        <v>0.47980997624703087</v>
      </c>
      <c r="R422" s="822">
        <v>272441</v>
      </c>
      <c r="S422" s="822">
        <f t="shared" si="195"/>
        <v>87040.109999999986</v>
      </c>
      <c r="T422" s="822">
        <v>-31956</v>
      </c>
      <c r="U422" s="822">
        <f t="shared" si="196"/>
        <v>41437.109999999986</v>
      </c>
      <c r="V422" s="824">
        <f>STDEV(D$2:D422)*SQRT(252)</f>
        <v>0.1490169627374561</v>
      </c>
      <c r="W422" s="824">
        <f>STDEV(L$2:L422)*SQRT(252)</f>
        <v>0.32271407708105421</v>
      </c>
      <c r="X422" s="823">
        <f t="shared" si="199"/>
        <v>0.54495614787794711</v>
      </c>
      <c r="Y422" s="823">
        <f t="shared" si="200"/>
        <v>4.8055464194054549E-2</v>
      </c>
      <c r="Z422" s="829">
        <f t="shared" si="201"/>
        <v>-0.11476058442517133</v>
      </c>
    </row>
    <row r="423" spans="1:26" ht="20.100000000000001" customHeight="1" x14ac:dyDescent="0.2">
      <c r="A423" s="798">
        <f t="shared" si="188"/>
        <v>639</v>
      </c>
      <c r="B423" s="817">
        <v>42872</v>
      </c>
      <c r="C423" s="842">
        <v>2357.0300000000002</v>
      </c>
      <c r="D423" s="814">
        <f t="shared" si="204"/>
        <v>-1.8178258569482634E-2</v>
      </c>
      <c r="E423" s="841">
        <f t="shared" si="175"/>
        <v>0.12109263522383523</v>
      </c>
      <c r="F423" s="838">
        <v>6011.23</v>
      </c>
      <c r="G423" s="814">
        <f t="shared" si="202"/>
        <v>-2.5712049038310422E-2</v>
      </c>
      <c r="H423" s="819">
        <f t="shared" si="193"/>
        <v>0.18059390773219156</v>
      </c>
      <c r="I423" s="821">
        <v>358002.43</v>
      </c>
      <c r="J423" s="822">
        <v>350000</v>
      </c>
      <c r="K423" s="822">
        <f t="shared" si="194"/>
        <v>-1478.679999999993</v>
      </c>
      <c r="L423" s="814">
        <f t="shared" si="203"/>
        <v>-4.1133733007556175E-3</v>
      </c>
      <c r="M423" s="839">
        <f t="shared" si="178"/>
        <v>8002.429999999993</v>
      </c>
      <c r="N423" s="824">
        <f t="shared" si="189"/>
        <v>2.2864085714285696E-2</v>
      </c>
      <c r="O423" s="808">
        <f t="shared" si="192"/>
        <v>1.3069025519785369E-2</v>
      </c>
      <c r="P423" s="839" t="b">
        <f t="shared" si="180"/>
        <v>1</v>
      </c>
      <c r="Q423" s="824">
        <f>COUNTIF(P$2:P423, TRUE)/(COUNTIF(P$2:P423,FALSE) + COUNTIF(P$2:P423, TRUE))</f>
        <v>0.48104265402843605</v>
      </c>
      <c r="R423" s="822">
        <v>277243.34999999998</v>
      </c>
      <c r="S423" s="822">
        <f t="shared" si="195"/>
        <v>80759.080000000016</v>
      </c>
      <c r="T423" s="822">
        <v>-31003</v>
      </c>
      <c r="U423" s="822">
        <f t="shared" si="196"/>
        <v>39005.429999999993</v>
      </c>
      <c r="V423" s="824">
        <f>STDEV(D$2:D423)*SQRT(252)</f>
        <v>0.1495288876053591</v>
      </c>
      <c r="W423" s="824">
        <f>STDEV(L$2:L423)*SQRT(252)</f>
        <v>0.32234925335581999</v>
      </c>
      <c r="X423" s="823">
        <f t="shared" si="199"/>
        <v>0.4628944720608214</v>
      </c>
      <c r="Y423" s="823">
        <f t="shared" si="200"/>
        <v>4.0543061240968153E-2</v>
      </c>
      <c r="Z423" s="829">
        <f t="shared" si="201"/>
        <v>-9.822854950954954E-2</v>
      </c>
    </row>
    <row r="424" spans="1:26" ht="20.100000000000001" customHeight="1" x14ac:dyDescent="0.2">
      <c r="A424" s="798">
        <f t="shared" si="188"/>
        <v>640</v>
      </c>
      <c r="B424" s="817">
        <v>42873</v>
      </c>
      <c r="C424" s="842">
        <v>2365.7199999999998</v>
      </c>
      <c r="D424" s="814">
        <f t="shared" si="204"/>
        <v>3.686843188249449E-3</v>
      </c>
      <c r="E424" s="841">
        <f t="shared" si="175"/>
        <v>0.12522592796940685</v>
      </c>
      <c r="F424" s="838">
        <v>6055.13</v>
      </c>
      <c r="G424" s="814">
        <f t="shared" si="202"/>
        <v>7.3029978889512714E-3</v>
      </c>
      <c r="H424" s="819">
        <f t="shared" si="193"/>
        <v>0.18921578254806848</v>
      </c>
      <c r="I424" s="821">
        <v>358058.63</v>
      </c>
      <c r="J424" s="822">
        <v>350000</v>
      </c>
      <c r="K424" s="822">
        <f t="shared" si="194"/>
        <v>56.200000000011642</v>
      </c>
      <c r="L424" s="814">
        <f t="shared" si="203"/>
        <v>1.5698217467409827E-4</v>
      </c>
      <c r="M424" s="839">
        <f t="shared" si="178"/>
        <v>8058.6300000000047</v>
      </c>
      <c r="N424" s="824">
        <f t="shared" si="189"/>
        <v>2.3024657142857157E-2</v>
      </c>
      <c r="O424" s="808">
        <f t="shared" si="192"/>
        <v>1.3140243783482152E-2</v>
      </c>
      <c r="P424" s="839" t="b">
        <f t="shared" si="180"/>
        <v>0</v>
      </c>
      <c r="Q424" s="824">
        <f>COUNTIF(P$2:P424, TRUE)/(COUNTIF(P$2:P424,FALSE) + COUNTIF(P$2:P424, TRUE))</f>
        <v>0.47990543735224589</v>
      </c>
      <c r="R424" s="822">
        <v>277930.2</v>
      </c>
      <c r="S424" s="822">
        <f t="shared" si="195"/>
        <v>80128.429999999993</v>
      </c>
      <c r="T424" s="822">
        <v>-30899</v>
      </c>
      <c r="U424" s="822">
        <f t="shared" si="196"/>
        <v>38957.630000000005</v>
      </c>
      <c r="V424" s="824">
        <f>STDEV(D$2:D424)*SQRT(252)</f>
        <v>0.14937391224983806</v>
      </c>
      <c r="W424" s="824">
        <f>STDEV(L$2:L424)*SQRT(252)</f>
        <v>0.32196627838552588</v>
      </c>
      <c r="X424" s="823">
        <f t="shared" si="199"/>
        <v>0.47844250275531547</v>
      </c>
      <c r="Y424" s="823">
        <f t="shared" si="200"/>
        <v>4.0812484616006534E-2</v>
      </c>
      <c r="Z424" s="829">
        <f t="shared" si="201"/>
        <v>-0.10220127082654969</v>
      </c>
    </row>
    <row r="425" spans="1:26" ht="20.100000000000001" customHeight="1" x14ac:dyDescent="0.2">
      <c r="A425" s="798">
        <f t="shared" si="188"/>
        <v>641</v>
      </c>
      <c r="B425" s="817">
        <v>42874</v>
      </c>
      <c r="C425" s="842">
        <v>2381.73</v>
      </c>
      <c r="D425" s="814">
        <f t="shared" si="204"/>
        <v>6.7674957306867334E-3</v>
      </c>
      <c r="E425" s="841">
        <f t="shared" si="175"/>
        <v>0.13284088963299784</v>
      </c>
      <c r="F425" s="838">
        <v>6083.7</v>
      </c>
      <c r="G425" s="814">
        <f t="shared" si="202"/>
        <v>4.7183132319206537E-3</v>
      </c>
      <c r="H425" s="819">
        <f t="shared" si="193"/>
        <v>0.19482687511047392</v>
      </c>
      <c r="I425" s="821">
        <v>363364.53</v>
      </c>
      <c r="J425" s="822">
        <v>350000</v>
      </c>
      <c r="K425" s="822">
        <f t="shared" si="194"/>
        <v>5305.9000000000233</v>
      </c>
      <c r="L425" s="814">
        <f t="shared" si="203"/>
        <v>1.4818522877105415E-2</v>
      </c>
      <c r="M425" s="839">
        <f t="shared" si="178"/>
        <v>13364.530000000028</v>
      </c>
      <c r="N425" s="824">
        <f t="shared" si="189"/>
        <v>3.8184371428571506E-2</v>
      </c>
      <c r="O425" s="808">
        <f t="shared" si="192"/>
        <v>2.1757943314018317E-2</v>
      </c>
      <c r="P425" s="839" t="b">
        <f t="shared" si="180"/>
        <v>1</v>
      </c>
      <c r="Q425" s="824">
        <f>COUNTIF(P$2:P425, TRUE)/(COUNTIF(P$2:P425,FALSE) + COUNTIF(P$2:P425, TRUE))</f>
        <v>0.48113207547169812</v>
      </c>
      <c r="R425" s="822">
        <v>263972.7</v>
      </c>
      <c r="S425" s="822">
        <f t="shared" si="195"/>
        <v>99391.830000000016</v>
      </c>
      <c r="T425" s="822">
        <v>-29778</v>
      </c>
      <c r="U425" s="822">
        <f t="shared" si="196"/>
        <v>43142.530000000028</v>
      </c>
      <c r="V425" s="824">
        <f>STDEV(D$2:D425)*SQRT(252)</f>
        <v>0.14927970106208843</v>
      </c>
      <c r="W425" s="824">
        <f>STDEV(L$2:L425)*SQRT(252)</f>
        <v>0.32177526697453379</v>
      </c>
      <c r="X425" s="823">
        <f t="shared" si="199"/>
        <v>0.50706450872402442</v>
      </c>
      <c r="Y425" s="823">
        <f t="shared" si="200"/>
        <v>6.7618445378340095E-2</v>
      </c>
      <c r="Z425" s="829">
        <f t="shared" si="201"/>
        <v>-9.4656518204426332E-2</v>
      </c>
    </row>
    <row r="426" spans="1:26" ht="20.100000000000001" customHeight="1" x14ac:dyDescent="0.2">
      <c r="A426" s="798">
        <f t="shared" si="188"/>
        <v>644</v>
      </c>
      <c r="B426" s="846">
        <v>42877</v>
      </c>
      <c r="C426" s="857">
        <v>2394.02</v>
      </c>
      <c r="D426" s="814">
        <f t="shared" si="204"/>
        <v>5.1601147065368294E-3</v>
      </c>
      <c r="E426" s="848">
        <f t="shared" ref="E426:E489" si="205">(C426-$C$2)/$C$2</f>
        <v>0.13868647856775931</v>
      </c>
      <c r="F426" s="849">
        <v>6133.61</v>
      </c>
      <c r="G426" s="814">
        <f t="shared" si="202"/>
        <v>8.2038890806581284E-3</v>
      </c>
      <c r="H426" s="850">
        <f t="shared" ref="H426:H457" si="206">(F426-F$2)/F$2</f>
        <v>0.20462910226446959</v>
      </c>
      <c r="I426" s="859">
        <v>362670.23</v>
      </c>
      <c r="J426" s="852">
        <v>350000</v>
      </c>
      <c r="K426" s="852">
        <f t="shared" ref="K426:K457" si="207">I426-I425-J426+J425</f>
        <v>-694.30000000004657</v>
      </c>
      <c r="L426" s="814">
        <f t="shared" si="203"/>
        <v>-1.9107533693507358E-3</v>
      </c>
      <c r="M426" s="861">
        <f t="shared" ref="M426:M489" si="208">I426-J426</f>
        <v>12670.229999999981</v>
      </c>
      <c r="N426" s="854">
        <f t="shared" si="189"/>
        <v>3.6200657142857091E-2</v>
      </c>
      <c r="O426" s="808">
        <f t="shared" si="192"/>
        <v>2.0531506244454274E-2</v>
      </c>
      <c r="P426" s="853" t="b">
        <f t="shared" ref="P426:P489" si="209">L426&gt;D426</f>
        <v>0</v>
      </c>
      <c r="Q426" s="854">
        <f>COUNTIF(P$2:P426, TRUE)/(COUNTIF(P$2:P426,FALSE) + COUNTIF(P$2:P426, TRUE))</f>
        <v>0.48</v>
      </c>
      <c r="R426" s="852">
        <v>263278.40000000002</v>
      </c>
      <c r="S426" s="852">
        <f t="shared" ref="S426:S457" si="210">I426-R426</f>
        <v>99391.829999999958</v>
      </c>
      <c r="T426" s="852">
        <v>-30076</v>
      </c>
      <c r="U426" s="852">
        <f t="shared" ref="U426:U446" si="211">M426-T426</f>
        <v>42746.229999999981</v>
      </c>
      <c r="V426" s="854">
        <f>STDEV(D$2:D426)*SQRT(252)</f>
        <v>0.14914946204860074</v>
      </c>
      <c r="W426" s="854">
        <f>STDEV(L$2:L426)*SQRT(252)</f>
        <v>0.32140007588338698</v>
      </c>
      <c r="X426" s="823">
        <f t="shared" si="199"/>
        <v>0.52737165886067983</v>
      </c>
      <c r="Y426" s="823">
        <f t="shared" si="200"/>
        <v>6.388146047577066E-2</v>
      </c>
      <c r="Z426" s="829">
        <f t="shared" si="201"/>
        <v>-0.10248582142490223</v>
      </c>
    </row>
    <row r="427" spans="1:26" ht="20.100000000000001" customHeight="1" x14ac:dyDescent="0.2">
      <c r="A427" s="798">
        <f t="shared" si="188"/>
        <v>645</v>
      </c>
      <c r="B427" s="846">
        <v>42878</v>
      </c>
      <c r="C427" s="857">
        <v>2398.42</v>
      </c>
      <c r="D427" s="814">
        <f>(C427-C426)/C426</f>
        <v>1.837912799391856E-3</v>
      </c>
      <c r="E427" s="848">
        <f t="shared" si="205"/>
        <v>0.14077928502121345</v>
      </c>
      <c r="F427" s="849">
        <v>6138.71</v>
      </c>
      <c r="G427" s="814">
        <f t="shared" si="202"/>
        <v>8.3148423196133497E-4</v>
      </c>
      <c r="H427" s="850">
        <f t="shared" si="206"/>
        <v>0.20563073236836424</v>
      </c>
      <c r="I427" s="859">
        <v>362550.99</v>
      </c>
      <c r="J427" s="852">
        <v>350000</v>
      </c>
      <c r="K427" s="852">
        <f t="shared" si="207"/>
        <v>-119.23999999999069</v>
      </c>
      <c r="L427" s="814">
        <f t="shared" si="203"/>
        <v>-3.2878353428675603E-4</v>
      </c>
      <c r="M427" s="861">
        <f t="shared" si="208"/>
        <v>12550.989999999991</v>
      </c>
      <c r="N427" s="854">
        <f t="shared" si="189"/>
        <v>3.5859971428571405E-2</v>
      </c>
      <c r="O427" s="808">
        <f t="shared" si="192"/>
        <v>2.0306751262458459E-2</v>
      </c>
      <c r="P427" s="853" t="b">
        <f t="shared" si="209"/>
        <v>0</v>
      </c>
      <c r="Q427" s="854">
        <f>COUNTIF(P$2:P427, TRUE)/(COUNTIF(P$2:P427,FALSE) + COUNTIF(P$2:P427, TRUE))</f>
        <v>0.47887323943661969</v>
      </c>
      <c r="R427" s="852">
        <v>263158.59999999998</v>
      </c>
      <c r="S427" s="852">
        <f t="shared" si="210"/>
        <v>99392.390000000014</v>
      </c>
      <c r="T427" s="852">
        <v>-30424</v>
      </c>
      <c r="U427" s="852">
        <f t="shared" si="211"/>
        <v>42974.989999999991</v>
      </c>
      <c r="V427" s="854">
        <f>STDEV(D$2:D427)*SQRT(252)</f>
        <v>0.1489778784266331</v>
      </c>
      <c r="W427" s="854">
        <f>STDEV(L$2:L427)*SQRT(252)</f>
        <v>0.32102147148537991</v>
      </c>
      <c r="X427" s="823">
        <f t="shared" si="199"/>
        <v>0.53511543731372224</v>
      </c>
      <c r="Y427" s="823">
        <f t="shared" si="200"/>
        <v>6.3256676160937969E-2</v>
      </c>
      <c r="Z427" s="829">
        <f t="shared" si="201"/>
        <v>-0.10491931359264205</v>
      </c>
    </row>
    <row r="428" spans="1:26" ht="20.100000000000001" customHeight="1" x14ac:dyDescent="0.2">
      <c r="A428" s="798">
        <f t="shared" si="188"/>
        <v>646</v>
      </c>
      <c r="B428" s="846">
        <v>42879</v>
      </c>
      <c r="C428" s="857">
        <v>2404.39</v>
      </c>
      <c r="D428" s="814">
        <f>(C428-C427)/C427</f>
        <v>2.4891386829662028E-3</v>
      </c>
      <c r="E428" s="848">
        <f t="shared" si="205"/>
        <v>0.14361884286828627</v>
      </c>
      <c r="F428" s="849">
        <v>6163.02</v>
      </c>
      <c r="G428" s="814">
        <f t="shared" si="202"/>
        <v>3.9601153988379316E-3</v>
      </c>
      <c r="H428" s="850">
        <f t="shared" si="206"/>
        <v>0.21040516919692848</v>
      </c>
      <c r="I428" s="859">
        <v>361217.77</v>
      </c>
      <c r="J428" s="852">
        <v>350000</v>
      </c>
      <c r="K428" s="852">
        <f t="shared" si="207"/>
        <v>-1333.2199999999721</v>
      </c>
      <c r="L428" s="814">
        <f t="shared" si="203"/>
        <v>-3.6773310148731689E-3</v>
      </c>
      <c r="M428" s="861">
        <f t="shared" si="208"/>
        <v>11217.770000000019</v>
      </c>
      <c r="N428" s="854">
        <f t="shared" si="189"/>
        <v>3.2050771428571483E-2</v>
      </c>
      <c r="O428" s="808">
        <f t="shared" si="192"/>
        <v>1.8121585548429929E-2</v>
      </c>
      <c r="P428" s="853" t="b">
        <f t="shared" si="209"/>
        <v>0</v>
      </c>
      <c r="Q428" s="854">
        <f>COUNTIF(P$2:P428, TRUE)/(COUNTIF(P$2:P428,FALSE) + COUNTIF(P$2:P428, TRUE))</f>
        <v>0.47775175644028101</v>
      </c>
      <c r="R428" s="852">
        <v>265004.5</v>
      </c>
      <c r="S428" s="852">
        <f t="shared" si="210"/>
        <v>96213.270000000019</v>
      </c>
      <c r="T428" s="852">
        <v>-30852</v>
      </c>
      <c r="U428" s="852">
        <f t="shared" si="211"/>
        <v>42069.770000000019</v>
      </c>
      <c r="V428" s="854">
        <f>STDEV(D$2:D428)*SQRT(252)</f>
        <v>0.14881157011695953</v>
      </c>
      <c r="W428" s="854">
        <f>STDEV(L$2:L428)*SQRT(252)</f>
        <v>0.32065963038398737</v>
      </c>
      <c r="X428" s="823">
        <f t="shared" si="199"/>
        <v>0.54567295678831784</v>
      </c>
      <c r="Y428" s="823">
        <f t="shared" si="200"/>
        <v>5.651346110119778E-2</v>
      </c>
      <c r="Z428" s="829">
        <f t="shared" si="201"/>
        <v>-0.11156807143971478</v>
      </c>
    </row>
    <row r="429" spans="1:26" ht="20.100000000000001" customHeight="1" x14ac:dyDescent="0.2">
      <c r="A429" s="798">
        <f t="shared" si="188"/>
        <v>647</v>
      </c>
      <c r="B429" s="846">
        <v>42880</v>
      </c>
      <c r="C429" s="857">
        <v>2415.0700000000002</v>
      </c>
      <c r="D429" s="814">
        <f>(C429-C428)/C428</f>
        <v>4.4418750701842426E-3</v>
      </c>
      <c r="E429" s="848">
        <f t="shared" si="205"/>
        <v>0.14869865489621586</v>
      </c>
      <c r="F429" s="849">
        <v>6205.25</v>
      </c>
      <c r="G429" s="814">
        <f t="shared" si="202"/>
        <v>6.8521601422678428E-3</v>
      </c>
      <c r="H429" s="850">
        <f t="shared" si="206"/>
        <v>0.21869905925329461</v>
      </c>
      <c r="I429" s="859">
        <v>353000.67</v>
      </c>
      <c r="J429" s="852">
        <v>350000</v>
      </c>
      <c r="K429" s="852">
        <f t="shared" si="207"/>
        <v>-8217.1000000000349</v>
      </c>
      <c r="L429" s="814">
        <f t="shared" si="203"/>
        <v>-2.2748327137947933E-2</v>
      </c>
      <c r="M429" s="861">
        <f t="shared" si="208"/>
        <v>3000.6699999999837</v>
      </c>
      <c r="N429" s="854">
        <f t="shared" si="189"/>
        <v>8.573342857142811E-3</v>
      </c>
      <c r="O429" s="808">
        <f t="shared" si="192"/>
        <v>4.8398971848089825E-3</v>
      </c>
      <c r="P429" s="853" t="b">
        <f t="shared" si="209"/>
        <v>0</v>
      </c>
      <c r="Q429" s="854">
        <f>COUNTIF(P$2:P429, TRUE)/(COUNTIF(P$2:P429,FALSE) + COUNTIF(P$2:P429, TRUE))</f>
        <v>0.47663551401869159</v>
      </c>
      <c r="R429" s="852">
        <v>264898.2</v>
      </c>
      <c r="S429" s="852">
        <f t="shared" si="210"/>
        <v>88102.469999999972</v>
      </c>
      <c r="T429" s="852">
        <v>-32794</v>
      </c>
      <c r="U429" s="852">
        <f t="shared" si="211"/>
        <v>35794.669999999984</v>
      </c>
      <c r="V429" s="854">
        <f>STDEV(D$2:D429)*SQRT(252)</f>
        <v>0.14866989936871414</v>
      </c>
      <c r="W429" s="854">
        <f>STDEV(L$2:L429)*SQRT(252)</f>
        <v>0.32077996360853689</v>
      </c>
      <c r="X429" s="823">
        <f t="shared" si="199"/>
        <v>0.56463778385278085</v>
      </c>
      <c r="Y429" s="823">
        <f t="shared" si="200"/>
        <v>1.5087903653219875E-2</v>
      </c>
      <c r="Z429" s="829">
        <f t="shared" si="201"/>
        <v>-0.14012531203907305</v>
      </c>
    </row>
    <row r="430" spans="1:26" ht="20.100000000000001" customHeight="1" x14ac:dyDescent="0.2">
      <c r="A430" s="798">
        <f t="shared" si="188"/>
        <v>648</v>
      </c>
      <c r="B430" s="846">
        <v>42881</v>
      </c>
      <c r="C430" s="857">
        <v>2415.8200000000002</v>
      </c>
      <c r="D430" s="814">
        <f t="shared" ref="D430:D441" si="212">(C430-C429)/C429</f>
        <v>3.105500047617667E-4</v>
      </c>
      <c r="E430" s="848">
        <f t="shared" si="205"/>
        <v>0.14905538326896373</v>
      </c>
      <c r="F430" s="849">
        <v>6210.19</v>
      </c>
      <c r="G430" s="814">
        <f t="shared" si="202"/>
        <v>7.9610007654801977E-4</v>
      </c>
      <c r="H430" s="850">
        <f t="shared" si="206"/>
        <v>0.21966926566765516</v>
      </c>
      <c r="I430" s="859">
        <v>353471.67</v>
      </c>
      <c r="J430" s="852">
        <v>350000</v>
      </c>
      <c r="K430" s="852">
        <f t="shared" si="207"/>
        <v>471</v>
      </c>
      <c r="L430" s="814">
        <f t="shared" si="203"/>
        <v>1.3342750879198049E-3</v>
      </c>
      <c r="M430" s="861">
        <f t="shared" si="208"/>
        <v>3471.6699999999837</v>
      </c>
      <c r="N430" s="854">
        <f t="shared" si="189"/>
        <v>9.9190571428570962E-3</v>
      </c>
      <c r="O430" s="808">
        <f t="shared" si="192"/>
        <v>5.5909500330687568E-3</v>
      </c>
      <c r="P430" s="853" t="b">
        <f t="shared" si="209"/>
        <v>1</v>
      </c>
      <c r="Q430" s="854">
        <f>COUNTIF(P$2:P430, TRUE)/(COUNTIF(P$2:P430,FALSE) + COUNTIF(P$2:P430, TRUE))</f>
        <v>0.47785547785547783</v>
      </c>
      <c r="R430" s="852">
        <v>265363.20000000001</v>
      </c>
      <c r="S430" s="852">
        <f t="shared" si="210"/>
        <v>88108.469999999972</v>
      </c>
      <c r="T430" s="852">
        <v>-33110</v>
      </c>
      <c r="U430" s="852">
        <f t="shared" si="211"/>
        <v>36581.669999999984</v>
      </c>
      <c r="V430" s="854">
        <f>STDEV(D$2:D430)*SQRT(252)</f>
        <v>0.14849571742002676</v>
      </c>
      <c r="W430" s="854">
        <f>STDEV(L$2:L430)*SQRT(252)</f>
        <v>0.3204048737589808</v>
      </c>
      <c r="X430" s="823">
        <f t="shared" si="199"/>
        <v>0.56578177709905297</v>
      </c>
      <c r="Y430" s="823">
        <f t="shared" si="200"/>
        <v>1.7449641035343473E-2</v>
      </c>
      <c r="Z430" s="829">
        <f t="shared" si="201"/>
        <v>-0.13913632612610663</v>
      </c>
    </row>
    <row r="431" spans="1:26" ht="20.100000000000001" customHeight="1" x14ac:dyDescent="0.2">
      <c r="A431" s="798">
        <f t="shared" si="188"/>
        <v>652</v>
      </c>
      <c r="B431" s="817">
        <v>42885</v>
      </c>
      <c r="C431" s="842">
        <v>2412.91</v>
      </c>
      <c r="D431" s="814">
        <f t="shared" si="212"/>
        <v>-1.204559942379941E-3</v>
      </c>
      <c r="E431" s="841">
        <f t="shared" si="205"/>
        <v>0.1476712771827019</v>
      </c>
      <c r="F431" s="838">
        <v>6203.18</v>
      </c>
      <c r="G431" s="814">
        <f t="shared" si="202"/>
        <v>-1.1287899404042886E-3</v>
      </c>
      <c r="H431" s="819">
        <f t="shared" si="206"/>
        <v>0.21829251526994922</v>
      </c>
      <c r="I431" s="821">
        <v>350229.07</v>
      </c>
      <c r="J431" s="822">
        <v>350000</v>
      </c>
      <c r="K431" s="822">
        <f t="shared" si="207"/>
        <v>-3242.5999999999767</v>
      </c>
      <c r="L431" s="814">
        <f t="shared" si="203"/>
        <v>-9.1735781823759077E-3</v>
      </c>
      <c r="M431" s="839">
        <f t="shared" si="208"/>
        <v>229.07000000000698</v>
      </c>
      <c r="N431" s="824">
        <f t="shared" si="189"/>
        <v>6.5448571428573419E-4</v>
      </c>
      <c r="O431" s="808">
        <f t="shared" si="192"/>
        <v>3.6664249561789024E-4</v>
      </c>
      <c r="P431" s="839" t="b">
        <f t="shared" si="209"/>
        <v>0</v>
      </c>
      <c r="Q431" s="824">
        <f>COUNTIF(P$2:P431, TRUE)/(COUNTIF(P$2:P431,FALSE) + COUNTIF(P$2:P431, TRUE))</f>
        <v>0.47674418604651164</v>
      </c>
      <c r="R431" s="822">
        <v>262120.6</v>
      </c>
      <c r="S431" s="822">
        <f t="shared" si="210"/>
        <v>88108.47</v>
      </c>
      <c r="T431" s="822">
        <v>-35019</v>
      </c>
      <c r="U431" s="822">
        <f t="shared" si="211"/>
        <v>35248.070000000007</v>
      </c>
      <c r="V431" s="824">
        <f>STDEV(D$2:D431)*SQRT(252)</f>
        <v>0.14832703796630264</v>
      </c>
      <c r="W431" s="824">
        <f>STDEV(L$2:L431)*SQRT(252)</f>
        <v>0.32011502320683888</v>
      </c>
      <c r="X431" s="823">
        <f t="shared" si="199"/>
        <v>0.55772271877139357</v>
      </c>
      <c r="Y431" s="823">
        <f t="shared" si="200"/>
        <v>1.1453461069866381E-3</v>
      </c>
      <c r="Z431" s="829">
        <f t="shared" si="201"/>
        <v>-0.14701679146841617</v>
      </c>
    </row>
    <row r="432" spans="1:26" ht="20.100000000000001" customHeight="1" x14ac:dyDescent="0.2">
      <c r="A432" s="798">
        <f t="shared" si="188"/>
        <v>653</v>
      </c>
      <c r="B432" s="817">
        <v>42886</v>
      </c>
      <c r="C432" s="842">
        <v>2411.8000000000002</v>
      </c>
      <c r="D432" s="814">
        <f t="shared" si="212"/>
        <v>-4.6002544645248791E-4</v>
      </c>
      <c r="E432" s="841">
        <f t="shared" si="205"/>
        <v>0.14714331919103524</v>
      </c>
      <c r="F432" s="838">
        <v>6198.51</v>
      </c>
      <c r="G432" s="814">
        <f t="shared" si="202"/>
        <v>-7.5283967255505607E-4</v>
      </c>
      <c r="H432" s="819">
        <f t="shared" si="206"/>
        <v>0.21737533633167713</v>
      </c>
      <c r="I432" s="845">
        <v>349203.17</v>
      </c>
      <c r="J432" s="822">
        <v>350000</v>
      </c>
      <c r="K432" s="822">
        <f t="shared" si="207"/>
        <v>-1025.9000000000233</v>
      </c>
      <c r="L432" s="814">
        <f t="shared" si="203"/>
        <v>-2.9292257207547715E-3</v>
      </c>
      <c r="M432" s="845">
        <f t="shared" si="208"/>
        <v>-796.8300000000163</v>
      </c>
      <c r="N432" s="824">
        <f t="shared" si="189"/>
        <v>-2.2766571428571893E-3</v>
      </c>
      <c r="O432" s="808">
        <f t="shared" si="192"/>
        <v>-1.2734288230146836E-3</v>
      </c>
      <c r="P432" s="839" t="b">
        <f t="shared" si="209"/>
        <v>0</v>
      </c>
      <c r="Q432" s="824">
        <f>COUNTIF(P$2:P432, TRUE)/(COUNTIF(P$2:P432,FALSE) + COUNTIF(P$2:P432, TRUE))</f>
        <v>0.47563805104408352</v>
      </c>
      <c r="R432" s="822">
        <v>265165.09999999998</v>
      </c>
      <c r="S432" s="822">
        <f t="shared" si="210"/>
        <v>84038.07</v>
      </c>
      <c r="T432" s="822">
        <v>-35731</v>
      </c>
      <c r="U432" s="822">
        <f t="shared" si="211"/>
        <v>34934.169999999984</v>
      </c>
      <c r="V432" s="824">
        <f>STDEV(D$2:D432)*SQRT(252)</f>
        <v>0.14815540660544116</v>
      </c>
      <c r="W432" s="824">
        <f>STDEV(L$2:L432)*SQRT(252)</f>
        <v>0.31975192949675368</v>
      </c>
      <c r="X432" s="823">
        <f t="shared" si="199"/>
        <v>0.55552049614459997</v>
      </c>
      <c r="Y432" s="823">
        <f t="shared" si="200"/>
        <v>-3.9825524274986817E-3</v>
      </c>
      <c r="Z432" s="829">
        <f t="shared" si="201"/>
        <v>-0.14941997633389242</v>
      </c>
    </row>
    <row r="433" spans="1:26" ht="20.100000000000001" customHeight="1" x14ac:dyDescent="0.2">
      <c r="A433" s="798">
        <f t="shared" si="188"/>
        <v>654</v>
      </c>
      <c r="B433" s="817">
        <v>42887</v>
      </c>
      <c r="C433" s="842">
        <v>2430.06</v>
      </c>
      <c r="D433" s="814">
        <f t="shared" si="212"/>
        <v>7.5711087154821137E-3</v>
      </c>
      <c r="E433" s="841">
        <f t="shared" si="205"/>
        <v>0.15582846597286956</v>
      </c>
      <c r="F433" s="838">
        <v>6246.83</v>
      </c>
      <c r="G433" s="814">
        <f t="shared" si="202"/>
        <v>7.7954218029816372E-3</v>
      </c>
      <c r="H433" s="819">
        <f t="shared" si="206"/>
        <v>0.22686529057092919</v>
      </c>
      <c r="I433" s="821">
        <v>353722.21</v>
      </c>
      <c r="J433" s="822">
        <v>350000</v>
      </c>
      <c r="K433" s="822">
        <f t="shared" si="207"/>
        <v>4519.0400000000373</v>
      </c>
      <c r="L433" s="814">
        <f t="shared" si="203"/>
        <v>1.2941005088814163E-2</v>
      </c>
      <c r="M433" s="839">
        <f t="shared" si="208"/>
        <v>3722.210000000021</v>
      </c>
      <c r="N433" s="824">
        <f t="shared" si="189"/>
        <v>1.0634885714285775E-2</v>
      </c>
      <c r="O433" s="808">
        <f t="shared" si="192"/>
        <v>5.9394373197903354E-3</v>
      </c>
      <c r="P433" s="839" t="b">
        <f t="shared" si="209"/>
        <v>1</v>
      </c>
      <c r="Q433" s="824">
        <f>COUNTIF(P$2:P433, TRUE)/(COUNTIF(P$2:P433,FALSE) + COUNTIF(P$2:P433, TRUE))</f>
        <v>0.47685185185185186</v>
      </c>
      <c r="R433" s="822">
        <v>269546.90000000002</v>
      </c>
      <c r="S433" s="822">
        <f t="shared" si="210"/>
        <v>84175.31</v>
      </c>
      <c r="T433" s="822">
        <v>-33352</v>
      </c>
      <c r="U433" s="822">
        <f t="shared" si="211"/>
        <v>37074.210000000021</v>
      </c>
      <c r="V433" s="824">
        <f>STDEV(D$2:D433)*SQRT(252)</f>
        <v>0.14808564864409832</v>
      </c>
      <c r="W433" s="824">
        <f>STDEV(L$2:L433)*SQRT(252)</f>
        <v>0.31952378804389292</v>
      </c>
      <c r="X433" s="823">
        <f t="shared" si="199"/>
        <v>0.58768729187644464</v>
      </c>
      <c r="Y433" s="823">
        <f t="shared" si="200"/>
        <v>1.8588404187842304E-2</v>
      </c>
      <c r="Z433" s="829">
        <f t="shared" si="201"/>
        <v>-0.14519358025858378</v>
      </c>
    </row>
    <row r="434" spans="1:26" ht="20.100000000000001" customHeight="1" x14ac:dyDescent="0.2">
      <c r="A434" s="798">
        <f t="shared" si="188"/>
        <v>655</v>
      </c>
      <c r="B434" s="817">
        <v>42888</v>
      </c>
      <c r="C434" s="842">
        <v>2439.0700000000002</v>
      </c>
      <c r="D434" s="814">
        <f t="shared" si="212"/>
        <v>3.7077273812170146E-3</v>
      </c>
      <c r="E434" s="841">
        <f t="shared" si="205"/>
        <v>0.16011396282414722</v>
      </c>
      <c r="F434" s="838">
        <v>6305.79</v>
      </c>
      <c r="G434" s="814">
        <f t="shared" si="202"/>
        <v>9.4383871499624673E-3</v>
      </c>
      <c r="H434" s="819">
        <f t="shared" si="206"/>
        <v>0.23844492016418881</v>
      </c>
      <c r="I434" s="821">
        <v>351458.31</v>
      </c>
      <c r="J434" s="822">
        <v>350000</v>
      </c>
      <c r="K434" s="822">
        <f t="shared" si="207"/>
        <v>-2263.9000000000233</v>
      </c>
      <c r="L434" s="814">
        <f t="shared" si="203"/>
        <v>-6.4002201049236434E-3</v>
      </c>
      <c r="M434" s="839">
        <f t="shared" si="208"/>
        <v>1458.3099999999977</v>
      </c>
      <c r="N434" s="824">
        <f t="shared" si="189"/>
        <v>4.1665999999999934E-3</v>
      </c>
      <c r="O434" s="808">
        <f t="shared" si="192"/>
        <v>2.3234361068702252E-3</v>
      </c>
      <c r="P434" s="839" t="b">
        <f t="shared" si="209"/>
        <v>0</v>
      </c>
      <c r="Q434" s="824">
        <f>COUNTIF(P$2:P434, TRUE)/(COUNTIF(P$2:P434,FALSE) + COUNTIF(P$2:P434, TRUE))</f>
        <v>0.47575057736720555</v>
      </c>
      <c r="R434" s="822">
        <v>282327.40000000002</v>
      </c>
      <c r="S434" s="822">
        <f t="shared" si="210"/>
        <v>69130.909999999974</v>
      </c>
      <c r="T434" s="822">
        <v>-36002</v>
      </c>
      <c r="U434" s="822">
        <f t="shared" si="211"/>
        <v>37460.31</v>
      </c>
      <c r="V434" s="824">
        <f>STDEV(D$2:D434)*SQRT(252)</f>
        <v>0.14793559836685169</v>
      </c>
      <c r="W434" s="824">
        <f>STDEV(L$2:L434)*SQRT(252)</f>
        <v>0.31919554315894061</v>
      </c>
      <c r="X434" s="823">
        <f t="shared" si="199"/>
        <v>0.60353913817886917</v>
      </c>
      <c r="Y434" s="823">
        <f t="shared" si="200"/>
        <v>7.2790368057027996E-3</v>
      </c>
      <c r="Z434" s="829">
        <f t="shared" si="201"/>
        <v>-0.15594736282414723</v>
      </c>
    </row>
    <row r="435" spans="1:26" ht="20.100000000000001" customHeight="1" x14ac:dyDescent="0.2">
      <c r="A435" s="798">
        <f t="shared" si="188"/>
        <v>658</v>
      </c>
      <c r="B435" s="846">
        <v>42891</v>
      </c>
      <c r="C435" s="857">
        <v>2436.1</v>
      </c>
      <c r="D435" s="814">
        <f t="shared" si="212"/>
        <v>-1.217677229435914E-3</v>
      </c>
      <c r="E435" s="848">
        <f t="shared" si="205"/>
        <v>0.15870131846806559</v>
      </c>
      <c r="F435" s="849">
        <v>6295.68</v>
      </c>
      <c r="G435" s="814">
        <f t="shared" si="202"/>
        <v>-1.6032884063693325E-3</v>
      </c>
      <c r="H435" s="850">
        <f t="shared" si="206"/>
        <v>0.23645933578176256</v>
      </c>
      <c r="I435" s="859">
        <v>351519.71</v>
      </c>
      <c r="J435" s="852">
        <v>350000</v>
      </c>
      <c r="K435" s="852">
        <f t="shared" si="207"/>
        <v>61.400000000023283</v>
      </c>
      <c r="L435" s="814">
        <f t="shared" si="203"/>
        <v>1.7470066364350093E-4</v>
      </c>
      <c r="M435" s="861">
        <f t="shared" si="208"/>
        <v>1519.710000000021</v>
      </c>
      <c r="N435" s="854">
        <f t="shared" si="189"/>
        <v>4.3420285714286314E-3</v>
      </c>
      <c r="O435" s="808">
        <f t="shared" si="192"/>
        <v>2.4102217867998598E-3</v>
      </c>
      <c r="P435" s="853" t="b">
        <f t="shared" si="209"/>
        <v>1</v>
      </c>
      <c r="Q435" s="854">
        <f>COUNTIF(P$2:P435, TRUE)/(COUNTIF(P$2:P435,FALSE) + COUNTIF(P$2:P435, TRUE))</f>
        <v>0.47695852534562211</v>
      </c>
      <c r="R435" s="852">
        <v>282388.8</v>
      </c>
      <c r="S435" s="852">
        <f t="shared" si="210"/>
        <v>69130.910000000033</v>
      </c>
      <c r="T435" s="852">
        <v>-35772</v>
      </c>
      <c r="U435" s="852">
        <f t="shared" si="211"/>
        <v>37291.710000000021</v>
      </c>
      <c r="V435" s="854">
        <f>STDEV(D$2:D435)*SQRT(252)</f>
        <v>0.14776934878372619</v>
      </c>
      <c r="W435" s="854">
        <f>STDEV(L$2:L435)*SQRT(252)</f>
        <v>0.31882594274949316</v>
      </c>
      <c r="X435" s="823">
        <f t="shared" si="199"/>
        <v>0.59615680599333642</v>
      </c>
      <c r="Y435" s="823">
        <f t="shared" si="200"/>
        <v>7.5596790085981523E-3</v>
      </c>
      <c r="Z435" s="829">
        <f t="shared" si="201"/>
        <v>-0.15435928989663697</v>
      </c>
    </row>
    <row r="436" spans="1:26" ht="20.100000000000001" customHeight="1" x14ac:dyDescent="0.2">
      <c r="A436" s="798">
        <f t="shared" si="188"/>
        <v>659</v>
      </c>
      <c r="B436" s="846">
        <v>42892</v>
      </c>
      <c r="C436" s="857">
        <v>2429.33</v>
      </c>
      <c r="D436" s="814">
        <f t="shared" si="212"/>
        <v>-2.7790320594392602E-3</v>
      </c>
      <c r="E436" s="848">
        <f t="shared" si="205"/>
        <v>0.1554812503567283</v>
      </c>
      <c r="F436" s="849">
        <v>6275.02</v>
      </c>
      <c r="G436" s="814">
        <f t="shared" si="202"/>
        <v>-3.2816153298769715E-3</v>
      </c>
      <c r="H436" s="850">
        <f t="shared" si="206"/>
        <v>0.23240175187069165</v>
      </c>
      <c r="I436" s="859">
        <v>351863.31</v>
      </c>
      <c r="J436" s="852">
        <v>350000</v>
      </c>
      <c r="K436" s="852">
        <f t="shared" si="207"/>
        <v>343.59999999997672</v>
      </c>
      <c r="L436" s="814">
        <f t="shared" si="203"/>
        <v>9.7747008268747344E-4</v>
      </c>
      <c r="M436" s="861">
        <f t="shared" si="208"/>
        <v>1863.3099999999977</v>
      </c>
      <c r="N436" s="854">
        <f t="shared" si="189"/>
        <v>5.3237428571428509E-3</v>
      </c>
      <c r="O436" s="808">
        <f t="shared" si="192"/>
        <v>2.9506784196834997E-3</v>
      </c>
      <c r="P436" s="853" t="b">
        <f t="shared" si="209"/>
        <v>1</v>
      </c>
      <c r="Q436" s="854">
        <f>COUNTIF(P$2:P436, TRUE)/(COUNTIF(P$2:P436,FALSE) + COUNTIF(P$2:P436, TRUE))</f>
        <v>0.47816091954022988</v>
      </c>
      <c r="R436" s="852">
        <v>286054.40000000002</v>
      </c>
      <c r="S436" s="852">
        <f t="shared" si="210"/>
        <v>65808.909999999974</v>
      </c>
      <c r="T436" s="852">
        <v>-34862</v>
      </c>
      <c r="U436" s="852">
        <f t="shared" si="211"/>
        <v>36725.31</v>
      </c>
      <c r="V436" s="854">
        <f>STDEV(D$2:D436)*SQRT(252)</f>
        <v>0.14761828585147854</v>
      </c>
      <c r="W436" s="854">
        <f>STDEV(L$2:L436)*SQRT(252)</f>
        <v>0.3184578591374711</v>
      </c>
      <c r="X436" s="823">
        <f t="shared" si="199"/>
        <v>0.58377121480445904</v>
      </c>
      <c r="Y436" s="823">
        <f t="shared" si="200"/>
        <v>9.2655223761011294E-3</v>
      </c>
      <c r="Z436" s="829">
        <f t="shared" si="201"/>
        <v>-0.15015750749958545</v>
      </c>
    </row>
    <row r="437" spans="1:26" ht="20.100000000000001" customHeight="1" x14ac:dyDescent="0.2">
      <c r="A437" s="798">
        <f t="shared" si="188"/>
        <v>660</v>
      </c>
      <c r="B437" s="846">
        <v>42893</v>
      </c>
      <c r="C437" s="857">
        <v>2433.14</v>
      </c>
      <c r="D437" s="814">
        <f t="shared" si="212"/>
        <v>1.5683336557816129E-3</v>
      </c>
      <c r="E437" s="848">
        <f t="shared" si="205"/>
        <v>0.15729343049028738</v>
      </c>
      <c r="F437" s="849">
        <v>6297.38</v>
      </c>
      <c r="G437" s="814">
        <f t="shared" si="202"/>
        <v>3.5633352563019197E-3</v>
      </c>
      <c r="H437" s="850">
        <f t="shared" si="206"/>
        <v>0.23679321248306073</v>
      </c>
      <c r="I437" s="859">
        <v>346982.81</v>
      </c>
      <c r="J437" s="852">
        <v>350000</v>
      </c>
      <c r="K437" s="852">
        <f t="shared" si="207"/>
        <v>-4880.5</v>
      </c>
      <c r="L437" s="814">
        <f t="shared" si="203"/>
        <v>-1.3870443042214319E-2</v>
      </c>
      <c r="M437" s="861">
        <f t="shared" si="208"/>
        <v>-3017.1900000000023</v>
      </c>
      <c r="N437" s="854">
        <f t="shared" si="189"/>
        <v>-8.6205428571428638E-3</v>
      </c>
      <c r="O437" s="808">
        <f t="shared" si="192"/>
        <v>-4.7706867857142893E-3</v>
      </c>
      <c r="P437" s="853" t="b">
        <f t="shared" si="209"/>
        <v>0</v>
      </c>
      <c r="Q437" s="854">
        <f>COUNTIF(P$2:P437, TRUE)/(COUNTIF(P$2:P437,FALSE) + COUNTIF(P$2:P437, TRUE))</f>
        <v>0.47706422018348627</v>
      </c>
      <c r="R437" s="852">
        <v>281173.90000000002</v>
      </c>
      <c r="S437" s="852">
        <f t="shared" si="210"/>
        <v>65808.909999999974</v>
      </c>
      <c r="T437" s="852">
        <v>-40512</v>
      </c>
      <c r="U437" s="852">
        <f t="shared" si="211"/>
        <v>37494.81</v>
      </c>
      <c r="V437" s="854">
        <f>STDEV(D$2:D437)*SQRT(252)</f>
        <v>0.14745091296310839</v>
      </c>
      <c r="W437" s="854">
        <f>STDEV(L$2:L437)*SQRT(252)</f>
        <v>0.31827656927387871</v>
      </c>
      <c r="X437" s="823">
        <f t="shared" si="199"/>
        <v>0.59034978233997903</v>
      </c>
      <c r="Y437" s="823">
        <f t="shared" si="200"/>
        <v>-1.4989123442539961E-2</v>
      </c>
      <c r="Z437" s="829">
        <f t="shared" si="201"/>
        <v>-0.16591397334743024</v>
      </c>
    </row>
    <row r="438" spans="1:26" ht="20.100000000000001" customHeight="1" x14ac:dyDescent="0.2">
      <c r="A438" s="798">
        <f t="shared" si="188"/>
        <v>661</v>
      </c>
      <c r="B438" s="846">
        <v>42894</v>
      </c>
      <c r="C438" s="857">
        <v>2433.79</v>
      </c>
      <c r="D438" s="814">
        <f t="shared" si="212"/>
        <v>2.6714451285174342E-4</v>
      </c>
      <c r="E438" s="848">
        <f t="shared" si="205"/>
        <v>0.15760259508000224</v>
      </c>
      <c r="F438" s="849">
        <v>6321.76</v>
      </c>
      <c r="G438" s="814">
        <f t="shared" si="202"/>
        <v>3.8714513019700429E-3</v>
      </c>
      <c r="H438" s="850">
        <f t="shared" si="206"/>
        <v>0.24158139717579599</v>
      </c>
      <c r="I438" s="859">
        <v>347153.55</v>
      </c>
      <c r="J438" s="852">
        <v>350000</v>
      </c>
      <c r="K438" s="852">
        <f t="shared" si="207"/>
        <v>170.73999999999069</v>
      </c>
      <c r="L438" s="814">
        <f t="shared" si="203"/>
        <v>4.9207048614307637E-4</v>
      </c>
      <c r="M438" s="861">
        <f t="shared" si="208"/>
        <v>-2846.4500000000116</v>
      </c>
      <c r="N438" s="854">
        <f t="shared" si="189"/>
        <v>-8.1327142857143195E-3</v>
      </c>
      <c r="O438" s="808">
        <f t="shared" si="192"/>
        <v>-4.4939090663497052E-3</v>
      </c>
      <c r="P438" s="853" t="b">
        <f t="shared" si="209"/>
        <v>1</v>
      </c>
      <c r="Q438" s="854">
        <f>COUNTIF(P$2:P438, TRUE)/(COUNTIF(P$2:P438,FALSE) + COUNTIF(P$2:P438, TRUE))</f>
        <v>0.47826086956521741</v>
      </c>
      <c r="R438" s="852">
        <v>278494.7</v>
      </c>
      <c r="S438" s="852">
        <f t="shared" si="210"/>
        <v>68658.849999999977</v>
      </c>
      <c r="T438" s="852">
        <v>-41692</v>
      </c>
      <c r="U438" s="852">
        <f t="shared" si="211"/>
        <v>38845.549999999988</v>
      </c>
      <c r="V438" s="854">
        <f>STDEV(D$2:D438)*SQRT(252)</f>
        <v>0.14728135611412443</v>
      </c>
      <c r="W438" s="854">
        <f>STDEV(L$2:L438)*SQRT(252)</f>
        <v>0.31791053438121292</v>
      </c>
      <c r="X438" s="823">
        <f t="shared" si="199"/>
        <v>0.59129520212629594</v>
      </c>
      <c r="Y438" s="823">
        <f t="shared" si="200"/>
        <v>-1.4135766451076353E-2</v>
      </c>
      <c r="Z438" s="829">
        <f t="shared" si="201"/>
        <v>-0.16573530936571657</v>
      </c>
    </row>
    <row r="439" spans="1:26" ht="20.100000000000001" customHeight="1" x14ac:dyDescent="0.2">
      <c r="A439" s="798">
        <f t="shared" si="188"/>
        <v>662</v>
      </c>
      <c r="B439" s="846">
        <v>42895</v>
      </c>
      <c r="C439" s="857">
        <v>2431.77</v>
      </c>
      <c r="D439" s="814">
        <f t="shared" si="212"/>
        <v>-8.2998122270203339E-4</v>
      </c>
      <c r="E439" s="848">
        <f t="shared" si="205"/>
        <v>0.15664180666273469</v>
      </c>
      <c r="F439" s="849">
        <v>6207.91</v>
      </c>
      <c r="G439" s="814">
        <f t="shared" si="202"/>
        <v>-1.8009225279036273E-2</v>
      </c>
      <c r="H439" s="850">
        <f t="shared" si="206"/>
        <v>0.21922147809179646</v>
      </c>
      <c r="I439" s="859">
        <v>354123.05</v>
      </c>
      <c r="J439" s="852">
        <v>350000</v>
      </c>
      <c r="K439" s="852">
        <f t="shared" si="207"/>
        <v>6969.5</v>
      </c>
      <c r="L439" s="814">
        <f t="shared" si="203"/>
        <v>2.0076130576800959E-2</v>
      </c>
      <c r="M439" s="861">
        <f t="shared" si="208"/>
        <v>4123.0499999999884</v>
      </c>
      <c r="N439" s="854">
        <f t="shared" si="189"/>
        <v>1.1780142857142824E-2</v>
      </c>
      <c r="O439" s="808">
        <f t="shared" si="192"/>
        <v>6.4995425658178497E-3</v>
      </c>
      <c r="P439" s="853" t="b">
        <f t="shared" si="209"/>
        <v>1</v>
      </c>
      <c r="Q439" s="854">
        <f>COUNTIF(P$2:P439, TRUE)/(COUNTIF(P$2:P439,FALSE) + COUNTIF(P$2:P439, TRUE))</f>
        <v>0.47945205479452052</v>
      </c>
      <c r="R439" s="852">
        <v>285464.2</v>
      </c>
      <c r="S439" s="852">
        <f t="shared" si="210"/>
        <v>68658.849999999977</v>
      </c>
      <c r="T439" s="852">
        <v>-37482</v>
      </c>
      <c r="U439" s="852">
        <f t="shared" si="211"/>
        <v>41605.049999999988</v>
      </c>
      <c r="V439" s="854">
        <f>STDEV(D$2:D439)*SQRT(252)</f>
        <v>0.14711522117325773</v>
      </c>
      <c r="W439" s="854">
        <f>STDEV(L$2:L439)*SQRT(252)</f>
        <v>0.3178976683829039</v>
      </c>
      <c r="X439" s="823">
        <f t="shared" si="199"/>
        <v>0.5874654225106517</v>
      </c>
      <c r="Y439" s="823">
        <f t="shared" si="200"/>
        <v>2.0445392376987268E-2</v>
      </c>
      <c r="Z439" s="829">
        <f t="shared" si="201"/>
        <v>-0.14486166380559187</v>
      </c>
    </row>
    <row r="440" spans="1:26" ht="20.100000000000001" customHeight="1" x14ac:dyDescent="0.2">
      <c r="A440" s="798">
        <f t="shared" si="188"/>
        <v>665</v>
      </c>
      <c r="B440" s="817">
        <v>42898</v>
      </c>
      <c r="C440" s="842">
        <v>2429.39</v>
      </c>
      <c r="D440" s="814">
        <f t="shared" si="212"/>
        <v>-9.7871098006806125E-4</v>
      </c>
      <c r="E440" s="841">
        <f t="shared" si="205"/>
        <v>0.1555097886265481</v>
      </c>
      <c r="F440" s="838">
        <v>6208.91</v>
      </c>
      <c r="G440" s="814">
        <f t="shared" si="202"/>
        <v>1.6108480954137545E-4</v>
      </c>
      <c r="H440" s="819">
        <f t="shared" si="206"/>
        <v>0.21941787615138364</v>
      </c>
      <c r="I440" s="821">
        <v>354932.43</v>
      </c>
      <c r="J440" s="822">
        <v>350000</v>
      </c>
      <c r="K440" s="822">
        <f t="shared" si="207"/>
        <v>809.38000000000466</v>
      </c>
      <c r="L440" s="814">
        <f t="shared" si="203"/>
        <v>2.2855897123895343E-3</v>
      </c>
      <c r="M440" s="839">
        <f t="shared" si="208"/>
        <v>4932.429999999993</v>
      </c>
      <c r="N440" s="824">
        <f t="shared" si="189"/>
        <v>1.4092657142857123E-2</v>
      </c>
      <c r="O440" s="808">
        <f t="shared" si="192"/>
        <v>7.7403654457572401E-3</v>
      </c>
      <c r="P440" s="839" t="b">
        <f t="shared" si="209"/>
        <v>1</v>
      </c>
      <c r="Q440" s="824">
        <f>COUNTIF(P$2:P440, TRUE)/(COUNTIF(P$2:P440,FALSE) + COUNTIF(P$2:P440, TRUE))</f>
        <v>0.48063781321184512</v>
      </c>
      <c r="R440" s="822">
        <v>278669.75</v>
      </c>
      <c r="S440" s="822">
        <f t="shared" si="210"/>
        <v>76262.679999999993</v>
      </c>
      <c r="T440" s="822">
        <v>-36662</v>
      </c>
      <c r="U440" s="822">
        <f t="shared" si="211"/>
        <v>41594.429999999993</v>
      </c>
      <c r="V440" s="824">
        <f>STDEV(D$2:D440)*SQRT(252)</f>
        <v>0.14695039242949098</v>
      </c>
      <c r="W440" s="824">
        <f>STDEV(L$2:L440)*SQRT(252)</f>
        <v>0.3175368564907623</v>
      </c>
      <c r="X440" s="823">
        <f t="shared" si="199"/>
        <v>0.58124008843652086</v>
      </c>
      <c r="Y440" s="823">
        <f t="shared" si="200"/>
        <v>2.43762740845248E-2</v>
      </c>
      <c r="Z440" s="829">
        <f t="shared" si="201"/>
        <v>-0.14141713148369098</v>
      </c>
    </row>
    <row r="441" spans="1:26" ht="20.100000000000001" customHeight="1" x14ac:dyDescent="0.2">
      <c r="A441" s="798">
        <f t="shared" si="188"/>
        <v>666</v>
      </c>
      <c r="B441" s="817">
        <v>42899</v>
      </c>
      <c r="C441" s="842">
        <v>2440.35</v>
      </c>
      <c r="D441" s="814">
        <f t="shared" si="212"/>
        <v>4.5114205623634071E-3</v>
      </c>
      <c r="E441" s="841">
        <f t="shared" si="205"/>
        <v>0.16072277924697012</v>
      </c>
      <c r="F441" s="838">
        <v>6220.36</v>
      </c>
      <c r="G441" s="814">
        <f t="shared" si="202"/>
        <v>1.8441240088839777E-3</v>
      </c>
      <c r="H441" s="819">
        <f t="shared" si="206"/>
        <v>0.22166663393365671</v>
      </c>
      <c r="I441" s="821">
        <v>359514.03</v>
      </c>
      <c r="J441" s="822">
        <v>350000</v>
      </c>
      <c r="K441" s="822">
        <f t="shared" si="207"/>
        <v>4581.6000000000349</v>
      </c>
      <c r="L441" s="814">
        <f t="shared" si="203"/>
        <v>1.29083724471163E-2</v>
      </c>
      <c r="M441" s="839">
        <f t="shared" si="208"/>
        <v>9514.0300000000279</v>
      </c>
      <c r="N441" s="824">
        <f t="shared" si="189"/>
        <v>2.7182942857142938E-2</v>
      </c>
      <c r="O441" s="808">
        <f t="shared" si="192"/>
        <v>1.4907762580437625E-2</v>
      </c>
      <c r="P441" s="839" t="b">
        <f t="shared" si="209"/>
        <v>1</v>
      </c>
      <c r="Q441" s="824">
        <f>COUNTIF(P$2:P441, TRUE)/(COUNTIF(P$2:P441,FALSE) + COUNTIF(P$2:P441, TRUE))</f>
        <v>0.48181818181818181</v>
      </c>
      <c r="R441" s="822">
        <v>282883.34999999998</v>
      </c>
      <c r="S441" s="822">
        <f t="shared" si="210"/>
        <v>76630.680000000051</v>
      </c>
      <c r="T441" s="822">
        <v>-33012</v>
      </c>
      <c r="U441" s="822">
        <f t="shared" si="211"/>
        <v>42526.030000000028</v>
      </c>
      <c r="V441" s="824">
        <f>STDEV(D$2:D441)*SQRT(252)</f>
        <v>0.14681603465160581</v>
      </c>
      <c r="W441" s="824">
        <f>STDEV(L$2:L441)*SQRT(252)</f>
        <v>0.31731497088300775</v>
      </c>
      <c r="X441" s="823">
        <f t="shared" si="199"/>
        <v>0.60037132201476762</v>
      </c>
      <c r="Y441" s="823">
        <f t="shared" si="200"/>
        <v>4.6980961972746108E-2</v>
      </c>
      <c r="Z441" s="829">
        <f t="shared" si="201"/>
        <v>-0.13353983638982719</v>
      </c>
    </row>
    <row r="442" spans="1:26" ht="20.100000000000001" customHeight="1" x14ac:dyDescent="0.2">
      <c r="A442" s="798">
        <f t="shared" si="188"/>
        <v>667</v>
      </c>
      <c r="B442" s="817">
        <v>42900</v>
      </c>
      <c r="C442" s="842">
        <v>2437.92</v>
      </c>
      <c r="D442" s="814">
        <f t="shared" ref="D442:D483" si="213">(C442-C441)/C441</f>
        <v>-9.9575880508936693E-4</v>
      </c>
      <c r="E442" s="841">
        <f t="shared" si="205"/>
        <v>0.15956697931926714</v>
      </c>
      <c r="F442" s="838">
        <v>6194.89</v>
      </c>
      <c r="G442" s="814">
        <f t="shared" ref="G442:G483" si="214">(F442-F441)/F441</f>
        <v>-4.0946183179107554E-3</v>
      </c>
      <c r="H442" s="819">
        <f t="shared" si="206"/>
        <v>0.21666437535597158</v>
      </c>
      <c r="I442" s="821">
        <v>355660.79999999999</v>
      </c>
      <c r="J442" s="822">
        <v>350000</v>
      </c>
      <c r="K442" s="822">
        <f t="shared" si="207"/>
        <v>-3853.2300000000396</v>
      </c>
      <c r="L442" s="814">
        <f t="shared" ref="L442:L483" si="215">K442/I441</f>
        <v>-1.0717884918149201E-2</v>
      </c>
      <c r="M442" s="839">
        <f t="shared" si="208"/>
        <v>5660.7999999999884</v>
      </c>
      <c r="N442" s="824">
        <f t="shared" si="189"/>
        <v>1.6173714285714253E-2</v>
      </c>
      <c r="O442" s="808">
        <f t="shared" si="192"/>
        <v>8.8567453416148901E-3</v>
      </c>
      <c r="P442" s="839" t="b">
        <f t="shared" si="209"/>
        <v>0</v>
      </c>
      <c r="Q442" s="824">
        <f>COUNTIF(P$2:P442, TRUE)/(COUNTIF(P$2:P442,FALSE) + COUNTIF(P$2:P442, TRUE))</f>
        <v>0.48072562358276644</v>
      </c>
      <c r="R442" s="822">
        <v>283596.25</v>
      </c>
      <c r="S442" s="822">
        <f t="shared" si="210"/>
        <v>72064.549999999988</v>
      </c>
      <c r="T442" s="822">
        <v>-36382</v>
      </c>
      <c r="U442" s="822">
        <f t="shared" si="211"/>
        <v>42042.799999999988</v>
      </c>
      <c r="V442" s="824">
        <f>STDEV(D$2:D442)*SQRT(252)</f>
        <v>0.14665243029152958</v>
      </c>
      <c r="W442" s="824">
        <f>STDEV(L$2:L442)*SQRT(252)</f>
        <v>0.3170662521053495</v>
      </c>
      <c r="X442" s="823">
        <f t="shared" si="199"/>
        <v>0.59582421570657329</v>
      </c>
      <c r="Y442" s="823">
        <f t="shared" si="200"/>
        <v>2.7933421746418215E-2</v>
      </c>
      <c r="Z442" s="829">
        <f t="shared" si="201"/>
        <v>-0.14339326503355287</v>
      </c>
    </row>
    <row r="443" spans="1:26" ht="20.100000000000001" customHeight="1" x14ac:dyDescent="0.2">
      <c r="A443" s="798">
        <f t="shared" si="188"/>
        <v>668</v>
      </c>
      <c r="B443" s="817">
        <v>42901</v>
      </c>
      <c r="C443" s="842">
        <v>2432.46</v>
      </c>
      <c r="D443" s="814">
        <f t="shared" si="213"/>
        <v>-2.2396140972632556E-3</v>
      </c>
      <c r="E443" s="841">
        <f t="shared" si="205"/>
        <v>0.15696999676566273</v>
      </c>
      <c r="F443" s="838">
        <v>6165.5</v>
      </c>
      <c r="G443" s="814">
        <f t="shared" si="214"/>
        <v>-4.7442327466670634E-3</v>
      </c>
      <c r="H443" s="819">
        <f t="shared" si="206"/>
        <v>0.21089223638470456</v>
      </c>
      <c r="I443" s="821">
        <v>343648.95</v>
      </c>
      <c r="J443" s="822">
        <v>350000</v>
      </c>
      <c r="K443" s="822">
        <f t="shared" si="207"/>
        <v>-12011.849999999977</v>
      </c>
      <c r="L443" s="814">
        <f t="shared" si="215"/>
        <v>-3.3773331218959125E-2</v>
      </c>
      <c r="M443" s="839">
        <f t="shared" si="208"/>
        <v>-6351.0499999999884</v>
      </c>
      <c r="N443" s="824">
        <f t="shared" si="189"/>
        <v>-1.8145857142857109E-2</v>
      </c>
      <c r="O443" s="808">
        <f t="shared" si="192"/>
        <v>-9.9218178464499391E-3</v>
      </c>
      <c r="P443" s="839" t="b">
        <f t="shared" si="209"/>
        <v>0</v>
      </c>
      <c r="Q443" s="824">
        <f>COUNTIF(P$2:P443, TRUE)/(COUNTIF(P$2:P443,FALSE) + COUNTIF(P$2:P443, TRUE))</f>
        <v>0.47963800904977377</v>
      </c>
      <c r="R443" s="822">
        <v>276654.45</v>
      </c>
      <c r="S443" s="822">
        <f t="shared" si="210"/>
        <v>66994.5</v>
      </c>
      <c r="T443" s="822">
        <v>-42389</v>
      </c>
      <c r="U443" s="822">
        <f t="shared" si="211"/>
        <v>36037.950000000012</v>
      </c>
      <c r="V443" s="824">
        <f>STDEV(D$2:D443)*SQRT(252)</f>
        <v>0.1464990590899134</v>
      </c>
      <c r="W443" s="824">
        <f>STDEV(L$2:L443)*SQRT(252)</f>
        <v>0.31775974785827971</v>
      </c>
      <c r="X443" s="823">
        <f t="shared" si="199"/>
        <v>0.5858623321565245</v>
      </c>
      <c r="Y443" s="823">
        <f t="shared" si="200"/>
        <v>-3.1224275300202758E-2</v>
      </c>
      <c r="Z443" s="829">
        <f t="shared" si="201"/>
        <v>-0.17511585390851983</v>
      </c>
    </row>
    <row r="444" spans="1:26" ht="20.100000000000001" customHeight="1" x14ac:dyDescent="0.2">
      <c r="A444" s="798">
        <f t="shared" si="188"/>
        <v>669</v>
      </c>
      <c r="B444" s="817">
        <v>42902</v>
      </c>
      <c r="C444" s="842">
        <v>2433.46</v>
      </c>
      <c r="D444" s="814">
        <f t="shared" si="213"/>
        <v>4.1110645190465617E-4</v>
      </c>
      <c r="E444" s="841">
        <f t="shared" si="205"/>
        <v>0.15744563459599323</v>
      </c>
      <c r="F444" s="838">
        <v>6166.5</v>
      </c>
      <c r="G444" s="814">
        <f t="shared" si="214"/>
        <v>1.6219284729543428E-4</v>
      </c>
      <c r="H444" s="819">
        <f t="shared" si="206"/>
        <v>0.21108863444429174</v>
      </c>
      <c r="I444" s="821">
        <v>340685.9</v>
      </c>
      <c r="J444" s="822">
        <v>350000</v>
      </c>
      <c r="K444" s="822">
        <f t="shared" si="207"/>
        <v>-2963.0499999999884</v>
      </c>
      <c r="L444" s="814">
        <f t="shared" si="215"/>
        <v>-8.6223164656839147E-3</v>
      </c>
      <c r="M444" s="839">
        <f t="shared" si="208"/>
        <v>-9314.0999999999767</v>
      </c>
      <c r="N444" s="824">
        <f t="shared" si="189"/>
        <v>-2.6611714285714218E-2</v>
      </c>
      <c r="O444" s="808">
        <f t="shared" si="192"/>
        <v>-1.4529041319666843E-2</v>
      </c>
      <c r="P444" s="839" t="b">
        <f t="shared" si="209"/>
        <v>0</v>
      </c>
      <c r="Q444" s="824">
        <f>COUNTIF(P$2:P444, TRUE)/(COUNTIF(P$2:P444,FALSE) + COUNTIF(P$2:P444, TRUE))</f>
        <v>0.47855530474040631</v>
      </c>
      <c r="R444" s="822">
        <v>280371.40000000002</v>
      </c>
      <c r="S444" s="822">
        <f t="shared" si="210"/>
        <v>60314.5</v>
      </c>
      <c r="T444" s="822">
        <v>-45235</v>
      </c>
      <c r="U444" s="822">
        <f t="shared" si="211"/>
        <v>35920.900000000023</v>
      </c>
      <c r="V444" s="824">
        <f>STDEV(D$2:D444)*SQRT(252)</f>
        <v>0.14633286893407277</v>
      </c>
      <c r="W444" s="824">
        <f>STDEV(L$2:L444)*SQRT(252)</f>
        <v>0.31747170066336466</v>
      </c>
      <c r="X444" s="823">
        <f t="shared" si="199"/>
        <v>0.58742556502635634</v>
      </c>
      <c r="Y444" s="823">
        <f t="shared" si="200"/>
        <v>-4.5764839163012216E-2</v>
      </c>
      <c r="Z444" s="829">
        <f t="shared" si="201"/>
        <v>-0.18405734888170744</v>
      </c>
    </row>
    <row r="445" spans="1:26" ht="20.100000000000001" customHeight="1" x14ac:dyDescent="0.2">
      <c r="A445" s="798">
        <f t="shared" si="188"/>
        <v>670</v>
      </c>
      <c r="B445" s="817">
        <v>42903</v>
      </c>
      <c r="C445" s="842">
        <v>2453.46</v>
      </c>
      <c r="D445" s="814">
        <f t="shared" si="213"/>
        <v>8.2187502568359452E-3</v>
      </c>
      <c r="E445" s="841">
        <f t="shared" si="205"/>
        <v>0.16695839120260267</v>
      </c>
      <c r="F445" s="838">
        <v>6239.01</v>
      </c>
      <c r="G445" s="814">
        <f t="shared" si="214"/>
        <v>1.17586961809779E-2</v>
      </c>
      <c r="H445" s="819">
        <f t="shared" si="206"/>
        <v>0.22532945774495758</v>
      </c>
      <c r="I445" s="821">
        <v>342070.2</v>
      </c>
      <c r="J445" s="822">
        <v>350000</v>
      </c>
      <c r="K445" s="822">
        <f t="shared" si="207"/>
        <v>1384.2999999999884</v>
      </c>
      <c r="L445" s="814">
        <f t="shared" si="215"/>
        <v>4.0632735314258331E-3</v>
      </c>
      <c r="M445" s="839">
        <f t="shared" si="208"/>
        <v>-7929.7999999999884</v>
      </c>
      <c r="N445" s="824">
        <f t="shared" si="189"/>
        <v>-2.2656571428571394E-2</v>
      </c>
      <c r="O445" s="808">
        <f t="shared" si="192"/>
        <v>-1.2351213006396569E-2</v>
      </c>
      <c r="P445" s="839" t="b">
        <f t="shared" si="209"/>
        <v>0</v>
      </c>
      <c r="Q445" s="824">
        <f>COUNTIF(P$2:P445, TRUE)/(COUNTIF(P$2:P445,FALSE) + COUNTIF(P$2:P445, TRUE))</f>
        <v>0.47747747747747749</v>
      </c>
      <c r="R445" s="822">
        <v>281755.7</v>
      </c>
      <c r="S445" s="822">
        <f t="shared" si="210"/>
        <v>60314.5</v>
      </c>
      <c r="T445" s="822">
        <v>-44677</v>
      </c>
      <c r="U445" s="822">
        <f t="shared" si="211"/>
        <v>36747.200000000012</v>
      </c>
      <c r="V445" s="824">
        <f>STDEV(D$2:D445)*SQRT(252)</f>
        <v>0.14628696674144756</v>
      </c>
      <c r="W445" s="824">
        <f>STDEV(L$2:L445)*SQRT(252)</f>
        <v>0.31712481290126882</v>
      </c>
      <c r="X445" s="823">
        <f t="shared" si="199"/>
        <v>0.62218285330333911</v>
      </c>
      <c r="Y445" s="823">
        <f t="shared" si="200"/>
        <v>-3.8947482202352612E-2</v>
      </c>
      <c r="Z445" s="829">
        <f t="shared" si="201"/>
        <v>-0.18961496263117406</v>
      </c>
    </row>
    <row r="446" spans="1:26" ht="20.100000000000001" customHeight="1" x14ac:dyDescent="0.2">
      <c r="A446" s="798">
        <f t="shared" si="188"/>
        <v>684</v>
      </c>
      <c r="B446" s="817">
        <v>42917</v>
      </c>
      <c r="C446" s="842">
        <v>2423.41</v>
      </c>
      <c r="D446" s="814">
        <f t="shared" si="213"/>
        <v>-1.2248008934321399E-2</v>
      </c>
      <c r="E446" s="841">
        <f t="shared" si="205"/>
        <v>0.15266547440117187</v>
      </c>
      <c r="F446" s="838">
        <v>6140.42</v>
      </c>
      <c r="G446" s="814">
        <f t="shared" si="214"/>
        <v>-1.5802186564855665E-2</v>
      </c>
      <c r="H446" s="819">
        <f t="shared" si="206"/>
        <v>0.20596657305025831</v>
      </c>
      <c r="I446" s="845">
        <v>340097.61</v>
      </c>
      <c r="J446" s="822">
        <v>350000</v>
      </c>
      <c r="K446" s="822">
        <f t="shared" si="207"/>
        <v>-1972.5900000000256</v>
      </c>
      <c r="L446" s="814">
        <f t="shared" si="215"/>
        <v>-5.7666233422263196E-3</v>
      </c>
      <c r="M446" s="845">
        <f t="shared" si="208"/>
        <v>-9902.390000000014</v>
      </c>
      <c r="N446" s="824">
        <f t="shared" si="189"/>
        <v>-2.8292542857142899E-2</v>
      </c>
      <c r="O446" s="808">
        <f t="shared" si="192"/>
        <v>-1.5107969705513806E-2</v>
      </c>
      <c r="P446" s="839" t="b">
        <f t="shared" si="209"/>
        <v>1</v>
      </c>
      <c r="Q446" s="824">
        <f>COUNTIF(P$2:P446, TRUE)/(COUNTIF(P$2:P446,FALSE) + COUNTIF(P$2:P446, TRUE))</f>
        <v>0.47865168539325842</v>
      </c>
      <c r="R446" s="822">
        <v>265669.75</v>
      </c>
      <c r="S446" s="822">
        <f t="shared" si="210"/>
        <v>74427.859999999986</v>
      </c>
      <c r="T446" s="822">
        <v>-48327</v>
      </c>
      <c r="U446" s="822">
        <f t="shared" si="211"/>
        <v>38424.609999999986</v>
      </c>
      <c r="V446" s="824">
        <f>STDEV(D$2:D446)*SQRT(252)</f>
        <v>0.14643166967945351</v>
      </c>
      <c r="W446" s="824">
        <f>STDEV(L$2:L446)*SQRT(252)</f>
        <v>0.31680015908275011</v>
      </c>
      <c r="X446" s="823">
        <f t="shared" si="199"/>
        <v>0.55672399514294701</v>
      </c>
      <c r="Y446" s="823">
        <f t="shared" si="200"/>
        <v>-4.7689274365444727E-2</v>
      </c>
      <c r="Z446" s="829">
        <f t="shared" si="201"/>
        <v>-0.18095801725831476</v>
      </c>
    </row>
    <row r="447" spans="1:26" ht="20.100000000000001" customHeight="1" x14ac:dyDescent="0.2">
      <c r="A447" s="798">
        <f t="shared" si="188"/>
        <v>699</v>
      </c>
      <c r="B447" s="817">
        <v>42932</v>
      </c>
      <c r="C447" s="842">
        <v>2459.27</v>
      </c>
      <c r="D447" s="814">
        <f t="shared" si="213"/>
        <v>1.4797331033543696E-2</v>
      </c>
      <c r="E447" s="841">
        <f t="shared" si="205"/>
        <v>0.16972184699682269</v>
      </c>
      <c r="F447" s="838">
        <v>6312.46</v>
      </c>
      <c r="G447" s="814">
        <f t="shared" si="214"/>
        <v>2.801762745870803E-2</v>
      </c>
      <c r="H447" s="819">
        <f t="shared" si="206"/>
        <v>0.23975489522163526</v>
      </c>
      <c r="I447" s="821">
        <v>337505.3</v>
      </c>
      <c r="J447" s="822">
        <v>350000</v>
      </c>
      <c r="K447" s="822">
        <f t="shared" si="207"/>
        <v>-2592.3099999999977</v>
      </c>
      <c r="L447" s="814">
        <f t="shared" si="215"/>
        <v>-7.6222529173315791E-3</v>
      </c>
      <c r="M447" s="839">
        <f t="shared" si="208"/>
        <v>-12494.700000000012</v>
      </c>
      <c r="N447" s="824">
        <f t="shared" si="189"/>
        <v>-3.5699142857142888E-2</v>
      </c>
      <c r="O447" s="808">
        <f t="shared" si="192"/>
        <v>-1.8653951256897627E-2</v>
      </c>
      <c r="P447" s="839" t="b">
        <f t="shared" si="209"/>
        <v>0</v>
      </c>
      <c r="Q447" s="824">
        <f>COUNTIF(P$2:P447, TRUE)/(COUNTIF(P$2:P447,FALSE) + COUNTIF(P$2:P447, TRUE))</f>
        <v>0.47757847533632286</v>
      </c>
      <c r="R447" s="822">
        <v>271259.02</v>
      </c>
      <c r="S447" s="822">
        <f t="shared" si="210"/>
        <v>66246.27999999997</v>
      </c>
      <c r="T447" s="822"/>
      <c r="U447" s="822"/>
      <c r="V447" s="824">
        <f>STDEV(D$2:D447)*SQRT(252)</f>
        <v>0.14666948290901966</v>
      </c>
      <c r="W447" s="824">
        <f>STDEV(L$2:L447)*SQRT(252)</f>
        <v>0.31649981867146626</v>
      </c>
      <c r="X447" s="823">
        <f t="shared" si="199"/>
        <v>0.60465971820759368</v>
      </c>
      <c r="Y447" s="823">
        <f t="shared" si="200"/>
        <v>-5.8938268385742225E-2</v>
      </c>
      <c r="Z447" s="829">
        <f t="shared" si="201"/>
        <v>-0.20542098985396556</v>
      </c>
    </row>
    <row r="448" spans="1:26" ht="20.100000000000001" customHeight="1" x14ac:dyDescent="0.2">
      <c r="A448" s="798">
        <f t="shared" si="188"/>
        <v>702</v>
      </c>
      <c r="B448" s="817">
        <v>42935</v>
      </c>
      <c r="C448" s="842">
        <v>2473.83</v>
      </c>
      <c r="D448" s="814">
        <f t="shared" si="213"/>
        <v>5.9204560702972612E-3</v>
      </c>
      <c r="E448" s="841">
        <f t="shared" si="205"/>
        <v>0.17664713380643438</v>
      </c>
      <c r="F448" s="838">
        <v>6385.04</v>
      </c>
      <c r="G448" s="814">
        <f t="shared" si="214"/>
        <v>1.1497894640124441E-2</v>
      </c>
      <c r="H448" s="819">
        <f t="shared" si="206"/>
        <v>0.25400946638647215</v>
      </c>
      <c r="I448" s="821">
        <v>343410.37</v>
      </c>
      <c r="J448" s="822">
        <v>350000</v>
      </c>
      <c r="K448" s="822">
        <f t="shared" si="207"/>
        <v>5905.070000000007</v>
      </c>
      <c r="L448" s="814">
        <f t="shared" si="215"/>
        <v>1.7496228948108393E-2</v>
      </c>
      <c r="M448" s="839">
        <f t="shared" si="208"/>
        <v>-6589.6300000000047</v>
      </c>
      <c r="N448" s="824">
        <f t="shared" si="189"/>
        <v>-1.8827514285714299E-2</v>
      </c>
      <c r="O448" s="808">
        <f t="shared" si="192"/>
        <v>-9.7959395909645985E-3</v>
      </c>
      <c r="P448" s="839" t="b">
        <f t="shared" si="209"/>
        <v>1</v>
      </c>
      <c r="Q448" s="824">
        <f>COUNTIF(P$2:P448, TRUE)/(COUNTIF(P$2:P448,FALSE) + COUNTIF(P$2:P448, TRUE))</f>
        <v>0.47874720357941836</v>
      </c>
      <c r="R448" s="822">
        <v>277164.09000000003</v>
      </c>
      <c r="S448" s="822">
        <f t="shared" si="210"/>
        <v>66246.27999999997</v>
      </c>
      <c r="T448" s="822"/>
      <c r="U448" s="822"/>
      <c r="V448" s="824">
        <f>STDEV(D$2:D448)*SQRT(252)</f>
        <v>0.14656345819426395</v>
      </c>
      <c r="W448" s="824">
        <f>STDEV(L$2:L448)*SQRT(252)</f>
        <v>0.31640768671182717</v>
      </c>
      <c r="X448" s="823">
        <f t="shared" si="199"/>
        <v>0.62709596151319946</v>
      </c>
      <c r="Y448" s="823">
        <f t="shared" si="200"/>
        <v>-3.0959866028433092E-2</v>
      </c>
      <c r="Z448" s="829">
        <f t="shared" si="201"/>
        <v>-0.19547464809214868</v>
      </c>
    </row>
    <row r="449" spans="1:26" ht="20.100000000000001" customHeight="1" x14ac:dyDescent="0.2">
      <c r="A449" s="798">
        <f t="shared" ref="A449:A512" si="216">B449-$B$2</f>
        <v>706</v>
      </c>
      <c r="B449" s="817">
        <v>42939</v>
      </c>
      <c r="C449" s="842">
        <v>2472.54</v>
      </c>
      <c r="D449" s="814">
        <f t="shared" si="213"/>
        <v>-5.214586289275996E-4</v>
      </c>
      <c r="E449" s="841">
        <f t="shared" si="205"/>
        <v>0.17603356100530806</v>
      </c>
      <c r="F449" s="838">
        <v>6387.75</v>
      </c>
      <c r="G449" s="814">
        <f t="shared" si="214"/>
        <v>4.2442960419982275E-4</v>
      </c>
      <c r="H449" s="819">
        <f t="shared" si="206"/>
        <v>0.25454170512795338</v>
      </c>
      <c r="I449" s="821">
        <v>341551.16</v>
      </c>
      <c r="J449" s="822">
        <v>350000</v>
      </c>
      <c r="K449" s="822">
        <f t="shared" si="207"/>
        <v>-1859.210000000021</v>
      </c>
      <c r="L449" s="814">
        <f t="shared" si="215"/>
        <v>-5.4139599803000151E-3</v>
      </c>
      <c r="M449" s="839">
        <f t="shared" si="208"/>
        <v>-8448.8400000000256</v>
      </c>
      <c r="N449" s="824">
        <f t="shared" ref="N449:N512" si="217">M449/J449</f>
        <v>-2.4139542857142929E-2</v>
      </c>
      <c r="O449" s="808">
        <f t="shared" si="192"/>
        <v>-1.248862326993124E-2</v>
      </c>
      <c r="P449" s="839" t="b">
        <f t="shared" si="209"/>
        <v>0</v>
      </c>
      <c r="Q449" s="824">
        <f>COUNTIF(P$2:P449, TRUE)/(COUNTIF(P$2:P449,FALSE) + COUNTIF(P$2:P449, TRUE))</f>
        <v>0.47767857142857145</v>
      </c>
      <c r="R449" s="822">
        <v>272191.45</v>
      </c>
      <c r="S449" s="822">
        <f t="shared" si="210"/>
        <v>69359.709999999963</v>
      </c>
      <c r="T449" s="822"/>
      <c r="U449" s="822"/>
      <c r="V449" s="824">
        <f>STDEV(D$2:D449)*SQRT(252)</f>
        <v>0.14640071777698352</v>
      </c>
      <c r="W449" s="824">
        <f>STDEV(L$2:L449)*SQRT(252)</f>
        <v>0.3160824345317183</v>
      </c>
      <c r="X449" s="823">
        <f t="shared" si="199"/>
        <v>0.62206790085699526</v>
      </c>
      <c r="Y449" s="823">
        <f t="shared" si="200"/>
        <v>-3.9510652619571714E-2</v>
      </c>
      <c r="Z449" s="829">
        <f t="shared" si="201"/>
        <v>-0.20017310386245099</v>
      </c>
    </row>
    <row r="450" spans="1:26" ht="20.100000000000001" customHeight="1" x14ac:dyDescent="0.2">
      <c r="A450" s="798">
        <f t="shared" si="216"/>
        <v>707</v>
      </c>
      <c r="B450" s="817">
        <v>42940</v>
      </c>
      <c r="C450" s="842">
        <v>2469.91</v>
      </c>
      <c r="D450" s="814">
        <f t="shared" si="213"/>
        <v>-1.0636834995592019E-3</v>
      </c>
      <c r="E450" s="841">
        <f t="shared" si="205"/>
        <v>0.17478263351153889</v>
      </c>
      <c r="F450" s="838">
        <v>6410.8</v>
      </c>
      <c r="G450" s="814">
        <f t="shared" si="214"/>
        <v>3.6084693358381563E-3</v>
      </c>
      <c r="H450" s="819">
        <f t="shared" si="206"/>
        <v>0.25906868040143771</v>
      </c>
      <c r="I450" s="821">
        <v>340982.83</v>
      </c>
      <c r="J450" s="822">
        <v>350000</v>
      </c>
      <c r="K450" s="822">
        <f t="shared" si="207"/>
        <v>-568.32999999995809</v>
      </c>
      <c r="L450" s="814">
        <f t="shared" si="215"/>
        <v>-1.6639674126709397E-3</v>
      </c>
      <c r="M450" s="839">
        <f t="shared" si="208"/>
        <v>-9017.1699999999837</v>
      </c>
      <c r="N450" s="824">
        <f t="shared" si="217"/>
        <v>-2.576334285714281E-2</v>
      </c>
      <c r="O450" s="808">
        <f t="shared" si="192"/>
        <v>-1.3309845797130709E-2</v>
      </c>
      <c r="P450" s="839" t="b">
        <f t="shared" si="209"/>
        <v>0</v>
      </c>
      <c r="Q450" s="824">
        <f>COUNTIF(P$2:P450, TRUE)/(COUNTIF(P$2:P450,FALSE) + COUNTIF(P$2:P450, TRUE))</f>
        <v>0.47661469933184858</v>
      </c>
      <c r="R450" s="822">
        <v>270948.21000000002</v>
      </c>
      <c r="S450" s="822">
        <f t="shared" si="210"/>
        <v>70034.62</v>
      </c>
      <c r="T450" s="822"/>
      <c r="U450" s="822"/>
      <c r="V450" s="824">
        <f>STDEV(D$2:D450)*SQRT(252)</f>
        <v>0.14624101621643504</v>
      </c>
      <c r="W450" s="824">
        <f>STDEV(L$2:L450)*SQRT(252)</f>
        <v>0.31573225572131869</v>
      </c>
      <c r="X450" s="823">
        <f t="shared" si="199"/>
        <v>0.61744729629894557</v>
      </c>
      <c r="Y450" s="823">
        <f t="shared" si="200"/>
        <v>-4.2155483185343769E-2</v>
      </c>
      <c r="Z450" s="829">
        <f t="shared" si="201"/>
        <v>-0.20054597636868171</v>
      </c>
    </row>
    <row r="451" spans="1:26" ht="20.100000000000001" customHeight="1" x14ac:dyDescent="0.2">
      <c r="A451" s="798">
        <f t="shared" si="216"/>
        <v>708</v>
      </c>
      <c r="B451" s="817">
        <v>42941</v>
      </c>
      <c r="C451" s="842">
        <v>2477.13</v>
      </c>
      <c r="D451" s="814">
        <f t="shared" si="213"/>
        <v>2.9231834358337976E-3</v>
      </c>
      <c r="E451" s="841">
        <f t="shared" si="205"/>
        <v>0.17821673864652501</v>
      </c>
      <c r="F451" s="838">
        <v>6412.17</v>
      </c>
      <c r="G451" s="814">
        <f t="shared" si="214"/>
        <v>2.1370187808072172E-4</v>
      </c>
      <c r="H451" s="819">
        <f t="shared" si="206"/>
        <v>0.25933774574307211</v>
      </c>
      <c r="I451" s="821">
        <v>346881.69</v>
      </c>
      <c r="J451" s="822">
        <v>350000</v>
      </c>
      <c r="K451" s="822">
        <f t="shared" si="207"/>
        <v>5898.859999999986</v>
      </c>
      <c r="L451" s="814">
        <f t="shared" si="215"/>
        <v>1.7299580744285527E-2</v>
      </c>
      <c r="M451" s="839">
        <f t="shared" si="208"/>
        <v>-3118.3099999999977</v>
      </c>
      <c r="N451" s="824">
        <f t="shared" si="217"/>
        <v>-8.9094571428571367E-3</v>
      </c>
      <c r="O451" s="808">
        <f t="shared" si="192"/>
        <v>-4.5962983353510858E-3</v>
      </c>
      <c r="P451" s="839" t="b">
        <f t="shared" si="209"/>
        <v>1</v>
      </c>
      <c r="Q451" s="824">
        <f>COUNTIF(P$2:P451, TRUE)/(COUNTIF(P$2:P451,FALSE) + COUNTIF(P$2:P451, TRUE))</f>
        <v>0.4777777777777778</v>
      </c>
      <c r="R451" s="822">
        <v>271847.19</v>
      </c>
      <c r="S451" s="822">
        <f t="shared" si="210"/>
        <v>75034.5</v>
      </c>
      <c r="T451" s="822"/>
      <c r="U451" s="822"/>
      <c r="V451" s="824">
        <f>STDEV(D$2:D451)*SQRT(252)</f>
        <v>0.14608992125066686</v>
      </c>
      <c r="W451" s="824">
        <f>STDEV(L$2:L451)*SQRT(252)</f>
        <v>0.31563562645422927</v>
      </c>
      <c r="X451" s="823">
        <f t="shared" si="199"/>
        <v>0.62933980870846162</v>
      </c>
      <c r="Y451" s="823">
        <f t="shared" si="200"/>
        <v>-1.4562039104979175E-2</v>
      </c>
      <c r="Z451" s="829">
        <f t="shared" si="201"/>
        <v>-0.18712619578938214</v>
      </c>
    </row>
    <row r="452" spans="1:26" ht="20.100000000000001" customHeight="1" x14ac:dyDescent="0.2">
      <c r="A452" s="798">
        <f t="shared" si="216"/>
        <v>709</v>
      </c>
      <c r="B452" s="817">
        <v>42942</v>
      </c>
      <c r="C452" s="842">
        <v>2477.83</v>
      </c>
      <c r="D452" s="814">
        <f t="shared" si="213"/>
        <v>2.8258508838850525E-4</v>
      </c>
      <c r="E452" s="841">
        <f t="shared" si="205"/>
        <v>0.17854968512775626</v>
      </c>
      <c r="F452" s="838">
        <v>6422.74</v>
      </c>
      <c r="G452" s="814">
        <f t="shared" si="214"/>
        <v>1.6484279112998733E-3</v>
      </c>
      <c r="H452" s="819">
        <f t="shared" si="206"/>
        <v>0.26141367323290848</v>
      </c>
      <c r="I452" s="821">
        <v>344935.7</v>
      </c>
      <c r="J452" s="822">
        <v>350000</v>
      </c>
      <c r="K452" s="822">
        <f t="shared" si="207"/>
        <v>-1945.9899999999907</v>
      </c>
      <c r="L452" s="814">
        <f t="shared" si="215"/>
        <v>-5.6099530649772571E-3</v>
      </c>
      <c r="M452" s="839">
        <f t="shared" si="208"/>
        <v>-5064.2999999999884</v>
      </c>
      <c r="N452" s="824">
        <f t="shared" si="217"/>
        <v>-1.4469428571428538E-2</v>
      </c>
      <c r="O452" s="808">
        <f t="shared" si="192"/>
        <v>-7.4541026596816268E-3</v>
      </c>
      <c r="P452" s="839" t="b">
        <f t="shared" si="209"/>
        <v>0</v>
      </c>
      <c r="Q452" s="824">
        <f>COUNTIF(P$2:P452, TRUE)/(COUNTIF(P$2:P452,FALSE) + COUNTIF(P$2:P452, TRUE))</f>
        <v>0.47671840354767187</v>
      </c>
      <c r="R452" s="822">
        <v>271848.19</v>
      </c>
      <c r="S452" s="822">
        <f t="shared" si="210"/>
        <v>73087.510000000009</v>
      </c>
      <c r="T452" s="822"/>
      <c r="U452" s="822"/>
      <c r="V452" s="824">
        <f>STDEV(D$2:D452)*SQRT(252)</f>
        <v>0.14592717685018944</v>
      </c>
      <c r="W452" s="824">
        <f>STDEV(L$2:L452)*SQRT(252)</f>
        <v>0.31531573939865265</v>
      </c>
      <c r="X452" s="823">
        <f t="shared" si="199"/>
        <v>0.63032843254768567</v>
      </c>
      <c r="Y452" s="823">
        <f t="shared" si="200"/>
        <v>-2.3640122354493157E-2</v>
      </c>
      <c r="Z452" s="829">
        <f t="shared" si="201"/>
        <v>-0.19301911369918481</v>
      </c>
    </row>
    <row r="453" spans="1:26" ht="20.100000000000001" customHeight="1" x14ac:dyDescent="0.2">
      <c r="A453" s="798">
        <f t="shared" si="216"/>
        <v>710</v>
      </c>
      <c r="B453" s="817">
        <v>42943</v>
      </c>
      <c r="C453" s="842">
        <v>2475.42</v>
      </c>
      <c r="D453" s="814">
        <f t="shared" si="213"/>
        <v>-9.7262524063388312E-4</v>
      </c>
      <c r="E453" s="841">
        <f t="shared" si="205"/>
        <v>0.17740339795665988</v>
      </c>
      <c r="F453" s="838">
        <v>6382.18</v>
      </c>
      <c r="G453" s="814">
        <f t="shared" si="214"/>
        <v>-6.3150617960558101E-3</v>
      </c>
      <c r="H453" s="819">
        <f t="shared" si="206"/>
        <v>0.25344776793605289</v>
      </c>
      <c r="I453" s="821">
        <v>347779.66</v>
      </c>
      <c r="J453" s="822">
        <v>350000</v>
      </c>
      <c r="K453" s="822">
        <f t="shared" si="207"/>
        <v>2843.9599999999627</v>
      </c>
      <c r="L453" s="814">
        <f t="shared" si="215"/>
        <v>8.2448989768236884E-3</v>
      </c>
      <c r="M453" s="839">
        <f t="shared" si="208"/>
        <v>-2220.3400000000256</v>
      </c>
      <c r="N453" s="824">
        <f t="shared" si="217"/>
        <v>-6.343828571428645E-3</v>
      </c>
      <c r="O453" s="808">
        <f t="shared" si="192"/>
        <v>-3.2634977263581869E-3</v>
      </c>
      <c r="P453" s="839" t="b">
        <f t="shared" si="209"/>
        <v>1</v>
      </c>
      <c r="Q453" s="824">
        <f>COUNTIF(P$2:P453, TRUE)/(COUNTIF(P$2:P453,FALSE) + COUNTIF(P$2:P453, TRUE))</f>
        <v>0.47787610619469029</v>
      </c>
      <c r="R453" s="822">
        <v>282618.7</v>
      </c>
      <c r="S453" s="822">
        <f t="shared" si="210"/>
        <v>65160.959999999963</v>
      </c>
      <c r="T453" s="822"/>
      <c r="U453" s="822"/>
      <c r="V453" s="824">
        <f>STDEV(D$2:D453)*SQRT(252)</f>
        <v>0.14576859451697097</v>
      </c>
      <c r="W453" s="824">
        <f>STDEV(L$2:L453)*SQRT(252)</f>
        <v>0.31502032970329025</v>
      </c>
      <c r="X453" s="823">
        <f t="shared" si="199"/>
        <v>0.62608001863351337</v>
      </c>
      <c r="Y453" s="823">
        <f t="shared" si="200"/>
        <v>-1.0359641644182118E-2</v>
      </c>
      <c r="Z453" s="829">
        <f t="shared" si="201"/>
        <v>-0.18374722652808853</v>
      </c>
    </row>
    <row r="454" spans="1:26" ht="20.100000000000001" customHeight="1" x14ac:dyDescent="0.2">
      <c r="A454" s="798">
        <f t="shared" si="216"/>
        <v>711</v>
      </c>
      <c r="B454" s="817">
        <v>42944</v>
      </c>
      <c r="C454" s="842">
        <v>2472.1</v>
      </c>
      <c r="D454" s="814">
        <f t="shared" si="213"/>
        <v>-1.3411865461215324E-3</v>
      </c>
      <c r="E454" s="841">
        <f t="shared" si="205"/>
        <v>0.17582428035996264</v>
      </c>
      <c r="F454" s="838">
        <v>6374.37</v>
      </c>
      <c r="G454" s="814">
        <f t="shared" si="214"/>
        <v>-1.223719794803719E-3</v>
      </c>
      <c r="H454" s="819">
        <f t="shared" si="206"/>
        <v>0.25191389909067702</v>
      </c>
      <c r="I454" s="821">
        <v>349490.54</v>
      </c>
      <c r="J454" s="822">
        <v>350000</v>
      </c>
      <c r="K454" s="822">
        <f t="shared" si="207"/>
        <v>1710.8800000000047</v>
      </c>
      <c r="L454" s="814">
        <f t="shared" si="215"/>
        <v>4.919436634103342E-3</v>
      </c>
      <c r="M454" s="839">
        <f t="shared" si="208"/>
        <v>-509.46000000002095</v>
      </c>
      <c r="N454" s="824">
        <f t="shared" si="217"/>
        <v>-1.4556000000000599E-3</v>
      </c>
      <c r="O454" s="808">
        <f t="shared" si="192"/>
        <v>-7.4776075949370164E-4</v>
      </c>
      <c r="P454" s="839" t="b">
        <f t="shared" si="209"/>
        <v>1</v>
      </c>
      <c r="Q454" s="824">
        <f>COUNTIF(P$2:P454, TRUE)/(COUNTIF(P$2:P454,FALSE) + COUNTIF(P$2:P454, TRUE))</f>
        <v>0.47902869757174393</v>
      </c>
      <c r="R454" s="822">
        <v>280096.03000000003</v>
      </c>
      <c r="S454" s="822">
        <f t="shared" si="210"/>
        <v>69394.509999999951</v>
      </c>
      <c r="T454" s="822"/>
      <c r="U454" s="822"/>
      <c r="V454" s="824">
        <f>STDEV(D$2:D454)*SQRT(252)</f>
        <v>0.14561273064343241</v>
      </c>
      <c r="W454" s="824">
        <f>STDEV(L$2:L454)*SQRT(252)</f>
        <v>0.3146891603387108</v>
      </c>
      <c r="X454" s="823">
        <f t="shared" si="199"/>
        <v>0.62029763629220669</v>
      </c>
      <c r="Y454" s="823">
        <f t="shared" si="200"/>
        <v>-2.3761884860884976E-3</v>
      </c>
      <c r="Z454" s="829">
        <f t="shared" si="201"/>
        <v>-0.1772798803599627</v>
      </c>
    </row>
    <row r="455" spans="1:26" ht="20.100000000000001" customHeight="1" x14ac:dyDescent="0.2">
      <c r="A455" s="798">
        <f t="shared" si="216"/>
        <v>714</v>
      </c>
      <c r="B455" s="817">
        <v>42947</v>
      </c>
      <c r="C455" s="842">
        <v>2470.3000000000002</v>
      </c>
      <c r="D455" s="814">
        <f t="shared" si="213"/>
        <v>-7.2812588487509696E-4</v>
      </c>
      <c r="E455" s="841">
        <f t="shared" si="205"/>
        <v>0.17496813226536792</v>
      </c>
      <c r="F455" s="838">
        <v>6348.12</v>
      </c>
      <c r="G455" s="814">
        <f t="shared" si="214"/>
        <v>-4.1180540194560404E-3</v>
      </c>
      <c r="H455" s="819">
        <f t="shared" si="206"/>
        <v>0.24675845002651375</v>
      </c>
      <c r="I455" s="844">
        <v>348754.42</v>
      </c>
      <c r="J455" s="822">
        <v>350000</v>
      </c>
      <c r="K455" s="822">
        <f t="shared" si="207"/>
        <v>-736.11999999999534</v>
      </c>
      <c r="L455" s="814">
        <f t="shared" si="215"/>
        <v>-2.1062658806158111E-3</v>
      </c>
      <c r="M455" s="844">
        <f t="shared" si="208"/>
        <v>-1245.5800000000163</v>
      </c>
      <c r="N455" s="824">
        <f t="shared" si="217"/>
        <v>-3.5588000000000464E-3</v>
      </c>
      <c r="O455" s="808">
        <f t="shared" ref="O455:O518" si="218">N455/(A455/365.25)</f>
        <v>-1.8205205882353178E-3</v>
      </c>
      <c r="P455" s="839" t="b">
        <f t="shared" si="209"/>
        <v>0</v>
      </c>
      <c r="Q455" s="824">
        <f>COUNTIF(P$2:P455, TRUE)/(COUNTIF(P$2:P455,FALSE) + COUNTIF(P$2:P455, TRUE))</f>
        <v>0.47797356828193832</v>
      </c>
      <c r="R455" s="822">
        <v>280782.40999999997</v>
      </c>
      <c r="S455" s="822">
        <f t="shared" si="210"/>
        <v>67972.010000000009</v>
      </c>
      <c r="T455" s="822"/>
      <c r="U455" s="822"/>
      <c r="V455" s="824">
        <f>STDEV(D$2:D455)*SQRT(252)</f>
        <v>0.14545400037786788</v>
      </c>
      <c r="W455" s="824">
        <f>STDEV(L$2:L455)*SQRT(252)</f>
        <v>0.31434636500825969</v>
      </c>
      <c r="X455" s="823">
        <f t="shared" si="199"/>
        <v>0.61535438354440486</v>
      </c>
      <c r="Y455" s="823">
        <f t="shared" si="200"/>
        <v>-5.791447876890456E-3</v>
      </c>
      <c r="Z455" s="829">
        <f t="shared" si="201"/>
        <v>-0.17852693226536798</v>
      </c>
    </row>
    <row r="456" spans="1:26" ht="20.100000000000001" customHeight="1" x14ac:dyDescent="0.2">
      <c r="A456" s="798">
        <f t="shared" si="216"/>
        <v>716</v>
      </c>
      <c r="B456" s="817">
        <v>42949</v>
      </c>
      <c r="C456" s="842">
        <v>2477.5700000000002</v>
      </c>
      <c r="D456" s="814">
        <f t="shared" si="213"/>
        <v>2.9429623932315839E-3</v>
      </c>
      <c r="E456" s="841">
        <f t="shared" si="205"/>
        <v>0.17842601929187044</v>
      </c>
      <c r="F456" s="838">
        <v>6362.64</v>
      </c>
      <c r="G456" s="814">
        <f t="shared" si="214"/>
        <v>2.2872913555510035E-3</v>
      </c>
      <c r="H456" s="819">
        <f t="shared" si="206"/>
        <v>0.24961014985171959</v>
      </c>
      <c r="I456" s="821">
        <v>346224.68</v>
      </c>
      <c r="J456" s="822">
        <v>350000</v>
      </c>
      <c r="K456" s="822">
        <f t="shared" si="207"/>
        <v>-2529.7399999999907</v>
      </c>
      <c r="L456" s="814">
        <f t="shared" si="215"/>
        <v>-7.2536428355517062E-3</v>
      </c>
      <c r="M456" s="839">
        <f t="shared" si="208"/>
        <v>-3775.320000000007</v>
      </c>
      <c r="N456" s="824">
        <f t="shared" si="217"/>
        <v>-1.0786628571428591E-2</v>
      </c>
      <c r="O456" s="808">
        <f t="shared" si="218"/>
        <v>-5.5025364325618619E-3</v>
      </c>
      <c r="P456" s="839" t="b">
        <f t="shared" si="209"/>
        <v>0</v>
      </c>
      <c r="Q456" s="824">
        <f>COUNTIF(P$2:P456, TRUE)/(COUNTIF(P$2:P456,FALSE) + COUNTIF(P$2:P456, TRUE))</f>
        <v>0.47692307692307695</v>
      </c>
      <c r="R456" s="822">
        <v>285608.7</v>
      </c>
      <c r="S456" s="822">
        <f t="shared" si="210"/>
        <v>60615.979999999981</v>
      </c>
      <c r="T456" s="822"/>
      <c r="U456" s="822"/>
      <c r="V456" s="824">
        <f>STDEV(D$2:D456)*SQRT(252)</f>
        <v>0.14530573959175411</v>
      </c>
      <c r="W456" s="824">
        <f>STDEV(L$2:L456)*SQRT(252)</f>
        <v>0.31405074697791074</v>
      </c>
      <c r="X456" s="823">
        <f t="shared" si="199"/>
        <v>0.62640125535416991</v>
      </c>
      <c r="Y456" s="823">
        <f t="shared" si="200"/>
        <v>-1.7521169701114871E-2</v>
      </c>
      <c r="Z456" s="829">
        <f t="shared" si="201"/>
        <v>-0.18921264786329903</v>
      </c>
    </row>
    <row r="457" spans="1:26" ht="20.100000000000001" customHeight="1" x14ac:dyDescent="0.2">
      <c r="A457" s="798">
        <f t="shared" si="216"/>
        <v>717</v>
      </c>
      <c r="B457" s="817">
        <v>42950</v>
      </c>
      <c r="C457" s="842">
        <v>2472.16</v>
      </c>
      <c r="D457" s="814">
        <f t="shared" si="213"/>
        <v>-2.1835911800676907E-3</v>
      </c>
      <c r="E457" s="841">
        <f t="shared" si="205"/>
        <v>0.17585281862978244</v>
      </c>
      <c r="F457" s="838">
        <v>6340.34</v>
      </c>
      <c r="G457" s="814">
        <f t="shared" si="214"/>
        <v>-3.5048344712258089E-3</v>
      </c>
      <c r="H457" s="819">
        <f t="shared" si="206"/>
        <v>0.24523047312292562</v>
      </c>
      <c r="I457" s="821">
        <v>348198.95</v>
      </c>
      <c r="J457" s="822">
        <v>350000</v>
      </c>
      <c r="K457" s="822">
        <f t="shared" si="207"/>
        <v>1974.2700000000186</v>
      </c>
      <c r="L457" s="814">
        <f t="shared" si="215"/>
        <v>5.7022798028148044E-3</v>
      </c>
      <c r="M457" s="839">
        <f t="shared" si="208"/>
        <v>-1801.0499999999884</v>
      </c>
      <c r="N457" s="824">
        <f t="shared" si="217"/>
        <v>-5.1458571428571092E-3</v>
      </c>
      <c r="O457" s="808">
        <f t="shared" si="218"/>
        <v>-2.6213728332336946E-3</v>
      </c>
      <c r="P457" s="839" t="b">
        <f t="shared" si="209"/>
        <v>1</v>
      </c>
      <c r="Q457" s="824">
        <f>COUNTIF(P$2:P457, TRUE)/(COUNTIF(P$2:P457,FALSE) + COUNTIF(P$2:P457, TRUE))</f>
        <v>0.47807017543859648</v>
      </c>
      <c r="R457" s="822">
        <v>289835.09999999998</v>
      </c>
      <c r="S457" s="822">
        <f t="shared" si="210"/>
        <v>58363.850000000035</v>
      </c>
      <c r="T457" s="822">
        <v>-40278</v>
      </c>
      <c r="U457" s="822">
        <f t="shared" ref="U457:U462" si="219">M457-T457</f>
        <v>38476.950000000012</v>
      </c>
      <c r="V457" s="824">
        <f>STDEV(D$2:D457)*SQRT(252)</f>
        <v>0.14515839119279755</v>
      </c>
      <c r="W457" s="824">
        <f>STDEV(L$2:L457)*SQRT(252)</f>
        <v>0.31372982471955946</v>
      </c>
      <c r="X457" s="823">
        <f t="shared" si="199"/>
        <v>0.61713227010711635</v>
      </c>
      <c r="Y457" s="823">
        <f t="shared" si="200"/>
        <v>-8.3555104637466921E-3</v>
      </c>
      <c r="Z457" s="829">
        <f t="shared" si="201"/>
        <v>-0.18099867577263956</v>
      </c>
    </row>
    <row r="458" spans="1:26" ht="20.100000000000001" customHeight="1" x14ac:dyDescent="0.2">
      <c r="A458" s="798">
        <f t="shared" si="216"/>
        <v>718</v>
      </c>
      <c r="B458" s="817">
        <v>42951</v>
      </c>
      <c r="C458" s="842">
        <v>2476.83</v>
      </c>
      <c r="D458" s="814">
        <f t="shared" si="213"/>
        <v>1.8890363083295875E-3</v>
      </c>
      <c r="E458" s="841">
        <f t="shared" si="205"/>
        <v>0.17807404729742579</v>
      </c>
      <c r="F458" s="838">
        <v>6351.56</v>
      </c>
      <c r="G458" s="814">
        <f t="shared" si="214"/>
        <v>1.7696211875073346E-3</v>
      </c>
      <c r="H458" s="819">
        <f t="shared" ref="H458:H483" si="220">(F458-F$2)/F$2</f>
        <v>0.24743405935149373</v>
      </c>
      <c r="I458" s="821">
        <v>352188.09</v>
      </c>
      <c r="J458" s="822">
        <v>350000</v>
      </c>
      <c r="K458" s="822">
        <f t="shared" ref="K458:K483" si="221">I458-I457-J458+J457</f>
        <v>3989.140000000014</v>
      </c>
      <c r="L458" s="814">
        <f t="shared" si="215"/>
        <v>1.1456496350721374E-2</v>
      </c>
      <c r="M458" s="839">
        <f t="shared" si="208"/>
        <v>2188.0900000000256</v>
      </c>
      <c r="N458" s="824">
        <f t="shared" si="217"/>
        <v>6.2516857142857875E-3</v>
      </c>
      <c r="O458" s="808">
        <f t="shared" si="218"/>
        <v>3.1802621269399495E-3</v>
      </c>
      <c r="P458" s="839" t="b">
        <f t="shared" si="209"/>
        <v>1</v>
      </c>
      <c r="Q458" s="824">
        <f>COUNTIF(P$2:P458, TRUE)/(COUNTIF(P$2:P458,FALSE) + COUNTIF(P$2:P458, TRUE))</f>
        <v>0.47921225382932164</v>
      </c>
      <c r="R458" s="822">
        <v>296464.17</v>
      </c>
      <c r="S458" s="822">
        <f t="shared" ref="S458:S489" si="222">I458-R458</f>
        <v>55723.920000000042</v>
      </c>
      <c r="T458" s="822">
        <v>-36936</v>
      </c>
      <c r="U458" s="822">
        <f t="shared" si="219"/>
        <v>39124.090000000026</v>
      </c>
      <c r="V458" s="824">
        <f>STDEV(D$2:D458)*SQRT(252)</f>
        <v>0.14500302685679403</v>
      </c>
      <c r="W458" s="824">
        <f>STDEV(L$2:L458)*SQRT(252)</f>
        <v>0.31349308569145112</v>
      </c>
      <c r="X458" s="823">
        <f t="shared" si="199"/>
        <v>0.62472565622538812</v>
      </c>
      <c r="Y458" s="823">
        <f t="shared" si="200"/>
        <v>1.0144600541748646E-2</v>
      </c>
      <c r="Z458" s="829">
        <f t="shared" si="201"/>
        <v>-0.17182236158314002</v>
      </c>
    </row>
    <row r="459" spans="1:26" ht="20.100000000000001" customHeight="1" x14ac:dyDescent="0.2">
      <c r="A459" s="798">
        <f t="shared" si="216"/>
        <v>719</v>
      </c>
      <c r="B459" s="817">
        <v>42952</v>
      </c>
      <c r="C459" s="842">
        <v>2480.91</v>
      </c>
      <c r="D459" s="814">
        <f t="shared" si="213"/>
        <v>1.6472668693450609E-3</v>
      </c>
      <c r="E459" s="841">
        <f t="shared" si="205"/>
        <v>0.18001464964517408</v>
      </c>
      <c r="F459" s="838">
        <v>6383.77</v>
      </c>
      <c r="G459" s="814">
        <f t="shared" si="214"/>
        <v>5.0711951079734797E-3</v>
      </c>
      <c r="H459" s="819">
        <f t="shared" si="220"/>
        <v>0.25376004085079651</v>
      </c>
      <c r="I459" s="821">
        <v>348235.03</v>
      </c>
      <c r="J459" s="822">
        <v>350000</v>
      </c>
      <c r="K459" s="822">
        <f t="shared" si="221"/>
        <v>-3953.0599999999977</v>
      </c>
      <c r="L459" s="814">
        <f t="shared" si="215"/>
        <v>-1.1224286431718907E-2</v>
      </c>
      <c r="M459" s="839">
        <f t="shared" si="208"/>
        <v>-1764.9699999999721</v>
      </c>
      <c r="N459" s="824">
        <f t="shared" si="217"/>
        <v>-5.0427714285713491E-3</v>
      </c>
      <c r="O459" s="808">
        <f t="shared" si="218"/>
        <v>-2.5617138585336376E-3</v>
      </c>
      <c r="P459" s="839" t="b">
        <f t="shared" si="209"/>
        <v>0</v>
      </c>
      <c r="Q459" s="824">
        <f>COUNTIF(P$2:P459, TRUE)/(COUNTIF(P$2:P459,FALSE) + COUNTIF(P$2:P459, TRUE))</f>
        <v>0.47816593886462883</v>
      </c>
      <c r="R459" s="822">
        <v>292511.11</v>
      </c>
      <c r="S459" s="822">
        <f t="shared" si="222"/>
        <v>55723.920000000042</v>
      </c>
      <c r="T459" s="822">
        <v>-40990</v>
      </c>
      <c r="U459" s="822">
        <f t="shared" si="219"/>
        <v>39225.030000000028</v>
      </c>
      <c r="V459" s="824">
        <f>STDEV(D$2:D459)*SQRT(252)</f>
        <v>0.14484690154006488</v>
      </c>
      <c r="W459" s="824">
        <f>STDEV(L$2:L459)*SQRT(252)</f>
        <v>0.31326813608511911</v>
      </c>
      <c r="X459" s="823">
        <f t="shared" si="199"/>
        <v>0.63133515671575291</v>
      </c>
      <c r="Y459" s="823">
        <f t="shared" si="200"/>
        <v>-8.1773840472482203E-3</v>
      </c>
      <c r="Z459" s="829">
        <f t="shared" si="201"/>
        <v>-0.18505742107374543</v>
      </c>
    </row>
    <row r="460" spans="1:26" ht="20.100000000000001" customHeight="1" x14ac:dyDescent="0.2">
      <c r="A460" s="798">
        <f t="shared" si="216"/>
        <v>722</v>
      </c>
      <c r="B460" s="817">
        <v>42955</v>
      </c>
      <c r="C460" s="842">
        <v>2474.92</v>
      </c>
      <c r="D460" s="814">
        <f t="shared" si="213"/>
        <v>-2.4144366381689711E-3</v>
      </c>
      <c r="E460" s="841">
        <f t="shared" si="205"/>
        <v>0.17716557904149466</v>
      </c>
      <c r="F460" s="838">
        <v>6370.46</v>
      </c>
      <c r="G460" s="814">
        <f t="shared" si="214"/>
        <v>-2.0849748659491803E-3</v>
      </c>
      <c r="H460" s="819">
        <f t="shared" si="220"/>
        <v>0.25114598267769117</v>
      </c>
      <c r="I460" s="821">
        <v>347445.16</v>
      </c>
      <c r="J460" s="822">
        <v>350000</v>
      </c>
      <c r="K460" s="822">
        <f t="shared" si="221"/>
        <v>-789.87000000005355</v>
      </c>
      <c r="L460" s="814">
        <f t="shared" si="215"/>
        <v>-2.2682094905847167E-3</v>
      </c>
      <c r="M460" s="839">
        <f t="shared" si="208"/>
        <v>-2554.8400000000256</v>
      </c>
      <c r="N460" s="824">
        <f t="shared" si="217"/>
        <v>-7.2995428571429304E-3</v>
      </c>
      <c r="O460" s="808">
        <f t="shared" si="218"/>
        <v>-3.6927396517610184E-3</v>
      </c>
      <c r="P460" s="839" t="b">
        <f t="shared" si="209"/>
        <v>1</v>
      </c>
      <c r="Q460" s="824">
        <f>COUNTIF(P$2:P460, TRUE)/(COUNTIF(P$2:P460,FALSE) + COUNTIF(P$2:P460, TRUE))</f>
        <v>0.47930283224400871</v>
      </c>
      <c r="R460" s="822">
        <v>282925.45</v>
      </c>
      <c r="S460" s="822">
        <f t="shared" si="222"/>
        <v>64519.709999999963</v>
      </c>
      <c r="T460" s="822">
        <v>-41466</v>
      </c>
      <c r="U460" s="822">
        <f t="shared" si="219"/>
        <v>38911.159999999974</v>
      </c>
      <c r="V460" s="824">
        <f>STDEV(D$2:D460)*SQRT(252)</f>
        <v>0.14470343899895807</v>
      </c>
      <c r="W460" s="824">
        <f>STDEV(L$2:L460)*SQRT(252)</f>
        <v>0.31293135224758201</v>
      </c>
      <c r="X460" s="823">
        <f t="shared" si="199"/>
        <v>0.61937478691982528</v>
      </c>
      <c r="Y460" s="823">
        <f t="shared" si="200"/>
        <v>-1.1800478364467081E-2</v>
      </c>
      <c r="Z460" s="829">
        <f t="shared" si="201"/>
        <v>-0.18446512189863759</v>
      </c>
    </row>
    <row r="461" spans="1:26" ht="20.100000000000001" customHeight="1" x14ac:dyDescent="0.2">
      <c r="A461" s="798">
        <f t="shared" si="216"/>
        <v>723</v>
      </c>
      <c r="B461" s="817">
        <v>42956</v>
      </c>
      <c r="C461" s="842">
        <v>2474.02</v>
      </c>
      <c r="D461" s="814">
        <f t="shared" si="213"/>
        <v>-3.6364811791899976E-4</v>
      </c>
      <c r="E461" s="841">
        <f t="shared" si="205"/>
        <v>0.17673750499419719</v>
      </c>
      <c r="F461" s="838">
        <v>6352.33</v>
      </c>
      <c r="G461" s="814">
        <f t="shared" si="214"/>
        <v>-2.8459483302618821E-3</v>
      </c>
      <c r="H461" s="819">
        <f t="shared" si="220"/>
        <v>0.24758528585737577</v>
      </c>
      <c r="I461" s="821">
        <v>344663.89</v>
      </c>
      <c r="J461" s="822">
        <v>350000</v>
      </c>
      <c r="K461" s="822">
        <f t="shared" si="221"/>
        <v>-2781.2699999999604</v>
      </c>
      <c r="L461" s="814">
        <f t="shared" si="215"/>
        <v>-8.0049179559731395E-3</v>
      </c>
      <c r="M461" s="839">
        <f t="shared" si="208"/>
        <v>-5336.109999999986</v>
      </c>
      <c r="N461" s="824">
        <f t="shared" si="217"/>
        <v>-1.5246028571428531E-2</v>
      </c>
      <c r="O461" s="808">
        <f t="shared" si="218"/>
        <v>-7.7020911973917994E-3</v>
      </c>
      <c r="P461" s="839" t="b">
        <f t="shared" si="209"/>
        <v>0</v>
      </c>
      <c r="Q461" s="824">
        <f>COUNTIF(P$2:P461, TRUE)/(COUNTIF(P$2:P461,FALSE) + COUNTIF(P$2:P461, TRUE))</f>
        <v>0.47826086956521741</v>
      </c>
      <c r="R461" s="822">
        <v>285894.18</v>
      </c>
      <c r="S461" s="822">
        <f t="shared" si="222"/>
        <v>58769.710000000021</v>
      </c>
      <c r="T461" s="822">
        <v>-43506</v>
      </c>
      <c r="U461" s="822">
        <f t="shared" si="219"/>
        <v>38169.890000000014</v>
      </c>
      <c r="V461" s="824">
        <f>STDEV(D$2:D461)*SQRT(252)</f>
        <v>0.14454647992700137</v>
      </c>
      <c r="W461" s="824">
        <f>STDEV(L$2:L461)*SQRT(252)</f>
        <v>0.31265113323308852</v>
      </c>
      <c r="X461" s="823">
        <f t="shared" si="199"/>
        <v>0.61769363630370799</v>
      </c>
      <c r="Y461" s="823">
        <f t="shared" si="200"/>
        <v>-2.4634777804082724E-2</v>
      </c>
      <c r="Z461" s="829">
        <f t="shared" si="201"/>
        <v>-0.19198353356562572</v>
      </c>
    </row>
    <row r="462" spans="1:26" ht="20.100000000000001" customHeight="1" x14ac:dyDescent="0.2">
      <c r="A462" s="798">
        <f t="shared" si="216"/>
        <v>724</v>
      </c>
      <c r="B462" s="817">
        <v>42957</v>
      </c>
      <c r="C462" s="842">
        <v>2438.21</v>
      </c>
      <c r="D462" s="814">
        <f t="shared" si="213"/>
        <v>-1.4474418153450637E-2</v>
      </c>
      <c r="E462" s="841">
        <f t="shared" si="205"/>
        <v>0.15970491429006295</v>
      </c>
      <c r="F462" s="838">
        <v>6216.87</v>
      </c>
      <c r="G462" s="814">
        <f t="shared" si="214"/>
        <v>-2.1324458899333005E-2</v>
      </c>
      <c r="H462" s="819">
        <f t="shared" si="220"/>
        <v>0.22098120470569754</v>
      </c>
      <c r="I462" s="821">
        <v>338857.2</v>
      </c>
      <c r="J462" s="822">
        <v>350000</v>
      </c>
      <c r="K462" s="822">
        <f t="shared" si="221"/>
        <v>-5806.6900000000023</v>
      </c>
      <c r="L462" s="814">
        <f t="shared" si="215"/>
        <v>-1.6847398780301594E-2</v>
      </c>
      <c r="M462" s="839">
        <f t="shared" si="208"/>
        <v>-11142.799999999988</v>
      </c>
      <c r="N462" s="824">
        <f t="shared" si="217"/>
        <v>-3.1836571428571395E-2</v>
      </c>
      <c r="O462" s="808">
        <f t="shared" si="218"/>
        <v>-1.6061198500394617E-2</v>
      </c>
      <c r="P462" s="839" t="b">
        <f t="shared" si="209"/>
        <v>0</v>
      </c>
      <c r="Q462" s="824">
        <f>COUNTIF(P$2:P462, TRUE)/(COUNTIF(P$2:P462,FALSE) + COUNTIF(P$2:P462, TRUE))</f>
        <v>0.47722342733188722</v>
      </c>
      <c r="R462" s="822">
        <v>288927.49</v>
      </c>
      <c r="S462" s="822">
        <f t="shared" si="222"/>
        <v>49929.710000000021</v>
      </c>
      <c r="T462" s="822">
        <v>-45429</v>
      </c>
      <c r="U462" s="822">
        <f t="shared" si="219"/>
        <v>34286.200000000012</v>
      </c>
      <c r="V462" s="824">
        <f>STDEV(D$2:D462)*SQRT(252)</f>
        <v>0.14480781665948367</v>
      </c>
      <c r="W462" s="824">
        <f>STDEV(L$2:L462)*SQRT(252)</f>
        <v>0.31256971763489261</v>
      </c>
      <c r="X462" s="823">
        <f t="shared" si="199"/>
        <v>0.55638822836208146</v>
      </c>
      <c r="Y462" s="823">
        <f t="shared" si="200"/>
        <v>-5.1384371531331227E-2</v>
      </c>
      <c r="Z462" s="829">
        <f t="shared" si="201"/>
        <v>-0.19154148571863433</v>
      </c>
    </row>
    <row r="463" spans="1:26" ht="20.100000000000001" customHeight="1" x14ac:dyDescent="0.2">
      <c r="A463" s="798">
        <f t="shared" si="216"/>
        <v>729</v>
      </c>
      <c r="B463" s="817">
        <v>42962</v>
      </c>
      <c r="C463" s="842">
        <v>2464.61</v>
      </c>
      <c r="D463" s="814">
        <f t="shared" si="213"/>
        <v>1.0827615340762318E-2</v>
      </c>
      <c r="E463" s="841">
        <f t="shared" si="205"/>
        <v>0.1722617530107875</v>
      </c>
      <c r="F463" s="838">
        <v>6333.01</v>
      </c>
      <c r="G463" s="814">
        <f t="shared" si="214"/>
        <v>1.8681426505621049E-2</v>
      </c>
      <c r="H463" s="819">
        <f t="shared" si="220"/>
        <v>0.24379087534615168</v>
      </c>
      <c r="I463" s="821">
        <v>332438.64</v>
      </c>
      <c r="J463" s="822">
        <v>350000</v>
      </c>
      <c r="K463" s="822">
        <f t="shared" si="221"/>
        <v>-6418.5599999999977</v>
      </c>
      <c r="L463" s="814">
        <f t="shared" si="215"/>
        <v>-1.8941784326849179E-2</v>
      </c>
      <c r="M463" s="839">
        <f t="shared" si="208"/>
        <v>-17561.359999999986</v>
      </c>
      <c r="N463" s="824">
        <f t="shared" si="217"/>
        <v>-5.0175314285714243E-2</v>
      </c>
      <c r="O463" s="808">
        <f t="shared" si="218"/>
        <v>-2.5139277836566703E-2</v>
      </c>
      <c r="P463" s="839" t="b">
        <f t="shared" si="209"/>
        <v>0</v>
      </c>
      <c r="Q463" s="824">
        <f>COUNTIF(P$2:P463, TRUE)/(COUNTIF(P$2:P463,FALSE) + COUNTIF(P$2:P463, TRUE))</f>
        <v>0.47619047619047616</v>
      </c>
      <c r="R463" s="822">
        <v>295365.94</v>
      </c>
      <c r="S463" s="822">
        <f t="shared" si="222"/>
        <v>37072.700000000012</v>
      </c>
      <c r="T463" s="822"/>
      <c r="U463" s="822"/>
      <c r="V463" s="824">
        <f>STDEV(D$2:D463)*SQRT(252)</f>
        <v>0.14485707775910978</v>
      </c>
      <c r="W463" s="824">
        <f>STDEV(L$2:L463)*SQRT(252)</f>
        <v>0.31255421973327635</v>
      </c>
      <c r="X463" s="823">
        <f t="shared" si="199"/>
        <v>0.59581555741895575</v>
      </c>
      <c r="Y463" s="823">
        <f t="shared" si="200"/>
        <v>-8.0431733918101475E-2</v>
      </c>
      <c r="Z463" s="829">
        <f t="shared" si="201"/>
        <v>-0.22243706729650176</v>
      </c>
    </row>
    <row r="464" spans="1:26" ht="20.100000000000001" customHeight="1" x14ac:dyDescent="0.2">
      <c r="A464" s="798">
        <f t="shared" si="216"/>
        <v>730</v>
      </c>
      <c r="B464" s="817">
        <v>42963</v>
      </c>
      <c r="C464" s="842">
        <v>2468.11</v>
      </c>
      <c r="D464" s="814">
        <f t="shared" si="213"/>
        <v>1.4201029777530724E-3</v>
      </c>
      <c r="E464" s="841">
        <f t="shared" si="205"/>
        <v>0.17392648541694417</v>
      </c>
      <c r="F464" s="838">
        <v>6345.1</v>
      </c>
      <c r="G464" s="814">
        <f t="shared" si="214"/>
        <v>1.9090448301834586E-3</v>
      </c>
      <c r="H464" s="819">
        <f t="shared" si="220"/>
        <v>0.24616532788656059</v>
      </c>
      <c r="I464" s="821">
        <v>331487.06</v>
      </c>
      <c r="J464" s="822">
        <v>350000</v>
      </c>
      <c r="K464" s="822">
        <f t="shared" si="221"/>
        <v>-951.5800000000163</v>
      </c>
      <c r="L464" s="814">
        <f t="shared" si="215"/>
        <v>-2.8624229722514095E-3</v>
      </c>
      <c r="M464" s="839">
        <f t="shared" si="208"/>
        <v>-18512.940000000002</v>
      </c>
      <c r="N464" s="824">
        <f t="shared" si="217"/>
        <v>-5.2894114285714292E-2</v>
      </c>
      <c r="O464" s="808">
        <f t="shared" si="218"/>
        <v>-2.6465171565557732E-2</v>
      </c>
      <c r="P464" s="839" t="b">
        <f t="shared" si="209"/>
        <v>0</v>
      </c>
      <c r="Q464" s="824">
        <f>COUNTIF(P$2:P464, TRUE)/(COUNTIF(P$2:P464,FALSE) + COUNTIF(P$2:P464, TRUE))</f>
        <v>0.47516198704103674</v>
      </c>
      <c r="R464" s="822">
        <v>287776.84999999998</v>
      </c>
      <c r="S464" s="822">
        <f t="shared" si="222"/>
        <v>43710.210000000021</v>
      </c>
      <c r="T464" s="822"/>
      <c r="U464" s="822"/>
      <c r="V464" s="824">
        <f>STDEV(D$2:D464)*SQRT(252)</f>
        <v>0.14470189508724368</v>
      </c>
      <c r="W464" s="824">
        <f>STDEV(L$2:L464)*SQRT(252)</f>
        <v>0.312223627542843</v>
      </c>
      <c r="X464" s="823">
        <f t="shared" si="199"/>
        <v>0.60139368956345107</v>
      </c>
      <c r="Y464" s="823">
        <f t="shared" si="200"/>
        <v>-8.4763513171104282E-2</v>
      </c>
      <c r="Z464" s="829">
        <f t="shared" si="201"/>
        <v>-0.22682059970265844</v>
      </c>
    </row>
    <row r="465" spans="1:26" ht="20.100000000000001" customHeight="1" x14ac:dyDescent="0.2">
      <c r="A465" s="798">
        <f t="shared" si="216"/>
        <v>731</v>
      </c>
      <c r="B465" s="817">
        <v>42964</v>
      </c>
      <c r="C465" s="842">
        <v>2430.0100000000002</v>
      </c>
      <c r="D465" s="814">
        <f t="shared" si="213"/>
        <v>-1.5436913265616163E-2</v>
      </c>
      <c r="E465" s="841">
        <f t="shared" si="205"/>
        <v>0.15580468408135317</v>
      </c>
      <c r="F465" s="838">
        <v>6221.91</v>
      </c>
      <c r="G465" s="814">
        <f t="shared" si="214"/>
        <v>-1.9414981639375346E-2</v>
      </c>
      <c r="H465" s="819">
        <f t="shared" si="220"/>
        <v>0.22197105092601688</v>
      </c>
      <c r="I465" s="821">
        <v>325889.02</v>
      </c>
      <c r="J465" s="822">
        <v>350000</v>
      </c>
      <c r="K465" s="822">
        <f t="shared" si="221"/>
        <v>-5598.039999999979</v>
      </c>
      <c r="L465" s="814">
        <f t="shared" si="215"/>
        <v>-1.6887657696200809E-2</v>
      </c>
      <c r="M465" s="839">
        <f t="shared" si="208"/>
        <v>-24110.979999999981</v>
      </c>
      <c r="N465" s="824">
        <f t="shared" si="217"/>
        <v>-6.8888514285714228E-2</v>
      </c>
      <c r="O465" s="808">
        <f t="shared" si="218"/>
        <v>-3.4420697459448868E-2</v>
      </c>
      <c r="P465" s="839" t="b">
        <f t="shared" si="209"/>
        <v>0</v>
      </c>
      <c r="Q465" s="824">
        <f>COUNTIF(P$2:P465, TRUE)/(COUNTIF(P$2:P465,FALSE) + COUNTIF(P$2:P465, TRUE))</f>
        <v>0.47413793103448276</v>
      </c>
      <c r="R465" s="822">
        <v>282178.81</v>
      </c>
      <c r="S465" s="822">
        <f t="shared" si="222"/>
        <v>43710.210000000021</v>
      </c>
      <c r="T465" s="822"/>
      <c r="U465" s="822"/>
      <c r="V465" s="824">
        <f>STDEV(D$2:D465)*SQRT(252)</f>
        <v>0.14501595644672607</v>
      </c>
      <c r="W465" s="824">
        <f>STDEV(L$2:L465)*SQRT(252)</f>
        <v>0.31214219131133292</v>
      </c>
      <c r="X465" s="823">
        <f t="shared" si="199"/>
        <v>0.53683097482860831</v>
      </c>
      <c r="Y465" s="823">
        <f t="shared" si="200"/>
        <v>-0.11027249252926981</v>
      </c>
      <c r="Z465" s="829">
        <f t="shared" si="201"/>
        <v>-0.22469319836706741</v>
      </c>
    </row>
    <row r="466" spans="1:26" ht="20.100000000000001" customHeight="1" x14ac:dyDescent="0.2">
      <c r="A466" s="798">
        <f t="shared" si="216"/>
        <v>734</v>
      </c>
      <c r="B466" s="817">
        <v>42967</v>
      </c>
      <c r="C466" s="842">
        <v>2425.5500000000002</v>
      </c>
      <c r="D466" s="814">
        <f t="shared" si="213"/>
        <v>-1.8353833934839922E-3</v>
      </c>
      <c r="E466" s="841">
        <f t="shared" si="205"/>
        <v>0.15368333935807924</v>
      </c>
      <c r="F466" s="838">
        <v>6216.52</v>
      </c>
      <c r="G466" s="814">
        <f t="shared" si="214"/>
        <v>-8.6629346936863724E-4</v>
      </c>
      <c r="H466" s="819">
        <f t="shared" si="220"/>
        <v>0.22091246538484213</v>
      </c>
      <c r="I466" s="821">
        <v>347339.95</v>
      </c>
      <c r="J466" s="822">
        <v>370000</v>
      </c>
      <c r="K466" s="822">
        <f t="shared" si="221"/>
        <v>1450.929999999993</v>
      </c>
      <c r="L466" s="814">
        <f t="shared" si="215"/>
        <v>4.4522211886733496E-3</v>
      </c>
      <c r="M466" s="839">
        <f t="shared" si="208"/>
        <v>-22660.049999999988</v>
      </c>
      <c r="N466" s="824">
        <f t="shared" si="217"/>
        <v>-6.1243378378378344E-2</v>
      </c>
      <c r="O466" s="808">
        <f t="shared" si="218"/>
        <v>-3.0475672960085409E-2</v>
      </c>
      <c r="P466" s="839" t="b">
        <f t="shared" si="209"/>
        <v>1</v>
      </c>
      <c r="Q466" s="824">
        <f>COUNTIF(P$2:P466, TRUE)/(COUNTIF(P$2:P466,FALSE) + COUNTIF(P$2:P466, TRUE))</f>
        <v>0.47526881720430109</v>
      </c>
      <c r="R466" s="822">
        <v>291149.86</v>
      </c>
      <c r="S466" s="822">
        <f t="shared" si="222"/>
        <v>56190.090000000026</v>
      </c>
      <c r="T466" s="822"/>
      <c r="U466" s="822"/>
      <c r="V466" s="824">
        <f>STDEV(D$2:D466)*SQRT(252)</f>
        <v>0.14486825523803426</v>
      </c>
      <c r="W466" s="824">
        <f>STDEV(L$2:L466)*SQRT(252)</f>
        <v>0.31182045349782028</v>
      </c>
      <c r="X466" s="823">
        <f t="shared" si="199"/>
        <v>0.52789521294325603</v>
      </c>
      <c r="Y466" s="823">
        <f t="shared" si="200"/>
        <v>-9.7734682309088633E-2</v>
      </c>
      <c r="Z466" s="829">
        <f t="shared" si="201"/>
        <v>-0.21492671773645758</v>
      </c>
    </row>
    <row r="467" spans="1:26" ht="20.100000000000001" customHeight="1" x14ac:dyDescent="0.2">
      <c r="A467" s="798">
        <f t="shared" si="216"/>
        <v>736</v>
      </c>
      <c r="B467" s="817">
        <v>42969</v>
      </c>
      <c r="C467" s="842">
        <v>2452.5100000000002</v>
      </c>
      <c r="D467" s="814">
        <f t="shared" si="213"/>
        <v>1.1115004844262141E-2</v>
      </c>
      <c r="E467" s="841">
        <f t="shared" si="205"/>
        <v>0.16650653526378881</v>
      </c>
      <c r="F467" s="838">
        <v>6297.47</v>
      </c>
      <c r="G467" s="814">
        <f t="shared" si="214"/>
        <v>1.3021754936845665E-2</v>
      </c>
      <c r="H467" s="819">
        <f t="shared" si="220"/>
        <v>0.23681088830842362</v>
      </c>
      <c r="I467" s="821">
        <v>347918.93</v>
      </c>
      <c r="J467" s="822">
        <v>370000</v>
      </c>
      <c r="K467" s="822">
        <f t="shared" si="221"/>
        <v>578.97999999998137</v>
      </c>
      <c r="L467" s="814">
        <f t="shared" si="215"/>
        <v>1.6668972284932422E-3</v>
      </c>
      <c r="M467" s="839">
        <f t="shared" si="208"/>
        <v>-22081.070000000007</v>
      </c>
      <c r="N467" s="824">
        <f t="shared" si="217"/>
        <v>-5.9678567567567585E-2</v>
      </c>
      <c r="O467" s="808">
        <f t="shared" si="218"/>
        <v>-2.9616300005508238E-2</v>
      </c>
      <c r="P467" s="839" t="b">
        <f t="shared" si="209"/>
        <v>0</v>
      </c>
      <c r="Q467" s="824">
        <f>COUNTIF(P$2:P467, TRUE)/(COUNTIF(P$2:P467,FALSE) + COUNTIF(P$2:P467, TRUE))</f>
        <v>0.47424892703862659</v>
      </c>
      <c r="R467" s="822">
        <v>294443.84000000003</v>
      </c>
      <c r="S467" s="822">
        <f t="shared" si="222"/>
        <v>53475.089999999967</v>
      </c>
      <c r="T467" s="822"/>
      <c r="U467" s="822"/>
      <c r="V467" s="824">
        <f>STDEV(D$2:D467)*SQRT(252)</f>
        <v>0.14492890674225326</v>
      </c>
      <c r="W467" s="824">
        <f>STDEV(L$2:L467)*SQRT(252)</f>
        <v>0.31148603418004434</v>
      </c>
      <c r="X467" s="823">
        <f t="shared" si="199"/>
        <v>0.57014940841763584</v>
      </c>
      <c r="Y467" s="823">
        <f t="shared" si="200"/>
        <v>-9.5080667367544003E-2</v>
      </c>
      <c r="Z467" s="829">
        <f t="shared" si="201"/>
        <v>-0.2261851028313564</v>
      </c>
    </row>
    <row r="468" spans="1:26" ht="20.100000000000001" customHeight="1" x14ac:dyDescent="0.2">
      <c r="A468" s="798">
        <f t="shared" si="216"/>
        <v>739</v>
      </c>
      <c r="B468" s="817">
        <v>42972</v>
      </c>
      <c r="C468" s="842">
        <v>2443.0500000000002</v>
      </c>
      <c r="D468" s="814">
        <f t="shared" si="213"/>
        <v>-3.8572727532201847E-3</v>
      </c>
      <c r="E468" s="841">
        <f t="shared" si="205"/>
        <v>0.16200700138886251</v>
      </c>
      <c r="F468" s="838">
        <v>6265.64</v>
      </c>
      <c r="G468" s="814">
        <f t="shared" si="214"/>
        <v>-5.0544107395509505E-3</v>
      </c>
      <c r="H468" s="819">
        <f t="shared" si="220"/>
        <v>0.23055953807176396</v>
      </c>
      <c r="I468" s="821">
        <v>350194.37</v>
      </c>
      <c r="J468" s="822">
        <v>370000</v>
      </c>
      <c r="K468" s="822">
        <f t="shared" si="221"/>
        <v>2275.4400000000023</v>
      </c>
      <c r="L468" s="814">
        <f t="shared" si="215"/>
        <v>6.5401442801632046E-3</v>
      </c>
      <c r="M468" s="839">
        <f t="shared" si="208"/>
        <v>-19805.630000000005</v>
      </c>
      <c r="N468" s="824">
        <f t="shared" si="217"/>
        <v>-5.3528729729729739E-2</v>
      </c>
      <c r="O468" s="808">
        <f t="shared" si="218"/>
        <v>-2.6456520343415137E-2</v>
      </c>
      <c r="P468" s="839" t="b">
        <f t="shared" si="209"/>
        <v>1</v>
      </c>
      <c r="Q468" s="824">
        <f>COUNTIF(P$2:P468, TRUE)/(COUNTIF(P$2:P468,FALSE) + COUNTIF(P$2:P468, TRUE))</f>
        <v>0.47537473233404709</v>
      </c>
      <c r="R468" s="822">
        <v>301558.38</v>
      </c>
      <c r="S468" s="822">
        <f t="shared" si="222"/>
        <v>48635.989999999991</v>
      </c>
      <c r="T468" s="822"/>
      <c r="U468" s="822"/>
      <c r="V468" s="824">
        <f>STDEV(D$2:D468)*SQRT(252)</f>
        <v>0.14480639993993136</v>
      </c>
      <c r="W468" s="824">
        <f>STDEV(L$2:L468)*SQRT(252)</f>
        <v>0.31118539712304355</v>
      </c>
      <c r="X468" s="823">
        <f t="shared" si="199"/>
        <v>0.55295757681420421</v>
      </c>
      <c r="Y468" s="823">
        <f t="shared" si="200"/>
        <v>-8.5018514968921113E-2</v>
      </c>
      <c r="Z468" s="829">
        <f t="shared" si="201"/>
        <v>-0.21553573111859226</v>
      </c>
    </row>
    <row r="469" spans="1:26" ht="20.100000000000001" customHeight="1" x14ac:dyDescent="0.2">
      <c r="A469" s="798">
        <f t="shared" si="216"/>
        <v>743</v>
      </c>
      <c r="B469" s="817">
        <v>42976</v>
      </c>
      <c r="C469" s="842">
        <v>2446.3000000000002</v>
      </c>
      <c r="D469" s="814">
        <f t="shared" si="213"/>
        <v>1.3303043326988804E-3</v>
      </c>
      <c r="E469" s="841">
        <f t="shared" si="205"/>
        <v>0.16355282433743656</v>
      </c>
      <c r="F469" s="838">
        <v>6301.88</v>
      </c>
      <c r="G469" s="814">
        <f t="shared" si="214"/>
        <v>5.7839263028197883E-3</v>
      </c>
      <c r="H469" s="819">
        <f t="shared" si="220"/>
        <v>0.23767700375120301</v>
      </c>
      <c r="I469" s="821">
        <v>348569.19</v>
      </c>
      <c r="J469" s="822">
        <v>370000</v>
      </c>
      <c r="K469" s="822">
        <f t="shared" si="221"/>
        <v>-1625.179999999993</v>
      </c>
      <c r="L469" s="814">
        <f t="shared" si="215"/>
        <v>-4.6407941966628216E-3</v>
      </c>
      <c r="M469" s="839">
        <f t="shared" si="208"/>
        <v>-21430.809999999998</v>
      </c>
      <c r="N469" s="824">
        <f t="shared" si="217"/>
        <v>-5.7921108108108105E-2</v>
      </c>
      <c r="O469" s="808">
        <f t="shared" si="218"/>
        <v>-2.847333073551344E-2</v>
      </c>
      <c r="P469" s="839" t="b">
        <f t="shared" si="209"/>
        <v>0</v>
      </c>
      <c r="Q469" s="824">
        <f>COUNTIF(P$2:P469, TRUE)/(COUNTIF(P$2:P469,FALSE) + COUNTIF(P$2:P469, TRUE))</f>
        <v>0.47435897435897434</v>
      </c>
      <c r="R469" s="822">
        <v>299933.2</v>
      </c>
      <c r="S469" s="822">
        <f t="shared" si="222"/>
        <v>48635.989999999991</v>
      </c>
      <c r="T469" s="822"/>
      <c r="U469" s="822"/>
      <c r="V469" s="824">
        <f>STDEV(D$2:D469)*SQRT(252)</f>
        <v>0.14465268757046457</v>
      </c>
      <c r="W469" s="824">
        <f>STDEV(L$2:L469)*SQRT(252)</f>
        <v>0.31087213053146129</v>
      </c>
      <c r="X469" s="823">
        <f t="shared" si="199"/>
        <v>0.55581844136645131</v>
      </c>
      <c r="Y469" s="823">
        <f t="shared" si="200"/>
        <v>-9.1591776615150278E-2</v>
      </c>
      <c r="Z469" s="829">
        <f t="shared" si="201"/>
        <v>-0.22147393244554467</v>
      </c>
    </row>
    <row r="470" spans="1:26" ht="20.100000000000001" customHeight="1" x14ac:dyDescent="0.2">
      <c r="A470" s="798">
        <f t="shared" si="216"/>
        <v>744</v>
      </c>
      <c r="B470" s="817">
        <v>42977</v>
      </c>
      <c r="C470" s="842">
        <v>2457.59</v>
      </c>
      <c r="D470" s="814">
        <f t="shared" si="213"/>
        <v>4.6151330580877087E-3</v>
      </c>
      <c r="E470" s="841">
        <f t="shared" si="205"/>
        <v>0.1689227754418676</v>
      </c>
      <c r="F470" s="838">
        <v>6368.3</v>
      </c>
      <c r="G470" s="814">
        <f t="shared" si="214"/>
        <v>1.0539711958970984E-2</v>
      </c>
      <c r="H470" s="819">
        <f t="shared" si="220"/>
        <v>0.25072176286898296</v>
      </c>
      <c r="I470" s="821">
        <v>350684.01</v>
      </c>
      <c r="J470" s="822">
        <v>370000</v>
      </c>
      <c r="K470" s="822">
        <f t="shared" si="221"/>
        <v>2114.820000000007</v>
      </c>
      <c r="L470" s="814">
        <f t="shared" si="215"/>
        <v>6.0671455213812987E-3</v>
      </c>
      <c r="M470" s="839">
        <f t="shared" si="208"/>
        <v>-19315.989999999991</v>
      </c>
      <c r="N470" s="824">
        <f t="shared" si="217"/>
        <v>-5.2205378378378353E-2</v>
      </c>
      <c r="O470" s="808">
        <f t="shared" si="218"/>
        <v>-2.5629051683740179E-2</v>
      </c>
      <c r="P470" s="839" t="b">
        <f t="shared" si="209"/>
        <v>1</v>
      </c>
      <c r="Q470" s="824">
        <f>COUNTIF(P$2:P470, TRUE)/(COUNTIF(P$2:P470,FALSE) + COUNTIF(P$2:P470, TRUE))</f>
        <v>0.47547974413646055</v>
      </c>
      <c r="R470" s="822">
        <v>295643.7</v>
      </c>
      <c r="S470" s="822">
        <f t="shared" si="222"/>
        <v>55040.31</v>
      </c>
      <c r="T470" s="822"/>
      <c r="U470" s="822"/>
      <c r="V470" s="824">
        <f>STDEV(D$2:D470)*SQRT(252)</f>
        <v>0.14453137067764452</v>
      </c>
      <c r="W470" s="824">
        <f>STDEV(L$2:L470)*SQRT(252)</f>
        <v>0.31056850522583535</v>
      </c>
      <c r="X470" s="823">
        <f t="shared" si="199"/>
        <v>0.57377731788687758</v>
      </c>
      <c r="Y470" s="823">
        <f t="shared" si="200"/>
        <v>-8.2523022304220969E-2</v>
      </c>
      <c r="Z470" s="829">
        <f t="shared" si="201"/>
        <v>-0.22112815382024595</v>
      </c>
    </row>
    <row r="471" spans="1:26" ht="20.100000000000001" customHeight="1" x14ac:dyDescent="0.2">
      <c r="A471" s="798">
        <f t="shared" si="216"/>
        <v>745</v>
      </c>
      <c r="B471" s="817">
        <v>42978</v>
      </c>
      <c r="C471" s="842">
        <v>2471.65</v>
      </c>
      <c r="D471" s="814">
        <f t="shared" si="213"/>
        <v>5.7210519248531875E-3</v>
      </c>
      <c r="E471" s="841">
        <f t="shared" si="205"/>
        <v>0.175610243336314</v>
      </c>
      <c r="F471" s="838">
        <v>6428.66</v>
      </c>
      <c r="G471" s="814">
        <f t="shared" si="214"/>
        <v>9.4781966929949387E-3</v>
      </c>
      <c r="H471" s="819">
        <f t="shared" si="220"/>
        <v>0.26257634974566452</v>
      </c>
      <c r="I471" s="845">
        <v>352584.03</v>
      </c>
      <c r="J471" s="822">
        <v>370000</v>
      </c>
      <c r="K471" s="822">
        <f t="shared" si="221"/>
        <v>1900.0200000000186</v>
      </c>
      <c r="L471" s="814">
        <f t="shared" si="215"/>
        <v>5.4180400184200544E-3</v>
      </c>
      <c r="M471" s="845">
        <f t="shared" si="208"/>
        <v>-17415.969999999972</v>
      </c>
      <c r="N471" s="824">
        <f t="shared" si="217"/>
        <v>-4.7070189189189114E-2</v>
      </c>
      <c r="O471" s="808">
        <f t="shared" si="218"/>
        <v>-2.3077028995102448E-2</v>
      </c>
      <c r="P471" s="839" t="b">
        <f t="shared" si="209"/>
        <v>0</v>
      </c>
      <c r="Q471" s="824">
        <f>COUNTIF(P$2:P471, TRUE)/(COUNTIF(P$2:P471,FALSE) + COUNTIF(P$2:P471, TRUE))</f>
        <v>0.474468085106383</v>
      </c>
      <c r="R471" s="822">
        <v>289110.77</v>
      </c>
      <c r="S471" s="822">
        <f t="shared" si="222"/>
        <v>63473.260000000009</v>
      </c>
      <c r="T471" s="822"/>
      <c r="U471" s="822"/>
      <c r="V471" s="824">
        <f>STDEV(D$2:D471)*SQRT(252)</f>
        <v>0.14443004981901336</v>
      </c>
      <c r="W471" s="824">
        <f>STDEV(L$2:L471)*SQRT(252)</f>
        <v>0.31025959043644818</v>
      </c>
      <c r="X471" s="823">
        <f t="shared" si="199"/>
        <v>0.59610976408419181</v>
      </c>
      <c r="Y471" s="823">
        <f t="shared" si="200"/>
        <v>-7.4379744273624371E-2</v>
      </c>
      <c r="Z471" s="829">
        <f t="shared" si="201"/>
        <v>-0.22268043252550312</v>
      </c>
    </row>
    <row r="472" spans="1:26" ht="20.100000000000001" customHeight="1" x14ac:dyDescent="0.2">
      <c r="A472" s="798">
        <f t="shared" si="216"/>
        <v>746</v>
      </c>
      <c r="B472" s="817">
        <v>42979</v>
      </c>
      <c r="C472" s="842">
        <v>2476.5500000000002</v>
      </c>
      <c r="D472" s="814">
        <f t="shared" si="213"/>
        <v>1.9824813383772341E-3</v>
      </c>
      <c r="E472" s="841">
        <f t="shared" si="205"/>
        <v>0.17794086870493336</v>
      </c>
      <c r="F472" s="838">
        <v>6435.33</v>
      </c>
      <c r="G472" s="814">
        <f t="shared" si="214"/>
        <v>1.0375412605426438E-3</v>
      </c>
      <c r="H472" s="819">
        <f t="shared" si="220"/>
        <v>0.26388632480311097</v>
      </c>
      <c r="I472" s="821">
        <v>336954.37</v>
      </c>
      <c r="J472" s="822">
        <v>350000</v>
      </c>
      <c r="K472" s="822">
        <f t="shared" si="221"/>
        <v>4370.3399999999674</v>
      </c>
      <c r="L472" s="814">
        <f t="shared" si="215"/>
        <v>1.2395172861345895E-2</v>
      </c>
      <c r="M472" s="839">
        <f t="shared" si="208"/>
        <v>-13045.630000000005</v>
      </c>
      <c r="N472" s="824">
        <f t="shared" si="217"/>
        <v>-3.7273228571428584E-2</v>
      </c>
      <c r="O472" s="808">
        <f t="shared" si="218"/>
        <v>-1.8249392407123713E-2</v>
      </c>
      <c r="P472" s="839" t="b">
        <f t="shared" si="209"/>
        <v>1</v>
      </c>
      <c r="Q472" s="824">
        <f>COUNTIF(P$2:P472, TRUE)/(COUNTIF(P$2:P472,FALSE) + COUNTIF(P$2:P472, TRUE))</f>
        <v>0.47558386411889597</v>
      </c>
      <c r="R472" s="822">
        <v>291479.53000000003</v>
      </c>
      <c r="S472" s="822">
        <f t="shared" si="222"/>
        <v>45474.839999999967</v>
      </c>
      <c r="T472" s="822">
        <v>-52981</v>
      </c>
      <c r="U472" s="822">
        <f t="shared" ref="U472:U513" si="223">M472-T472</f>
        <v>39935.369999999995</v>
      </c>
      <c r="V472" s="824">
        <f>STDEV(D$2:D472)*SQRT(252)</f>
        <v>0.1442807254907349</v>
      </c>
      <c r="W472" s="824">
        <f>STDEV(L$2:L472)*SQRT(252)</f>
        <v>0.31005583574297191</v>
      </c>
      <c r="X472" s="823">
        <f t="shared" si="199"/>
        <v>0.60383570047443835</v>
      </c>
      <c r="Y472" s="823">
        <f t="shared" si="200"/>
        <v>-5.8858406465382505E-2</v>
      </c>
      <c r="Z472" s="829">
        <f t="shared" si="201"/>
        <v>-0.21521409727636195</v>
      </c>
    </row>
    <row r="473" spans="1:26" ht="20.100000000000001" customHeight="1" x14ac:dyDescent="0.2">
      <c r="A473" s="798">
        <f t="shared" si="216"/>
        <v>750</v>
      </c>
      <c r="B473" s="817">
        <v>42983</v>
      </c>
      <c r="C473" s="842">
        <v>2457.85</v>
      </c>
      <c r="D473" s="814">
        <f t="shared" si="213"/>
        <v>-7.5508267549616488E-3</v>
      </c>
      <c r="E473" s="841">
        <f t="shared" si="205"/>
        <v>0.1690464412777534</v>
      </c>
      <c r="F473" s="838">
        <v>6375.57</v>
      </c>
      <c r="G473" s="814">
        <f t="shared" si="214"/>
        <v>-9.2862370694277094E-3</v>
      </c>
      <c r="H473" s="819">
        <f t="shared" si="220"/>
        <v>0.25214957676218158</v>
      </c>
      <c r="I473" s="821">
        <v>336250.61</v>
      </c>
      <c r="J473" s="822">
        <v>350000</v>
      </c>
      <c r="K473" s="822">
        <f t="shared" si="221"/>
        <v>-703.76000000000931</v>
      </c>
      <c r="L473" s="814">
        <f t="shared" si="215"/>
        <v>-2.0885914018566056E-3</v>
      </c>
      <c r="M473" s="839">
        <f t="shared" si="208"/>
        <v>-13749.390000000014</v>
      </c>
      <c r="N473" s="824">
        <f t="shared" si="217"/>
        <v>-3.9283971428571471E-2</v>
      </c>
      <c r="O473" s="808">
        <f t="shared" si="218"/>
        <v>-1.9131294085714307E-2</v>
      </c>
      <c r="P473" s="839" t="b">
        <f t="shared" si="209"/>
        <v>1</v>
      </c>
      <c r="Q473" s="824">
        <f>COUNTIF(P$2:P473, TRUE)/(COUNTIF(P$2:P473,FALSE) + COUNTIF(P$2:P473, TRUE))</f>
        <v>0.47669491525423729</v>
      </c>
      <c r="R473" s="822">
        <v>296076.46999999997</v>
      </c>
      <c r="S473" s="822">
        <f t="shared" si="222"/>
        <v>40174.140000000014</v>
      </c>
      <c r="T473" s="822">
        <v>-52601</v>
      </c>
      <c r="U473" s="822">
        <f t="shared" si="223"/>
        <v>38851.609999999986</v>
      </c>
      <c r="V473" s="824">
        <f>STDEV(D$2:D473)*SQRT(252)</f>
        <v>0.14424413570977887</v>
      </c>
      <c r="W473" s="824">
        <f>STDEV(L$2:L473)*SQRT(252)</f>
        <v>0.30973071524404033</v>
      </c>
      <c r="X473" s="823">
        <f t="shared" si="199"/>
        <v>0.57073805113232579</v>
      </c>
      <c r="Y473" s="823">
        <f t="shared" si="200"/>
        <v>-6.1767506883004947E-2</v>
      </c>
      <c r="Z473" s="829">
        <f t="shared" si="201"/>
        <v>-0.20833041270632485</v>
      </c>
    </row>
    <row r="474" spans="1:26" ht="20.100000000000001" customHeight="1" x14ac:dyDescent="0.2">
      <c r="A474" s="798">
        <f t="shared" si="216"/>
        <v>751</v>
      </c>
      <c r="B474" s="817">
        <v>42984</v>
      </c>
      <c r="C474" s="842">
        <v>2465.54</v>
      </c>
      <c r="D474" s="814">
        <f t="shared" si="213"/>
        <v>3.128750737433145E-3</v>
      </c>
      <c r="E474" s="841">
        <f t="shared" si="205"/>
        <v>0.17270409619299476</v>
      </c>
      <c r="F474" s="838">
        <v>6393.31</v>
      </c>
      <c r="G474" s="814">
        <f t="shared" si="214"/>
        <v>2.7824963101339474E-3</v>
      </c>
      <c r="H474" s="819">
        <f t="shared" si="220"/>
        <v>0.25563367833925815</v>
      </c>
      <c r="I474" s="821">
        <v>342369.21</v>
      </c>
      <c r="J474" s="822">
        <v>350000</v>
      </c>
      <c r="K474" s="822">
        <f t="shared" si="221"/>
        <v>6118.6000000000349</v>
      </c>
      <c r="L474" s="814">
        <f t="shared" si="215"/>
        <v>1.8196546914814624E-2</v>
      </c>
      <c r="M474" s="839">
        <f t="shared" si="208"/>
        <v>-7630.789999999979</v>
      </c>
      <c r="N474" s="824">
        <f t="shared" si="217"/>
        <v>-2.1802257142857082E-2</v>
      </c>
      <c r="O474" s="808">
        <f t="shared" si="218"/>
        <v>-1.0603561147042008E-2</v>
      </c>
      <c r="P474" s="839" t="b">
        <f t="shared" si="209"/>
        <v>1</v>
      </c>
      <c r="Q474" s="824">
        <f>COUNTIF(P$2:P474, TRUE)/(COUNTIF(P$2:P474,FALSE) + COUNTIF(P$2:P474, TRUE))</f>
        <v>0.47780126849894294</v>
      </c>
      <c r="R474" s="822">
        <v>255392.65</v>
      </c>
      <c r="S474" s="822">
        <f t="shared" si="222"/>
        <v>86976.560000000027</v>
      </c>
      <c r="T474" s="822">
        <v>-48637</v>
      </c>
      <c r="U474" s="822">
        <f t="shared" si="223"/>
        <v>41006.210000000021</v>
      </c>
      <c r="V474" s="824">
        <f>STDEV(D$2:D474)*SQRT(252)</f>
        <v>0.14410499979088631</v>
      </c>
      <c r="W474" s="824">
        <f>STDEV(L$2:L474)*SQRT(252)</f>
        <v>0.30967830740703384</v>
      </c>
      <c r="X474" s="823">
        <f t="shared" si="199"/>
        <v>0.58287291742606717</v>
      </c>
      <c r="Y474" s="823">
        <f t="shared" si="200"/>
        <v>-3.4240568013389899E-2</v>
      </c>
      <c r="Z474" s="829">
        <f t="shared" si="201"/>
        <v>-0.19450635333585184</v>
      </c>
    </row>
    <row r="475" spans="1:26" ht="20.100000000000001" customHeight="1" x14ac:dyDescent="0.2">
      <c r="A475" s="798">
        <f t="shared" si="216"/>
        <v>752</v>
      </c>
      <c r="B475" s="817">
        <v>42985</v>
      </c>
      <c r="C475" s="842">
        <v>2465.1</v>
      </c>
      <c r="D475" s="814">
        <f t="shared" si="213"/>
        <v>-1.7845989113948854E-4</v>
      </c>
      <c r="E475" s="841">
        <f t="shared" si="205"/>
        <v>0.17249481554764931</v>
      </c>
      <c r="F475" s="838">
        <v>6397.86</v>
      </c>
      <c r="G475" s="814">
        <f t="shared" si="214"/>
        <v>7.1168142949415436E-4</v>
      </c>
      <c r="H475" s="819">
        <f t="shared" si="220"/>
        <v>0.25652728951037962</v>
      </c>
      <c r="I475" s="821">
        <v>342957.79</v>
      </c>
      <c r="J475" s="822">
        <v>350000</v>
      </c>
      <c r="K475" s="822">
        <f t="shared" si="221"/>
        <v>588.57999999995809</v>
      </c>
      <c r="L475" s="814">
        <f t="shared" si="215"/>
        <v>1.7191382367589599E-3</v>
      </c>
      <c r="M475" s="839">
        <f t="shared" si="208"/>
        <v>-7042.210000000021</v>
      </c>
      <c r="N475" s="824">
        <f t="shared" si="217"/>
        <v>-2.0120600000000061E-2</v>
      </c>
      <c r="O475" s="808">
        <f t="shared" si="218"/>
        <v>-9.7726717420213056E-3</v>
      </c>
      <c r="P475" s="839" t="b">
        <f t="shared" si="209"/>
        <v>1</v>
      </c>
      <c r="Q475" s="824">
        <f>COUNTIF(P$2:P475, TRUE)/(COUNTIF(P$2:P475,FALSE) + COUNTIF(P$2:P475, TRUE))</f>
        <v>0.47890295358649787</v>
      </c>
      <c r="R475" s="822">
        <v>258228.56</v>
      </c>
      <c r="S475" s="822">
        <f t="shared" si="222"/>
        <v>84729.229999999981</v>
      </c>
      <c r="T475" s="822">
        <v>-47786</v>
      </c>
      <c r="U475" s="822">
        <f t="shared" si="223"/>
        <v>40743.789999999979</v>
      </c>
      <c r="V475" s="824">
        <f>STDEV(D$2:D475)*SQRT(252)</f>
        <v>0.14395283952494337</v>
      </c>
      <c r="W475" s="824">
        <f>STDEV(L$2:L475)*SQRT(252)</f>
        <v>0.30935175432104961</v>
      </c>
      <c r="X475" s="823">
        <f t="shared" ref="X475:X538" si="224">E475/(A475/365.25)/V475</f>
        <v>0.58200698201600387</v>
      </c>
      <c r="Y475" s="823">
        <f t="shared" ref="Y475:Y538" si="225">O475/W475</f>
        <v>-3.1590807569428198E-2</v>
      </c>
      <c r="Z475" s="829">
        <f t="shared" ref="Z475:Z538" si="226">-(E475-N475)</f>
        <v>-0.19261541554764938</v>
      </c>
    </row>
    <row r="476" spans="1:26" ht="20.100000000000001" customHeight="1" x14ac:dyDescent="0.2">
      <c r="A476" s="798">
        <f t="shared" si="216"/>
        <v>753</v>
      </c>
      <c r="B476" s="817">
        <v>42986</v>
      </c>
      <c r="C476" s="842">
        <v>2461.4299999999998</v>
      </c>
      <c r="D476" s="814">
        <f t="shared" si="213"/>
        <v>-1.4887834164942894E-3</v>
      </c>
      <c r="E476" s="841">
        <f t="shared" si="205"/>
        <v>0.17074922471033646</v>
      </c>
      <c r="F476" s="838">
        <v>6360.39</v>
      </c>
      <c r="G476" s="814">
        <f t="shared" si="214"/>
        <v>-5.8566458159446041E-3</v>
      </c>
      <c r="H476" s="819">
        <f t="shared" si="220"/>
        <v>0.24916825421764843</v>
      </c>
      <c r="I476" s="821">
        <v>335342.87</v>
      </c>
      <c r="J476" s="822">
        <v>350000</v>
      </c>
      <c r="K476" s="822">
        <f t="shared" si="221"/>
        <v>-7614.9199999999837</v>
      </c>
      <c r="L476" s="814">
        <f t="shared" si="215"/>
        <v>-2.2203665354853099E-2</v>
      </c>
      <c r="M476" s="839">
        <f t="shared" si="208"/>
        <v>-14657.130000000005</v>
      </c>
      <c r="N476" s="824">
        <f t="shared" si="217"/>
        <v>-4.1877514285714297E-2</v>
      </c>
      <c r="O476" s="808">
        <f t="shared" si="218"/>
        <v>-2.0313097068867393E-2</v>
      </c>
      <c r="P476" s="839" t="b">
        <f t="shared" si="209"/>
        <v>0</v>
      </c>
      <c r="Q476" s="824">
        <f>COUNTIF(P$2:P476, TRUE)/(COUNTIF(P$2:P476,FALSE) + COUNTIF(P$2:P476, TRUE))</f>
        <v>0.47789473684210526</v>
      </c>
      <c r="R476" s="822">
        <v>249990.63</v>
      </c>
      <c r="S476" s="822">
        <f t="shared" si="222"/>
        <v>85352.239999999991</v>
      </c>
      <c r="T476" s="822">
        <v>-54714</v>
      </c>
      <c r="U476" s="822">
        <f t="shared" si="223"/>
        <v>40056.869999999995</v>
      </c>
      <c r="V476" s="824">
        <f>STDEV(D$2:D476)*SQRT(252)</f>
        <v>0.1438070269592682</v>
      </c>
      <c r="W476" s="824">
        <f>STDEV(L$2:L476)*SQRT(252)</f>
        <v>0.30946102397648323</v>
      </c>
      <c r="X476" s="823">
        <f t="shared" si="224"/>
        <v>0.57593554273886038</v>
      </c>
      <c r="Y476" s="823">
        <f t="shared" si="225"/>
        <v>-6.5640243827316494E-2</v>
      </c>
      <c r="Z476" s="829">
        <f t="shared" si="226"/>
        <v>-0.21262673899605075</v>
      </c>
    </row>
    <row r="477" spans="1:26" ht="20.100000000000001" customHeight="1" x14ac:dyDescent="0.2">
      <c r="A477" s="798">
        <f t="shared" si="216"/>
        <v>756</v>
      </c>
      <c r="B477" s="817">
        <v>42989</v>
      </c>
      <c r="C477" s="842">
        <v>2488.11</v>
      </c>
      <c r="D477" s="814">
        <f t="shared" si="213"/>
        <v>1.0839227603466397E-2</v>
      </c>
      <c r="E477" s="841">
        <f t="shared" si="205"/>
        <v>0.18343924202355361</v>
      </c>
      <c r="F477" s="838">
        <v>6432.26</v>
      </c>
      <c r="G477" s="814">
        <f t="shared" si="214"/>
        <v>1.1299621564086461E-2</v>
      </c>
      <c r="H477" s="819">
        <f t="shared" si="220"/>
        <v>0.26328338276017843</v>
      </c>
      <c r="I477" s="821">
        <v>339751.59</v>
      </c>
      <c r="J477" s="822">
        <v>350000</v>
      </c>
      <c r="K477" s="822">
        <f t="shared" si="221"/>
        <v>4408.7200000000303</v>
      </c>
      <c r="L477" s="814">
        <f t="shared" si="215"/>
        <v>1.3146902452406489E-2</v>
      </c>
      <c r="M477" s="839">
        <f t="shared" si="208"/>
        <v>-10248.409999999974</v>
      </c>
      <c r="N477" s="824">
        <f t="shared" si="217"/>
        <v>-2.9281171428571354E-2</v>
      </c>
      <c r="O477" s="808">
        <f t="shared" si="218"/>
        <v>-1.4146756434240326E-2</v>
      </c>
      <c r="P477" s="839" t="b">
        <f t="shared" si="209"/>
        <v>1</v>
      </c>
      <c r="Q477" s="824">
        <f>COUNTIF(P$2:P477, TRUE)/(COUNTIF(P$2:P477,FALSE) + COUNTIF(P$2:P477, TRUE))</f>
        <v>0.47899159663865548</v>
      </c>
      <c r="R477" s="822">
        <v>243718.12</v>
      </c>
      <c r="S477" s="822">
        <f t="shared" si="222"/>
        <v>96033.47000000003</v>
      </c>
      <c r="T477" s="822">
        <v>-52678</v>
      </c>
      <c r="U477" s="822">
        <f t="shared" si="223"/>
        <v>42429.590000000026</v>
      </c>
      <c r="V477" s="824">
        <f>STDEV(D$2:D477)*SQRT(252)</f>
        <v>0.14385736210567479</v>
      </c>
      <c r="W477" s="824">
        <f>STDEV(L$2:L477)*SQRT(252)</f>
        <v>0.30927640165645359</v>
      </c>
      <c r="X477" s="823">
        <f t="shared" si="224"/>
        <v>0.6160679046184423</v>
      </c>
      <c r="Y477" s="823">
        <f t="shared" si="225"/>
        <v>-4.574146736857939E-2</v>
      </c>
      <c r="Z477" s="829">
        <f t="shared" si="226"/>
        <v>-0.21272041345212495</v>
      </c>
    </row>
    <row r="478" spans="1:26" ht="20.100000000000001" customHeight="1" x14ac:dyDescent="0.2">
      <c r="A478" s="798">
        <f t="shared" si="216"/>
        <v>757</v>
      </c>
      <c r="B478" s="817">
        <v>42990</v>
      </c>
      <c r="C478" s="842">
        <v>2496.48</v>
      </c>
      <c r="D478" s="814">
        <f t="shared" si="213"/>
        <v>3.3639991801005143E-3</v>
      </c>
      <c r="E478" s="841">
        <f t="shared" si="205"/>
        <v>0.18742033066341962</v>
      </c>
      <c r="F478" s="838">
        <v>6454.28</v>
      </c>
      <c r="G478" s="814">
        <f t="shared" si="214"/>
        <v>3.4233690802298921E-3</v>
      </c>
      <c r="H478" s="819">
        <f t="shared" si="220"/>
        <v>0.26760806803228782</v>
      </c>
      <c r="I478" s="821">
        <v>342729.25</v>
      </c>
      <c r="J478" s="822">
        <v>350000</v>
      </c>
      <c r="K478" s="822">
        <f t="shared" si="221"/>
        <v>2977.6599999999744</v>
      </c>
      <c r="L478" s="814">
        <f t="shared" si="215"/>
        <v>8.7642268281951947E-3</v>
      </c>
      <c r="M478" s="839">
        <f t="shared" si="208"/>
        <v>-7270.75</v>
      </c>
      <c r="N478" s="824">
        <f t="shared" si="217"/>
        <v>-2.0773571428571429E-2</v>
      </c>
      <c r="O478" s="808">
        <f t="shared" si="218"/>
        <v>-1.0023179609360257E-2</v>
      </c>
      <c r="P478" s="839" t="b">
        <f t="shared" si="209"/>
        <v>1</v>
      </c>
      <c r="Q478" s="824">
        <f>COUNTIF(P$2:P478, TRUE)/(COUNTIF(P$2:P478,FALSE) + COUNTIF(P$2:P478, TRUE))</f>
        <v>0.48008385744234799</v>
      </c>
      <c r="R478" s="822">
        <v>243287.86</v>
      </c>
      <c r="S478" s="822">
        <f t="shared" si="222"/>
        <v>99441.390000000014</v>
      </c>
      <c r="T478" s="822">
        <v>-50978</v>
      </c>
      <c r="U478" s="822">
        <f t="shared" si="223"/>
        <v>43707.25</v>
      </c>
      <c r="V478" s="824">
        <f>STDEV(D$2:D478)*SQRT(252)</f>
        <v>0.14372208387906182</v>
      </c>
      <c r="W478" s="824">
        <f>STDEV(L$2:L478)*SQRT(252)</f>
        <v>0.30901192178328862</v>
      </c>
      <c r="X478" s="823">
        <f t="shared" si="224"/>
        <v>0.62919829818008466</v>
      </c>
      <c r="Y478" s="823">
        <f t="shared" si="225"/>
        <v>-3.2436223015335816E-2</v>
      </c>
      <c r="Z478" s="829">
        <f t="shared" si="226"/>
        <v>-0.20819390209199104</v>
      </c>
    </row>
    <row r="479" spans="1:26" ht="20.100000000000001" customHeight="1" x14ac:dyDescent="0.2">
      <c r="A479" s="798">
        <f t="shared" si="216"/>
        <v>758</v>
      </c>
      <c r="B479" s="817">
        <v>42991</v>
      </c>
      <c r="C479" s="842">
        <v>2498.37</v>
      </c>
      <c r="D479" s="814">
        <f t="shared" si="213"/>
        <v>7.5706594885593817E-4</v>
      </c>
      <c r="E479" s="841">
        <f t="shared" si="205"/>
        <v>0.18831928616274415</v>
      </c>
      <c r="F479" s="838">
        <v>6460.18</v>
      </c>
      <c r="G479" s="814">
        <f t="shared" si="214"/>
        <v>9.1412210192314957E-4</v>
      </c>
      <c r="H479" s="819">
        <f t="shared" si="220"/>
        <v>0.26876681658385226</v>
      </c>
      <c r="I479" s="821">
        <v>346163.11</v>
      </c>
      <c r="J479" s="822">
        <v>350000</v>
      </c>
      <c r="K479" s="822">
        <f t="shared" si="221"/>
        <v>3433.859999999986</v>
      </c>
      <c r="L479" s="814">
        <f t="shared" si="215"/>
        <v>1.0019162356291404E-2</v>
      </c>
      <c r="M479" s="839">
        <f t="shared" si="208"/>
        <v>-3836.890000000014</v>
      </c>
      <c r="N479" s="824">
        <f t="shared" si="217"/>
        <v>-1.0962542857142897E-2</v>
      </c>
      <c r="O479" s="808">
        <f t="shared" si="218"/>
        <v>-5.2824126366377878E-3</v>
      </c>
      <c r="P479" s="839" t="b">
        <f t="shared" si="209"/>
        <v>1</v>
      </c>
      <c r="Q479" s="824">
        <f>COUNTIF(P$2:P479, TRUE)/(COUNTIF(P$2:P479,FALSE) + COUNTIF(P$2:P479, TRUE))</f>
        <v>0.48117154811715479</v>
      </c>
      <c r="R479" s="822">
        <v>236800.45</v>
      </c>
      <c r="S479" s="822">
        <f t="shared" si="222"/>
        <v>109362.65999999997</v>
      </c>
      <c r="T479" s="822">
        <v>-48114</v>
      </c>
      <c r="U479" s="822">
        <f t="shared" si="223"/>
        <v>44277.109999999986</v>
      </c>
      <c r="V479" s="824">
        <f>STDEV(D$2:D479)*SQRT(252)</f>
        <v>0.14357126818301891</v>
      </c>
      <c r="W479" s="824">
        <f>STDEV(L$2:L479)*SQRT(252)</f>
        <v>0.30876753627425929</v>
      </c>
      <c r="X479" s="823">
        <f t="shared" si="224"/>
        <v>0.63204540986420232</v>
      </c>
      <c r="Y479" s="823">
        <f t="shared" si="225"/>
        <v>-1.7108057085203882E-2</v>
      </c>
      <c r="Z479" s="829">
        <f t="shared" si="226"/>
        <v>-0.19928182901988706</v>
      </c>
    </row>
    <row r="480" spans="1:26" ht="20.100000000000001" customHeight="1" x14ac:dyDescent="0.2">
      <c r="A480" s="798">
        <f t="shared" si="216"/>
        <v>759</v>
      </c>
      <c r="B480" s="817">
        <v>42992</v>
      </c>
      <c r="C480" s="842">
        <v>2495.62</v>
      </c>
      <c r="D480" s="814">
        <f t="shared" si="213"/>
        <v>-1.1007176679194836E-3</v>
      </c>
      <c r="E480" s="841">
        <f t="shared" si="205"/>
        <v>0.18701128212933535</v>
      </c>
      <c r="F480" s="838">
        <v>6429.08</v>
      </c>
      <c r="G480" s="814">
        <f t="shared" si="214"/>
        <v>-4.8141073468541684E-3</v>
      </c>
      <c r="H480" s="819">
        <f t="shared" si="220"/>
        <v>0.26265883693069114</v>
      </c>
      <c r="I480" s="821">
        <v>344939.43</v>
      </c>
      <c r="J480" s="822">
        <v>350000</v>
      </c>
      <c r="K480" s="822">
        <f t="shared" si="221"/>
        <v>-1223.679999999993</v>
      </c>
      <c r="L480" s="814">
        <f t="shared" si="215"/>
        <v>-3.5349809516097572E-3</v>
      </c>
      <c r="M480" s="839">
        <f t="shared" si="208"/>
        <v>-5060.570000000007</v>
      </c>
      <c r="N480" s="824">
        <f t="shared" si="217"/>
        <v>-1.4458771428571448E-2</v>
      </c>
      <c r="O480" s="808">
        <f t="shared" si="218"/>
        <v>-6.9579265669113587E-3</v>
      </c>
      <c r="P480" s="839" t="b">
        <f t="shared" si="209"/>
        <v>0</v>
      </c>
      <c r="Q480" s="824">
        <f>COUNTIF(P$2:P480, TRUE)/(COUNTIF(P$2:P480,FALSE) + COUNTIF(P$2:P480, TRUE))</f>
        <v>0.4801670146137787</v>
      </c>
      <c r="R480" s="822">
        <v>235576.77</v>
      </c>
      <c r="S480" s="822">
        <f t="shared" si="222"/>
        <v>109362.66</v>
      </c>
      <c r="T480" s="822">
        <v>-48830</v>
      </c>
      <c r="U480" s="822">
        <f t="shared" si="223"/>
        <v>43769.429999999993</v>
      </c>
      <c r="V480" s="824">
        <f>STDEV(D$2:D480)*SQRT(252)</f>
        <v>0.14342484838502698</v>
      </c>
      <c r="W480" s="824">
        <f>STDEV(L$2:L480)*SQRT(252)</f>
        <v>0.30845659017030708</v>
      </c>
      <c r="X480" s="823">
        <f t="shared" si="224"/>
        <v>0.62746839682357036</v>
      </c>
      <c r="Y480" s="823">
        <f t="shared" si="225"/>
        <v>-2.2557231029071877E-2</v>
      </c>
      <c r="Z480" s="829">
        <f t="shared" si="226"/>
        <v>-0.20147005355790679</v>
      </c>
    </row>
    <row r="481" spans="1:26" ht="20.100000000000001" customHeight="1" x14ac:dyDescent="0.2">
      <c r="A481" s="798">
        <f t="shared" si="216"/>
        <v>760</v>
      </c>
      <c r="B481" s="817">
        <v>42993</v>
      </c>
      <c r="C481" s="842">
        <v>2500.23</v>
      </c>
      <c r="D481" s="814">
        <f t="shared" si="213"/>
        <v>1.8472363580994413E-3</v>
      </c>
      <c r="E481" s="841">
        <f t="shared" si="205"/>
        <v>0.1892039725271589</v>
      </c>
      <c r="F481" s="838">
        <v>6448.66</v>
      </c>
      <c r="G481" s="814">
        <f t="shared" si="214"/>
        <v>3.0455368419742682E-3</v>
      </c>
      <c r="H481" s="819">
        <f t="shared" si="220"/>
        <v>0.26650431093740795</v>
      </c>
      <c r="I481" s="821">
        <v>346855.18</v>
      </c>
      <c r="J481" s="822">
        <v>350000</v>
      </c>
      <c r="K481" s="822">
        <f t="shared" si="221"/>
        <v>1915.75</v>
      </c>
      <c r="L481" s="814">
        <f t="shared" si="215"/>
        <v>5.5538736177537023E-3</v>
      </c>
      <c r="M481" s="839">
        <f t="shared" si="208"/>
        <v>-3144.820000000007</v>
      </c>
      <c r="N481" s="824">
        <f t="shared" si="217"/>
        <v>-8.9852000000000196E-3</v>
      </c>
      <c r="O481" s="808">
        <f t="shared" si="218"/>
        <v>-4.3182161842105363E-3</v>
      </c>
      <c r="P481" s="839" t="b">
        <f t="shared" si="209"/>
        <v>1</v>
      </c>
      <c r="Q481" s="824">
        <f>COUNTIF(P$2:P481, TRUE)/(COUNTIF(P$2:P481,FALSE) + COUNTIF(P$2:P481, TRUE))</f>
        <v>0.48125000000000001</v>
      </c>
      <c r="R481" s="822">
        <v>244138.62</v>
      </c>
      <c r="S481" s="822">
        <f t="shared" si="222"/>
        <v>102716.56</v>
      </c>
      <c r="T481" s="822">
        <v>-47636</v>
      </c>
      <c r="U481" s="822">
        <f t="shared" si="223"/>
        <v>44491.179999999993</v>
      </c>
      <c r="V481" s="824">
        <f>STDEV(D$2:D481)*SQRT(252)</f>
        <v>0.14327859255827297</v>
      </c>
      <c r="W481" s="824">
        <f>STDEV(L$2:L481)*SQRT(252)</f>
        <v>0.30815698264983843</v>
      </c>
      <c r="X481" s="823">
        <f t="shared" si="224"/>
        <v>0.63463727453909613</v>
      </c>
      <c r="Y481" s="823">
        <f t="shared" si="225"/>
        <v>-1.4013040194897561E-2</v>
      </c>
      <c r="Z481" s="829">
        <f t="shared" si="226"/>
        <v>-0.19818917252715892</v>
      </c>
    </row>
    <row r="482" spans="1:26" ht="20.100000000000001" customHeight="1" x14ac:dyDescent="0.2">
      <c r="A482" s="798">
        <f t="shared" si="216"/>
        <v>763</v>
      </c>
      <c r="B482" s="817">
        <v>42996</v>
      </c>
      <c r="C482" s="842">
        <v>2503.87</v>
      </c>
      <c r="D482" s="814">
        <f t="shared" si="213"/>
        <v>1.4558660603223993E-3</v>
      </c>
      <c r="E482" s="841">
        <f t="shared" si="205"/>
        <v>0.19093529422956176</v>
      </c>
      <c r="F482" s="838">
        <v>6454.63</v>
      </c>
      <c r="G482" s="814">
        <f t="shared" si="214"/>
        <v>9.2577372663472024E-4</v>
      </c>
      <c r="H482" s="819">
        <f t="shared" si="220"/>
        <v>0.26767680735314342</v>
      </c>
      <c r="I482" s="821">
        <v>347277.37</v>
      </c>
      <c r="J482" s="822">
        <v>350000</v>
      </c>
      <c r="K482" s="822">
        <f t="shared" si="221"/>
        <v>422.19000000000233</v>
      </c>
      <c r="L482" s="814">
        <f t="shared" si="215"/>
        <v>1.217193873247049E-3</v>
      </c>
      <c r="M482" s="839">
        <f t="shared" si="208"/>
        <v>-2722.6300000000047</v>
      </c>
      <c r="N482" s="824">
        <f t="shared" si="217"/>
        <v>-7.7789428571428702E-3</v>
      </c>
      <c r="O482" s="808">
        <f t="shared" si="218"/>
        <v>-3.7237993166073834E-3</v>
      </c>
      <c r="P482" s="839" t="b">
        <f t="shared" si="209"/>
        <v>0</v>
      </c>
      <c r="Q482" s="824">
        <f>COUNTIF(P$2:P482, TRUE)/(COUNTIF(P$2:P482,FALSE) + COUNTIF(P$2:P482, TRUE))</f>
        <v>0.48024948024948028</v>
      </c>
      <c r="R482" s="822">
        <v>245606.42</v>
      </c>
      <c r="S482" s="822">
        <f t="shared" si="222"/>
        <v>101670.94999999998</v>
      </c>
      <c r="T482" s="822">
        <v>-47720</v>
      </c>
      <c r="U482" s="822">
        <f t="shared" si="223"/>
        <v>44997.369999999995</v>
      </c>
      <c r="V482" s="824">
        <f>STDEV(D$2:D482)*SQRT(252)</f>
        <v>0.143130989675923</v>
      </c>
      <c r="W482" s="824">
        <f>STDEV(L$2:L482)*SQRT(252)</f>
        <v>0.30783578900658637</v>
      </c>
      <c r="X482" s="823">
        <f t="shared" si="224"/>
        <v>0.63858428573753245</v>
      </c>
      <c r="Y482" s="823">
        <f t="shared" si="225"/>
        <v>-1.2096706911903963E-2</v>
      </c>
      <c r="Z482" s="829">
        <f t="shared" si="226"/>
        <v>-0.19871423708670463</v>
      </c>
    </row>
    <row r="483" spans="1:26" ht="20.100000000000001" customHeight="1" x14ac:dyDescent="0.2">
      <c r="A483" s="798">
        <f t="shared" si="216"/>
        <v>764</v>
      </c>
      <c r="B483" s="817">
        <v>42997</v>
      </c>
      <c r="C483" s="842">
        <v>2506.65</v>
      </c>
      <c r="D483" s="814">
        <f t="shared" si="213"/>
        <v>1.1102812845715632E-3</v>
      </c>
      <c r="E483" s="841">
        <f t="shared" si="205"/>
        <v>0.19225756739788058</v>
      </c>
      <c r="F483" s="838">
        <v>6461.32</v>
      </c>
      <c r="G483" s="814">
        <f t="shared" si="214"/>
        <v>1.036465297003794E-3</v>
      </c>
      <c r="H483" s="819">
        <f t="shared" si="220"/>
        <v>0.26899071037178152</v>
      </c>
      <c r="I483" s="821">
        <v>345709.56</v>
      </c>
      <c r="J483" s="822">
        <v>350000</v>
      </c>
      <c r="K483" s="822">
        <f t="shared" si="221"/>
        <v>-1567.8099999999977</v>
      </c>
      <c r="L483" s="814">
        <f t="shared" si="215"/>
        <v>-4.5145757697946098E-3</v>
      </c>
      <c r="M483" s="839">
        <f t="shared" si="208"/>
        <v>-4290.4400000000023</v>
      </c>
      <c r="N483" s="824">
        <f t="shared" si="217"/>
        <v>-1.2258400000000006E-2</v>
      </c>
      <c r="O483" s="808">
        <f t="shared" si="218"/>
        <v>-5.8604458115183271E-3</v>
      </c>
      <c r="P483" s="839" t="b">
        <f t="shared" si="209"/>
        <v>0</v>
      </c>
      <c r="Q483" s="824">
        <f>COUNTIF(P$2:P483, TRUE)/(COUNTIF(P$2:P483,FALSE) + COUNTIF(P$2:P483, TRUE))</f>
        <v>0.47925311203319504</v>
      </c>
      <c r="R483" s="822">
        <v>246242.24</v>
      </c>
      <c r="S483" s="822">
        <f t="shared" si="222"/>
        <v>99467.32</v>
      </c>
      <c r="T483" s="822">
        <v>-48500</v>
      </c>
      <c r="U483" s="822">
        <f t="shared" si="223"/>
        <v>44209.56</v>
      </c>
      <c r="V483" s="824">
        <f>STDEV(D$2:D483)*SQRT(252)</f>
        <v>0.14298272953663635</v>
      </c>
      <c r="W483" s="824">
        <f>STDEV(L$2:L483)*SQRT(252)</f>
        <v>0.3075351311503991</v>
      </c>
      <c r="X483" s="823">
        <f t="shared" si="224"/>
        <v>0.64283087183905108</v>
      </c>
      <c r="Y483" s="823">
        <f t="shared" si="225"/>
        <v>-1.9056183238630692E-2</v>
      </c>
      <c r="Z483" s="829">
        <f t="shared" si="226"/>
        <v>-0.20451596739788058</v>
      </c>
    </row>
    <row r="484" spans="1:26" ht="20.100000000000001" customHeight="1" x14ac:dyDescent="0.2">
      <c r="A484" s="798">
        <f t="shared" si="216"/>
        <v>765</v>
      </c>
      <c r="B484" s="817">
        <v>42998</v>
      </c>
      <c r="C484" s="842">
        <v>2508.2399999999998</v>
      </c>
      <c r="D484" s="814">
        <f t="shared" ref="D484:D490" si="227">(C484-C483)/C483</f>
        <v>6.3431272814301587E-4</v>
      </c>
      <c r="E484" s="841">
        <f t="shared" si="205"/>
        <v>0.19301383154810586</v>
      </c>
      <c r="F484" s="838">
        <v>6456.04</v>
      </c>
      <c r="G484" s="814">
        <f t="shared" ref="G484:G490" si="228">(F484-F483)/F483</f>
        <v>-8.1717048528779659E-4</v>
      </c>
      <c r="H484" s="819">
        <f t="shared" ref="H484:H489" si="229">(F484-F$2)/F$2</f>
        <v>0.26795372861716132</v>
      </c>
      <c r="I484" s="821">
        <v>347542.31</v>
      </c>
      <c r="J484" s="822">
        <v>350000</v>
      </c>
      <c r="K484" s="822">
        <f t="shared" ref="K484:K489" si="230">I484-I483-J484+J483</f>
        <v>1832.75</v>
      </c>
      <c r="L484" s="814">
        <f t="shared" ref="L484:L489" si="231">K484/I483</f>
        <v>5.3014154424887759E-3</v>
      </c>
      <c r="M484" s="839">
        <f t="shared" si="208"/>
        <v>-2457.6900000000023</v>
      </c>
      <c r="N484" s="824">
        <f t="shared" si="217"/>
        <v>-7.0219714285714354E-3</v>
      </c>
      <c r="O484" s="808">
        <f t="shared" si="218"/>
        <v>-3.3526471428571456E-3</v>
      </c>
      <c r="P484" s="839" t="b">
        <f t="shared" si="209"/>
        <v>1</v>
      </c>
      <c r="Q484" s="824">
        <f>COUNTIF(P$2:P484, TRUE)/(COUNTIF(P$2:P484,FALSE) + COUNTIF(P$2:P484, TRUE))</f>
        <v>0.48033126293995859</v>
      </c>
      <c r="R484" s="822">
        <v>261969.09</v>
      </c>
      <c r="S484" s="822">
        <f t="shared" si="222"/>
        <v>85573.22</v>
      </c>
      <c r="T484" s="822">
        <v>-45800</v>
      </c>
      <c r="U484" s="822">
        <f t="shared" si="223"/>
        <v>43342.31</v>
      </c>
      <c r="V484" s="824">
        <f>STDEV(D$2:D484)*SQRT(252)</f>
        <v>0.14283411686318409</v>
      </c>
      <c r="W484" s="824">
        <f>STDEV(L$2:L484)*SQRT(252)</f>
        <v>0.30723621311065613</v>
      </c>
      <c r="X484" s="823">
        <f t="shared" si="224"/>
        <v>0.64518649413544193</v>
      </c>
      <c r="Y484" s="823">
        <f t="shared" si="225"/>
        <v>-1.0912278565449038E-2</v>
      </c>
      <c r="Z484" s="829">
        <f t="shared" si="226"/>
        <v>-0.20003580297667731</v>
      </c>
    </row>
    <row r="485" spans="1:26" ht="20.100000000000001" customHeight="1" x14ac:dyDescent="0.2">
      <c r="A485" s="798">
        <f t="shared" si="216"/>
        <v>766</v>
      </c>
      <c r="B485" s="817">
        <v>42999</v>
      </c>
      <c r="C485" s="842">
        <v>2500.6</v>
      </c>
      <c r="D485" s="814">
        <f t="shared" si="227"/>
        <v>-3.0459605141453265E-3</v>
      </c>
      <c r="E485" s="841">
        <f t="shared" si="205"/>
        <v>0.18937995852438111</v>
      </c>
      <c r="F485" s="838">
        <v>6422.69</v>
      </c>
      <c r="G485" s="814">
        <f t="shared" si="228"/>
        <v>-5.1657052930279808E-3</v>
      </c>
      <c r="H485" s="819">
        <f t="shared" si="229"/>
        <v>0.26140385332992905</v>
      </c>
      <c r="I485" s="821">
        <v>348466.58</v>
      </c>
      <c r="J485" s="822">
        <v>350000</v>
      </c>
      <c r="K485" s="822">
        <f t="shared" si="230"/>
        <v>924.27000000001863</v>
      </c>
      <c r="L485" s="814">
        <f t="shared" si="231"/>
        <v>2.6594459822748447E-3</v>
      </c>
      <c r="M485" s="839">
        <f t="shared" si="208"/>
        <v>-1533.4199999999837</v>
      </c>
      <c r="N485" s="824">
        <f t="shared" si="217"/>
        <v>-4.3811999999999532E-3</v>
      </c>
      <c r="O485" s="808">
        <f t="shared" si="218"/>
        <v>-2.0890774151435805E-3</v>
      </c>
      <c r="P485" s="839" t="b">
        <f t="shared" si="209"/>
        <v>1</v>
      </c>
      <c r="Q485" s="824">
        <f>COUNTIF(P$2:P485, TRUE)/(COUNTIF(P$2:P485,FALSE) + COUNTIF(P$2:P485, TRUE))</f>
        <v>0.48140495867768596</v>
      </c>
      <c r="R485" s="822">
        <v>266943.35999999999</v>
      </c>
      <c r="S485" s="822">
        <f t="shared" si="222"/>
        <v>81523.22000000003</v>
      </c>
      <c r="T485" s="822">
        <v>-44486</v>
      </c>
      <c r="U485" s="822">
        <f t="shared" si="223"/>
        <v>42952.580000000016</v>
      </c>
      <c r="V485" s="824">
        <f>STDEV(D$2:D485)*SQRT(252)</f>
        <v>0.14270766261353252</v>
      </c>
      <c r="W485" s="824">
        <f>STDEV(L$2:L485)*SQRT(252)</f>
        <v>0.30692186377022179</v>
      </c>
      <c r="X485" s="823">
        <f t="shared" si="224"/>
        <v>0.63277334864767631</v>
      </c>
      <c r="Y485" s="823">
        <f t="shared" si="225"/>
        <v>-6.8065447976934489E-3</v>
      </c>
      <c r="Z485" s="829">
        <f t="shared" si="226"/>
        <v>-0.19376115852438106</v>
      </c>
    </row>
    <row r="486" spans="1:26" ht="20.100000000000001" customHeight="1" x14ac:dyDescent="0.2">
      <c r="A486" s="798">
        <f t="shared" si="216"/>
        <v>767</v>
      </c>
      <c r="B486" s="817">
        <v>43000</v>
      </c>
      <c r="C486" s="842">
        <v>2502.2199999999998</v>
      </c>
      <c r="D486" s="814">
        <f t="shared" si="227"/>
        <v>6.4784451731580062E-4</v>
      </c>
      <c r="E486" s="841">
        <f t="shared" si="205"/>
        <v>0.19015049180951643</v>
      </c>
      <c r="F486" s="838">
        <v>6426.92</v>
      </c>
      <c r="G486" s="814">
        <f t="shared" si="228"/>
        <v>6.586025481535732E-4</v>
      </c>
      <c r="H486" s="819">
        <f t="shared" si="229"/>
        <v>0.26223461712198287</v>
      </c>
      <c r="I486" s="821">
        <v>349263.92</v>
      </c>
      <c r="J486" s="822">
        <v>350000</v>
      </c>
      <c r="K486" s="822">
        <f t="shared" si="230"/>
        <v>797.3399999999674</v>
      </c>
      <c r="L486" s="814">
        <f t="shared" si="231"/>
        <v>2.2881390806543554E-3</v>
      </c>
      <c r="M486" s="839">
        <f t="shared" si="208"/>
        <v>-736.0800000000163</v>
      </c>
      <c r="N486" s="824">
        <f t="shared" si="217"/>
        <v>-2.1030857142857609E-3</v>
      </c>
      <c r="O486" s="808">
        <f t="shared" si="218"/>
        <v>-1.0015020301732387E-3</v>
      </c>
      <c r="P486" s="839" t="b">
        <f t="shared" si="209"/>
        <v>1</v>
      </c>
      <c r="Q486" s="824">
        <f>COUNTIF(P$2:P486, TRUE)/(COUNTIF(P$2:P486,FALSE) + COUNTIF(P$2:P486, TRUE))</f>
        <v>0.48247422680412372</v>
      </c>
      <c r="R486" s="822">
        <v>254711</v>
      </c>
      <c r="S486" s="822">
        <f t="shared" si="222"/>
        <v>94552.919999999984</v>
      </c>
      <c r="T486" s="822">
        <v>-44478</v>
      </c>
      <c r="U486" s="822">
        <f t="shared" si="223"/>
        <v>43741.919999999984</v>
      </c>
      <c r="V486" s="824">
        <f>STDEV(D$2:D486)*SQRT(252)</f>
        <v>0.14255996830243736</v>
      </c>
      <c r="W486" s="824">
        <f>STDEV(L$2:L486)*SQRT(252)</f>
        <v>0.30660714220309959</v>
      </c>
      <c r="X486" s="823">
        <f t="shared" si="224"/>
        <v>0.63517694122035828</v>
      </c>
      <c r="Y486" s="823">
        <f t="shared" si="225"/>
        <v>-3.2664015031647043E-3</v>
      </c>
      <c r="Z486" s="829">
        <f t="shared" si="226"/>
        <v>-0.1922535775238022</v>
      </c>
    </row>
    <row r="487" spans="1:26" ht="20.100000000000001" customHeight="1" x14ac:dyDescent="0.2">
      <c r="A487" s="798">
        <f t="shared" si="216"/>
        <v>768</v>
      </c>
      <c r="B487" s="817">
        <v>43001</v>
      </c>
      <c r="C487" s="842">
        <v>2496.66</v>
      </c>
      <c r="D487" s="814">
        <f t="shared" si="227"/>
        <v>-2.222026840165911E-3</v>
      </c>
      <c r="E487" s="841">
        <f t="shared" si="205"/>
        <v>0.18750594547287902</v>
      </c>
      <c r="F487" s="838">
        <v>6370.59</v>
      </c>
      <c r="G487" s="814">
        <f t="shared" si="228"/>
        <v>-8.764695997460669E-3</v>
      </c>
      <c r="H487" s="819">
        <f t="shared" si="229"/>
        <v>0.25117151442543756</v>
      </c>
      <c r="I487" s="821">
        <v>353035.89</v>
      </c>
      <c r="J487" s="822">
        <v>350000</v>
      </c>
      <c r="K487" s="822">
        <f t="shared" si="230"/>
        <v>3771.9700000000303</v>
      </c>
      <c r="L487" s="814">
        <f t="shared" si="231"/>
        <v>1.0799769984829897E-2</v>
      </c>
      <c r="M487" s="839">
        <f t="shared" si="208"/>
        <v>3035.890000000014</v>
      </c>
      <c r="N487" s="824">
        <f t="shared" si="217"/>
        <v>8.6739714285714691E-3</v>
      </c>
      <c r="O487" s="808">
        <f t="shared" si="218"/>
        <v>4.1252188337053764E-3</v>
      </c>
      <c r="P487" s="839" t="b">
        <f t="shared" si="209"/>
        <v>1</v>
      </c>
      <c r="Q487" s="824">
        <f>COUNTIF(P$2:P487, TRUE)/(COUNTIF(P$2:P487,FALSE) + COUNTIF(P$2:P487, TRUE))</f>
        <v>0.48353909465020578</v>
      </c>
      <c r="R487" s="822">
        <v>258482.97</v>
      </c>
      <c r="S487" s="822">
        <f t="shared" si="222"/>
        <v>94552.920000000013</v>
      </c>
      <c r="T487" s="822">
        <v>-44802</v>
      </c>
      <c r="U487" s="822">
        <f t="shared" si="223"/>
        <v>47837.890000000014</v>
      </c>
      <c r="V487" s="824">
        <f>STDEV(D$2:D487)*SQRT(252)</f>
        <v>0.14242515955078755</v>
      </c>
      <c r="W487" s="824">
        <f>STDEV(L$2:L487)*SQRT(252)</f>
        <v>0.30638265374051055</v>
      </c>
      <c r="X487" s="823">
        <f t="shared" si="224"/>
        <v>0.62611964870394943</v>
      </c>
      <c r="Y487" s="823">
        <f t="shared" si="225"/>
        <v>1.3464270197226024E-2</v>
      </c>
      <c r="Z487" s="829">
        <f t="shared" si="226"/>
        <v>-0.17883197404430756</v>
      </c>
    </row>
    <row r="488" spans="1:26" ht="20.100000000000001" customHeight="1" x14ac:dyDescent="0.2">
      <c r="A488" s="798">
        <f t="shared" si="216"/>
        <v>771</v>
      </c>
      <c r="B488" s="817">
        <v>43004</v>
      </c>
      <c r="C488" s="842">
        <v>2496.84</v>
      </c>
      <c r="D488" s="814">
        <f t="shared" si="227"/>
        <v>7.2096320684550985E-5</v>
      </c>
      <c r="E488" s="841">
        <f t="shared" si="205"/>
        <v>0.18759156028233864</v>
      </c>
      <c r="F488" s="838">
        <v>6380.16</v>
      </c>
      <c r="G488" s="814">
        <f t="shared" si="228"/>
        <v>1.5022156503557299E-3</v>
      </c>
      <c r="H488" s="819">
        <f t="shared" si="229"/>
        <v>0.25305104385568672</v>
      </c>
      <c r="I488" s="821">
        <v>354979.17</v>
      </c>
      <c r="J488" s="822">
        <v>350000</v>
      </c>
      <c r="K488" s="822">
        <f t="shared" si="230"/>
        <v>1943.2799999999697</v>
      </c>
      <c r="L488" s="814">
        <f t="shared" si="231"/>
        <v>5.5044828445061766E-3</v>
      </c>
      <c r="M488" s="839">
        <f t="shared" si="208"/>
        <v>4979.1699999999837</v>
      </c>
      <c r="N488" s="824">
        <f t="shared" si="217"/>
        <v>1.4226199999999953E-2</v>
      </c>
      <c r="O488" s="808">
        <f t="shared" si="218"/>
        <v>6.7394546692606779E-3</v>
      </c>
      <c r="P488" s="839" t="b">
        <f t="shared" si="209"/>
        <v>1</v>
      </c>
      <c r="Q488" s="824">
        <f>COUNTIF(P$2:P488, TRUE)/(COUNTIF(P$2:P488,FALSE) + COUNTIF(P$2:P488, TRUE))</f>
        <v>0.48459958932238195</v>
      </c>
      <c r="R488" s="822">
        <v>256460.34</v>
      </c>
      <c r="S488" s="822">
        <f t="shared" si="222"/>
        <v>98518.829999999987</v>
      </c>
      <c r="T488" s="822">
        <v>-44286</v>
      </c>
      <c r="U488" s="822">
        <f t="shared" si="223"/>
        <v>49265.169999999984</v>
      </c>
      <c r="V488" s="824">
        <f>STDEV(D$2:D488)*SQRT(252)</f>
        <v>0.1422784431195839</v>
      </c>
      <c r="W488" s="824">
        <f>STDEV(L$2:L488)*SQRT(252)</f>
        <v>0.30608885692923749</v>
      </c>
      <c r="X488" s="823">
        <f t="shared" si="224"/>
        <v>0.62461158910859371</v>
      </c>
      <c r="Y488" s="823">
        <f t="shared" si="225"/>
        <v>2.2017968039975806E-2</v>
      </c>
      <c r="Z488" s="829">
        <f t="shared" si="226"/>
        <v>-0.17336536028233868</v>
      </c>
    </row>
    <row r="489" spans="1:26" ht="20.100000000000001" customHeight="1" x14ac:dyDescent="0.2">
      <c r="A489" s="798">
        <f t="shared" si="216"/>
        <v>772</v>
      </c>
      <c r="B489" s="817">
        <v>43005</v>
      </c>
      <c r="C489" s="842">
        <v>2507.2399999999998</v>
      </c>
      <c r="D489" s="814">
        <f t="shared" si="227"/>
        <v>4.1652648948269158E-3</v>
      </c>
      <c r="E489" s="841">
        <f t="shared" si="205"/>
        <v>0.19253819371777539</v>
      </c>
      <c r="F489" s="838">
        <v>6453.26</v>
      </c>
      <c r="G489" s="814">
        <f t="shared" si="228"/>
        <v>1.1457392918045999E-2</v>
      </c>
      <c r="H489" s="819">
        <f t="shared" si="229"/>
        <v>0.26740774201150902</v>
      </c>
      <c r="I489" s="821">
        <v>358361.96</v>
      </c>
      <c r="J489" s="822">
        <v>350000</v>
      </c>
      <c r="K489" s="822">
        <f t="shared" si="230"/>
        <v>3382.7900000000373</v>
      </c>
      <c r="L489" s="814">
        <f t="shared" si="231"/>
        <v>9.5295450716165603E-3</v>
      </c>
      <c r="M489" s="839">
        <f t="shared" si="208"/>
        <v>8361.960000000021</v>
      </c>
      <c r="N489" s="824">
        <f t="shared" si="217"/>
        <v>2.3891314285714345E-2</v>
      </c>
      <c r="O489" s="808">
        <f t="shared" si="218"/>
        <v>1.1303500703182855E-2</v>
      </c>
      <c r="P489" s="839" t="b">
        <f t="shared" si="209"/>
        <v>1</v>
      </c>
      <c r="Q489" s="824">
        <f>COUNTIF(P$2:P489, TRUE)/(COUNTIF(P$2:P489,FALSE) + COUNTIF(P$2:P489, TRUE))</f>
        <v>0.48565573770491804</v>
      </c>
      <c r="R489" s="822">
        <v>243509.71</v>
      </c>
      <c r="S489" s="822">
        <f t="shared" si="222"/>
        <v>114852.25000000003</v>
      </c>
      <c r="T489" s="822">
        <v>-44153</v>
      </c>
      <c r="U489" s="822">
        <f t="shared" si="223"/>
        <v>52514.960000000021</v>
      </c>
      <c r="V489" s="824">
        <f>STDEV(D$2:D489)*SQRT(252)</f>
        <v>0.14215788029055842</v>
      </c>
      <c r="W489" s="824">
        <f>STDEV(L$2:L489)*SQRT(252)</f>
        <v>0.30584441738354512</v>
      </c>
      <c r="X489" s="823">
        <f t="shared" si="224"/>
        <v>0.64079465177745243</v>
      </c>
      <c r="Y489" s="823">
        <f t="shared" si="225"/>
        <v>3.6958335875091897E-2</v>
      </c>
      <c r="Z489" s="829">
        <f t="shared" si="226"/>
        <v>-0.16864687943206105</v>
      </c>
    </row>
    <row r="490" spans="1:26" ht="20.100000000000001" customHeight="1" x14ac:dyDescent="0.2">
      <c r="A490" s="798">
        <f t="shared" si="216"/>
        <v>773</v>
      </c>
      <c r="B490" s="817">
        <v>43006</v>
      </c>
      <c r="C490" s="842">
        <v>2510.06</v>
      </c>
      <c r="D490" s="814">
        <f t="shared" si="227"/>
        <v>1.1247427450105151E-3</v>
      </c>
      <c r="E490" s="841">
        <f t="shared" ref="E490:E553" si="232">(C490-$C$2)/$C$2</f>
        <v>0.19387949239930741</v>
      </c>
      <c r="F490" s="838">
        <v>6453.45</v>
      </c>
      <c r="G490" s="814">
        <f t="shared" si="228"/>
        <v>2.9442483333942816E-5</v>
      </c>
      <c r="H490" s="819">
        <f t="shared" ref="H490:H525" si="233">(F490-F$2)/F$2</f>
        <v>0.2674450576428305</v>
      </c>
      <c r="I490" s="821">
        <v>356533.28</v>
      </c>
      <c r="J490" s="822">
        <v>350000</v>
      </c>
      <c r="K490" s="822">
        <f t="shared" ref="K490:K525" si="234">I490-I489-J490+J489</f>
        <v>-1828.679999999993</v>
      </c>
      <c r="L490" s="814">
        <f t="shared" ref="L490:L524" si="235">K490/I489</f>
        <v>-5.1028853620512429E-3</v>
      </c>
      <c r="M490" s="839">
        <f t="shared" ref="M490:M553" si="236">I490-J490</f>
        <v>6533.2800000000279</v>
      </c>
      <c r="N490" s="824">
        <f t="shared" si="217"/>
        <v>1.8666514285714364E-2</v>
      </c>
      <c r="O490" s="808">
        <f t="shared" si="218"/>
        <v>8.8201091110700798E-3</v>
      </c>
      <c r="P490" s="839" t="b">
        <f t="shared" ref="P490:P553" si="237">L490&gt;D490</f>
        <v>0</v>
      </c>
      <c r="Q490" s="824">
        <f>COUNTIF(P$2:P490, TRUE)/(COUNTIF(P$2:P490,FALSE) + COUNTIF(P$2:P490, TRUE))</f>
        <v>0.48466257668711654</v>
      </c>
      <c r="R490" s="822">
        <v>245698.28</v>
      </c>
      <c r="S490" s="822">
        <f t="shared" ref="S490:S521" si="238">I490-R490</f>
        <v>110835.00000000003</v>
      </c>
      <c r="T490" s="822">
        <v>-44103</v>
      </c>
      <c r="U490" s="822">
        <f t="shared" si="223"/>
        <v>50636.280000000028</v>
      </c>
      <c r="V490" s="824">
        <f>STDEV(D$2:D490)*SQRT(252)</f>
        <v>0.14201280348305981</v>
      </c>
      <c r="W490" s="824">
        <f>STDEV(L$2:L490)*SQRT(252)</f>
        <v>0.30555594359067673</v>
      </c>
      <c r="X490" s="823">
        <f t="shared" si="224"/>
        <v>0.64508226736911156</v>
      </c>
      <c r="Y490" s="823">
        <f t="shared" si="225"/>
        <v>2.8865774978625563E-2</v>
      </c>
      <c r="Z490" s="829">
        <f t="shared" si="226"/>
        <v>-0.17521297811359304</v>
      </c>
    </row>
    <row r="491" spans="1:26" ht="20.100000000000001" customHeight="1" x14ac:dyDescent="0.2">
      <c r="A491" s="798">
        <f t="shared" si="216"/>
        <v>774</v>
      </c>
      <c r="B491" s="817">
        <v>43007</v>
      </c>
      <c r="C491" s="842">
        <v>2519.36</v>
      </c>
      <c r="D491" s="814">
        <f t="shared" ref="D491:D525" si="239">(C491-C490)/C490</f>
        <v>3.7050907149630613E-3</v>
      </c>
      <c r="E491" s="841">
        <f t="shared" si="232"/>
        <v>0.19830292422138091</v>
      </c>
      <c r="F491" s="838">
        <v>6495.95</v>
      </c>
      <c r="G491" s="814">
        <f t="shared" ref="G491:G525" si="240">(F491-F490)/F490</f>
        <v>6.5856247433543303E-3</v>
      </c>
      <c r="H491" s="819">
        <f t="shared" si="233"/>
        <v>0.27579197517528525</v>
      </c>
      <c r="I491" s="844">
        <v>356859.34</v>
      </c>
      <c r="J491" s="822">
        <v>350000</v>
      </c>
      <c r="K491" s="822">
        <f t="shared" si="234"/>
        <v>326.05999999999767</v>
      </c>
      <c r="L491" s="814">
        <f t="shared" si="235"/>
        <v>9.1452893261464302E-4</v>
      </c>
      <c r="M491" s="844">
        <f t="shared" si="236"/>
        <v>6859.3400000000256</v>
      </c>
      <c r="N491" s="824">
        <f t="shared" si="217"/>
        <v>1.9598114285714358E-2</v>
      </c>
      <c r="O491" s="808">
        <f t="shared" si="218"/>
        <v>9.2483349390919505E-3</v>
      </c>
      <c r="P491" s="839" t="b">
        <f t="shared" si="237"/>
        <v>0</v>
      </c>
      <c r="Q491" s="824">
        <f>COUNTIF(P$2:P491, TRUE)/(COUNTIF(P$2:P491,FALSE) + COUNTIF(P$2:P491, TRUE))</f>
        <v>0.48367346938775513</v>
      </c>
      <c r="R491" s="822">
        <v>237754.52</v>
      </c>
      <c r="S491" s="822">
        <f t="shared" si="238"/>
        <v>119104.82000000004</v>
      </c>
      <c r="T491" s="822">
        <v>-44681</v>
      </c>
      <c r="U491" s="822">
        <f t="shared" si="223"/>
        <v>51540.340000000026</v>
      </c>
      <c r="V491" s="824">
        <f>STDEV(D$2:D491)*SQRT(252)</f>
        <v>0.14188702615366891</v>
      </c>
      <c r="W491" s="824">
        <f>STDEV(L$2:L491)*SQRT(252)</f>
        <v>0.30524293675127467</v>
      </c>
      <c r="X491" s="823">
        <f t="shared" si="224"/>
        <v>0.65953173277113486</v>
      </c>
      <c r="Y491" s="823">
        <f t="shared" si="225"/>
        <v>3.0298276636710187E-2</v>
      </c>
      <c r="Z491" s="829">
        <f t="shared" si="226"/>
        <v>-0.17870480993566654</v>
      </c>
    </row>
    <row r="492" spans="1:26" ht="20.100000000000001" customHeight="1" x14ac:dyDescent="0.2">
      <c r="A492" s="798">
        <f t="shared" si="216"/>
        <v>777</v>
      </c>
      <c r="B492" s="817">
        <v>43010</v>
      </c>
      <c r="C492" s="842">
        <v>2529.12</v>
      </c>
      <c r="D492" s="814">
        <f t="shared" si="239"/>
        <v>3.8739997459671357E-3</v>
      </c>
      <c r="E492" s="841">
        <f t="shared" si="232"/>
        <v>0.2029451494454062</v>
      </c>
      <c r="F492" s="838">
        <v>6516.71</v>
      </c>
      <c r="G492" s="814">
        <f t="shared" si="240"/>
        <v>3.1958374063840115E-3</v>
      </c>
      <c r="H492" s="819">
        <f t="shared" si="233"/>
        <v>0.27986919889231499</v>
      </c>
      <c r="I492" s="821">
        <v>357811.27</v>
      </c>
      <c r="J492" s="822">
        <v>350000</v>
      </c>
      <c r="K492" s="822">
        <f t="shared" si="234"/>
        <v>951.92999999999302</v>
      </c>
      <c r="L492" s="814">
        <f t="shared" si="235"/>
        <v>2.6675216066924098E-3</v>
      </c>
      <c r="M492" s="839">
        <f t="shared" si="236"/>
        <v>7811.2700000000186</v>
      </c>
      <c r="N492" s="824">
        <f t="shared" si="217"/>
        <v>2.2317914285714339E-2</v>
      </c>
      <c r="O492" s="808">
        <f t="shared" si="218"/>
        <v>1.0491143105350272E-2</v>
      </c>
      <c r="P492" s="839" t="b">
        <f t="shared" si="237"/>
        <v>0</v>
      </c>
      <c r="Q492" s="824">
        <f>COUNTIF(P$2:P492, TRUE)/(COUNTIF(P$2:P492,FALSE) + COUNTIF(P$2:P492, TRUE))</f>
        <v>0.48268839103869654</v>
      </c>
      <c r="R492" s="822">
        <v>232965.68</v>
      </c>
      <c r="S492" s="822">
        <f t="shared" si="238"/>
        <v>124845.59000000003</v>
      </c>
      <c r="T492" s="822">
        <v>-44640</v>
      </c>
      <c r="U492" s="822">
        <f t="shared" si="223"/>
        <v>52451.270000000019</v>
      </c>
      <c r="V492" s="824">
        <f>STDEV(D$2:D492)*SQRT(252)</f>
        <v>0.14176364260850624</v>
      </c>
      <c r="W492" s="824">
        <f>STDEV(L$2:L492)*SQRT(252)</f>
        <v>0.30493499881552349</v>
      </c>
      <c r="X492" s="823">
        <f t="shared" si="224"/>
        <v>0.67295034131500397</v>
      </c>
      <c r="Y492" s="823">
        <f t="shared" si="225"/>
        <v>3.4404522754362801E-2</v>
      </c>
      <c r="Z492" s="829">
        <f t="shared" si="226"/>
        <v>-0.18062723515969187</v>
      </c>
    </row>
    <row r="493" spans="1:26" ht="20.100000000000001" customHeight="1" x14ac:dyDescent="0.2">
      <c r="A493" s="798">
        <f t="shared" si="216"/>
        <v>778</v>
      </c>
      <c r="B493" s="817">
        <v>43011</v>
      </c>
      <c r="C493" s="842">
        <v>2534.58</v>
      </c>
      <c r="D493" s="814">
        <f t="shared" si="239"/>
        <v>2.1588536724236242E-3</v>
      </c>
      <c r="E493" s="841">
        <f t="shared" si="232"/>
        <v>0.20554213199901061</v>
      </c>
      <c r="F493" s="838">
        <v>6531.71</v>
      </c>
      <c r="G493" s="814">
        <f t="shared" si="240"/>
        <v>2.3017749754093708E-3</v>
      </c>
      <c r="H493" s="819">
        <f t="shared" si="233"/>
        <v>0.28281516978612259</v>
      </c>
      <c r="I493" s="821">
        <v>360621.39</v>
      </c>
      <c r="J493" s="822">
        <v>350000</v>
      </c>
      <c r="K493" s="822">
        <f t="shared" si="234"/>
        <v>2810.1199999999953</v>
      </c>
      <c r="L493" s="814">
        <f t="shared" si="235"/>
        <v>7.8536374776568534E-3</v>
      </c>
      <c r="M493" s="839">
        <f t="shared" si="236"/>
        <v>10621.390000000014</v>
      </c>
      <c r="N493" s="824">
        <f t="shared" si="217"/>
        <v>3.0346828571428612E-2</v>
      </c>
      <c r="O493" s="808">
        <f t="shared" si="218"/>
        <v>1.4247016883951542E-2</v>
      </c>
      <c r="P493" s="839" t="b">
        <f t="shared" si="237"/>
        <v>1</v>
      </c>
      <c r="Q493" s="824">
        <f>COUNTIF(P$2:P493, TRUE)/(COUNTIF(P$2:P493,FALSE) + COUNTIF(P$2:P493, TRUE))</f>
        <v>0.48373983739837401</v>
      </c>
      <c r="R493" s="822">
        <v>231582.4</v>
      </c>
      <c r="S493" s="822">
        <f t="shared" si="238"/>
        <v>129038.99000000002</v>
      </c>
      <c r="T493" s="822">
        <v>-43206</v>
      </c>
      <c r="U493" s="822">
        <f t="shared" si="223"/>
        <v>53827.390000000014</v>
      </c>
      <c r="V493" s="824">
        <f>STDEV(D$2:D493)*SQRT(252)</f>
        <v>0.14162441046518581</v>
      </c>
      <c r="W493" s="824">
        <f>STDEV(L$2:L493)*SQRT(252)</f>
        <v>0.30467040638109993</v>
      </c>
      <c r="X493" s="823">
        <f t="shared" si="224"/>
        <v>0.68135487804801953</v>
      </c>
      <c r="Y493" s="823">
        <f t="shared" si="225"/>
        <v>4.6762063480922801E-2</v>
      </c>
      <c r="Z493" s="829">
        <f t="shared" si="226"/>
        <v>-0.17519530342758199</v>
      </c>
    </row>
    <row r="494" spans="1:26" ht="20.100000000000001" customHeight="1" x14ac:dyDescent="0.2">
      <c r="A494" s="798">
        <f t="shared" si="216"/>
        <v>779</v>
      </c>
      <c r="B494" s="817">
        <v>43012</v>
      </c>
      <c r="C494" s="842">
        <v>2537.7399999999998</v>
      </c>
      <c r="D494" s="814">
        <f t="shared" si="239"/>
        <v>1.2467548864111035E-3</v>
      </c>
      <c r="E494" s="841">
        <f t="shared" si="232"/>
        <v>0.20704514754285483</v>
      </c>
      <c r="F494" s="838">
        <v>6534.62</v>
      </c>
      <c r="G494" s="814">
        <f t="shared" si="240"/>
        <v>4.4551886106392573E-4</v>
      </c>
      <c r="H494" s="819">
        <f t="shared" si="233"/>
        <v>0.28338668813952123</v>
      </c>
      <c r="I494" s="821">
        <v>360384.52</v>
      </c>
      <c r="J494" s="822">
        <v>350000</v>
      </c>
      <c r="K494" s="822">
        <f t="shared" si="234"/>
        <v>-236.86999999999534</v>
      </c>
      <c r="L494" s="814">
        <f t="shared" si="235"/>
        <v>-6.5683846429629518E-4</v>
      </c>
      <c r="M494" s="839">
        <f t="shared" si="236"/>
        <v>10384.520000000019</v>
      </c>
      <c r="N494" s="824">
        <f t="shared" si="217"/>
        <v>2.9670057142857195E-2</v>
      </c>
      <c r="O494" s="808">
        <f t="shared" si="218"/>
        <v>1.3911409976159935E-2</v>
      </c>
      <c r="P494" s="839" t="b">
        <f t="shared" si="237"/>
        <v>0</v>
      </c>
      <c r="Q494" s="824">
        <f>COUNTIF(P$2:P494, TRUE)/(COUNTIF(P$2:P494,FALSE) + COUNTIF(P$2:P494, TRUE))</f>
        <v>0.48275862068965519</v>
      </c>
      <c r="R494" s="822">
        <v>228739.13</v>
      </c>
      <c r="S494" s="822">
        <f t="shared" si="238"/>
        <v>131645.39000000001</v>
      </c>
      <c r="T494" s="822">
        <v>-43349</v>
      </c>
      <c r="U494" s="822">
        <f t="shared" si="223"/>
        <v>53733.520000000019</v>
      </c>
      <c r="V494" s="824">
        <f>STDEV(D$2:D494)*SQRT(252)</f>
        <v>0.14148135258004679</v>
      </c>
      <c r="W494" s="824">
        <f>STDEV(L$2:L494)*SQRT(252)</f>
        <v>0.30436097081382762</v>
      </c>
      <c r="X494" s="823">
        <f t="shared" si="224"/>
        <v>0.68614929331390384</v>
      </c>
      <c r="Y494" s="823">
        <f t="shared" si="225"/>
        <v>4.5706944418538162E-2</v>
      </c>
      <c r="Z494" s="829">
        <f t="shared" si="226"/>
        <v>-0.17737509039999763</v>
      </c>
    </row>
    <row r="495" spans="1:26" ht="20.100000000000001" customHeight="1" x14ac:dyDescent="0.2">
      <c r="A495" s="798">
        <f t="shared" si="216"/>
        <v>780</v>
      </c>
      <c r="B495" s="817">
        <v>43013</v>
      </c>
      <c r="C495" s="842">
        <v>2552.0700000000002</v>
      </c>
      <c r="D495" s="814">
        <f t="shared" si="239"/>
        <v>5.6467565629262188E-3</v>
      </c>
      <c r="E495" s="841">
        <f t="shared" si="232"/>
        <v>0.2138610376514907</v>
      </c>
      <c r="F495" s="838">
        <v>6585.35</v>
      </c>
      <c r="G495" s="814">
        <f t="shared" si="240"/>
        <v>7.7632670300645601E-3</v>
      </c>
      <c r="H495" s="819">
        <f t="shared" si="233"/>
        <v>0.29334996170237848</v>
      </c>
      <c r="I495" s="821">
        <v>360856.84</v>
      </c>
      <c r="J495" s="822">
        <v>350000</v>
      </c>
      <c r="K495" s="822">
        <f t="shared" si="234"/>
        <v>472.32000000000698</v>
      </c>
      <c r="L495" s="814">
        <f t="shared" si="235"/>
        <v>1.3106001334352733E-3</v>
      </c>
      <c r="M495" s="839">
        <f t="shared" si="236"/>
        <v>10856.840000000026</v>
      </c>
      <c r="N495" s="824">
        <f t="shared" si="217"/>
        <v>3.101954285714293E-2</v>
      </c>
      <c r="O495" s="808">
        <f t="shared" si="218"/>
        <v>1.4525497472527507E-2</v>
      </c>
      <c r="P495" s="839" t="b">
        <f t="shared" si="237"/>
        <v>0</v>
      </c>
      <c r="Q495" s="824">
        <f>COUNTIF(P$2:P495, TRUE)/(COUNTIF(P$2:P495,FALSE) + COUNTIF(P$2:P495, TRUE))</f>
        <v>0.48178137651821862</v>
      </c>
      <c r="R495" s="822">
        <v>230791.45</v>
      </c>
      <c r="S495" s="822">
        <f t="shared" si="238"/>
        <v>130065.39000000001</v>
      </c>
      <c r="T495" s="822">
        <v>-43035</v>
      </c>
      <c r="U495" s="822">
        <f t="shared" si="223"/>
        <v>53891.840000000026</v>
      </c>
      <c r="V495" s="824">
        <f>STDEV(D$2:D495)*SQRT(252)</f>
        <v>0.14138684968311818</v>
      </c>
      <c r="W495" s="824">
        <f>STDEV(L$2:L495)*SQRT(252)</f>
        <v>0.30405217201951462</v>
      </c>
      <c r="X495" s="823">
        <f t="shared" si="224"/>
        <v>0.70830168305624586</v>
      </c>
      <c r="Y495" s="823">
        <f t="shared" si="225"/>
        <v>4.7773042948679324E-2</v>
      </c>
      <c r="Z495" s="829">
        <f t="shared" si="226"/>
        <v>-0.18284149479434778</v>
      </c>
    </row>
    <row r="496" spans="1:26" ht="20.100000000000001" customHeight="1" x14ac:dyDescent="0.2">
      <c r="A496" s="798">
        <f t="shared" si="216"/>
        <v>781</v>
      </c>
      <c r="B496" s="817">
        <v>43014</v>
      </c>
      <c r="C496" s="842">
        <v>2549.33</v>
      </c>
      <c r="D496" s="814">
        <f t="shared" si="239"/>
        <v>-1.0736382622734627E-3</v>
      </c>
      <c r="E496" s="841">
        <f t="shared" si="232"/>
        <v>0.21255778999638508</v>
      </c>
      <c r="F496" s="838">
        <v>6590.18</v>
      </c>
      <c r="G496" s="814">
        <f t="shared" si="240"/>
        <v>7.334462101482726E-4</v>
      </c>
      <c r="H496" s="819">
        <f t="shared" si="233"/>
        <v>0.29429856433018453</v>
      </c>
      <c r="I496" s="821">
        <v>357118.36</v>
      </c>
      <c r="J496" s="822">
        <v>350000</v>
      </c>
      <c r="K496" s="822">
        <f t="shared" si="234"/>
        <v>-3738.4800000000396</v>
      </c>
      <c r="L496" s="814">
        <f t="shared" si="235"/>
        <v>-1.036000869486093E-2</v>
      </c>
      <c r="M496" s="839">
        <f t="shared" si="236"/>
        <v>7118.359999999986</v>
      </c>
      <c r="N496" s="824">
        <f t="shared" si="217"/>
        <v>2.0338171428571389E-2</v>
      </c>
      <c r="O496" s="808">
        <f t="shared" si="218"/>
        <v>9.5115456008779756E-3</v>
      </c>
      <c r="P496" s="839" t="b">
        <f t="shared" si="237"/>
        <v>0</v>
      </c>
      <c r="Q496" s="824">
        <f>COUNTIF(P$2:P496, TRUE)/(COUNTIF(P$2:P496,FALSE) + COUNTIF(P$2:P496, TRUE))</f>
        <v>0.4808080808080808</v>
      </c>
      <c r="R496" s="822">
        <v>240460.37</v>
      </c>
      <c r="S496" s="822">
        <f t="shared" si="238"/>
        <v>116657.98999999999</v>
      </c>
      <c r="T496" s="822">
        <v>-43165</v>
      </c>
      <c r="U496" s="822">
        <f t="shared" si="223"/>
        <v>50283.359999999986</v>
      </c>
      <c r="V496" s="824">
        <f>STDEV(D$2:D496)*SQRT(252)</f>
        <v>0.14124747997458517</v>
      </c>
      <c r="W496" s="824">
        <f>STDEV(L$2:L496)*SQRT(252)</f>
        <v>0.30384122519704199</v>
      </c>
      <c r="X496" s="823">
        <f t="shared" si="224"/>
        <v>0.70377771116347598</v>
      </c>
      <c r="Y496" s="823">
        <f t="shared" si="225"/>
        <v>3.1304328748377408E-2</v>
      </c>
      <c r="Z496" s="829">
        <f t="shared" si="226"/>
        <v>-0.19221961856781369</v>
      </c>
    </row>
    <row r="497" spans="1:26" ht="20.100000000000001" customHeight="1" x14ac:dyDescent="0.2">
      <c r="A497" s="798">
        <f t="shared" si="216"/>
        <v>784</v>
      </c>
      <c r="B497" s="817">
        <v>43017</v>
      </c>
      <c r="C497" s="842">
        <v>2544.73</v>
      </c>
      <c r="D497" s="814">
        <f t="shared" si="239"/>
        <v>-1.8043956647432499E-3</v>
      </c>
      <c r="E497" s="841">
        <f t="shared" si="232"/>
        <v>0.21036985597686494</v>
      </c>
      <c r="F497" s="838">
        <v>6579.73</v>
      </c>
      <c r="G497" s="814">
        <f t="shared" si="240"/>
        <v>-1.5856926517941433E-3</v>
      </c>
      <c r="H497" s="819">
        <f t="shared" si="233"/>
        <v>0.29224620460749845</v>
      </c>
      <c r="I497" s="821">
        <v>354927.69</v>
      </c>
      <c r="J497" s="822">
        <v>350000</v>
      </c>
      <c r="K497" s="822">
        <f t="shared" si="234"/>
        <v>-2190.6699999999837</v>
      </c>
      <c r="L497" s="814">
        <f t="shared" si="235"/>
        <v>-6.1342967636835695E-3</v>
      </c>
      <c r="M497" s="839">
        <f t="shared" si="236"/>
        <v>4927.6900000000023</v>
      </c>
      <c r="N497" s="824">
        <f t="shared" si="217"/>
        <v>1.4079114285714293E-2</v>
      </c>
      <c r="O497" s="808">
        <f t="shared" si="218"/>
        <v>6.5591792000728897E-3</v>
      </c>
      <c r="P497" s="839" t="b">
        <f t="shared" si="237"/>
        <v>0</v>
      </c>
      <c r="Q497" s="824">
        <f>COUNTIF(P$2:P497, TRUE)/(COUNTIF(P$2:P497,FALSE) + COUNTIF(P$2:P497, TRUE))</f>
        <v>0.47983870967741937</v>
      </c>
      <c r="R497" s="822">
        <v>251444.7</v>
      </c>
      <c r="S497" s="822">
        <f t="shared" si="238"/>
        <v>103482.98999999999</v>
      </c>
      <c r="T497" s="822">
        <v>-43757</v>
      </c>
      <c r="U497" s="822">
        <f t="shared" si="223"/>
        <v>48684.69</v>
      </c>
      <c r="V497" s="824">
        <f>STDEV(D$2:D497)*SQRT(252)</f>
        <v>0.14111344767392758</v>
      </c>
      <c r="W497" s="824">
        <f>STDEV(L$2:L497)*SQRT(252)</f>
        <v>0.30356932879528697</v>
      </c>
      <c r="X497" s="823">
        <f t="shared" si="224"/>
        <v>0.69452721611110979</v>
      </c>
      <c r="Y497" s="823">
        <f t="shared" si="225"/>
        <v>2.1606857405861626E-2</v>
      </c>
      <c r="Z497" s="829">
        <f t="shared" si="226"/>
        <v>-0.19629074169115066</v>
      </c>
    </row>
    <row r="498" spans="1:26" ht="20.100000000000001" customHeight="1" x14ac:dyDescent="0.2">
      <c r="A498" s="798">
        <f t="shared" si="216"/>
        <v>785</v>
      </c>
      <c r="B498" s="817">
        <v>43018</v>
      </c>
      <c r="C498" s="842">
        <v>2550.64</v>
      </c>
      <c r="D498" s="814">
        <f t="shared" si="239"/>
        <v>2.3224467821732972E-3</v>
      </c>
      <c r="E498" s="841">
        <f t="shared" si="232"/>
        <v>0.21318087555411799</v>
      </c>
      <c r="F498" s="838">
        <v>6587.25</v>
      </c>
      <c r="G498" s="814">
        <f t="shared" si="240"/>
        <v>1.142904040135452E-3</v>
      </c>
      <c r="H498" s="819">
        <f t="shared" si="233"/>
        <v>0.29372311801559403</v>
      </c>
      <c r="I498" s="821">
        <v>356097.03</v>
      </c>
      <c r="J498" s="822">
        <v>350000</v>
      </c>
      <c r="K498" s="822">
        <f t="shared" si="234"/>
        <v>1169.3400000000256</v>
      </c>
      <c r="L498" s="814">
        <f t="shared" si="235"/>
        <v>3.2945865677598317E-3</v>
      </c>
      <c r="M498" s="839">
        <f t="shared" si="236"/>
        <v>6097.0300000000279</v>
      </c>
      <c r="N498" s="824">
        <f t="shared" si="217"/>
        <v>1.7420085714285796E-2</v>
      </c>
      <c r="O498" s="808">
        <f t="shared" si="218"/>
        <v>8.1053328753412576E-3</v>
      </c>
      <c r="P498" s="839" t="b">
        <f t="shared" si="237"/>
        <v>1</v>
      </c>
      <c r="Q498" s="824">
        <f>COUNTIF(P$2:P498, TRUE)/(COUNTIF(P$2:P498,FALSE) + COUNTIF(P$2:P498, TRUE))</f>
        <v>0.48088531187122735</v>
      </c>
      <c r="R498" s="822">
        <v>248460.64</v>
      </c>
      <c r="S498" s="822">
        <f t="shared" si="238"/>
        <v>107636.39000000001</v>
      </c>
      <c r="T498" s="822">
        <v>-43317</v>
      </c>
      <c r="U498" s="822">
        <f t="shared" si="223"/>
        <v>49414.030000000028</v>
      </c>
      <c r="V498" s="824">
        <f>STDEV(D$2:D498)*SQRT(252)</f>
        <v>0.14097732351097575</v>
      </c>
      <c r="W498" s="824">
        <f>STDEV(L$2:L498)*SQRT(252)</f>
        <v>0.30326962638945343</v>
      </c>
      <c r="X498" s="823">
        <f t="shared" si="224"/>
        <v>0.70358982183165186</v>
      </c>
      <c r="Y498" s="823">
        <f t="shared" si="225"/>
        <v>2.6726490785900642E-2</v>
      </c>
      <c r="Z498" s="829">
        <f t="shared" si="226"/>
        <v>-0.19576078983983219</v>
      </c>
    </row>
    <row r="499" spans="1:26" ht="20.100000000000001" customHeight="1" x14ac:dyDescent="0.2">
      <c r="A499" s="798">
        <f t="shared" si="216"/>
        <v>786</v>
      </c>
      <c r="B499" s="817">
        <v>43019</v>
      </c>
      <c r="C499" s="842">
        <v>2555.2399999999998</v>
      </c>
      <c r="D499" s="814">
        <f t="shared" si="239"/>
        <v>1.8034689332872963E-3</v>
      </c>
      <c r="E499" s="841">
        <f t="shared" si="232"/>
        <v>0.2153688095736381</v>
      </c>
      <c r="F499" s="838">
        <v>6603.54</v>
      </c>
      <c r="G499" s="814">
        <f t="shared" si="240"/>
        <v>2.4729591255835083E-3</v>
      </c>
      <c r="H499" s="819">
        <f t="shared" si="233"/>
        <v>0.29692244240626908</v>
      </c>
      <c r="I499" s="821">
        <v>356596.97</v>
      </c>
      <c r="J499" s="822">
        <v>350000</v>
      </c>
      <c r="K499" s="822">
        <f t="shared" si="234"/>
        <v>499.93999999994412</v>
      </c>
      <c r="L499" s="814">
        <f t="shared" si="235"/>
        <v>1.4039431893041738E-3</v>
      </c>
      <c r="M499" s="839">
        <f t="shared" si="236"/>
        <v>6596.9699999999721</v>
      </c>
      <c r="N499" s="824">
        <f t="shared" si="217"/>
        <v>1.8848485714285636E-2</v>
      </c>
      <c r="O499" s="808">
        <f t="shared" si="218"/>
        <v>8.7587905943292983E-3</v>
      </c>
      <c r="P499" s="839" t="b">
        <f t="shared" si="237"/>
        <v>0</v>
      </c>
      <c r="Q499" s="824">
        <f>COUNTIF(P$2:P499, TRUE)/(COUNTIF(P$2:P499,FALSE) + COUNTIF(P$2:P499, TRUE))</f>
        <v>0.47991967871485941</v>
      </c>
      <c r="R499" s="822">
        <v>252179.58</v>
      </c>
      <c r="S499" s="822">
        <f t="shared" si="238"/>
        <v>104417.38999999998</v>
      </c>
      <c r="T499" s="822">
        <v>-42865</v>
      </c>
      <c r="U499" s="822">
        <f t="shared" si="223"/>
        <v>49461.969999999972</v>
      </c>
      <c r="V499" s="824">
        <f>STDEV(D$2:D499)*SQRT(252)</f>
        <v>0.14083853845440183</v>
      </c>
      <c r="W499" s="824">
        <f>STDEV(L$2:L499)*SQRT(252)</f>
        <v>0.30296461457562501</v>
      </c>
      <c r="X499" s="823">
        <f t="shared" si="224"/>
        <v>0.71060617414438698</v>
      </c>
      <c r="Y499" s="823">
        <f t="shared" si="225"/>
        <v>2.8910275896734991E-2</v>
      </c>
      <c r="Z499" s="829">
        <f t="shared" si="226"/>
        <v>-0.19652032385935247</v>
      </c>
    </row>
    <row r="500" spans="1:26" ht="20.100000000000001" customHeight="1" x14ac:dyDescent="0.2">
      <c r="A500" s="798">
        <f t="shared" si="216"/>
        <v>787</v>
      </c>
      <c r="B500" s="817">
        <v>43020</v>
      </c>
      <c r="C500" s="842">
        <v>2550.9299999999998</v>
      </c>
      <c r="D500" s="814">
        <f t="shared" si="239"/>
        <v>-1.6867300136190518E-3</v>
      </c>
      <c r="E500" s="841">
        <f t="shared" si="232"/>
        <v>0.2133188105249138</v>
      </c>
      <c r="F500" s="838">
        <v>6591.51</v>
      </c>
      <c r="G500" s="814">
        <f t="shared" si="240"/>
        <v>-1.821750152191059E-3</v>
      </c>
      <c r="H500" s="819">
        <f t="shared" si="233"/>
        <v>0.29455977374943543</v>
      </c>
      <c r="I500" s="821">
        <v>355844.19</v>
      </c>
      <c r="J500" s="822">
        <v>350000</v>
      </c>
      <c r="K500" s="822">
        <f t="shared" si="234"/>
        <v>-752.77999999996973</v>
      </c>
      <c r="L500" s="814">
        <f t="shared" si="235"/>
        <v>-2.1110106459961502E-3</v>
      </c>
      <c r="M500" s="839">
        <f t="shared" si="236"/>
        <v>5844.1900000000023</v>
      </c>
      <c r="N500" s="824">
        <f t="shared" si="217"/>
        <v>1.6697685714285721E-2</v>
      </c>
      <c r="O500" s="808">
        <f t="shared" si="218"/>
        <v>7.7494659557088433E-3</v>
      </c>
      <c r="P500" s="839" t="b">
        <f t="shared" si="237"/>
        <v>0</v>
      </c>
      <c r="Q500" s="824">
        <f>COUNTIF(P$2:P500, TRUE)/(COUNTIF(P$2:P500,FALSE) + COUNTIF(P$2:P500, TRUE))</f>
        <v>0.47895791583166331</v>
      </c>
      <c r="R500" s="822">
        <v>257692.79999999999</v>
      </c>
      <c r="S500" s="822">
        <f t="shared" si="238"/>
        <v>98151.390000000014</v>
      </c>
      <c r="T500" s="822">
        <v>-42451</v>
      </c>
      <c r="U500" s="822">
        <f t="shared" si="223"/>
        <v>48295.19</v>
      </c>
      <c r="V500" s="824">
        <f>STDEV(D$2:D500)*SQRT(252)</f>
        <v>0.14070484863788504</v>
      </c>
      <c r="W500" s="824">
        <f>STDEV(L$2:L500)*SQRT(252)</f>
        <v>0.30266491141400748</v>
      </c>
      <c r="X500" s="823">
        <f t="shared" si="224"/>
        <v>0.70361579859070544</v>
      </c>
      <c r="Y500" s="823">
        <f t="shared" si="225"/>
        <v>2.5604110894468866E-2</v>
      </c>
      <c r="Z500" s="829">
        <f t="shared" si="226"/>
        <v>-0.19662112481062807</v>
      </c>
    </row>
    <row r="501" spans="1:26" ht="20.100000000000001" customHeight="1" x14ac:dyDescent="0.2">
      <c r="A501" s="798">
        <f t="shared" si="216"/>
        <v>788</v>
      </c>
      <c r="B501" s="817">
        <v>43021</v>
      </c>
      <c r="C501" s="842">
        <v>2553.17</v>
      </c>
      <c r="D501" s="814">
        <f t="shared" si="239"/>
        <v>8.7811112025819467E-4</v>
      </c>
      <c r="E501" s="841">
        <f t="shared" si="232"/>
        <v>0.21438423926485417</v>
      </c>
      <c r="F501" s="838">
        <v>6605.8</v>
      </c>
      <c r="G501" s="814">
        <f t="shared" si="240"/>
        <v>2.1679402746866746E-3</v>
      </c>
      <c r="H501" s="819">
        <f t="shared" si="233"/>
        <v>0.29736630202093611</v>
      </c>
      <c r="I501" s="821">
        <v>357661.23</v>
      </c>
      <c r="J501" s="822">
        <v>350000</v>
      </c>
      <c r="K501" s="822">
        <f t="shared" si="234"/>
        <v>1817.039999999979</v>
      </c>
      <c r="L501" s="814">
        <f t="shared" si="235"/>
        <v>5.1062798018424276E-3</v>
      </c>
      <c r="M501" s="839">
        <f t="shared" si="236"/>
        <v>7661.2299999999814</v>
      </c>
      <c r="N501" s="824">
        <f t="shared" si="217"/>
        <v>2.1889228571428519E-2</v>
      </c>
      <c r="O501" s="808">
        <f t="shared" si="218"/>
        <v>1.0145990781363284E-2</v>
      </c>
      <c r="P501" s="839" t="b">
        <f t="shared" si="237"/>
        <v>1</v>
      </c>
      <c r="Q501" s="824">
        <f>COUNTIF(P$2:P501, TRUE)/(COUNTIF(P$2:P501,FALSE) + COUNTIF(P$2:P501, TRUE))</f>
        <v>0.48</v>
      </c>
      <c r="R501" s="822">
        <v>265762.32</v>
      </c>
      <c r="S501" s="822">
        <f t="shared" si="238"/>
        <v>91898.909999999974</v>
      </c>
      <c r="T501" s="822">
        <v>-41907</v>
      </c>
      <c r="U501" s="822">
        <f t="shared" si="223"/>
        <v>49568.229999999981</v>
      </c>
      <c r="V501" s="824">
        <f>STDEV(D$2:D501)*SQRT(252)</f>
        <v>0.14056387251664079</v>
      </c>
      <c r="W501" s="824">
        <f>STDEV(L$2:L501)*SQRT(252)</f>
        <v>0.30237946520340636</v>
      </c>
      <c r="X501" s="823">
        <f t="shared" si="224"/>
        <v>0.70694096466433043</v>
      </c>
      <c r="Y501" s="823">
        <f t="shared" si="225"/>
        <v>3.3553835325881735E-2</v>
      </c>
      <c r="Z501" s="829">
        <f t="shared" si="226"/>
        <v>-0.19249501069342564</v>
      </c>
    </row>
    <row r="502" spans="1:26" ht="20.100000000000001" customHeight="1" x14ac:dyDescent="0.2">
      <c r="A502" s="798">
        <f t="shared" si="216"/>
        <v>791</v>
      </c>
      <c r="B502" s="817">
        <v>43024</v>
      </c>
      <c r="C502" s="842">
        <v>2557.64</v>
      </c>
      <c r="D502" s="814">
        <f t="shared" si="239"/>
        <v>1.7507647356031129E-3</v>
      </c>
      <c r="E502" s="841">
        <f t="shared" si="232"/>
        <v>0.2165103403664313</v>
      </c>
      <c r="F502" s="838">
        <v>6624</v>
      </c>
      <c r="G502" s="814">
        <f t="shared" si="240"/>
        <v>2.7551545611432101E-3</v>
      </c>
      <c r="H502" s="819">
        <f t="shared" si="233"/>
        <v>0.30094074670542259</v>
      </c>
      <c r="I502" s="821">
        <v>356269.41</v>
      </c>
      <c r="J502" s="822">
        <v>350000</v>
      </c>
      <c r="K502" s="822">
        <f t="shared" si="234"/>
        <v>-1391.820000000007</v>
      </c>
      <c r="L502" s="814">
        <f t="shared" si="235"/>
        <v>-3.8914477814662972E-3</v>
      </c>
      <c r="M502" s="839">
        <f t="shared" si="236"/>
        <v>6269.4099999999744</v>
      </c>
      <c r="N502" s="824">
        <f t="shared" si="217"/>
        <v>1.7912599999999928E-2</v>
      </c>
      <c r="O502" s="808">
        <f t="shared" si="218"/>
        <v>8.271273261694025E-3</v>
      </c>
      <c r="P502" s="839" t="b">
        <f t="shared" si="237"/>
        <v>0</v>
      </c>
      <c r="Q502" s="824">
        <f>COUNTIF(P$2:P502, TRUE)/(COUNTIF(P$2:P502,FALSE) + COUNTIF(P$2:P502, TRUE))</f>
        <v>0.47904191616766467</v>
      </c>
      <c r="R502" s="822">
        <v>264370.51</v>
      </c>
      <c r="S502" s="822">
        <f t="shared" si="238"/>
        <v>91898.899999999965</v>
      </c>
      <c r="T502" s="822">
        <v>-43678</v>
      </c>
      <c r="U502" s="822">
        <f t="shared" si="223"/>
        <v>49947.409999999974</v>
      </c>
      <c r="V502" s="824">
        <f>STDEV(D$2:D502)*SQRT(252)</f>
        <v>0.14042609448007151</v>
      </c>
      <c r="W502" s="824">
        <f>STDEV(L$2:L502)*SQRT(252)</f>
        <v>0.30209167628759925</v>
      </c>
      <c r="X502" s="823">
        <f t="shared" si="224"/>
        <v>0.71194192153897151</v>
      </c>
      <c r="Y502" s="823">
        <f t="shared" si="225"/>
        <v>2.7380010476751947E-2</v>
      </c>
      <c r="Z502" s="829">
        <f t="shared" si="226"/>
        <v>-0.19859774036643138</v>
      </c>
    </row>
    <row r="503" spans="1:26" ht="20.100000000000001" customHeight="1" x14ac:dyDescent="0.2">
      <c r="A503" s="798">
        <f t="shared" si="216"/>
        <v>792</v>
      </c>
      <c r="B503" s="817">
        <v>43025</v>
      </c>
      <c r="C503" s="842">
        <v>2559.36</v>
      </c>
      <c r="D503" s="814">
        <f t="shared" si="239"/>
        <v>6.7249495628792747E-4</v>
      </c>
      <c r="E503" s="841">
        <f t="shared" si="232"/>
        <v>0.21732843743459981</v>
      </c>
      <c r="F503" s="838">
        <v>6623.65</v>
      </c>
      <c r="G503" s="814">
        <f t="shared" si="240"/>
        <v>-5.2838164251262654E-5</v>
      </c>
      <c r="H503" s="819">
        <f t="shared" si="233"/>
        <v>0.30087200738456704</v>
      </c>
      <c r="I503" s="821">
        <v>356984.93</v>
      </c>
      <c r="J503" s="822">
        <v>350000</v>
      </c>
      <c r="K503" s="822">
        <f t="shared" si="234"/>
        <v>715.52000000001863</v>
      </c>
      <c r="L503" s="814">
        <f t="shared" si="235"/>
        <v>2.008367768650187E-3</v>
      </c>
      <c r="M503" s="839">
        <f t="shared" si="236"/>
        <v>6984.929999999993</v>
      </c>
      <c r="N503" s="824">
        <f t="shared" si="217"/>
        <v>1.9956942857142838E-2</v>
      </c>
      <c r="O503" s="808">
        <f t="shared" si="218"/>
        <v>9.2036280032467433E-3</v>
      </c>
      <c r="P503" s="839" t="b">
        <f t="shared" si="237"/>
        <v>1</v>
      </c>
      <c r="Q503" s="824">
        <f>COUNTIF(P$2:P503, TRUE)/(COUNTIF(P$2:P503,FALSE) + COUNTIF(P$2:P503, TRUE))</f>
        <v>0.48007968127490042</v>
      </c>
      <c r="R503" s="822">
        <v>265086.02</v>
      </c>
      <c r="S503" s="822">
        <f t="shared" si="238"/>
        <v>91898.909999999974</v>
      </c>
      <c r="T503" s="822">
        <v>-43661</v>
      </c>
      <c r="U503" s="822">
        <f t="shared" si="223"/>
        <v>50645.929999999993</v>
      </c>
      <c r="V503" s="824">
        <f>STDEV(D$2:D503)*SQRT(252)</f>
        <v>0.14028570263636367</v>
      </c>
      <c r="W503" s="824">
        <f>STDEV(L$2:L503)*SQRT(252)</f>
        <v>0.30179161775372321</v>
      </c>
      <c r="X503" s="823">
        <f t="shared" si="224"/>
        <v>0.7144439925638304</v>
      </c>
      <c r="Y503" s="823">
        <f t="shared" si="225"/>
        <v>3.049663231785767E-2</v>
      </c>
      <c r="Z503" s="829">
        <f t="shared" si="226"/>
        <v>-0.19737149457745698</v>
      </c>
    </row>
    <row r="504" spans="1:26" ht="20.100000000000001" customHeight="1" x14ac:dyDescent="0.2">
      <c r="A504" s="798">
        <f t="shared" si="216"/>
        <v>793</v>
      </c>
      <c r="B504" s="817">
        <v>43026</v>
      </c>
      <c r="C504" s="842">
        <v>2561.2600000000002</v>
      </c>
      <c r="D504" s="814">
        <f t="shared" si="239"/>
        <v>7.4237309327335383E-4</v>
      </c>
      <c r="E504" s="841">
        <f t="shared" si="232"/>
        <v>0.21823214931222776</v>
      </c>
      <c r="F504" s="838">
        <v>6624.22</v>
      </c>
      <c r="G504" s="814">
        <f t="shared" si="240"/>
        <v>8.6055271640352141E-5</v>
      </c>
      <c r="H504" s="819">
        <f t="shared" si="233"/>
        <v>0.30098395427853181</v>
      </c>
      <c r="I504" s="821">
        <v>356309.25</v>
      </c>
      <c r="J504" s="822">
        <v>350000</v>
      </c>
      <c r="K504" s="822">
        <f t="shared" si="234"/>
        <v>-675.67999999999302</v>
      </c>
      <c r="L504" s="814">
        <f t="shared" si="235"/>
        <v>-1.8927409624826265E-3</v>
      </c>
      <c r="M504" s="839">
        <f t="shared" si="236"/>
        <v>6309.25</v>
      </c>
      <c r="N504" s="824">
        <f t="shared" si="217"/>
        <v>1.8026428571428572E-2</v>
      </c>
      <c r="O504" s="808">
        <f t="shared" si="218"/>
        <v>8.3028411547468924E-3</v>
      </c>
      <c r="P504" s="839" t="b">
        <f t="shared" si="237"/>
        <v>0</v>
      </c>
      <c r="Q504" s="824">
        <f>COUNTIF(P$2:P504, TRUE)/(COUNTIF(P$2:P504,FALSE) + COUNTIF(P$2:P504, TRUE))</f>
        <v>0.47912524850894633</v>
      </c>
      <c r="R504" s="822">
        <v>264410.34000000003</v>
      </c>
      <c r="S504" s="822">
        <f t="shared" si="238"/>
        <v>91898.909999999974</v>
      </c>
      <c r="T504" s="822">
        <v>-43281</v>
      </c>
      <c r="U504" s="822">
        <f t="shared" si="223"/>
        <v>49590.25</v>
      </c>
      <c r="V504" s="824">
        <f>STDEV(D$2:D504)*SQRT(252)</f>
        <v>0.14014580009075686</v>
      </c>
      <c r="W504" s="824">
        <f>STDEV(L$2:L504)*SQRT(252)</f>
        <v>0.30149462610170669</v>
      </c>
      <c r="X504" s="823">
        <f t="shared" si="224"/>
        <v>0.71722543064957556</v>
      </c>
      <c r="Y504" s="823">
        <f t="shared" si="225"/>
        <v>2.7538935808248864E-2</v>
      </c>
      <c r="Z504" s="829">
        <f t="shared" si="226"/>
        <v>-0.20020572074079918</v>
      </c>
    </row>
    <row r="505" spans="1:26" ht="20.100000000000001" customHeight="1" x14ac:dyDescent="0.2">
      <c r="A505" s="798">
        <f t="shared" si="216"/>
        <v>794</v>
      </c>
      <c r="B505" s="817">
        <v>43027</v>
      </c>
      <c r="C505" s="842">
        <v>2562.1</v>
      </c>
      <c r="D505" s="814">
        <f t="shared" si="239"/>
        <v>3.2796358042513869E-4</v>
      </c>
      <c r="E505" s="841">
        <f t="shared" si="232"/>
        <v>0.21863168508970521</v>
      </c>
      <c r="F505" s="838">
        <v>6605.06</v>
      </c>
      <c r="G505" s="814">
        <f t="shared" si="240"/>
        <v>-2.8924160127531775E-3</v>
      </c>
      <c r="H505" s="819">
        <f t="shared" si="233"/>
        <v>0.29722096745684168</v>
      </c>
      <c r="I505" s="821">
        <v>357443.95</v>
      </c>
      <c r="J505" s="822">
        <v>350000</v>
      </c>
      <c r="K505" s="822">
        <f t="shared" si="234"/>
        <v>1134.7000000000116</v>
      </c>
      <c r="L505" s="814">
        <f t="shared" si="235"/>
        <v>3.1845931588922031E-3</v>
      </c>
      <c r="M505" s="839">
        <f t="shared" si="236"/>
        <v>7443.9500000000116</v>
      </c>
      <c r="N505" s="824">
        <f t="shared" si="217"/>
        <v>2.1268428571428605E-2</v>
      </c>
      <c r="O505" s="808">
        <f t="shared" si="218"/>
        <v>9.783745007196849E-3</v>
      </c>
      <c r="P505" s="839" t="b">
        <f t="shared" si="237"/>
        <v>1</v>
      </c>
      <c r="Q505" s="824">
        <f>COUNTIF(P$2:P505, TRUE)/(COUNTIF(P$2:P505,FALSE) + COUNTIF(P$2:P505, TRUE))</f>
        <v>0.48015873015873017</v>
      </c>
      <c r="R505" s="822">
        <v>264411.34000000003</v>
      </c>
      <c r="S505" s="822">
        <f t="shared" si="238"/>
        <v>93032.609999999986</v>
      </c>
      <c r="T505" s="822">
        <v>-42836</v>
      </c>
      <c r="U505" s="822">
        <f t="shared" si="223"/>
        <v>50279.950000000012</v>
      </c>
      <c r="V505" s="824">
        <f>STDEV(D$2:D505)*SQRT(252)</f>
        <v>0.14000616246662231</v>
      </c>
      <c r="W505" s="824">
        <f>STDEV(L$2:L505)*SQRT(252)</f>
        <v>0.3012006871665695</v>
      </c>
      <c r="X505" s="823">
        <f t="shared" si="224"/>
        <v>0.71834929918111556</v>
      </c>
      <c r="Y505" s="823">
        <f t="shared" si="225"/>
        <v>3.2482479038257503E-2</v>
      </c>
      <c r="Z505" s="829">
        <f t="shared" si="226"/>
        <v>-0.1973632565182766</v>
      </c>
    </row>
    <row r="506" spans="1:26" ht="20.100000000000001" customHeight="1" x14ac:dyDescent="0.2">
      <c r="A506" s="798">
        <f t="shared" si="216"/>
        <v>795</v>
      </c>
      <c r="B506" s="817">
        <v>43028</v>
      </c>
      <c r="C506" s="842">
        <v>2575.21</v>
      </c>
      <c r="D506" s="814">
        <f t="shared" si="239"/>
        <v>5.1168962960072319E-3</v>
      </c>
      <c r="E506" s="841">
        <f t="shared" si="232"/>
        <v>0.22486729704533778</v>
      </c>
      <c r="F506" s="838">
        <v>6629.05</v>
      </c>
      <c r="G506" s="814">
        <f t="shared" si="240"/>
        <v>3.6320639025231838E-3</v>
      </c>
      <c r="H506" s="819">
        <f t="shared" si="233"/>
        <v>0.30193255690633786</v>
      </c>
      <c r="I506" s="821">
        <v>360239.92</v>
      </c>
      <c r="J506" s="822">
        <v>350000</v>
      </c>
      <c r="K506" s="822">
        <f t="shared" si="234"/>
        <v>2795.9699999999721</v>
      </c>
      <c r="L506" s="814">
        <f t="shared" si="235"/>
        <v>7.822121482263085E-3</v>
      </c>
      <c r="M506" s="839">
        <f t="shared" si="236"/>
        <v>10239.919999999984</v>
      </c>
      <c r="N506" s="824">
        <f t="shared" si="217"/>
        <v>2.9256914285714239E-2</v>
      </c>
      <c r="O506" s="808">
        <f t="shared" si="218"/>
        <v>1.3441620053908334E-2</v>
      </c>
      <c r="P506" s="839" t="b">
        <f t="shared" si="237"/>
        <v>1</v>
      </c>
      <c r="Q506" s="824">
        <f>COUNTIF(P$2:P506, TRUE)/(COUNTIF(P$2:P506,FALSE) + COUNTIF(P$2:P506, TRUE))</f>
        <v>0.48118811881188117</v>
      </c>
      <c r="R506" s="822">
        <v>254585.5</v>
      </c>
      <c r="S506" s="822">
        <f t="shared" si="238"/>
        <v>105654.41999999998</v>
      </c>
      <c r="T506" s="822">
        <v>-42552</v>
      </c>
      <c r="U506" s="822">
        <f t="shared" si="223"/>
        <v>52791.919999999984</v>
      </c>
      <c r="V506" s="824">
        <f>STDEV(D$2:D506)*SQRT(252)</f>
        <v>0.13990614860228603</v>
      </c>
      <c r="W506" s="824">
        <f>STDEV(L$2:L506)*SQRT(252)</f>
        <v>0.30094697841501933</v>
      </c>
      <c r="X506" s="823">
        <f t="shared" si="224"/>
        <v>0.73843554623789598</v>
      </c>
      <c r="Y506" s="823">
        <f t="shared" si="225"/>
        <v>4.466441273044363E-2</v>
      </c>
      <c r="Z506" s="829">
        <f t="shared" si="226"/>
        <v>-0.19561038275962356</v>
      </c>
    </row>
    <row r="507" spans="1:26" ht="20.100000000000001" customHeight="1" x14ac:dyDescent="0.2">
      <c r="A507" s="798">
        <f t="shared" si="216"/>
        <v>798</v>
      </c>
      <c r="B507" s="817">
        <v>43031</v>
      </c>
      <c r="C507" s="842">
        <v>2564.98</v>
      </c>
      <c r="D507" s="814">
        <f t="shared" si="239"/>
        <v>-3.9724915637948041E-3</v>
      </c>
      <c r="E507" s="841">
        <f t="shared" si="232"/>
        <v>0.22000152204105702</v>
      </c>
      <c r="F507" s="838">
        <v>6586.82</v>
      </c>
      <c r="G507" s="814">
        <f t="shared" si="240"/>
        <v>-6.3704452372512609E-3</v>
      </c>
      <c r="H507" s="819">
        <f t="shared" si="233"/>
        <v>0.29363866684997153</v>
      </c>
      <c r="I507" s="821">
        <v>357804.68</v>
      </c>
      <c r="J507" s="822">
        <v>350000</v>
      </c>
      <c r="K507" s="822">
        <f t="shared" si="234"/>
        <v>-2435.2399999999907</v>
      </c>
      <c r="L507" s="814">
        <f t="shared" si="235"/>
        <v>-6.760050357550576E-3</v>
      </c>
      <c r="M507" s="839">
        <f t="shared" si="236"/>
        <v>7804.679999999993</v>
      </c>
      <c r="N507" s="824">
        <f t="shared" si="217"/>
        <v>2.2299085714285693E-2</v>
      </c>
      <c r="O507" s="808">
        <f t="shared" si="218"/>
        <v>1.0206442427497305E-2</v>
      </c>
      <c r="P507" s="839" t="b">
        <f t="shared" si="237"/>
        <v>0</v>
      </c>
      <c r="Q507" s="824">
        <f>COUNTIF(P$2:P507, TRUE)/(COUNTIF(P$2:P507,FALSE) + COUNTIF(P$2:P507, TRUE))</f>
        <v>0.48023715415019763</v>
      </c>
      <c r="R507" s="822">
        <v>252150.26</v>
      </c>
      <c r="S507" s="822">
        <f t="shared" si="238"/>
        <v>105654.41999999998</v>
      </c>
      <c r="T507" s="822">
        <v>-41908</v>
      </c>
      <c r="U507" s="822">
        <f t="shared" si="223"/>
        <v>49712.679999999993</v>
      </c>
      <c r="V507" s="824">
        <f>STDEV(D$2:D507)*SQRT(252)</f>
        <v>0.13980205559585135</v>
      </c>
      <c r="W507" s="824">
        <f>STDEV(L$2:L507)*SQRT(252)</f>
        <v>0.30069091329485875</v>
      </c>
      <c r="X507" s="823">
        <f t="shared" si="224"/>
        <v>0.72027685817005982</v>
      </c>
      <c r="Y507" s="823">
        <f t="shared" si="225"/>
        <v>3.3943301829971913E-2</v>
      </c>
      <c r="Z507" s="829">
        <f t="shared" si="226"/>
        <v>-0.19770243632677134</v>
      </c>
    </row>
    <row r="508" spans="1:26" ht="20.100000000000001" customHeight="1" x14ac:dyDescent="0.2">
      <c r="A508" s="798">
        <f t="shared" si="216"/>
        <v>799</v>
      </c>
      <c r="B508" s="817">
        <v>43032</v>
      </c>
      <c r="C508" s="842">
        <v>2569.13</v>
      </c>
      <c r="D508" s="814">
        <f t="shared" si="239"/>
        <v>1.6179463387629108E-3</v>
      </c>
      <c r="E508" s="841">
        <f t="shared" si="232"/>
        <v>0.22197541903692855</v>
      </c>
      <c r="F508" s="838">
        <v>6598.63</v>
      </c>
      <c r="G508" s="814">
        <f t="shared" si="240"/>
        <v>1.792974455048172E-3</v>
      </c>
      <c r="H508" s="819">
        <f t="shared" si="233"/>
        <v>0.29595812793369608</v>
      </c>
      <c r="I508" s="821">
        <v>308838.62</v>
      </c>
      <c r="J508" s="822">
        <v>300000</v>
      </c>
      <c r="K508" s="822">
        <f t="shared" si="234"/>
        <v>1033.9400000000023</v>
      </c>
      <c r="L508" s="814">
        <f t="shared" si="235"/>
        <v>2.8896771277558539E-3</v>
      </c>
      <c r="M508" s="839">
        <f t="shared" si="236"/>
        <v>8838.6199999999953</v>
      </c>
      <c r="N508" s="824">
        <f t="shared" si="217"/>
        <v>2.9462066666666651E-2</v>
      </c>
      <c r="O508" s="808">
        <f t="shared" si="218"/>
        <v>1.3468109949937416E-2</v>
      </c>
      <c r="P508" s="839" t="b">
        <f t="shared" si="237"/>
        <v>1</v>
      </c>
      <c r="Q508" s="824">
        <f>COUNTIF(P$2:P508, TRUE)/(COUNTIF(P$2:P508,FALSE) + COUNTIF(P$2:P508, TRUE))</f>
        <v>0.48126232741617359</v>
      </c>
      <c r="R508" s="822">
        <v>252151.26</v>
      </c>
      <c r="S508" s="822">
        <f t="shared" si="238"/>
        <v>56687.359999999986</v>
      </c>
      <c r="T508" s="822">
        <v>-41721</v>
      </c>
      <c r="U508" s="822">
        <f t="shared" si="223"/>
        <v>50559.619999999995</v>
      </c>
      <c r="V508" s="824">
        <f>STDEV(D$2:D508)*SQRT(252)</f>
        <v>0.13966607476231604</v>
      </c>
      <c r="W508" s="824">
        <f>STDEV(L$2:L508)*SQRT(252)</f>
        <v>0.30039821437301584</v>
      </c>
      <c r="X508" s="823">
        <f t="shared" si="224"/>
        <v>0.72653644088459868</v>
      </c>
      <c r="Y508" s="823">
        <f t="shared" si="225"/>
        <v>4.4834187773212103E-2</v>
      </c>
      <c r="Z508" s="829">
        <f t="shared" si="226"/>
        <v>-0.1925133523702619</v>
      </c>
    </row>
    <row r="509" spans="1:26" ht="20.100000000000001" customHeight="1" x14ac:dyDescent="0.2">
      <c r="A509" s="798">
        <f t="shared" si="216"/>
        <v>800</v>
      </c>
      <c r="B509" s="817">
        <v>43033</v>
      </c>
      <c r="C509" s="842">
        <v>2557.15</v>
      </c>
      <c r="D509" s="814">
        <f t="shared" si="239"/>
        <v>-4.6630571438580444E-3</v>
      </c>
      <c r="E509" s="841">
        <f t="shared" si="232"/>
        <v>0.21627727782956946</v>
      </c>
      <c r="F509" s="838">
        <v>6563.89</v>
      </c>
      <c r="G509" s="814">
        <f t="shared" si="240"/>
        <v>-5.2647291937871618E-3</v>
      </c>
      <c r="H509" s="819">
        <f t="shared" si="233"/>
        <v>0.28913525934363782</v>
      </c>
      <c r="I509" s="821">
        <v>306704.96000000002</v>
      </c>
      <c r="J509" s="822">
        <v>300000</v>
      </c>
      <c r="K509" s="822">
        <f t="shared" si="234"/>
        <v>-2133.6599999999744</v>
      </c>
      <c r="L509" s="814">
        <f t="shared" si="235"/>
        <v>-6.9086566958496782E-3</v>
      </c>
      <c r="M509" s="839">
        <f t="shared" si="236"/>
        <v>6704.960000000021</v>
      </c>
      <c r="N509" s="824">
        <f t="shared" si="217"/>
        <v>2.2349866666666735E-2</v>
      </c>
      <c r="O509" s="808">
        <f t="shared" si="218"/>
        <v>1.0204111000000031E-2</v>
      </c>
      <c r="P509" s="839" t="b">
        <f t="shared" si="237"/>
        <v>0</v>
      </c>
      <c r="Q509" s="824">
        <f>COUNTIF(P$2:P509, TRUE)/(COUNTIF(P$2:P509,FALSE) + COUNTIF(P$2:P509, TRUE))</f>
        <v>0.48031496062992124</v>
      </c>
      <c r="R509" s="822">
        <v>252152.26</v>
      </c>
      <c r="S509" s="822">
        <f t="shared" si="238"/>
        <v>54552.700000000012</v>
      </c>
      <c r="T509" s="822">
        <v>-41720</v>
      </c>
      <c r="U509" s="822">
        <f t="shared" si="223"/>
        <v>48424.960000000021</v>
      </c>
      <c r="V509" s="824">
        <f>STDEV(D$2:D509)*SQRT(252)</f>
        <v>0.13957427800139766</v>
      </c>
      <c r="W509" s="824">
        <f>STDEV(L$2:L509)*SQRT(252)</f>
        <v>0.30014545244323337</v>
      </c>
      <c r="X509" s="823">
        <f t="shared" si="224"/>
        <v>0.70746627582822974</v>
      </c>
      <c r="Y509" s="823">
        <f t="shared" si="225"/>
        <v>3.399722007092524E-2</v>
      </c>
      <c r="Z509" s="829">
        <f t="shared" si="226"/>
        <v>-0.19392741116290271</v>
      </c>
    </row>
    <row r="510" spans="1:26" ht="20.100000000000001" customHeight="1" x14ac:dyDescent="0.2">
      <c r="A510" s="798">
        <f t="shared" si="216"/>
        <v>801</v>
      </c>
      <c r="B510" s="817">
        <v>43034</v>
      </c>
      <c r="C510" s="842">
        <v>2560.4</v>
      </c>
      <c r="D510" s="814">
        <f t="shared" si="239"/>
        <v>1.270946170541423E-3</v>
      </c>
      <c r="E510" s="841">
        <f t="shared" si="232"/>
        <v>0.21782310077814351</v>
      </c>
      <c r="F510" s="838">
        <v>6556.77</v>
      </c>
      <c r="G510" s="814">
        <f t="shared" si="240"/>
        <v>-1.0847226263694075E-3</v>
      </c>
      <c r="H510" s="819">
        <f t="shared" si="233"/>
        <v>0.28773690515937717</v>
      </c>
      <c r="I510" s="821">
        <v>305919.12</v>
      </c>
      <c r="J510" s="822">
        <v>300000</v>
      </c>
      <c r="K510" s="822">
        <f t="shared" si="234"/>
        <v>-785.84000000002561</v>
      </c>
      <c r="L510" s="814">
        <f t="shared" si="235"/>
        <v>-2.5622017981059893E-3</v>
      </c>
      <c r="M510" s="839">
        <f t="shared" si="236"/>
        <v>5919.1199999999953</v>
      </c>
      <c r="N510" s="824">
        <f t="shared" si="217"/>
        <v>1.9730399999999985E-2</v>
      </c>
      <c r="O510" s="808">
        <f t="shared" si="218"/>
        <v>8.9969146067415667E-3</v>
      </c>
      <c r="P510" s="839" t="b">
        <f t="shared" si="237"/>
        <v>0</v>
      </c>
      <c r="Q510" s="824">
        <f>COUNTIF(P$2:P510, TRUE)/(COUNTIF(P$2:P510,FALSE) + COUNTIF(P$2:P510, TRUE))</f>
        <v>0.47937131630648327</v>
      </c>
      <c r="R510" s="822">
        <v>256825.7</v>
      </c>
      <c r="S510" s="822">
        <f t="shared" si="238"/>
        <v>49093.419999999984</v>
      </c>
      <c r="T510" s="822">
        <v>-42976</v>
      </c>
      <c r="U510" s="822">
        <f t="shared" si="223"/>
        <v>48895.119999999995</v>
      </c>
      <c r="V510" s="824">
        <f>STDEV(D$2:D510)*SQRT(252)</f>
        <v>0.13943783652554134</v>
      </c>
      <c r="W510" s="824">
        <f>STDEV(L$2:L510)*SQRT(252)</f>
        <v>0.29985648816309529</v>
      </c>
      <c r="X510" s="823">
        <f t="shared" si="224"/>
        <v>0.71232962871541616</v>
      </c>
      <c r="Y510" s="823">
        <f t="shared" si="225"/>
        <v>3.0004068485748572E-2</v>
      </c>
      <c r="Z510" s="829">
        <f t="shared" si="226"/>
        <v>-0.19809270077814353</v>
      </c>
    </row>
    <row r="511" spans="1:26" ht="20.100000000000001" customHeight="1" x14ac:dyDescent="0.2">
      <c r="A511" s="798">
        <f t="shared" si="216"/>
        <v>802</v>
      </c>
      <c r="B511" s="817">
        <v>43035</v>
      </c>
      <c r="C511" s="842">
        <v>2581.0700000000002</v>
      </c>
      <c r="D511" s="814">
        <f t="shared" si="239"/>
        <v>8.0729573504140263E-3</v>
      </c>
      <c r="E511" s="841">
        <f t="shared" si="232"/>
        <v>0.22765453473107441</v>
      </c>
      <c r="F511" s="838">
        <v>6701.26</v>
      </c>
      <c r="G511" s="814">
        <f t="shared" si="240"/>
        <v>2.2036765053524796E-2</v>
      </c>
      <c r="H511" s="819">
        <f t="shared" si="233"/>
        <v>0.31611446078912747</v>
      </c>
      <c r="I511" s="821">
        <v>305278.40999999997</v>
      </c>
      <c r="J511" s="822">
        <v>300000</v>
      </c>
      <c r="K511" s="822">
        <f t="shared" si="234"/>
        <v>-640.71000000002095</v>
      </c>
      <c r="L511" s="814">
        <f t="shared" si="235"/>
        <v>-2.0943771020262513E-3</v>
      </c>
      <c r="M511" s="839">
        <f t="shared" si="236"/>
        <v>5278.4099999999744</v>
      </c>
      <c r="N511" s="824">
        <f t="shared" si="217"/>
        <v>1.7594699999999915E-2</v>
      </c>
      <c r="O511" s="808">
        <f t="shared" si="218"/>
        <v>8.0130475997505848E-3</v>
      </c>
      <c r="P511" s="839" t="b">
        <f t="shared" si="237"/>
        <v>0</v>
      </c>
      <c r="Q511" s="824">
        <f>COUNTIF(P$2:P511, TRUE)/(COUNTIF(P$2:P511,FALSE) + COUNTIF(P$2:P511, TRUE))</f>
        <v>0.47843137254901963</v>
      </c>
      <c r="R511" s="822">
        <v>259252.8</v>
      </c>
      <c r="S511" s="822">
        <f t="shared" si="238"/>
        <v>46025.609999999986</v>
      </c>
      <c r="T511" s="822">
        <v>-43407</v>
      </c>
      <c r="U511" s="822">
        <f t="shared" si="223"/>
        <v>48685.409999999974</v>
      </c>
      <c r="V511" s="824">
        <f>STDEV(D$2:D511)*SQRT(252)</f>
        <v>0.13940439146779132</v>
      </c>
      <c r="W511" s="824">
        <f>STDEV(L$2:L511)*SQRT(252)</f>
        <v>0.2995662631727638</v>
      </c>
      <c r="X511" s="823">
        <f t="shared" si="224"/>
        <v>0.74373069677729886</v>
      </c>
      <c r="Y511" s="823">
        <f t="shared" si="225"/>
        <v>2.6748831844022953E-2</v>
      </c>
      <c r="Z511" s="829">
        <f t="shared" si="226"/>
        <v>-0.21005983473107451</v>
      </c>
    </row>
    <row r="512" spans="1:26" ht="20.100000000000001" customHeight="1" x14ac:dyDescent="0.2">
      <c r="A512" s="798">
        <f t="shared" si="216"/>
        <v>805</v>
      </c>
      <c r="B512" s="817">
        <v>43038</v>
      </c>
      <c r="C512" s="842">
        <v>2572.83</v>
      </c>
      <c r="D512" s="814">
        <f t="shared" si="239"/>
        <v>-3.1924744388955881E-3</v>
      </c>
      <c r="E512" s="841">
        <f t="shared" si="232"/>
        <v>0.22373527900915122</v>
      </c>
      <c r="F512" s="838">
        <v>6698.96</v>
      </c>
      <c r="G512" s="814">
        <f t="shared" si="240"/>
        <v>-3.4321903642004365E-4</v>
      </c>
      <c r="H512" s="819">
        <f t="shared" si="233"/>
        <v>0.31566274525207694</v>
      </c>
      <c r="I512" s="821">
        <v>307777.62</v>
      </c>
      <c r="J512" s="822">
        <v>300000</v>
      </c>
      <c r="K512" s="822">
        <f t="shared" si="234"/>
        <v>2499.210000000021</v>
      </c>
      <c r="L512" s="814">
        <f t="shared" si="235"/>
        <v>8.1866582048826225E-3</v>
      </c>
      <c r="M512" s="839">
        <f t="shared" si="236"/>
        <v>7777.6199999999953</v>
      </c>
      <c r="N512" s="824">
        <f t="shared" si="217"/>
        <v>2.5925399999999984E-2</v>
      </c>
      <c r="O512" s="808">
        <f t="shared" si="218"/>
        <v>1.176304639751552E-2</v>
      </c>
      <c r="P512" s="839" t="b">
        <f t="shared" si="237"/>
        <v>1</v>
      </c>
      <c r="Q512" s="824">
        <f>COUNTIF(P$2:P512, TRUE)/(COUNTIF(P$2:P512,FALSE) + COUNTIF(P$2:P512, TRUE))</f>
        <v>0.47945205479452052</v>
      </c>
      <c r="R512" s="822">
        <v>261741.38</v>
      </c>
      <c r="S512" s="822">
        <f t="shared" si="238"/>
        <v>46036.239999999991</v>
      </c>
      <c r="T512" s="822">
        <v>-43230</v>
      </c>
      <c r="U512" s="822">
        <f t="shared" si="223"/>
        <v>51007.619999999995</v>
      </c>
      <c r="V512" s="824">
        <f>STDEV(D$2:D512)*SQRT(252)</f>
        <v>0.13929080890854997</v>
      </c>
      <c r="W512" s="824">
        <f>STDEV(L$2:L512)*SQRT(252)</f>
        <v>0.29932223329084218</v>
      </c>
      <c r="X512" s="823">
        <f t="shared" si="224"/>
        <v>0.7287966264278648</v>
      </c>
      <c r="Y512" s="823">
        <f t="shared" si="225"/>
        <v>3.9298939701835414E-2</v>
      </c>
      <c r="Z512" s="829">
        <f t="shared" si="226"/>
        <v>-0.19780987900915123</v>
      </c>
    </row>
    <row r="513" spans="1:26" ht="20.100000000000001" customHeight="1" x14ac:dyDescent="0.2">
      <c r="A513" s="798">
        <f t="shared" ref="A513:A546" si="241">B513-$B$2</f>
        <v>806</v>
      </c>
      <c r="B513" s="817">
        <v>43039</v>
      </c>
      <c r="C513" s="842">
        <v>2575.2600000000002</v>
      </c>
      <c r="D513" s="814">
        <f t="shared" si="239"/>
        <v>9.4448525553584618E-4</v>
      </c>
      <c r="E513" s="841">
        <f t="shared" si="232"/>
        <v>0.22489107893685439</v>
      </c>
      <c r="F513" s="838">
        <v>6727.66</v>
      </c>
      <c r="G513" s="814">
        <f t="shared" si="240"/>
        <v>4.2842471070135991E-3</v>
      </c>
      <c r="H513" s="819">
        <f t="shared" si="233"/>
        <v>0.32129936956222876</v>
      </c>
      <c r="I513" s="844">
        <v>309994</v>
      </c>
      <c r="J513" s="822">
        <v>300000</v>
      </c>
      <c r="K513" s="822">
        <f t="shared" si="234"/>
        <v>2216.3800000000047</v>
      </c>
      <c r="L513" s="814">
        <f t="shared" si="235"/>
        <v>7.2012383486492774E-3</v>
      </c>
      <c r="M513" s="844">
        <f t="shared" si="236"/>
        <v>9994</v>
      </c>
      <c r="N513" s="824">
        <f t="shared" ref="N513:N576" si="242">M513/J513</f>
        <v>3.3313333333333334E-2</v>
      </c>
      <c r="O513" s="808">
        <f t="shared" si="218"/>
        <v>1.5096395781637717E-2</v>
      </c>
      <c r="P513" s="839" t="b">
        <f t="shared" si="237"/>
        <v>1</v>
      </c>
      <c r="Q513" s="824">
        <f>COUNTIF(P$2:P513, TRUE)/(COUNTIF(P$2:P513,FALSE) + COUNTIF(P$2:P513, TRUE))</f>
        <v>0.48046875</v>
      </c>
      <c r="R513" s="822">
        <v>263957.76000000001</v>
      </c>
      <c r="S513" s="822">
        <f t="shared" si="238"/>
        <v>46036.239999999991</v>
      </c>
      <c r="T513" s="822">
        <v>-43049</v>
      </c>
      <c r="U513" s="822">
        <f t="shared" si="223"/>
        <v>53043</v>
      </c>
      <c r="V513" s="824">
        <f>STDEV(D$2:D513)*SQRT(252)</f>
        <v>0.13915464346541059</v>
      </c>
      <c r="W513" s="824">
        <f>STDEV(L$2:L513)*SQRT(252)</f>
        <v>0.29906689628726874</v>
      </c>
      <c r="X513" s="823">
        <f t="shared" si="224"/>
        <v>0.73236858661330961</v>
      </c>
      <c r="Y513" s="823">
        <f t="shared" si="225"/>
        <v>5.0478324311550929E-2</v>
      </c>
      <c r="Z513" s="829">
        <f t="shared" si="226"/>
        <v>-0.19157774560352106</v>
      </c>
    </row>
    <row r="514" spans="1:26" ht="20.100000000000001" customHeight="1" x14ac:dyDescent="0.2">
      <c r="A514" s="798">
        <f t="shared" si="241"/>
        <v>807</v>
      </c>
      <c r="B514" s="817">
        <v>43040</v>
      </c>
      <c r="C514" s="842">
        <v>2579.36</v>
      </c>
      <c r="D514" s="814">
        <f t="shared" si="239"/>
        <v>1.5920722567818041E-3</v>
      </c>
      <c r="E514" s="841">
        <f t="shared" si="232"/>
        <v>0.22684119404120928</v>
      </c>
      <c r="F514" s="838">
        <v>6716.53</v>
      </c>
      <c r="G514" s="814">
        <f t="shared" si="240"/>
        <v>-1.6543642217353596E-3</v>
      </c>
      <c r="H514" s="819">
        <f t="shared" si="233"/>
        <v>0.3191134591590235</v>
      </c>
      <c r="I514" s="821">
        <v>314097.48</v>
      </c>
      <c r="J514" s="822">
        <v>300000</v>
      </c>
      <c r="K514" s="822">
        <f t="shared" si="234"/>
        <v>4103.4799999999814</v>
      </c>
      <c r="L514" s="814">
        <f t="shared" si="235"/>
        <v>1.3237288463647624E-2</v>
      </c>
      <c r="M514" s="839">
        <f t="shared" si="236"/>
        <v>14097.479999999981</v>
      </c>
      <c r="N514" s="824">
        <f t="shared" si="242"/>
        <v>4.6991599999999939E-2</v>
      </c>
      <c r="O514" s="808">
        <f t="shared" si="218"/>
        <v>2.1268502973977668E-2</v>
      </c>
      <c r="P514" s="839" t="b">
        <f t="shared" si="237"/>
        <v>1</v>
      </c>
      <c r="Q514" s="824">
        <f>COUNTIF(P$2:P514, TRUE)/(COUNTIF(P$2:P514,FALSE) + COUNTIF(P$2:P514, TRUE))</f>
        <v>0.48148148148148145</v>
      </c>
      <c r="R514" s="822">
        <v>254959.6</v>
      </c>
      <c r="S514" s="822">
        <f t="shared" si="238"/>
        <v>59137.879999999976</v>
      </c>
      <c r="T514" s="822"/>
      <c r="U514" s="822"/>
      <c r="V514" s="824">
        <f>STDEV(D$2:D514)*SQRT(252)</f>
        <v>0.13902078631505016</v>
      </c>
      <c r="W514" s="824">
        <f>STDEV(L$2:L514)*SQRT(252)</f>
        <v>0.29890977574603156</v>
      </c>
      <c r="X514" s="823">
        <f t="shared" si="224"/>
        <v>0.73851424027965751</v>
      </c>
      <c r="Y514" s="823">
        <f t="shared" si="225"/>
        <v>7.1153587803861038E-2</v>
      </c>
      <c r="Z514" s="829">
        <f t="shared" si="226"/>
        <v>-0.17984959404120934</v>
      </c>
    </row>
    <row r="515" spans="1:26" ht="20.100000000000001" customHeight="1" x14ac:dyDescent="0.2">
      <c r="A515" s="798">
        <f t="shared" si="241"/>
        <v>808</v>
      </c>
      <c r="B515" s="817">
        <v>43041</v>
      </c>
      <c r="C515" s="842">
        <v>2579.85</v>
      </c>
      <c r="D515" s="814">
        <f t="shared" si="239"/>
        <v>1.8996960486313726E-4</v>
      </c>
      <c r="E515" s="841">
        <f t="shared" si="232"/>
        <v>0.22707425657807112</v>
      </c>
      <c r="F515" s="838">
        <v>6714.94</v>
      </c>
      <c r="G515" s="814">
        <f t="shared" si="240"/>
        <v>-2.3672938258299233E-4</v>
      </c>
      <c r="H515" s="819">
        <f t="shared" si="233"/>
        <v>0.31880118624427989</v>
      </c>
      <c r="I515" s="821">
        <v>315145.06</v>
      </c>
      <c r="J515" s="822">
        <v>300000</v>
      </c>
      <c r="K515" s="822">
        <f t="shared" si="234"/>
        <v>1047.5800000000163</v>
      </c>
      <c r="L515" s="814">
        <f t="shared" si="235"/>
        <v>3.3352066371242976E-3</v>
      </c>
      <c r="M515" s="839">
        <f t="shared" si="236"/>
        <v>15145.059999999998</v>
      </c>
      <c r="N515" s="824">
        <f t="shared" si="242"/>
        <v>5.0483533333333323E-2</v>
      </c>
      <c r="O515" s="808">
        <f t="shared" si="218"/>
        <v>2.2820681373762371E-2</v>
      </c>
      <c r="P515" s="839" t="b">
        <f t="shared" si="237"/>
        <v>1</v>
      </c>
      <c r="Q515" s="824">
        <f>COUNTIF(P$2:P515, TRUE)/(COUNTIF(P$2:P515,FALSE) + COUNTIF(P$2:P515, TRUE))</f>
        <v>0.48249027237354086</v>
      </c>
      <c r="R515" s="822">
        <v>261523.18</v>
      </c>
      <c r="S515" s="822">
        <f t="shared" si="238"/>
        <v>53621.880000000005</v>
      </c>
      <c r="T515" s="822">
        <v>-42858</v>
      </c>
      <c r="U515" s="822">
        <f t="shared" ref="U515:U538" si="243">M515-T515</f>
        <v>58003.06</v>
      </c>
      <c r="V515" s="824">
        <f>STDEV(D$2:D515)*SQRT(252)</f>
        <v>0.13888506589975202</v>
      </c>
      <c r="W515" s="824">
        <f>STDEV(L$2:L515)*SQRT(252)</f>
        <v>0.29862468189332236</v>
      </c>
      <c r="X515" s="823">
        <f t="shared" si="224"/>
        <v>0.73907960091429403</v>
      </c>
      <c r="Y515" s="823">
        <f t="shared" si="225"/>
        <v>7.6419273949748734E-2</v>
      </c>
      <c r="Z515" s="829">
        <f t="shared" si="226"/>
        <v>-0.17659072324473779</v>
      </c>
    </row>
    <row r="516" spans="1:26" ht="20.100000000000001" customHeight="1" x14ac:dyDescent="0.2">
      <c r="A516" s="798">
        <f t="shared" si="241"/>
        <v>809</v>
      </c>
      <c r="B516" s="817">
        <v>43042</v>
      </c>
      <c r="C516" s="842">
        <v>2587.84</v>
      </c>
      <c r="D516" s="814">
        <f t="shared" si="239"/>
        <v>3.0970792875555696E-3</v>
      </c>
      <c r="E516" s="841">
        <f t="shared" si="232"/>
        <v>0.23087460284241171</v>
      </c>
      <c r="F516" s="838">
        <v>6764.43</v>
      </c>
      <c r="G516" s="814">
        <f t="shared" si="240"/>
        <v>7.3701328679036142E-3</v>
      </c>
      <c r="H516" s="819">
        <f t="shared" si="233"/>
        <v>0.32852092621324913</v>
      </c>
      <c r="I516" s="821">
        <v>316040.12</v>
      </c>
      <c r="J516" s="822">
        <v>300000</v>
      </c>
      <c r="K516" s="822">
        <f t="shared" si="234"/>
        <v>895.05999999999767</v>
      </c>
      <c r="L516" s="814">
        <f t="shared" si="235"/>
        <v>2.8401524047370367E-3</v>
      </c>
      <c r="M516" s="839">
        <f t="shared" si="236"/>
        <v>16040.119999999995</v>
      </c>
      <c r="N516" s="824">
        <f t="shared" si="242"/>
        <v>5.3467066666666653E-2</v>
      </c>
      <c r="O516" s="808">
        <f t="shared" si="218"/>
        <v>2.4139488380716927E-2</v>
      </c>
      <c r="P516" s="839" t="b">
        <f t="shared" si="237"/>
        <v>0</v>
      </c>
      <c r="Q516" s="824">
        <f>COUNTIF(P$2:P516, TRUE)/(COUNTIF(P$2:P516,FALSE) + COUNTIF(P$2:P516, TRUE))</f>
        <v>0.48155339805825242</v>
      </c>
      <c r="R516" s="822">
        <v>252880.46</v>
      </c>
      <c r="S516" s="822">
        <f t="shared" si="238"/>
        <v>63159.66</v>
      </c>
      <c r="T516" s="822">
        <v>-42866</v>
      </c>
      <c r="U516" s="822">
        <f t="shared" si="243"/>
        <v>58906.119999999995</v>
      </c>
      <c r="V516" s="824">
        <f>STDEV(D$2:D516)*SQRT(252)</f>
        <v>0.13876213440493015</v>
      </c>
      <c r="W516" s="824">
        <f>STDEV(L$2:L516)*SQRT(252)</f>
        <v>0.29833824227628286</v>
      </c>
      <c r="X516" s="823">
        <f t="shared" si="224"/>
        <v>0.75118497538201423</v>
      </c>
      <c r="Y516" s="823">
        <f t="shared" si="225"/>
        <v>8.0913154802199336E-2</v>
      </c>
      <c r="Z516" s="829">
        <f t="shared" si="226"/>
        <v>-0.17740753617574506</v>
      </c>
    </row>
    <row r="517" spans="1:26" ht="20.100000000000001" customHeight="1" x14ac:dyDescent="0.2">
      <c r="A517" s="798">
        <f t="shared" si="241"/>
        <v>812</v>
      </c>
      <c r="B517" s="817">
        <v>43045</v>
      </c>
      <c r="C517" s="842">
        <v>2591.13</v>
      </c>
      <c r="D517" s="814">
        <f t="shared" si="239"/>
        <v>1.2713305304810048E-3</v>
      </c>
      <c r="E517" s="841">
        <f t="shared" si="232"/>
        <v>0.23243945130419896</v>
      </c>
      <c r="F517" s="838">
        <v>6786.43</v>
      </c>
      <c r="G517" s="814">
        <f t="shared" si="240"/>
        <v>3.2523065505888891E-3</v>
      </c>
      <c r="H517" s="819">
        <f t="shared" si="233"/>
        <v>0.33284168352416688</v>
      </c>
      <c r="I517" s="821">
        <v>319399.58</v>
      </c>
      <c r="J517" s="822">
        <v>300000</v>
      </c>
      <c r="K517" s="822">
        <f t="shared" si="234"/>
        <v>3359.460000000021</v>
      </c>
      <c r="L517" s="814">
        <f t="shared" si="235"/>
        <v>1.0629852943987052E-2</v>
      </c>
      <c r="M517" s="839">
        <f t="shared" si="236"/>
        <v>19399.580000000016</v>
      </c>
      <c r="N517" s="824">
        <f t="shared" si="242"/>
        <v>6.4665266666666721E-2</v>
      </c>
      <c r="O517" s="808">
        <f t="shared" si="218"/>
        <v>2.9087424445812832E-2</v>
      </c>
      <c r="P517" s="839" t="b">
        <f t="shared" si="237"/>
        <v>1</v>
      </c>
      <c r="Q517" s="824">
        <f>COUNTIF(P$2:P517, TRUE)/(COUNTIF(P$2:P517,FALSE) + COUNTIF(P$2:P517, TRUE))</f>
        <v>0.48255813953488375</v>
      </c>
      <c r="R517" s="822">
        <v>271370.62</v>
      </c>
      <c r="S517" s="822">
        <f t="shared" si="238"/>
        <v>48028.960000000021</v>
      </c>
      <c r="T517" s="822">
        <v>-42964</v>
      </c>
      <c r="U517" s="822">
        <f t="shared" si="243"/>
        <v>62363.580000000016</v>
      </c>
      <c r="V517" s="824">
        <f>STDEV(D$2:D517)*SQRT(252)</f>
        <v>0.1386282991301003</v>
      </c>
      <c r="W517" s="824">
        <f>STDEV(L$2:L517)*SQRT(252)</f>
        <v>0.29813314270213698</v>
      </c>
      <c r="X517" s="823">
        <f t="shared" si="224"/>
        <v>0.75420974952943309</v>
      </c>
      <c r="Y517" s="823">
        <f t="shared" si="225"/>
        <v>9.7565215937343477E-2</v>
      </c>
      <c r="Z517" s="829">
        <f t="shared" si="226"/>
        <v>-0.16777418463753224</v>
      </c>
    </row>
    <row r="518" spans="1:26" ht="20.100000000000001" customHeight="1" x14ac:dyDescent="0.2">
      <c r="A518" s="798">
        <f t="shared" si="241"/>
        <v>813</v>
      </c>
      <c r="B518" s="817">
        <v>43046</v>
      </c>
      <c r="C518" s="842">
        <v>2590.64</v>
      </c>
      <c r="D518" s="814">
        <f t="shared" si="239"/>
        <v>-1.891066831846478E-4</v>
      </c>
      <c r="E518" s="841">
        <f t="shared" si="232"/>
        <v>0.2322063887673369</v>
      </c>
      <c r="F518" s="838">
        <v>6767.78</v>
      </c>
      <c r="G518" s="814">
        <f t="shared" si="240"/>
        <v>-2.7481311971096064E-3</v>
      </c>
      <c r="H518" s="819">
        <f t="shared" si="233"/>
        <v>0.32917885971286603</v>
      </c>
      <c r="I518" s="821">
        <v>318506.81</v>
      </c>
      <c r="J518" s="822">
        <v>300000</v>
      </c>
      <c r="K518" s="822">
        <f t="shared" si="234"/>
        <v>-892.77000000001863</v>
      </c>
      <c r="L518" s="814">
        <f t="shared" si="235"/>
        <v>-2.7951508264350837E-3</v>
      </c>
      <c r="M518" s="839">
        <f t="shared" si="236"/>
        <v>18506.809999999998</v>
      </c>
      <c r="N518" s="824">
        <f t="shared" si="242"/>
        <v>6.1689366666666662E-2</v>
      </c>
      <c r="O518" s="808">
        <f t="shared" si="218"/>
        <v>2.7714687792127921E-2</v>
      </c>
      <c r="P518" s="839" t="b">
        <f t="shared" si="237"/>
        <v>0</v>
      </c>
      <c r="Q518" s="824">
        <f>COUNTIF(P$2:P518, TRUE)/(COUNTIF(P$2:P518,FALSE) + COUNTIF(P$2:P518, TRUE))</f>
        <v>0.48162475822050288</v>
      </c>
      <c r="R518" s="822">
        <v>271371.62</v>
      </c>
      <c r="S518" s="822">
        <f t="shared" si="238"/>
        <v>47135.19</v>
      </c>
      <c r="T518" s="822">
        <v>-42963</v>
      </c>
      <c r="U518" s="822">
        <f t="shared" si="243"/>
        <v>61469.81</v>
      </c>
      <c r="V518" s="824">
        <f>STDEV(D$2:D518)*SQRT(252)</f>
        <v>0.1384943496004884</v>
      </c>
      <c r="W518" s="824">
        <f>STDEV(L$2:L518)*SQRT(252)</f>
        <v>0.29785222799898087</v>
      </c>
      <c r="X518" s="823">
        <f t="shared" si="224"/>
        <v>0.75325459282364204</v>
      </c>
      <c r="Y518" s="823">
        <f t="shared" si="225"/>
        <v>9.3048448817454374E-2</v>
      </c>
      <c r="Z518" s="829">
        <f t="shared" si="226"/>
        <v>-0.17051702210067024</v>
      </c>
    </row>
    <row r="519" spans="1:26" ht="20.100000000000001" customHeight="1" x14ac:dyDescent="0.2">
      <c r="A519" s="798">
        <f t="shared" si="241"/>
        <v>814</v>
      </c>
      <c r="B519" s="817">
        <v>43047</v>
      </c>
      <c r="C519" s="842">
        <v>2594.38</v>
      </c>
      <c r="D519" s="814">
        <f t="shared" si="239"/>
        <v>1.4436587098169706E-3</v>
      </c>
      <c r="E519" s="841">
        <f t="shared" si="232"/>
        <v>0.23398527425277299</v>
      </c>
      <c r="F519" s="838">
        <v>6789.11</v>
      </c>
      <c r="G519" s="814">
        <f t="shared" si="240"/>
        <v>3.1516981934991872E-3</v>
      </c>
      <c r="H519" s="819">
        <f t="shared" si="233"/>
        <v>0.33336803032386036</v>
      </c>
      <c r="I519" s="821">
        <v>317938.40999999997</v>
      </c>
      <c r="J519" s="822">
        <v>300000</v>
      </c>
      <c r="K519" s="822">
        <f t="shared" si="234"/>
        <v>-568.40000000002328</v>
      </c>
      <c r="L519" s="814">
        <f t="shared" si="235"/>
        <v>-1.7845772277208869E-3</v>
      </c>
      <c r="M519" s="839">
        <f t="shared" si="236"/>
        <v>17938.409999999974</v>
      </c>
      <c r="N519" s="824">
        <f t="shared" si="242"/>
        <v>5.9794699999999916E-2</v>
      </c>
      <c r="O519" s="808">
        <f t="shared" ref="O519:O546" si="244">N519/(A519/365.25)</f>
        <v>2.6830484244471708E-2</v>
      </c>
      <c r="P519" s="839" t="b">
        <f t="shared" si="237"/>
        <v>0</v>
      </c>
      <c r="Q519" s="824">
        <f>COUNTIF(P$2:P519, TRUE)/(COUNTIF(P$2:P519,FALSE) + COUNTIF(P$2:P519, TRUE))</f>
        <v>0.48069498069498068</v>
      </c>
      <c r="R519" s="822">
        <v>271372.62</v>
      </c>
      <c r="S519" s="822">
        <f t="shared" si="238"/>
        <v>46565.789999999979</v>
      </c>
      <c r="T519" s="822">
        <v>-42962</v>
      </c>
      <c r="U519" s="822">
        <f t="shared" si="243"/>
        <v>60900.409999999974</v>
      </c>
      <c r="V519" s="824">
        <f>STDEV(D$2:D519)*SQRT(252)</f>
        <v>0.13836184953741584</v>
      </c>
      <c r="W519" s="824">
        <f>STDEV(L$2:L519)*SQRT(252)</f>
        <v>0.29756756692220915</v>
      </c>
      <c r="X519" s="823">
        <f t="shared" si="224"/>
        <v>0.75881863395185201</v>
      </c>
      <c r="Y519" s="823">
        <f t="shared" si="225"/>
        <v>9.0166023542094562E-2</v>
      </c>
      <c r="Z519" s="829">
        <f t="shared" si="226"/>
        <v>-0.17419057425277307</v>
      </c>
    </row>
    <row r="520" spans="1:26" ht="20.100000000000001" customHeight="1" x14ac:dyDescent="0.2">
      <c r="A520" s="798">
        <f t="shared" si="241"/>
        <v>815</v>
      </c>
      <c r="B520" s="817">
        <v>43048</v>
      </c>
      <c r="C520" s="842">
        <v>2584.62</v>
      </c>
      <c r="D520" s="814">
        <f t="shared" si="239"/>
        <v>-3.761977813581749E-3</v>
      </c>
      <c r="E520" s="841">
        <f t="shared" si="232"/>
        <v>0.22934304902874747</v>
      </c>
      <c r="F520" s="838">
        <v>6750.05</v>
      </c>
      <c r="G520" s="814">
        <f t="shared" si="240"/>
        <v>-5.7533314381413014E-3</v>
      </c>
      <c r="H520" s="819">
        <f t="shared" si="233"/>
        <v>0.32569672211638556</v>
      </c>
      <c r="I520" s="821">
        <v>318455.09000000003</v>
      </c>
      <c r="J520" s="822">
        <v>300000</v>
      </c>
      <c r="K520" s="822">
        <f t="shared" si="234"/>
        <v>516.68000000005122</v>
      </c>
      <c r="L520" s="814">
        <f t="shared" si="235"/>
        <v>1.6250946213137672E-3</v>
      </c>
      <c r="M520" s="839">
        <f t="shared" si="236"/>
        <v>18455.090000000026</v>
      </c>
      <c r="N520" s="824">
        <f t="shared" si="242"/>
        <v>6.1516966666666749E-2</v>
      </c>
      <c r="O520" s="808">
        <f t="shared" si="244"/>
        <v>2.7569413588957092E-2</v>
      </c>
      <c r="P520" s="839" t="b">
        <f t="shared" si="237"/>
        <v>1</v>
      </c>
      <c r="Q520" s="824">
        <f>COUNTIF(P$2:P520, TRUE)/(COUNTIF(P$2:P520,FALSE) + COUNTIF(P$2:P520, TRUE))</f>
        <v>0.48169556840077071</v>
      </c>
      <c r="R520" s="822">
        <v>267251.76</v>
      </c>
      <c r="S520" s="822">
        <f t="shared" si="238"/>
        <v>51203.330000000016</v>
      </c>
      <c r="T520" s="822">
        <v>-41764</v>
      </c>
      <c r="U520" s="822">
        <f t="shared" si="243"/>
        <v>60219.090000000026</v>
      </c>
      <c r="V520" s="824">
        <f>STDEV(D$2:D520)*SQRT(252)</f>
        <v>0.13825910776296965</v>
      </c>
      <c r="W520" s="824">
        <f>STDEV(L$2:L520)*SQRT(252)</f>
        <v>0.29728077984751194</v>
      </c>
      <c r="X520" s="823">
        <f t="shared" si="224"/>
        <v>0.74340323726033974</v>
      </c>
      <c r="Y520" s="823">
        <f t="shared" si="225"/>
        <v>9.2738634509431206E-2</v>
      </c>
      <c r="Z520" s="829">
        <f t="shared" si="226"/>
        <v>-0.16782608236208071</v>
      </c>
    </row>
    <row r="521" spans="1:26" ht="20.100000000000001" customHeight="1" x14ac:dyDescent="0.2">
      <c r="A521" s="798">
        <f t="shared" si="241"/>
        <v>816</v>
      </c>
      <c r="B521" s="817">
        <v>43049</v>
      </c>
      <c r="C521" s="842">
        <v>2582.3000000000002</v>
      </c>
      <c r="D521" s="814">
        <f t="shared" si="239"/>
        <v>-8.9761744473064085E-4</v>
      </c>
      <c r="E521" s="841">
        <f t="shared" si="232"/>
        <v>0.2282395692623809</v>
      </c>
      <c r="F521" s="838">
        <v>6750.93</v>
      </c>
      <c r="G521" s="814">
        <f t="shared" si="240"/>
        <v>1.3036940467109267E-4</v>
      </c>
      <c r="H521" s="819">
        <f t="shared" si="233"/>
        <v>0.32586955240882232</v>
      </c>
      <c r="I521" s="821">
        <v>318102.55</v>
      </c>
      <c r="J521" s="822">
        <v>300000</v>
      </c>
      <c r="K521" s="822">
        <f t="shared" si="234"/>
        <v>-352.54000000003725</v>
      </c>
      <c r="L521" s="814">
        <f t="shared" si="235"/>
        <v>-1.1070320778984479E-3</v>
      </c>
      <c r="M521" s="839">
        <f t="shared" si="236"/>
        <v>18102.549999999988</v>
      </c>
      <c r="N521" s="824">
        <f t="shared" si="242"/>
        <v>6.0341833333333296E-2</v>
      </c>
      <c r="O521" s="808">
        <f t="shared" si="244"/>
        <v>2.7009625765931359E-2</v>
      </c>
      <c r="P521" s="839" t="b">
        <f t="shared" si="237"/>
        <v>0</v>
      </c>
      <c r="Q521" s="824">
        <f>COUNTIF(P$2:P521, TRUE)/(COUNTIF(P$2:P521,FALSE) + COUNTIF(P$2:P521, TRUE))</f>
        <v>0.48076923076923078</v>
      </c>
      <c r="R521" s="822">
        <v>266899.21999999997</v>
      </c>
      <c r="S521" s="822">
        <f t="shared" si="238"/>
        <v>51203.330000000016</v>
      </c>
      <c r="T521" s="822">
        <v>-41821</v>
      </c>
      <c r="U521" s="822">
        <f t="shared" si="243"/>
        <v>59923.549999999988</v>
      </c>
      <c r="V521" s="824">
        <f>STDEV(D$2:D521)*SQRT(252)</f>
        <v>0.13812871674554664</v>
      </c>
      <c r="W521" s="824">
        <f>STDEV(L$2:L521)*SQRT(252)</f>
        <v>0.29699567117525927</v>
      </c>
      <c r="X521" s="823">
        <f t="shared" si="224"/>
        <v>0.73961724349483016</v>
      </c>
      <c r="Y521" s="823">
        <f t="shared" si="225"/>
        <v>9.0942826402317448E-2</v>
      </c>
      <c r="Z521" s="829">
        <f t="shared" si="226"/>
        <v>-0.16789773592904761</v>
      </c>
    </row>
    <row r="522" spans="1:26" ht="20.100000000000001" customHeight="1" x14ac:dyDescent="0.2">
      <c r="A522" s="798">
        <f t="shared" si="241"/>
        <v>819</v>
      </c>
      <c r="B522" s="817">
        <v>43052</v>
      </c>
      <c r="C522" s="842">
        <v>2584.84</v>
      </c>
      <c r="D522" s="814">
        <f t="shared" si="239"/>
        <v>9.836192541532601E-4</v>
      </c>
      <c r="E522" s="841">
        <f t="shared" si="232"/>
        <v>0.22944768935142029</v>
      </c>
      <c r="F522" s="838">
        <v>6757.59</v>
      </c>
      <c r="G522" s="814">
        <f t="shared" si="240"/>
        <v>9.865307446529374E-4</v>
      </c>
      <c r="H522" s="819">
        <f t="shared" si="233"/>
        <v>0.32717756348567284</v>
      </c>
      <c r="I522" s="821">
        <v>317452.71000000002</v>
      </c>
      <c r="J522" s="822">
        <v>300000</v>
      </c>
      <c r="K522" s="822">
        <f t="shared" si="234"/>
        <v>-649.8399999999674</v>
      </c>
      <c r="L522" s="814">
        <f t="shared" si="235"/>
        <v>-2.0428632213101323E-3</v>
      </c>
      <c r="M522" s="839">
        <f t="shared" si="236"/>
        <v>17452.710000000021</v>
      </c>
      <c r="N522" s="824">
        <f t="shared" si="242"/>
        <v>5.8175700000000073E-2</v>
      </c>
      <c r="O522" s="808">
        <f t="shared" si="244"/>
        <v>2.5944657417582447E-2</v>
      </c>
      <c r="P522" s="839" t="b">
        <f t="shared" si="237"/>
        <v>0</v>
      </c>
      <c r="Q522" s="824">
        <f>COUNTIF(P$2:P522, TRUE)/(COUNTIF(P$2:P522,FALSE) + COUNTIF(P$2:P522, TRUE))</f>
        <v>0.47984644913627639</v>
      </c>
      <c r="R522" s="822">
        <v>265423.46000000002</v>
      </c>
      <c r="S522" s="822">
        <f t="shared" ref="S522:S537" si="245">I522-R522</f>
        <v>52029.25</v>
      </c>
      <c r="T522" s="822">
        <v>-41650</v>
      </c>
      <c r="U522" s="822">
        <f t="shared" si="243"/>
        <v>59102.710000000021</v>
      </c>
      <c r="V522" s="824">
        <f>STDEV(D$2:D522)*SQRT(252)</f>
        <v>0.13799611122091809</v>
      </c>
      <c r="W522" s="824">
        <f>STDEV(L$2:L522)*SQRT(252)</f>
        <v>0.2967144709504862</v>
      </c>
      <c r="X522" s="823">
        <f t="shared" si="224"/>
        <v>0.74152050230680522</v>
      </c>
      <c r="Y522" s="823">
        <f t="shared" si="225"/>
        <v>8.7439811528140551E-2</v>
      </c>
      <c r="Z522" s="829">
        <f t="shared" si="226"/>
        <v>-0.17127198935142021</v>
      </c>
    </row>
    <row r="523" spans="1:26" ht="20.100000000000001" customHeight="1" x14ac:dyDescent="0.2">
      <c r="A523" s="798">
        <f t="shared" si="241"/>
        <v>820</v>
      </c>
      <c r="B523" s="817">
        <v>43053</v>
      </c>
      <c r="C523" s="842">
        <v>2578.87</v>
      </c>
      <c r="D523" s="814">
        <f t="shared" si="239"/>
        <v>-2.309620711533501E-3</v>
      </c>
      <c r="E523" s="841">
        <f t="shared" si="232"/>
        <v>0.22660813150434725</v>
      </c>
      <c r="F523" s="838">
        <v>6737.87</v>
      </c>
      <c r="G523" s="814">
        <f t="shared" si="240"/>
        <v>-2.9182001275603071E-3</v>
      </c>
      <c r="H523" s="819">
        <f t="shared" si="233"/>
        <v>0.32330459375061377</v>
      </c>
      <c r="I523" s="821">
        <v>315348.65000000002</v>
      </c>
      <c r="J523" s="822">
        <v>300000</v>
      </c>
      <c r="K523" s="822">
        <f t="shared" si="234"/>
        <v>-2104.0599999999977</v>
      </c>
      <c r="L523" s="814">
        <f t="shared" si="235"/>
        <v>-6.627947828827788E-3</v>
      </c>
      <c r="M523" s="839">
        <f t="shared" si="236"/>
        <v>15348.650000000023</v>
      </c>
      <c r="N523" s="824">
        <f t="shared" si="242"/>
        <v>5.1162166666666745E-2</v>
      </c>
      <c r="O523" s="808">
        <f t="shared" si="244"/>
        <v>2.2789001676829301E-2</v>
      </c>
      <c r="P523" s="839" t="b">
        <f t="shared" si="237"/>
        <v>0</v>
      </c>
      <c r="Q523" s="824">
        <f>COUNTIF(P$2:P523, TRUE)/(COUNTIF(P$2:P523,FALSE) + COUNTIF(P$2:P523, TRUE))</f>
        <v>0.47892720306513409</v>
      </c>
      <c r="R523" s="822">
        <v>264335.06</v>
      </c>
      <c r="S523" s="822">
        <f t="shared" si="245"/>
        <v>51013.590000000026</v>
      </c>
      <c r="T523" s="822">
        <v>-42023</v>
      </c>
      <c r="U523" s="822">
        <f t="shared" si="243"/>
        <v>57371.650000000023</v>
      </c>
      <c r="V523" s="824">
        <f>STDEV(D$2:D523)*SQRT(252)</f>
        <v>0.13787657219144886</v>
      </c>
      <c r="W523" s="824">
        <f>STDEV(L$2:L523)*SQRT(252)</f>
        <v>0.29646980505097381</v>
      </c>
      <c r="X523" s="823">
        <f t="shared" si="224"/>
        <v>0.73208479075210031</v>
      </c>
      <c r="Y523" s="823">
        <f t="shared" si="225"/>
        <v>7.6867867447449001E-2</v>
      </c>
      <c r="Z523" s="829">
        <f t="shared" si="226"/>
        <v>-0.17544596483768049</v>
      </c>
    </row>
    <row r="524" spans="1:26" ht="20.100000000000001" customHeight="1" x14ac:dyDescent="0.2">
      <c r="A524" s="798">
        <f t="shared" si="241"/>
        <v>821</v>
      </c>
      <c r="B524" s="817">
        <v>43054</v>
      </c>
      <c r="C524" s="842">
        <v>2564.62</v>
      </c>
      <c r="D524" s="814">
        <f t="shared" si="239"/>
        <v>-5.5256759743608636E-3</v>
      </c>
      <c r="E524" s="841">
        <f t="shared" si="232"/>
        <v>0.219830292422138</v>
      </c>
      <c r="F524" s="838">
        <v>6706.2</v>
      </c>
      <c r="G524" s="814">
        <f t="shared" si="240"/>
        <v>-4.7002984622736971E-3</v>
      </c>
      <c r="H524" s="819">
        <f t="shared" si="233"/>
        <v>0.31708466720348805</v>
      </c>
      <c r="I524" s="821">
        <v>313226.95</v>
      </c>
      <c r="J524" s="822">
        <v>300000</v>
      </c>
      <c r="K524" s="822">
        <f t="shared" si="234"/>
        <v>-2121.7000000000116</v>
      </c>
      <c r="L524" s="814">
        <f t="shared" si="235"/>
        <v>-6.7281087139583803E-3</v>
      </c>
      <c r="M524" s="839">
        <f t="shared" si="236"/>
        <v>13226.950000000012</v>
      </c>
      <c r="N524" s="824">
        <f t="shared" si="242"/>
        <v>4.408983333333337E-2</v>
      </c>
      <c r="O524" s="808">
        <f t="shared" si="244"/>
        <v>1.9614874086479918E-2</v>
      </c>
      <c r="P524" s="839" t="b">
        <f t="shared" si="237"/>
        <v>0</v>
      </c>
      <c r="Q524" s="824">
        <f>COUNTIF(P$2:P524, TRUE)/(COUNTIF(P$2:P524,FALSE) + COUNTIF(P$2:P524, TRUE))</f>
        <v>0.47801147227533458</v>
      </c>
      <c r="R524" s="822">
        <v>262213.36</v>
      </c>
      <c r="S524" s="822">
        <f t="shared" si="245"/>
        <v>51013.590000000026</v>
      </c>
      <c r="T524" s="822">
        <v>-42790</v>
      </c>
      <c r="U524" s="822">
        <f t="shared" si="243"/>
        <v>56016.950000000012</v>
      </c>
      <c r="V524" s="824">
        <f>STDEV(D$2:D524)*SQRT(252)</f>
        <v>0.13780632580778587</v>
      </c>
      <c r="W524" s="824">
        <f>STDEV(L$2:L524)*SQRT(252)</f>
        <v>0.29622688136541453</v>
      </c>
      <c r="X524" s="823">
        <f t="shared" si="224"/>
        <v>0.70968471462993621</v>
      </c>
      <c r="Y524" s="823">
        <f t="shared" si="225"/>
        <v>6.6215712753913566E-2</v>
      </c>
      <c r="Z524" s="829">
        <f t="shared" si="226"/>
        <v>-0.17574045908880465</v>
      </c>
    </row>
    <row r="525" spans="1:26" ht="20.100000000000001" customHeight="1" x14ac:dyDescent="0.2">
      <c r="A525" s="798">
        <f t="shared" si="241"/>
        <v>822</v>
      </c>
      <c r="B525" s="817">
        <v>43055</v>
      </c>
      <c r="C525" s="842">
        <v>2585.64</v>
      </c>
      <c r="D525" s="814">
        <f t="shared" si="239"/>
        <v>8.1961460177336146E-3</v>
      </c>
      <c r="E525" s="841">
        <f t="shared" si="232"/>
        <v>0.22982819961568454</v>
      </c>
      <c r="F525" s="838">
        <v>6793.29</v>
      </c>
      <c r="G525" s="814">
        <f t="shared" si="240"/>
        <v>1.2986490113626219E-2</v>
      </c>
      <c r="H525" s="819">
        <f t="shared" si="233"/>
        <v>0.33418897421293481</v>
      </c>
      <c r="I525" s="821">
        <v>314306.15000000002</v>
      </c>
      <c r="J525" s="822">
        <v>300000</v>
      </c>
      <c r="K525" s="822">
        <f t="shared" si="234"/>
        <v>1079.2000000000116</v>
      </c>
      <c r="L525" s="814">
        <f t="shared" ref="L525:L535" si="246">K525/I524</f>
        <v>3.4454251142821894E-3</v>
      </c>
      <c r="M525" s="839">
        <f t="shared" si="236"/>
        <v>14306.150000000023</v>
      </c>
      <c r="N525" s="824">
        <f t="shared" si="242"/>
        <v>4.7687166666666746E-2</v>
      </c>
      <c r="O525" s="808">
        <f t="shared" si="244"/>
        <v>2.1189461830900279E-2</v>
      </c>
      <c r="P525" s="839" t="b">
        <f t="shared" si="237"/>
        <v>0</v>
      </c>
      <c r="Q525" s="824">
        <f>COUNTIF(P$2:P525, TRUE)/(COUNTIF(P$2:P525,FALSE) + COUNTIF(P$2:P525, TRUE))</f>
        <v>0.47709923664122139</v>
      </c>
      <c r="R525" s="822">
        <v>263292.56</v>
      </c>
      <c r="S525" s="822">
        <f t="shared" si="245"/>
        <v>51013.590000000026</v>
      </c>
      <c r="T525" s="822">
        <v>-41450</v>
      </c>
      <c r="U525" s="822">
        <f t="shared" si="243"/>
        <v>55756.150000000023</v>
      </c>
      <c r="V525" s="824">
        <f>STDEV(D$2:D525)*SQRT(252)</f>
        <v>0.13778008469132433</v>
      </c>
      <c r="W525" s="824">
        <f>STDEV(L$2:L525)*SQRT(252)</f>
        <v>0.29595048173151545</v>
      </c>
      <c r="X525" s="823">
        <f t="shared" si="224"/>
        <v>0.74119976794052167</v>
      </c>
      <c r="Y525" s="823">
        <f t="shared" si="225"/>
        <v>7.1597997431621804E-2</v>
      </c>
      <c r="Z525" s="829">
        <f t="shared" si="226"/>
        <v>-0.18214103294901779</v>
      </c>
    </row>
    <row r="526" spans="1:26" ht="20.100000000000001" customHeight="1" x14ac:dyDescent="0.2">
      <c r="A526" s="798">
        <f t="shared" si="241"/>
        <v>823</v>
      </c>
      <c r="B526" s="817">
        <v>43056</v>
      </c>
      <c r="C526" s="842">
        <v>2578.85</v>
      </c>
      <c r="D526" s="814">
        <f t="shared" ref="D526:D535" si="247">(C526-C525)/C525</f>
        <v>-2.626042295137747E-3</v>
      </c>
      <c r="E526" s="841">
        <f t="shared" si="232"/>
        <v>0.22659861874774065</v>
      </c>
      <c r="F526" s="838">
        <v>6782.79</v>
      </c>
      <c r="G526" s="814">
        <f t="shared" ref="G526:G535" si="248">(F526-F525)/F525</f>
        <v>-1.5456428328541841E-3</v>
      </c>
      <c r="H526" s="819">
        <f t="shared" ref="H526:H531" si="249">(F526-F$2)/F$2</f>
        <v>0.33212679458726951</v>
      </c>
      <c r="I526" s="821">
        <v>321104.7</v>
      </c>
      <c r="J526" s="822">
        <v>300000</v>
      </c>
      <c r="K526" s="822">
        <f t="shared" ref="K526:K531" si="250">I526-I525-J526+J525</f>
        <v>6798.5499999999884</v>
      </c>
      <c r="L526" s="814">
        <f t="shared" si="246"/>
        <v>2.1630343536071399E-2</v>
      </c>
      <c r="M526" s="839">
        <f t="shared" si="236"/>
        <v>21104.700000000012</v>
      </c>
      <c r="N526" s="824">
        <f t="shared" si="242"/>
        <v>7.0349000000000037E-2</v>
      </c>
      <c r="O526" s="808">
        <f t="shared" si="244"/>
        <v>3.1221108444714474E-2</v>
      </c>
      <c r="P526" s="839" t="b">
        <f t="shared" si="237"/>
        <v>1</v>
      </c>
      <c r="Q526" s="824">
        <f>COUNTIF(P$2:P526, TRUE)/(COUNTIF(P$2:P526,FALSE) + COUNTIF(P$2:P526, TRUE))</f>
        <v>0.47809523809523807</v>
      </c>
      <c r="R526" s="822">
        <v>265575.21000000002</v>
      </c>
      <c r="S526" s="822">
        <f t="shared" si="245"/>
        <v>55529.489999999991</v>
      </c>
      <c r="T526" s="822">
        <v>-39110</v>
      </c>
      <c r="U526" s="822">
        <f t="shared" si="243"/>
        <v>60214.700000000012</v>
      </c>
      <c r="V526" s="824">
        <f>STDEV(D$2:D526)*SQRT(252)</f>
        <v>0.13766464845192211</v>
      </c>
      <c r="W526" s="824">
        <f>STDEV(L$2:L526)*SQRT(252)</f>
        <v>0.2960330501805109</v>
      </c>
      <c r="X526" s="823">
        <f t="shared" si="224"/>
        <v>0.7305084057202802</v>
      </c>
      <c r="Y526" s="823">
        <f t="shared" si="225"/>
        <v>0.10546494192346734</v>
      </c>
      <c r="Z526" s="829">
        <f t="shared" si="226"/>
        <v>-0.15624961874774063</v>
      </c>
    </row>
    <row r="527" spans="1:26" ht="20.100000000000001" customHeight="1" x14ac:dyDescent="0.2">
      <c r="A527" s="798">
        <f t="shared" si="241"/>
        <v>826</v>
      </c>
      <c r="B527" s="817">
        <v>43059</v>
      </c>
      <c r="C527" s="842">
        <v>2582.14</v>
      </c>
      <c r="D527" s="814">
        <f t="shared" si="247"/>
        <v>1.2757624522558365E-3</v>
      </c>
      <c r="E527" s="841">
        <f t="shared" si="232"/>
        <v>0.22816346720952788</v>
      </c>
      <c r="F527" s="838">
        <v>6790.71</v>
      </c>
      <c r="G527" s="814">
        <f t="shared" si="248"/>
        <v>1.1676610952130425E-3</v>
      </c>
      <c r="H527" s="819">
        <f t="shared" si="249"/>
        <v>0.33368226721919991</v>
      </c>
      <c r="I527" s="821">
        <v>317244.77</v>
      </c>
      <c r="J527" s="822">
        <v>300000</v>
      </c>
      <c r="K527" s="822">
        <f t="shared" si="250"/>
        <v>-3859.929999999993</v>
      </c>
      <c r="L527" s="814">
        <f t="shared" si="246"/>
        <v>-1.2020783252316123E-2</v>
      </c>
      <c r="M527" s="839">
        <f t="shared" si="236"/>
        <v>17244.770000000019</v>
      </c>
      <c r="N527" s="824">
        <f t="shared" si="242"/>
        <v>5.7482566666666728E-2</v>
      </c>
      <c r="O527" s="808">
        <f t="shared" si="244"/>
        <v>2.5418289921307534E-2</v>
      </c>
      <c r="P527" s="839" t="b">
        <f t="shared" si="237"/>
        <v>0</v>
      </c>
      <c r="Q527" s="824">
        <f>COUNTIF(P$2:P527, TRUE)/(COUNTIF(P$2:P527,FALSE) + COUNTIF(P$2:P527, TRUE))</f>
        <v>0.47718631178707227</v>
      </c>
      <c r="R527" s="822">
        <v>269452.65000000002</v>
      </c>
      <c r="S527" s="822">
        <f t="shared" si="245"/>
        <v>47792.119999999995</v>
      </c>
      <c r="T527" s="822">
        <v>-39516</v>
      </c>
      <c r="U527" s="822">
        <f t="shared" si="243"/>
        <v>56760.770000000019</v>
      </c>
      <c r="V527" s="824">
        <f>STDEV(D$2:D527)*SQRT(252)</f>
        <v>0.13753448250442588</v>
      </c>
      <c r="W527" s="824">
        <f>STDEV(L$2:L527)*SQRT(252)</f>
        <v>0.29587683509559043</v>
      </c>
      <c r="X527" s="823">
        <f t="shared" si="224"/>
        <v>0.73357527893202901</v>
      </c>
      <c r="Y527" s="823">
        <f t="shared" si="225"/>
        <v>8.5908347346947647E-2</v>
      </c>
      <c r="Z527" s="829">
        <f t="shared" si="226"/>
        <v>-0.17068090054286114</v>
      </c>
    </row>
    <row r="528" spans="1:26" ht="20.100000000000001" customHeight="1" x14ac:dyDescent="0.2">
      <c r="A528" s="798">
        <f t="shared" si="241"/>
        <v>827</v>
      </c>
      <c r="B528" s="817">
        <v>43060</v>
      </c>
      <c r="C528" s="842">
        <v>2599.0300000000002</v>
      </c>
      <c r="D528" s="814">
        <f t="shared" si="247"/>
        <v>6.5410860758906677E-3</v>
      </c>
      <c r="E528" s="841">
        <f t="shared" si="232"/>
        <v>0.23619699016380974</v>
      </c>
      <c r="F528" s="838">
        <v>6862.47</v>
      </c>
      <c r="G528" s="814">
        <f t="shared" si="248"/>
        <v>1.0567378079758997E-2</v>
      </c>
      <c r="H528" s="819">
        <f t="shared" si="249"/>
        <v>0.34777579197517539</v>
      </c>
      <c r="I528" s="821">
        <v>314456.46999999997</v>
      </c>
      <c r="J528" s="822">
        <v>300000</v>
      </c>
      <c r="K528" s="822">
        <f t="shared" si="250"/>
        <v>-2788.3000000000466</v>
      </c>
      <c r="L528" s="814">
        <f t="shared" si="246"/>
        <v>-8.7891125833218509E-3</v>
      </c>
      <c r="M528" s="839">
        <f t="shared" si="236"/>
        <v>14456.469999999972</v>
      </c>
      <c r="N528" s="824">
        <f t="shared" si="242"/>
        <v>4.818823333333324E-2</v>
      </c>
      <c r="O528" s="808">
        <f t="shared" si="244"/>
        <v>2.1282650816203105E-2</v>
      </c>
      <c r="P528" s="839" t="b">
        <f t="shared" si="237"/>
        <v>0</v>
      </c>
      <c r="Q528" s="824">
        <f>COUNTIF(P$2:P528, TRUE)/(COUNTIF(P$2:P528,FALSE) + COUNTIF(P$2:P528, TRUE))</f>
        <v>0.47628083491461098</v>
      </c>
      <c r="R528" s="822">
        <v>265189.45</v>
      </c>
      <c r="S528" s="822">
        <f t="shared" si="245"/>
        <v>49267.01999999996</v>
      </c>
      <c r="T528" s="822">
        <v>-40292</v>
      </c>
      <c r="U528" s="822">
        <f t="shared" si="243"/>
        <v>54748.469999999972</v>
      </c>
      <c r="V528" s="824">
        <f>STDEV(D$2:D528)*SQRT(252)</f>
        <v>0.1374685486648749</v>
      </c>
      <c r="W528" s="824">
        <f>STDEV(L$2:L528)*SQRT(252)</f>
        <v>0.29566388479473038</v>
      </c>
      <c r="X528" s="823">
        <f t="shared" si="224"/>
        <v>0.75884962980378745</v>
      </c>
      <c r="Y528" s="823">
        <f t="shared" si="225"/>
        <v>7.1982585329888854E-2</v>
      </c>
      <c r="Z528" s="829">
        <f t="shared" si="226"/>
        <v>-0.18800875683047649</v>
      </c>
    </row>
    <row r="529" spans="1:26" ht="20.100000000000001" customHeight="1" x14ac:dyDescent="0.2">
      <c r="A529" s="798">
        <f t="shared" si="241"/>
        <v>828</v>
      </c>
      <c r="B529" s="817">
        <v>43061</v>
      </c>
      <c r="C529" s="842">
        <v>2597.08</v>
      </c>
      <c r="D529" s="814">
        <f t="shared" si="247"/>
        <v>-7.5027991212116545E-4</v>
      </c>
      <c r="E529" s="841">
        <f t="shared" si="232"/>
        <v>0.23526949639466518</v>
      </c>
      <c r="F529" s="838">
        <v>6867.36</v>
      </c>
      <c r="G529" s="814">
        <f t="shared" si="248"/>
        <v>7.1257142107716582E-4</v>
      </c>
      <c r="H529" s="819">
        <f t="shared" si="249"/>
        <v>0.34873617848655653</v>
      </c>
      <c r="I529" s="821">
        <v>318417.02</v>
      </c>
      <c r="J529" s="822">
        <v>300000</v>
      </c>
      <c r="K529" s="822">
        <f t="shared" si="250"/>
        <v>3960.5500000000466</v>
      </c>
      <c r="L529" s="814">
        <f t="shared" si="246"/>
        <v>1.259490701527002E-2</v>
      </c>
      <c r="M529" s="839">
        <f t="shared" si="236"/>
        <v>18417.020000000019</v>
      </c>
      <c r="N529" s="824">
        <f t="shared" si="242"/>
        <v>6.1390066666666729E-2</v>
      </c>
      <c r="O529" s="808">
        <f t="shared" si="244"/>
        <v>2.7080581944444473E-2</v>
      </c>
      <c r="P529" s="839" t="b">
        <f t="shared" si="237"/>
        <v>1</v>
      </c>
      <c r="Q529" s="824">
        <f>COUNTIF(P$2:P529, TRUE)/(COUNTIF(P$2:P529,FALSE) + COUNTIF(P$2:P529, TRUE))</f>
        <v>0.47727272727272729</v>
      </c>
      <c r="R529" s="822">
        <v>269150</v>
      </c>
      <c r="S529" s="822">
        <f t="shared" si="245"/>
        <v>49267.020000000019</v>
      </c>
      <c r="T529" s="822">
        <v>-40272</v>
      </c>
      <c r="U529" s="822">
        <f t="shared" si="243"/>
        <v>58689.020000000019</v>
      </c>
      <c r="V529" s="824">
        <f>STDEV(D$2:D529)*SQRT(252)</f>
        <v>0.13734028165816675</v>
      </c>
      <c r="W529" s="824">
        <f>STDEV(L$2:L529)*SQRT(252)</f>
        <v>0.29550266839423467</v>
      </c>
      <c r="X529" s="823">
        <f t="shared" si="224"/>
        <v>0.75566198882969593</v>
      </c>
      <c r="Y529" s="823">
        <f t="shared" si="225"/>
        <v>9.1642427770959586E-2</v>
      </c>
      <c r="Z529" s="829">
        <f t="shared" si="226"/>
        <v>-0.17387942972799847</v>
      </c>
    </row>
    <row r="530" spans="1:26" ht="20.100000000000001" customHeight="1" x14ac:dyDescent="0.2">
      <c r="A530" s="798">
        <f t="shared" si="241"/>
        <v>830</v>
      </c>
      <c r="B530" s="817">
        <v>43063</v>
      </c>
      <c r="C530" s="842">
        <v>2602.42</v>
      </c>
      <c r="D530" s="814">
        <f t="shared" si="247"/>
        <v>2.0561553744975689E-3</v>
      </c>
      <c r="E530" s="841">
        <f t="shared" si="232"/>
        <v>0.23780940240862997</v>
      </c>
      <c r="F530" s="838">
        <v>6889.16</v>
      </c>
      <c r="G530" s="814">
        <f t="shared" si="248"/>
        <v>3.1744367559004018E-3</v>
      </c>
      <c r="H530" s="819">
        <f t="shared" si="249"/>
        <v>0.35301765618555692</v>
      </c>
      <c r="I530" s="821">
        <v>319044.73</v>
      </c>
      <c r="J530" s="822">
        <v>300000</v>
      </c>
      <c r="K530" s="822">
        <f t="shared" si="250"/>
        <v>627.70999999996275</v>
      </c>
      <c r="L530" s="814">
        <f t="shared" si="246"/>
        <v>1.9713456271902886E-3</v>
      </c>
      <c r="M530" s="839">
        <f t="shared" si="236"/>
        <v>19044.729999999981</v>
      </c>
      <c r="N530" s="824">
        <f t="shared" si="242"/>
        <v>6.3482433333333269E-2</v>
      </c>
      <c r="O530" s="808">
        <f t="shared" si="244"/>
        <v>2.7936094909638529E-2</v>
      </c>
      <c r="P530" s="839" t="b">
        <f t="shared" si="237"/>
        <v>0</v>
      </c>
      <c r="Q530" s="824">
        <f>COUNTIF(P$2:P530, TRUE)/(COUNTIF(P$2:P530,FALSE) + COUNTIF(P$2:P530, TRUE))</f>
        <v>0.47637051039697542</v>
      </c>
      <c r="R530" s="822">
        <v>266201.84999999998</v>
      </c>
      <c r="S530" s="822">
        <f t="shared" si="245"/>
        <v>52842.880000000005</v>
      </c>
      <c r="T530" s="822">
        <v>-39912</v>
      </c>
      <c r="U530" s="822">
        <f t="shared" si="243"/>
        <v>58956.729999999981</v>
      </c>
      <c r="V530" s="824">
        <f>STDEV(D$2:D530)*SQRT(252)</f>
        <v>0.13721446818561206</v>
      </c>
      <c r="W530" s="824">
        <f>STDEV(L$2:L530)*SQRT(252)</f>
        <v>0.29522406153940112</v>
      </c>
      <c r="X530" s="823">
        <f t="shared" si="224"/>
        <v>0.76267804926992055</v>
      </c>
      <c r="Y530" s="823">
        <f t="shared" si="225"/>
        <v>9.4626754892436604E-2</v>
      </c>
      <c r="Z530" s="829">
        <f t="shared" si="226"/>
        <v>-0.17432696907529671</v>
      </c>
    </row>
    <row r="531" spans="1:26" ht="20.100000000000001" customHeight="1" x14ac:dyDescent="0.2">
      <c r="A531" s="798">
        <f t="shared" si="241"/>
        <v>833</v>
      </c>
      <c r="B531" s="817">
        <v>43066</v>
      </c>
      <c r="C531" s="842">
        <v>2601.42</v>
      </c>
      <c r="D531" s="814">
        <f t="shared" si="247"/>
        <v>-3.8425772934422574E-4</v>
      </c>
      <c r="E531" s="841">
        <f t="shared" si="232"/>
        <v>0.23733376457829949</v>
      </c>
      <c r="F531" s="838">
        <v>6878.52</v>
      </c>
      <c r="G531" s="814">
        <f t="shared" si="248"/>
        <v>-1.5444553472410887E-3</v>
      </c>
      <c r="H531" s="819">
        <f t="shared" si="249"/>
        <v>0.35092798083154952</v>
      </c>
      <c r="I531" s="821">
        <v>316554.36</v>
      </c>
      <c r="J531" s="822">
        <v>300000</v>
      </c>
      <c r="K531" s="822">
        <f t="shared" si="250"/>
        <v>-2490.3699999999953</v>
      </c>
      <c r="L531" s="814">
        <f t="shared" si="246"/>
        <v>-7.8057079958662708E-3</v>
      </c>
      <c r="M531" s="839">
        <f t="shared" si="236"/>
        <v>16554.359999999986</v>
      </c>
      <c r="N531" s="824">
        <f t="shared" si="242"/>
        <v>5.5181199999999951E-2</v>
      </c>
      <c r="O531" s="808">
        <f t="shared" si="244"/>
        <v>2.4195598199279689E-2</v>
      </c>
      <c r="P531" s="839" t="b">
        <f t="shared" si="237"/>
        <v>0</v>
      </c>
      <c r="Q531" s="824">
        <f>COUNTIF(P$2:P531, TRUE)/(COUNTIF(P$2:P531,FALSE) + COUNTIF(P$2:P531, TRUE))</f>
        <v>0.47547169811320755</v>
      </c>
      <c r="R531" s="822">
        <v>260753.55</v>
      </c>
      <c r="S531" s="822">
        <f t="shared" si="245"/>
        <v>55800.81</v>
      </c>
      <c r="T531" s="822">
        <v>-39552</v>
      </c>
      <c r="U531" s="822">
        <f t="shared" si="243"/>
        <v>56106.359999999986</v>
      </c>
      <c r="V531" s="824">
        <f>STDEV(D$2:D531)*SQRT(252)</f>
        <v>0.13708565300302389</v>
      </c>
      <c r="W531" s="824">
        <f>STDEV(L$2:L531)*SQRT(252)</f>
        <v>0.29499933504599252</v>
      </c>
      <c r="X531" s="823">
        <f t="shared" si="224"/>
        <v>0.75912404209345974</v>
      </c>
      <c r="Y531" s="823">
        <f t="shared" si="225"/>
        <v>8.2019161824576386E-2</v>
      </c>
      <c r="Z531" s="829">
        <f t="shared" si="226"/>
        <v>-0.18215256457829954</v>
      </c>
    </row>
    <row r="532" spans="1:26" ht="20.100000000000001" customHeight="1" x14ac:dyDescent="0.2">
      <c r="A532" s="798">
        <f t="shared" si="241"/>
        <v>834</v>
      </c>
      <c r="B532" s="817">
        <v>43067</v>
      </c>
      <c r="C532" s="842">
        <v>2627.04</v>
      </c>
      <c r="D532" s="814">
        <f t="shared" si="247"/>
        <v>9.8484673755102562E-3</v>
      </c>
      <c r="E532" s="841">
        <f t="shared" si="232"/>
        <v>0.24951960579136617</v>
      </c>
      <c r="F532" s="838">
        <v>6912.35</v>
      </c>
      <c r="G532" s="814">
        <f t="shared" si="248"/>
        <v>4.9182091496426444E-3</v>
      </c>
      <c r="H532" s="819">
        <f>(F532-F$2)/F$2</f>
        <v>0.35757212718738351</v>
      </c>
      <c r="I532" s="821">
        <v>320874.51</v>
      </c>
      <c r="J532" s="822">
        <v>300000</v>
      </c>
      <c r="K532" s="822">
        <f>I532-I531-J532+J531</f>
        <v>4320.1500000000233</v>
      </c>
      <c r="L532" s="814">
        <f t="shared" si="246"/>
        <v>1.364741904044545E-2</v>
      </c>
      <c r="M532" s="839">
        <f t="shared" si="236"/>
        <v>20874.510000000009</v>
      </c>
      <c r="N532" s="824">
        <f t="shared" si="242"/>
        <v>6.9581700000000038E-2</v>
      </c>
      <c r="O532" s="808">
        <f t="shared" si="244"/>
        <v>3.0473280485611525E-2</v>
      </c>
      <c r="P532" s="839" t="b">
        <f t="shared" si="237"/>
        <v>1</v>
      </c>
      <c r="Q532" s="824">
        <f>COUNTIF(P$2:P532, TRUE)/(COUNTIF(P$2:P532,FALSE) + COUNTIF(P$2:P532, TRUE))</f>
        <v>0.47645951035781542</v>
      </c>
      <c r="R532" s="822">
        <v>265073.7</v>
      </c>
      <c r="S532" s="822">
        <f t="shared" si="245"/>
        <v>55800.81</v>
      </c>
      <c r="T532" s="822">
        <v>-38368</v>
      </c>
      <c r="U532" s="822">
        <f t="shared" si="243"/>
        <v>59242.510000000009</v>
      </c>
      <c r="V532" s="824">
        <f>STDEV(D$2:D532)*SQRT(252)</f>
        <v>0.13710959839796619</v>
      </c>
      <c r="W532" s="824">
        <f>STDEV(L$2:L532)*SQRT(252)</f>
        <v>0.29486126793955258</v>
      </c>
      <c r="X532" s="823">
        <f t="shared" si="224"/>
        <v>0.79700489883934988</v>
      </c>
      <c r="Y532" s="823">
        <f t="shared" si="225"/>
        <v>0.10334785812512559</v>
      </c>
      <c r="Z532" s="829">
        <f t="shared" si="226"/>
        <v>-0.17993790579136615</v>
      </c>
    </row>
    <row r="533" spans="1:26" ht="20.100000000000001" customHeight="1" x14ac:dyDescent="0.2">
      <c r="A533" s="798">
        <f t="shared" si="241"/>
        <v>835</v>
      </c>
      <c r="B533" s="817">
        <v>43068</v>
      </c>
      <c r="C533" s="842">
        <v>2626.07</v>
      </c>
      <c r="D533" s="814">
        <f t="shared" si="247"/>
        <v>-3.6923685973559592E-4</v>
      </c>
      <c r="E533" s="841">
        <f t="shared" si="232"/>
        <v>0.24905823709594571</v>
      </c>
      <c r="F533" s="838">
        <v>6824.38</v>
      </c>
      <c r="G533" s="814">
        <f t="shared" si="248"/>
        <v>-1.2726496777506962E-2</v>
      </c>
      <c r="H533" s="819">
        <f>(F533-F$2)/F$2</f>
        <v>0.3402949898855</v>
      </c>
      <c r="I533" s="821">
        <v>325656.67</v>
      </c>
      <c r="J533" s="822">
        <v>300000</v>
      </c>
      <c r="K533" s="822">
        <f>I533-I532-J533+J532</f>
        <v>4782.1599999999744</v>
      </c>
      <c r="L533" s="814">
        <f t="shared" si="246"/>
        <v>1.4903521005766317E-2</v>
      </c>
      <c r="M533" s="839">
        <f t="shared" si="236"/>
        <v>25656.669999999984</v>
      </c>
      <c r="N533" s="824">
        <f t="shared" si="242"/>
        <v>8.5522233333333281E-2</v>
      </c>
      <c r="O533" s="808">
        <f t="shared" si="244"/>
        <v>3.7409575718562849E-2</v>
      </c>
      <c r="P533" s="839" t="b">
        <f t="shared" si="237"/>
        <v>1</v>
      </c>
      <c r="Q533" s="824">
        <f>COUNTIF(P$2:P533, TRUE)/(COUNTIF(P$2:P533,FALSE) + COUNTIF(P$2:P533, TRUE))</f>
        <v>0.47744360902255639</v>
      </c>
      <c r="R533" s="822">
        <v>253485</v>
      </c>
      <c r="S533" s="822">
        <f t="shared" si="245"/>
        <v>72171.669999999984</v>
      </c>
      <c r="T533" s="822">
        <v>-37392</v>
      </c>
      <c r="U533" s="822">
        <f t="shared" si="243"/>
        <v>63048.669999999984</v>
      </c>
      <c r="V533" s="824">
        <f>STDEV(D$2:D533)*SQRT(252)</f>
        <v>0.13698137278007791</v>
      </c>
      <c r="W533" s="824">
        <f>STDEV(L$2:L533)*SQRT(252)</f>
        <v>0.29475108064348648</v>
      </c>
      <c r="X533" s="823">
        <f t="shared" si="224"/>
        <v>0.79532227218054108</v>
      </c>
      <c r="Y533" s="823">
        <f t="shared" si="225"/>
        <v>0.12691921480624277</v>
      </c>
      <c r="Z533" s="829">
        <f t="shared" si="226"/>
        <v>-0.16353600376261243</v>
      </c>
    </row>
    <row r="534" spans="1:26" ht="20.100000000000001" customHeight="1" x14ac:dyDescent="0.2">
      <c r="A534" s="798">
        <f t="shared" si="241"/>
        <v>836</v>
      </c>
      <c r="B534" s="817">
        <v>43069</v>
      </c>
      <c r="C534" s="842">
        <v>2647.58</v>
      </c>
      <c r="D534" s="814">
        <f t="shared" si="247"/>
        <v>8.1909469282996118E-3</v>
      </c>
      <c r="E534" s="841">
        <f t="shared" si="232"/>
        <v>0.25928920682635409</v>
      </c>
      <c r="F534" s="838">
        <v>6873.97</v>
      </c>
      <c r="G534" s="814">
        <f t="shared" si="248"/>
        <v>7.2665941814494713E-3</v>
      </c>
      <c r="H534" s="819">
        <f>(F534-F$2)/F$2</f>
        <v>0.35003436966042784</v>
      </c>
      <c r="I534" s="844">
        <v>329885.27</v>
      </c>
      <c r="J534" s="822">
        <v>300000</v>
      </c>
      <c r="K534" s="822">
        <f>I534-I533-J534+J533</f>
        <v>4228.6000000000349</v>
      </c>
      <c r="L534" s="814">
        <f t="shared" si="246"/>
        <v>1.2984840752686059E-2</v>
      </c>
      <c r="M534" s="844">
        <f t="shared" si="236"/>
        <v>29885.270000000019</v>
      </c>
      <c r="N534" s="824">
        <f t="shared" si="242"/>
        <v>9.9617566666666726E-2</v>
      </c>
      <c r="O534" s="808">
        <f t="shared" si="244"/>
        <v>4.3523105532296678E-2</v>
      </c>
      <c r="P534" s="839" t="b">
        <f t="shared" si="237"/>
        <v>1</v>
      </c>
      <c r="Q534" s="824">
        <f>COUNTIF(P$2:P534, TRUE)/(COUNTIF(P$2:P534,FALSE) + COUNTIF(P$2:P534, TRUE))</f>
        <v>0.47842401500938087</v>
      </c>
      <c r="R534" s="822">
        <v>235596.4</v>
      </c>
      <c r="S534" s="822">
        <f t="shared" si="245"/>
        <v>94288.870000000024</v>
      </c>
      <c r="T534" s="822">
        <v>-34548</v>
      </c>
      <c r="U534" s="822">
        <f t="shared" si="243"/>
        <v>64433.270000000019</v>
      </c>
      <c r="V534" s="824">
        <f>STDEV(D$2:D534)*SQRT(252)</f>
        <v>0.13695583195186545</v>
      </c>
      <c r="W534" s="824">
        <f>STDEV(L$2:L534)*SQRT(252)</f>
        <v>0.29459910800633998</v>
      </c>
      <c r="X534" s="823">
        <f t="shared" si="224"/>
        <v>0.82715682198575313</v>
      </c>
      <c r="Y534" s="823">
        <f t="shared" si="225"/>
        <v>0.14773671864396828</v>
      </c>
      <c r="Z534" s="829">
        <f t="shared" si="226"/>
        <v>-0.15967164015968738</v>
      </c>
    </row>
    <row r="535" spans="1:26" ht="20.100000000000001" customHeight="1" x14ac:dyDescent="0.2">
      <c r="A535" s="798">
        <f t="shared" si="241"/>
        <v>837</v>
      </c>
      <c r="B535" s="817">
        <v>43070</v>
      </c>
      <c r="C535" s="842">
        <v>2642.22</v>
      </c>
      <c r="D535" s="814">
        <f t="shared" si="247"/>
        <v>-2.0244902892453212E-3</v>
      </c>
      <c r="E535" s="841">
        <f t="shared" si="232"/>
        <v>0.25673978805578268</v>
      </c>
      <c r="F535" s="838">
        <v>6847.58</v>
      </c>
      <c r="G535" s="814">
        <f t="shared" si="248"/>
        <v>-3.839120624617263E-3</v>
      </c>
      <c r="H535" s="819">
        <f>(F535-F$2)/F$2</f>
        <v>0.34485142486792236</v>
      </c>
      <c r="I535" s="821">
        <v>330901.76000000001</v>
      </c>
      <c r="J535" s="822">
        <v>300000</v>
      </c>
      <c r="K535" s="822">
        <f>I535-I534-J535+J534</f>
        <v>1016.4899999999907</v>
      </c>
      <c r="L535" s="814">
        <f t="shared" si="246"/>
        <v>3.0813440078727695E-3</v>
      </c>
      <c r="M535" s="839">
        <f t="shared" si="236"/>
        <v>30901.760000000009</v>
      </c>
      <c r="N535" s="824">
        <f t="shared" si="242"/>
        <v>0.1030058666666667</v>
      </c>
      <c r="O535" s="808">
        <f t="shared" si="244"/>
        <v>4.4949692712066919E-2</v>
      </c>
      <c r="P535" s="839" t="b">
        <f t="shared" si="237"/>
        <v>1</v>
      </c>
      <c r="Q535" s="824">
        <f>COUNTIF(P$2:P535, TRUE)/(COUNTIF(P$2:P535,FALSE) + COUNTIF(P$2:P535, TRUE))</f>
        <v>0.47940074906367042</v>
      </c>
      <c r="R535" s="822">
        <v>233517.4</v>
      </c>
      <c r="S535" s="822">
        <f t="shared" si="245"/>
        <v>97384.360000000015</v>
      </c>
      <c r="T535" s="822">
        <v>-34852</v>
      </c>
      <c r="U535" s="822">
        <f t="shared" si="243"/>
        <v>65753.760000000009</v>
      </c>
      <c r="V535" s="824">
        <f>STDEV(D$2:D535)*SQRT(252)</f>
        <v>0.13683780831243603</v>
      </c>
      <c r="W535" s="824">
        <f>STDEV(L$2:L535)*SQRT(252)</f>
        <v>0.29432742820874164</v>
      </c>
      <c r="X535" s="823">
        <f t="shared" si="224"/>
        <v>0.81875098475480734</v>
      </c>
      <c r="Y535" s="823">
        <f t="shared" si="225"/>
        <v>0.15272002675940854</v>
      </c>
      <c r="Z535" s="829">
        <f t="shared" si="226"/>
        <v>-0.15373392138911599</v>
      </c>
    </row>
    <row r="536" spans="1:26" ht="20.100000000000001" customHeight="1" x14ac:dyDescent="0.2">
      <c r="A536" s="798">
        <f t="shared" si="241"/>
        <v>840</v>
      </c>
      <c r="B536" s="817">
        <v>43073</v>
      </c>
      <c r="C536" s="842">
        <v>2639.44</v>
      </c>
      <c r="D536" s="814">
        <f>(C536-C535)/C535</f>
        <v>-1.0521455442770646E-3</v>
      </c>
      <c r="E536" s="841">
        <f t="shared" si="232"/>
        <v>0.25541751488746406</v>
      </c>
      <c r="F536" s="838">
        <v>6775.36</v>
      </c>
      <c r="G536" s="814">
        <f>(F536-F535)/F535</f>
        <v>-1.0546791713276845E-2</v>
      </c>
      <c r="H536" s="819">
        <f>(F536-F$2)/F$2</f>
        <v>0.33066755700453676</v>
      </c>
      <c r="I536" s="821">
        <v>332631.36</v>
      </c>
      <c r="J536" s="822">
        <v>300000</v>
      </c>
      <c r="K536" s="822">
        <f>I536-I535-J536+J535</f>
        <v>1729.5999999999767</v>
      </c>
      <c r="L536" s="814">
        <f>K536/I535</f>
        <v>5.2269289833936717E-3</v>
      </c>
      <c r="M536" s="839">
        <f t="shared" si="236"/>
        <v>32631.359999999986</v>
      </c>
      <c r="N536" s="824">
        <f t="shared" si="242"/>
        <v>0.10877119999999996</v>
      </c>
      <c r="O536" s="808">
        <f t="shared" si="244"/>
        <v>4.7296048571428558E-2</v>
      </c>
      <c r="P536" s="839" t="b">
        <f t="shared" si="237"/>
        <v>1</v>
      </c>
      <c r="Q536" s="824">
        <f>COUNTIF(P$2:P536, TRUE)/(COUNTIF(P$2:P536,FALSE) + COUNTIF(P$2:P536, TRUE))</f>
        <v>0.48037383177570092</v>
      </c>
      <c r="R536" s="822">
        <v>235247</v>
      </c>
      <c r="S536" s="822">
        <f t="shared" si="245"/>
        <v>97384.359999999986</v>
      </c>
      <c r="T536" s="822">
        <v>-32666</v>
      </c>
      <c r="U536" s="822">
        <f t="shared" si="243"/>
        <v>65297.359999999986</v>
      </c>
      <c r="V536" s="824">
        <f>STDEV(D$2:D536)*SQRT(252)</f>
        <v>0.13671335945296428</v>
      </c>
      <c r="W536" s="824">
        <f>STDEV(L$2:L536)*SQRT(252)</f>
        <v>0.29406904488179125</v>
      </c>
      <c r="X536" s="823">
        <f t="shared" si="224"/>
        <v>0.81236397927695847</v>
      </c>
      <c r="Y536" s="823">
        <f t="shared" si="225"/>
        <v>0.16083314240177998</v>
      </c>
      <c r="Z536" s="829">
        <f t="shared" si="226"/>
        <v>-0.1466463148874641</v>
      </c>
    </row>
    <row r="537" spans="1:26" ht="20.100000000000001" customHeight="1" x14ac:dyDescent="0.2">
      <c r="A537" s="798">
        <f t="shared" si="241"/>
        <v>841</v>
      </c>
      <c r="B537" s="817">
        <v>43074</v>
      </c>
      <c r="C537" s="842">
        <v>2629.57</v>
      </c>
      <c r="D537" s="814">
        <f t="shared" ref="D537:D543" si="251">(C537-C536)/C536</f>
        <v>-3.7394295759706191E-3</v>
      </c>
      <c r="E537" s="841">
        <f t="shared" si="232"/>
        <v>0.25072296950210238</v>
      </c>
      <c r="F537" s="838">
        <v>6762.21</v>
      </c>
      <c r="G537" s="814">
        <f t="shared" ref="G537:G543" si="252">(F537-F536)/F536</f>
        <v>-1.9408562792234858E-3</v>
      </c>
      <c r="H537" s="819">
        <f t="shared" ref="H537:H542" si="253">(F537-F$2)/F$2</f>
        <v>0.32808492252096555</v>
      </c>
      <c r="I537" s="821">
        <v>331089.06</v>
      </c>
      <c r="J537" s="822">
        <v>300000</v>
      </c>
      <c r="K537" s="822">
        <f t="shared" ref="K537:K542" si="254">I537-I536-J537+J536</f>
        <v>-1542.2999999999884</v>
      </c>
      <c r="L537" s="814">
        <f t="shared" ref="L537:L542" si="255">K537/I536</f>
        <v>-4.6366644443866884E-3</v>
      </c>
      <c r="M537" s="839">
        <f t="shared" si="236"/>
        <v>31089.059999999998</v>
      </c>
      <c r="N537" s="824">
        <f t="shared" si="242"/>
        <v>0.10363019999999999</v>
      </c>
      <c r="O537" s="808">
        <f t="shared" si="244"/>
        <v>4.5007051783590962E-2</v>
      </c>
      <c r="P537" s="839" t="b">
        <f t="shared" si="237"/>
        <v>0</v>
      </c>
      <c r="Q537" s="824">
        <f>COUNTIF(P$2:P537, TRUE)/(COUNTIF(P$2:P537,FALSE) + COUNTIF(P$2:P537, TRUE))</f>
        <v>0.47947761194029853</v>
      </c>
      <c r="R537" s="822">
        <v>233704.7</v>
      </c>
      <c r="S537" s="822">
        <f t="shared" si="245"/>
        <v>97384.359999999986</v>
      </c>
      <c r="T537" s="822">
        <v>-33722</v>
      </c>
      <c r="U537" s="822">
        <f t="shared" si="243"/>
        <v>64811.06</v>
      </c>
      <c r="V537" s="824">
        <f>STDEV(D$2:D537)*SQRT(252)</f>
        <v>0.13661573923542011</v>
      </c>
      <c r="W537" s="824">
        <f>STDEV(L$2:L537)*SQRT(252)</f>
        <v>0.29381487860209421</v>
      </c>
      <c r="X537" s="823">
        <f t="shared" si="224"/>
        <v>0.79705376061345667</v>
      </c>
      <c r="Y537" s="823">
        <f t="shared" si="225"/>
        <v>0.15318166322183716</v>
      </c>
      <c r="Z537" s="829">
        <f t="shared" si="226"/>
        <v>-0.14709276950210237</v>
      </c>
    </row>
    <row r="538" spans="1:26" ht="20.100000000000001" customHeight="1" x14ac:dyDescent="0.2">
      <c r="A538" s="798">
        <f t="shared" si="241"/>
        <v>842</v>
      </c>
      <c r="B538" s="817">
        <v>43075</v>
      </c>
      <c r="C538" s="842">
        <v>2629.27</v>
      </c>
      <c r="D538" s="814">
        <f t="shared" si="251"/>
        <v>-1.1408709408769566E-4</v>
      </c>
      <c r="E538" s="841">
        <f t="shared" si="232"/>
        <v>0.25058027815300316</v>
      </c>
      <c r="F538" s="838">
        <v>6776.37</v>
      </c>
      <c r="G538" s="814">
        <f t="shared" si="252"/>
        <v>2.0939899825648499E-3</v>
      </c>
      <c r="H538" s="819">
        <f t="shared" si="253"/>
        <v>0.33086591904471985</v>
      </c>
      <c r="I538" s="821">
        <v>327613.65999999997</v>
      </c>
      <c r="J538" s="822">
        <v>300000</v>
      </c>
      <c r="K538" s="822">
        <f t="shared" si="254"/>
        <v>-3475.4000000000233</v>
      </c>
      <c r="L538" s="814">
        <f t="shared" si="255"/>
        <v>-1.0496873560243952E-2</v>
      </c>
      <c r="M538" s="839">
        <f t="shared" si="236"/>
        <v>27613.659999999974</v>
      </c>
      <c r="N538" s="824">
        <f t="shared" si="242"/>
        <v>9.2045533333333249E-2</v>
      </c>
      <c r="O538" s="808">
        <f t="shared" si="244"/>
        <v>3.9928302909738686E-2</v>
      </c>
      <c r="P538" s="839" t="b">
        <f t="shared" si="237"/>
        <v>0</v>
      </c>
      <c r="Q538" s="824">
        <f>COUNTIF(P$2:P538, TRUE)/(COUNTIF(P$2:P538,FALSE) + COUNTIF(P$2:P538, TRUE))</f>
        <v>0.47858472998137802</v>
      </c>
      <c r="R538" s="822"/>
      <c r="S538" s="822"/>
      <c r="T538" s="822">
        <v>-33418</v>
      </c>
      <c r="U538" s="822">
        <f t="shared" si="243"/>
        <v>61031.659999999974</v>
      </c>
      <c r="V538" s="824">
        <f>STDEV(D$2:D538)*SQRT(252)</f>
        <v>0.13648855933627946</v>
      </c>
      <c r="W538" s="824">
        <f>STDEV(L$2:L538)*SQRT(252)</f>
        <v>0.29363715283343611</v>
      </c>
      <c r="X538" s="823">
        <f t="shared" si="224"/>
        <v>0.79639545042503435</v>
      </c>
      <c r="Y538" s="823">
        <f t="shared" si="225"/>
        <v>0.13597837509474753</v>
      </c>
      <c r="Z538" s="829">
        <f t="shared" si="226"/>
        <v>-0.15853474481966989</v>
      </c>
    </row>
    <row r="539" spans="1:26" ht="20.100000000000001" customHeight="1" x14ac:dyDescent="0.2">
      <c r="A539" s="798">
        <f t="shared" si="241"/>
        <v>843</v>
      </c>
      <c r="B539" s="817">
        <v>43076</v>
      </c>
      <c r="C539" s="842">
        <v>2636.98</v>
      </c>
      <c r="D539" s="814">
        <f t="shared" si="251"/>
        <v>2.9323728639508444E-3</v>
      </c>
      <c r="E539" s="841">
        <f t="shared" si="232"/>
        <v>0.25424744582485109</v>
      </c>
      <c r="F539" s="838">
        <v>6812.84</v>
      </c>
      <c r="G539" s="814">
        <f t="shared" si="252"/>
        <v>5.3819375270240935E-3</v>
      </c>
      <c r="H539" s="819">
        <f t="shared" si="253"/>
        <v>0.33802855627786405</v>
      </c>
      <c r="I539" s="821">
        <v>319288.36</v>
      </c>
      <c r="J539" s="822">
        <v>290000</v>
      </c>
      <c r="K539" s="822">
        <f t="shared" si="254"/>
        <v>1674.7000000000116</v>
      </c>
      <c r="L539" s="814">
        <f t="shared" si="255"/>
        <v>5.111813713750555E-3</v>
      </c>
      <c r="M539" s="839">
        <f t="shared" si="236"/>
        <v>29288.359999999986</v>
      </c>
      <c r="N539" s="824">
        <f t="shared" si="242"/>
        <v>0.10099434482758615</v>
      </c>
      <c r="O539" s="808">
        <f t="shared" si="244"/>
        <v>4.3758225917290443E-2</v>
      </c>
      <c r="P539" s="839" t="b">
        <f t="shared" si="237"/>
        <v>1</v>
      </c>
      <c r="Q539" s="824">
        <f>COUNTIF(P$2:P539, TRUE)/(COUNTIF(P$2:P539,FALSE) + COUNTIF(P$2:P539, TRUE))</f>
        <v>0.4795539033457249</v>
      </c>
      <c r="R539" s="822">
        <v>231904</v>
      </c>
      <c r="S539" s="822">
        <f t="shared" ref="S539:S549" si="256">I539-R539</f>
        <v>87384.359999999986</v>
      </c>
      <c r="T539" s="822"/>
      <c r="U539" s="822"/>
      <c r="V539" s="824">
        <f>STDEV(D$2:D539)*SQRT(252)</f>
        <v>0.13637174643805675</v>
      </c>
      <c r="W539" s="824">
        <f>STDEV(L$2:L539)*SQRT(252)</f>
        <v>0.29338020197975673</v>
      </c>
      <c r="X539" s="823">
        <f t="shared" ref="X539:X602" si="257">E539/(A539/365.25)/V539</f>
        <v>0.80778325531765738</v>
      </c>
      <c r="Y539" s="823">
        <f t="shared" ref="Y539:Y564" si="258">O539/W539</f>
        <v>0.14915193875389643</v>
      </c>
      <c r="Z539" s="829">
        <f t="shared" ref="Z539:Z583" si="259">-(E539-N539)</f>
        <v>-0.15325310099726494</v>
      </c>
    </row>
    <row r="540" spans="1:26" ht="20.100000000000001" customHeight="1" x14ac:dyDescent="0.2">
      <c r="A540" s="798">
        <f t="shared" si="241"/>
        <v>844</v>
      </c>
      <c r="B540" s="817">
        <v>43077</v>
      </c>
      <c r="C540" s="842">
        <v>2651.5</v>
      </c>
      <c r="D540" s="814">
        <f t="shared" si="251"/>
        <v>5.5062988721947008E-3</v>
      </c>
      <c r="E540" s="841">
        <f t="shared" si="232"/>
        <v>0.26115370712124958</v>
      </c>
      <c r="F540" s="838">
        <v>6840.8</v>
      </c>
      <c r="G540" s="814">
        <f t="shared" si="252"/>
        <v>4.1040153592334528E-3</v>
      </c>
      <c r="H540" s="819">
        <f t="shared" si="253"/>
        <v>0.34351984602392138</v>
      </c>
      <c r="I540" s="821">
        <v>322861.36</v>
      </c>
      <c r="J540" s="822">
        <v>290000</v>
      </c>
      <c r="K540" s="822">
        <f t="shared" si="254"/>
        <v>3573</v>
      </c>
      <c r="L540" s="814">
        <f t="shared" si="255"/>
        <v>1.1190511298313537E-2</v>
      </c>
      <c r="M540" s="839">
        <f t="shared" si="236"/>
        <v>32861.359999999986</v>
      </c>
      <c r="N540" s="824">
        <f t="shared" si="242"/>
        <v>0.11331503448275858</v>
      </c>
      <c r="O540" s="808">
        <f t="shared" si="244"/>
        <v>4.9038289508089535E-2</v>
      </c>
      <c r="P540" s="839" t="b">
        <f t="shared" si="237"/>
        <v>1</v>
      </c>
      <c r="Q540" s="824">
        <f>COUNTIF(P$2:P540, TRUE)/(COUNTIF(P$2:P540,FALSE) + COUNTIF(P$2:P540, TRUE))</f>
        <v>0.48051948051948051</v>
      </c>
      <c r="R540" s="822">
        <v>235477</v>
      </c>
      <c r="S540" s="822">
        <f t="shared" si="256"/>
        <v>87384.359999999986</v>
      </c>
      <c r="T540" s="822">
        <v>-32986</v>
      </c>
      <c r="U540" s="822">
        <f t="shared" ref="U540:U549" si="260">M540-T540</f>
        <v>65847.359999999986</v>
      </c>
      <c r="V540" s="824">
        <f>STDEV(D$2:D540)*SQRT(252)</f>
        <v>0.13628850101154497</v>
      </c>
      <c r="W540" s="824">
        <f>STDEV(L$2:L540)*SQRT(252)</f>
        <v>0.2931982547993664</v>
      </c>
      <c r="X540" s="823">
        <f t="shared" si="257"/>
        <v>0.8292486213606497</v>
      </c>
      <c r="Y540" s="823">
        <f t="shared" si="258"/>
        <v>0.16725300613281655</v>
      </c>
      <c r="Z540" s="829">
        <f t="shared" si="259"/>
        <v>-0.14783867263849099</v>
      </c>
    </row>
    <row r="541" spans="1:26" ht="20.100000000000001" customHeight="1" x14ac:dyDescent="0.2">
      <c r="A541" s="798">
        <f t="shared" si="241"/>
        <v>847</v>
      </c>
      <c r="B541" s="817">
        <v>43080</v>
      </c>
      <c r="C541" s="842">
        <v>2659.99</v>
      </c>
      <c r="D541" s="814">
        <f t="shared" si="251"/>
        <v>3.2019611540636552E-3</v>
      </c>
      <c r="E541" s="841">
        <f t="shared" si="232"/>
        <v>0.26519187230075519</v>
      </c>
      <c r="F541" s="838">
        <v>6875.07</v>
      </c>
      <c r="G541" s="814">
        <f t="shared" si="252"/>
        <v>5.0096479943865522E-3</v>
      </c>
      <c r="H541" s="819">
        <f t="shared" si="253"/>
        <v>0.35025040752597364</v>
      </c>
      <c r="I541" s="821">
        <v>322942.15999999997</v>
      </c>
      <c r="J541" s="822">
        <v>290000</v>
      </c>
      <c r="K541" s="822">
        <f t="shared" si="254"/>
        <v>80.799999999988358</v>
      </c>
      <c r="L541" s="814">
        <f t="shared" si="255"/>
        <v>2.5026221781382683E-4</v>
      </c>
      <c r="M541" s="839">
        <f t="shared" si="236"/>
        <v>32942.159999999974</v>
      </c>
      <c r="N541" s="824">
        <f t="shared" si="242"/>
        <v>0.11359365517241371</v>
      </c>
      <c r="O541" s="808">
        <f t="shared" si="244"/>
        <v>4.8984749175589266E-2</v>
      </c>
      <c r="P541" s="839" t="b">
        <f t="shared" si="237"/>
        <v>0</v>
      </c>
      <c r="Q541" s="824">
        <f>COUNTIF(P$2:P541, TRUE)/(COUNTIF(P$2:P541,FALSE) + COUNTIF(P$2:P541, TRUE))</f>
        <v>0.47962962962962963</v>
      </c>
      <c r="R541" s="822">
        <v>235557.8</v>
      </c>
      <c r="S541" s="822">
        <f t="shared" si="256"/>
        <v>87384.359999999986</v>
      </c>
      <c r="T541" s="822">
        <v>-32985</v>
      </c>
      <c r="U541" s="822">
        <f t="shared" si="260"/>
        <v>65927.159999999974</v>
      </c>
      <c r="V541" s="824">
        <f>STDEV(D$2:D541)*SQRT(252)</f>
        <v>0.13617461101801917</v>
      </c>
      <c r="W541" s="824">
        <f>STDEV(L$2:L541)*SQRT(252)</f>
        <v>0.29292569594123619</v>
      </c>
      <c r="X541" s="823">
        <f t="shared" si="257"/>
        <v>0.83979035103909305</v>
      </c>
      <c r="Y541" s="823">
        <f t="shared" si="258"/>
        <v>0.16722585233838994</v>
      </c>
      <c r="Z541" s="829">
        <f t="shared" si="259"/>
        <v>-0.15159821712834148</v>
      </c>
    </row>
    <row r="542" spans="1:26" ht="20.100000000000001" customHeight="1" x14ac:dyDescent="0.2">
      <c r="A542" s="798">
        <f t="shared" si="241"/>
        <v>848</v>
      </c>
      <c r="B542" s="817">
        <v>43081</v>
      </c>
      <c r="C542" s="842">
        <v>2664.11</v>
      </c>
      <c r="D542" s="814">
        <f t="shared" si="251"/>
        <v>1.5488780033008943E-3</v>
      </c>
      <c r="E542" s="841">
        <f t="shared" si="232"/>
        <v>0.2671515001617169</v>
      </c>
      <c r="F542" s="838">
        <v>6862.31</v>
      </c>
      <c r="G542" s="814">
        <f t="shared" si="252"/>
        <v>-1.8559811027377626E-3</v>
      </c>
      <c r="H542" s="819">
        <f t="shared" si="253"/>
        <v>0.34774436828564148</v>
      </c>
      <c r="I542" s="821">
        <v>323980.06</v>
      </c>
      <c r="J542" s="822">
        <v>290000</v>
      </c>
      <c r="K542" s="822">
        <f t="shared" si="254"/>
        <v>1037.9000000000233</v>
      </c>
      <c r="L542" s="814">
        <f t="shared" si="255"/>
        <v>3.2138882083405382E-3</v>
      </c>
      <c r="M542" s="839">
        <f t="shared" si="236"/>
        <v>33980.06</v>
      </c>
      <c r="N542" s="824">
        <f t="shared" si="242"/>
        <v>0.11717262068965516</v>
      </c>
      <c r="O542" s="808">
        <f t="shared" si="244"/>
        <v>5.0468513805302533E-2</v>
      </c>
      <c r="P542" s="839" t="b">
        <f t="shared" si="237"/>
        <v>1</v>
      </c>
      <c r="Q542" s="824">
        <f>COUNTIF(P$2:P542, TRUE)/(COUNTIF(P$2:P542,FALSE) + COUNTIF(P$2:P542, TRUE))</f>
        <v>0.48059149722735672</v>
      </c>
      <c r="R542" s="822">
        <v>236279.7</v>
      </c>
      <c r="S542" s="822">
        <f t="shared" si="256"/>
        <v>87700.359999999986</v>
      </c>
      <c r="T542" s="822">
        <v>-33546</v>
      </c>
      <c r="U542" s="822">
        <f t="shared" si="260"/>
        <v>67526.06</v>
      </c>
      <c r="V542" s="824">
        <f>STDEV(D$2:D542)*SQRT(252)</f>
        <v>0.13605021547233165</v>
      </c>
      <c r="W542" s="824">
        <f>STDEV(L$2:L542)*SQRT(252)</f>
        <v>0.29265963822651819</v>
      </c>
      <c r="X542" s="823">
        <f t="shared" si="257"/>
        <v>0.84577093339667508</v>
      </c>
      <c r="Y542" s="823">
        <f t="shared" si="258"/>
        <v>0.17244781040233489</v>
      </c>
      <c r="Z542" s="829">
        <f t="shared" si="259"/>
        <v>-0.14997887947206173</v>
      </c>
    </row>
    <row r="543" spans="1:26" ht="20.100000000000001" customHeight="1" x14ac:dyDescent="0.2">
      <c r="A543" s="798">
        <f t="shared" si="241"/>
        <v>849</v>
      </c>
      <c r="B543" s="817">
        <v>43082</v>
      </c>
      <c r="C543" s="842">
        <v>2662.85</v>
      </c>
      <c r="D543" s="814">
        <f t="shared" si="251"/>
        <v>-4.7295344411462672E-4</v>
      </c>
      <c r="E543" s="841">
        <f t="shared" si="232"/>
        <v>0.26655219649550038</v>
      </c>
      <c r="F543" s="838">
        <v>6875.79</v>
      </c>
      <c r="G543" s="814">
        <f t="shared" si="252"/>
        <v>1.9643531114157714E-3</v>
      </c>
      <c r="H543" s="819">
        <f t="shared" ref="H543:H574" si="261">(F543-F$2)/F$2</f>
        <v>0.35039181412887643</v>
      </c>
      <c r="I543" s="821">
        <v>324790.59000000003</v>
      </c>
      <c r="J543" s="822">
        <v>290000</v>
      </c>
      <c r="K543" s="822">
        <f t="shared" ref="K543:K574" si="262">I543-I542-J543+J542</f>
        <v>810.53000000002794</v>
      </c>
      <c r="L543" s="814">
        <f t="shared" ref="L543:L551" si="263">K543/I542</f>
        <v>2.5017897706421438E-3</v>
      </c>
      <c r="M543" s="839">
        <f t="shared" si="236"/>
        <v>34790.590000000026</v>
      </c>
      <c r="N543" s="824">
        <f t="shared" si="242"/>
        <v>0.11996755172413802</v>
      </c>
      <c r="O543" s="808">
        <f t="shared" si="244"/>
        <v>5.1611482057999307E-2</v>
      </c>
      <c r="P543" s="839" t="b">
        <f t="shared" si="237"/>
        <v>1</v>
      </c>
      <c r="Q543" s="824">
        <f>COUNTIF(P$2:P543, TRUE)/(COUNTIF(P$2:P543,FALSE) + COUNTIF(P$2:P543, TRUE))</f>
        <v>0.48154981549815495</v>
      </c>
      <c r="R543" s="822">
        <v>236990</v>
      </c>
      <c r="S543" s="822">
        <f t="shared" si="256"/>
        <v>87800.590000000026</v>
      </c>
      <c r="T543" s="822">
        <v>-32970</v>
      </c>
      <c r="U543" s="822">
        <f t="shared" si="260"/>
        <v>67760.590000000026</v>
      </c>
      <c r="V543" s="824">
        <f>STDEV(D$2:D543)*SQRT(252)</f>
        <v>0.13592572490380506</v>
      </c>
      <c r="W543" s="824">
        <f>STDEV(L$2:L543)*SQRT(252)</f>
        <v>0.29239165383062016</v>
      </c>
      <c r="X543" s="823">
        <f t="shared" si="257"/>
        <v>0.84365161493454932</v>
      </c>
      <c r="Y543" s="823">
        <f t="shared" si="258"/>
        <v>0.17651489494258057</v>
      </c>
      <c r="Z543" s="829">
        <f t="shared" si="259"/>
        <v>-0.14658464477136235</v>
      </c>
    </row>
    <row r="544" spans="1:26" ht="20.100000000000001" customHeight="1" x14ac:dyDescent="0.2">
      <c r="A544" s="798">
        <f t="shared" si="241"/>
        <v>850</v>
      </c>
      <c r="B544" s="817">
        <v>43083</v>
      </c>
      <c r="C544" s="842">
        <v>2652.01</v>
      </c>
      <c r="D544" s="814">
        <f t="shared" ref="D544:D575" si="264">(C544-C543)/C543</f>
        <v>-4.070826370242293E-3</v>
      </c>
      <c r="E544" s="841">
        <f t="shared" si="232"/>
        <v>0.26139628241471818</v>
      </c>
      <c r="F544" s="838">
        <v>6856.52</v>
      </c>
      <c r="G544" s="814">
        <f t="shared" ref="G544:G575" si="265">(F544-F543)/F543</f>
        <v>-2.8025870481791222E-3</v>
      </c>
      <c r="H544" s="819">
        <f t="shared" si="261"/>
        <v>0.34660722352063172</v>
      </c>
      <c r="I544" s="821">
        <v>322223.39</v>
      </c>
      <c r="J544" s="822">
        <v>290000</v>
      </c>
      <c r="K544" s="822">
        <f t="shared" si="262"/>
        <v>-2567.2000000000116</v>
      </c>
      <c r="L544" s="814">
        <f t="shared" si="263"/>
        <v>-7.9041698837395858E-3</v>
      </c>
      <c r="M544" s="839">
        <f t="shared" si="236"/>
        <v>32223.390000000014</v>
      </c>
      <c r="N544" s="824">
        <f t="shared" si="242"/>
        <v>0.11111513793103453</v>
      </c>
      <c r="O544" s="808">
        <f t="shared" si="244"/>
        <v>4.7746828387423952E-2</v>
      </c>
      <c r="P544" s="839" t="b">
        <f t="shared" si="237"/>
        <v>0</v>
      </c>
      <c r="Q544" s="824">
        <f>COUNTIF(P$2:P544, TRUE)/(COUNTIF(P$2:P544,FALSE) + COUNTIF(P$2:P544, TRUE))</f>
        <v>0.48066298342541436</v>
      </c>
      <c r="R544" s="822">
        <v>234422.8</v>
      </c>
      <c r="S544" s="822">
        <f t="shared" si="256"/>
        <v>87800.590000000026</v>
      </c>
      <c r="T544" s="822">
        <v>-34234</v>
      </c>
      <c r="U544" s="822">
        <f t="shared" si="260"/>
        <v>66457.390000000014</v>
      </c>
      <c r="V544" s="824">
        <f>STDEV(D$2:D544)*SQRT(252)</f>
        <v>0.1358353877857523</v>
      </c>
      <c r="W544" s="824">
        <f>STDEV(L$2:L544)*SQRT(252)</f>
        <v>0.29217784159777338</v>
      </c>
      <c r="X544" s="823">
        <f t="shared" si="257"/>
        <v>0.82690911411066492</v>
      </c>
      <c r="Y544" s="823">
        <f t="shared" si="258"/>
        <v>0.163417007006146</v>
      </c>
      <c r="Z544" s="829">
        <f t="shared" si="259"/>
        <v>-0.15028114448368365</v>
      </c>
    </row>
    <row r="545" spans="1:26" ht="20.100000000000001" customHeight="1" x14ac:dyDescent="0.2">
      <c r="A545" s="798">
        <f t="shared" si="241"/>
        <v>851</v>
      </c>
      <c r="B545" s="817">
        <v>43084</v>
      </c>
      <c r="C545" s="842">
        <v>2675.81</v>
      </c>
      <c r="D545" s="814">
        <f t="shared" si="264"/>
        <v>8.9743251345205059E-3</v>
      </c>
      <c r="E545" s="841">
        <f t="shared" si="232"/>
        <v>0.27271646277658335</v>
      </c>
      <c r="F545" s="838">
        <v>6936.58</v>
      </c>
      <c r="G545" s="814">
        <f t="shared" si="265"/>
        <v>1.1676477280019526E-2</v>
      </c>
      <c r="H545" s="819">
        <f t="shared" si="261"/>
        <v>0.36233085217118061</v>
      </c>
      <c r="I545" s="821">
        <v>323833.19</v>
      </c>
      <c r="J545" s="822">
        <v>290000</v>
      </c>
      <c r="K545" s="822">
        <f t="shared" si="262"/>
        <v>1609.7999999999884</v>
      </c>
      <c r="L545" s="814">
        <f t="shared" si="263"/>
        <v>4.9959129286051779E-3</v>
      </c>
      <c r="M545" s="839">
        <f t="shared" si="236"/>
        <v>33833.19</v>
      </c>
      <c r="N545" s="824">
        <f t="shared" si="242"/>
        <v>0.11666617241379311</v>
      </c>
      <c r="O545" s="808">
        <f t="shared" si="244"/>
        <v>5.0073230874427652E-2</v>
      </c>
      <c r="P545" s="839" t="b">
        <f t="shared" si="237"/>
        <v>0</v>
      </c>
      <c r="Q545" s="824">
        <f>COUNTIF(P$2:P545, TRUE)/(COUNTIF(P$2:P545,FALSE) + COUNTIF(P$2:P545, TRUE))</f>
        <v>0.4797794117647059</v>
      </c>
      <c r="R545" s="822">
        <v>236032.6</v>
      </c>
      <c r="S545" s="822">
        <f t="shared" si="256"/>
        <v>87800.59</v>
      </c>
      <c r="T545" s="822">
        <v>-33354</v>
      </c>
      <c r="U545" s="822">
        <f t="shared" si="260"/>
        <v>67187.19</v>
      </c>
      <c r="V545" s="824">
        <f>STDEV(D$2:D545)*SQRT(252)</f>
        <v>0.13583377183481007</v>
      </c>
      <c r="W545" s="824">
        <f>STDEV(L$2:L545)*SQRT(252)</f>
        <v>0.29192417621615652</v>
      </c>
      <c r="X545" s="823">
        <f t="shared" si="257"/>
        <v>0.86171620367547019</v>
      </c>
      <c r="Y545" s="823">
        <f t="shared" si="258"/>
        <v>0.17152820819249553</v>
      </c>
      <c r="Z545" s="829">
        <f t="shared" si="259"/>
        <v>-0.15605029036279022</v>
      </c>
    </row>
    <row r="546" spans="1:26" ht="20.100000000000001" customHeight="1" x14ac:dyDescent="0.2">
      <c r="A546" s="798">
        <f t="shared" si="241"/>
        <v>854</v>
      </c>
      <c r="B546" s="817">
        <v>43087</v>
      </c>
      <c r="C546" s="842">
        <v>2690.16</v>
      </c>
      <c r="D546" s="814">
        <f t="shared" si="264"/>
        <v>5.3628620866204664E-3</v>
      </c>
      <c r="E546" s="841">
        <f t="shared" si="232"/>
        <v>0.27954186564182559</v>
      </c>
      <c r="F546" s="838">
        <v>6994.75</v>
      </c>
      <c r="G546" s="814">
        <f t="shared" si="265"/>
        <v>8.3859769511776799E-3</v>
      </c>
      <c r="H546" s="819">
        <f t="shared" si="261"/>
        <v>0.37375532729736632</v>
      </c>
      <c r="I546" s="821">
        <v>328097.89</v>
      </c>
      <c r="J546" s="822">
        <v>290000</v>
      </c>
      <c r="K546" s="822">
        <f t="shared" si="262"/>
        <v>4264.7000000000116</v>
      </c>
      <c r="L546" s="814">
        <f t="shared" si="263"/>
        <v>1.3169434547459486E-2</v>
      </c>
      <c r="M546" s="839">
        <f t="shared" si="236"/>
        <v>38097.890000000014</v>
      </c>
      <c r="N546" s="824">
        <f t="shared" si="242"/>
        <v>0.13137203448275867</v>
      </c>
      <c r="O546" s="808">
        <f t="shared" si="244"/>
        <v>5.6186926926027642E-2</v>
      </c>
      <c r="P546" s="839" t="b">
        <f t="shared" si="237"/>
        <v>1</v>
      </c>
      <c r="Q546" s="824">
        <f>COUNTIF(P$2:P546, TRUE)/(COUNTIF(P$2:P546,FALSE) + COUNTIF(P$2:P546, TRUE))</f>
        <v>0.48073394495412847</v>
      </c>
      <c r="R546" s="822">
        <v>231417.5</v>
      </c>
      <c r="S546" s="822">
        <f t="shared" si="256"/>
        <v>96680.390000000014</v>
      </c>
      <c r="T546" s="822">
        <v>-32394</v>
      </c>
      <c r="U546" s="822">
        <f t="shared" si="260"/>
        <v>70491.890000000014</v>
      </c>
      <c r="V546" s="824">
        <f>STDEV(D$2:D546)*SQRT(252)</f>
        <v>0.13574931194663536</v>
      </c>
      <c r="W546" s="824">
        <f>STDEV(L$2:L546)*SQRT(252)</f>
        <v>0.29178232228521001</v>
      </c>
      <c r="X546" s="823">
        <f t="shared" si="257"/>
        <v>0.88072753881887378</v>
      </c>
      <c r="Y546" s="823">
        <f t="shared" si="258"/>
        <v>0.19256453401966658</v>
      </c>
      <c r="Z546" s="829">
        <f t="shared" si="259"/>
        <v>-0.14816983115906693</v>
      </c>
    </row>
    <row r="547" spans="1:26" ht="20.100000000000001" customHeight="1" x14ac:dyDescent="0.2">
      <c r="A547" s="798">
        <f t="shared" ref="A547:A578" si="266">B547-$B$2</f>
        <v>855</v>
      </c>
      <c r="B547" s="817">
        <v>43088</v>
      </c>
      <c r="C547" s="842">
        <v>2681.47</v>
      </c>
      <c r="D547" s="814">
        <f t="shared" si="264"/>
        <v>-3.2302911350997913E-3</v>
      </c>
      <c r="E547" s="841">
        <f t="shared" si="232"/>
        <v>0.27540857289625376</v>
      </c>
      <c r="F547" s="838">
        <v>6963.85</v>
      </c>
      <c r="G547" s="814">
        <f t="shared" si="265"/>
        <v>-4.4175989134707652E-3</v>
      </c>
      <c r="H547" s="819">
        <f t="shared" si="261"/>
        <v>0.36768662725612283</v>
      </c>
      <c r="I547" s="821">
        <v>330798.90000000002</v>
      </c>
      <c r="J547" s="822">
        <v>290000</v>
      </c>
      <c r="K547" s="822">
        <f t="shared" si="262"/>
        <v>2701.0100000000093</v>
      </c>
      <c r="L547" s="814">
        <f t="shared" si="263"/>
        <v>8.2323296867285838E-3</v>
      </c>
      <c r="M547" s="839">
        <f t="shared" si="236"/>
        <v>40798.900000000023</v>
      </c>
      <c r="N547" s="824">
        <f t="shared" si="242"/>
        <v>0.14068586206896561</v>
      </c>
      <c r="O547" s="808">
        <f t="shared" ref="O547:O578" si="267">N547/(A547/365.25)</f>
        <v>6.0100013006654608E-2</v>
      </c>
      <c r="P547" s="839" t="b">
        <f t="shared" si="237"/>
        <v>1</v>
      </c>
      <c r="Q547" s="824">
        <f>COUNTIF(P$2:P547, TRUE)/(COUNTIF(P$2:P547,FALSE) + COUNTIF(P$2:P547, TRUE))</f>
        <v>0.48168498168498169</v>
      </c>
      <c r="R547" s="822">
        <v>232520.55</v>
      </c>
      <c r="S547" s="822">
        <f t="shared" si="256"/>
        <v>98278.350000000035</v>
      </c>
      <c r="T547" s="822">
        <v>-32544</v>
      </c>
      <c r="U547" s="822">
        <f t="shared" si="260"/>
        <v>73342.900000000023</v>
      </c>
      <c r="V547" s="824">
        <f>STDEV(D$2:D547)*SQRT(252)</f>
        <v>0.13564807194101525</v>
      </c>
      <c r="W547" s="824">
        <f>STDEV(L$2:L547)*SQRT(252)</f>
        <v>0.29156092168419684</v>
      </c>
      <c r="X547" s="823">
        <f t="shared" si="257"/>
        <v>0.86733713178540173</v>
      </c>
      <c r="Y547" s="823">
        <f t="shared" si="258"/>
        <v>0.2061319214505424</v>
      </c>
      <c r="Z547" s="829">
        <f t="shared" si="259"/>
        <v>-0.13472271082728815</v>
      </c>
    </row>
    <row r="548" spans="1:26" ht="20.100000000000001" customHeight="1" x14ac:dyDescent="0.2">
      <c r="A548" s="798">
        <f t="shared" si="266"/>
        <v>856</v>
      </c>
      <c r="B548" s="817">
        <v>43089</v>
      </c>
      <c r="C548" s="842">
        <v>2679.25</v>
      </c>
      <c r="D548" s="814">
        <f t="shared" si="264"/>
        <v>-8.2790409737934793E-4</v>
      </c>
      <c r="E548" s="841">
        <f t="shared" si="232"/>
        <v>0.27435265691292021</v>
      </c>
      <c r="F548" s="838">
        <v>6960.95</v>
      </c>
      <c r="G548" s="814">
        <f t="shared" si="265"/>
        <v>-4.1643631037436841E-4</v>
      </c>
      <c r="H548" s="819">
        <f t="shared" si="261"/>
        <v>0.36711707288331991</v>
      </c>
      <c r="I548" s="821">
        <v>332590.03999999998</v>
      </c>
      <c r="J548" s="822">
        <v>290000</v>
      </c>
      <c r="K548" s="822">
        <f t="shared" si="262"/>
        <v>1791.1399999999558</v>
      </c>
      <c r="L548" s="814">
        <f t="shared" si="263"/>
        <v>5.414588742586374E-3</v>
      </c>
      <c r="M548" s="839">
        <f t="shared" si="236"/>
        <v>42590.039999999979</v>
      </c>
      <c r="N548" s="824">
        <f t="shared" si="242"/>
        <v>0.14686220689655166</v>
      </c>
      <c r="O548" s="808">
        <f t="shared" si="267"/>
        <v>6.2665211529165307E-2</v>
      </c>
      <c r="P548" s="839" t="b">
        <f t="shared" si="237"/>
        <v>1</v>
      </c>
      <c r="Q548" s="824">
        <f>COUNTIF(P$2:P548, TRUE)/(COUNTIF(P$2:P548,FALSE) + COUNTIF(P$2:P548, TRUE))</f>
        <v>0.48263254113345522</v>
      </c>
      <c r="R548" s="822">
        <v>233843</v>
      </c>
      <c r="S548" s="822">
        <f t="shared" si="256"/>
        <v>98747.039999999979</v>
      </c>
      <c r="T548" s="822">
        <v>-31989</v>
      </c>
      <c r="U548" s="822">
        <f t="shared" si="260"/>
        <v>74579.039999999979</v>
      </c>
      <c r="V548" s="824">
        <f>STDEV(D$2:D548)*SQRT(252)</f>
        <v>0.13552649245745849</v>
      </c>
      <c r="W548" s="824">
        <f>STDEV(L$2:L548)*SQRT(252)</f>
        <v>0.29131201485323877</v>
      </c>
      <c r="X548" s="823">
        <f t="shared" si="257"/>
        <v>0.86377659418286634</v>
      </c>
      <c r="Y548" s="823">
        <f t="shared" si="258"/>
        <v>0.21511372114444255</v>
      </c>
      <c r="Z548" s="829">
        <f t="shared" si="259"/>
        <v>-0.12749045001636855</v>
      </c>
    </row>
    <row r="549" spans="1:26" ht="20.100000000000001" customHeight="1" x14ac:dyDescent="0.2">
      <c r="A549" s="798">
        <f t="shared" si="266"/>
        <v>857</v>
      </c>
      <c r="B549" s="817">
        <v>43090</v>
      </c>
      <c r="C549" s="842">
        <v>2684.59</v>
      </c>
      <c r="D549" s="814">
        <f t="shared" si="264"/>
        <v>1.9930950825791344E-3</v>
      </c>
      <c r="E549" s="841">
        <f t="shared" si="232"/>
        <v>0.27689256292688497</v>
      </c>
      <c r="F549" s="838">
        <v>6965.36</v>
      </c>
      <c r="G549" s="814">
        <f t="shared" si="265"/>
        <v>6.3353421587568576E-4</v>
      </c>
      <c r="H549" s="819">
        <f t="shared" si="261"/>
        <v>0.36798318832609933</v>
      </c>
      <c r="I549" s="821">
        <v>338086.81</v>
      </c>
      <c r="J549" s="822">
        <v>290000</v>
      </c>
      <c r="K549" s="822">
        <f t="shared" si="262"/>
        <v>5496.7700000000186</v>
      </c>
      <c r="L549" s="814">
        <f t="shared" si="263"/>
        <v>1.6527163591549581E-2</v>
      </c>
      <c r="M549" s="839">
        <f t="shared" si="236"/>
        <v>48086.81</v>
      </c>
      <c r="N549" s="824">
        <f t="shared" si="242"/>
        <v>0.16581658620689654</v>
      </c>
      <c r="O549" s="808">
        <f t="shared" si="267"/>
        <v>7.0670371192612547E-2</v>
      </c>
      <c r="P549" s="839" t="b">
        <f t="shared" si="237"/>
        <v>1</v>
      </c>
      <c r="Q549" s="824">
        <f>COUNTIF(P$2:P549, TRUE)/(COUNTIF(P$2:P549,FALSE) + COUNTIF(P$2:P549, TRUE))</f>
        <v>0.48357664233576642</v>
      </c>
      <c r="R549" s="822">
        <v>218299.15</v>
      </c>
      <c r="S549" s="822">
        <f t="shared" si="256"/>
        <v>119787.66</v>
      </c>
      <c r="T549" s="822">
        <v>-31667</v>
      </c>
      <c r="U549" s="822">
        <f t="shared" si="260"/>
        <v>79753.81</v>
      </c>
      <c r="V549" s="824">
        <f>STDEV(D$2:D549)*SQRT(252)</f>
        <v>0.13540621962900054</v>
      </c>
      <c r="W549" s="824">
        <f>STDEV(L$2:L549)*SQRT(252)</f>
        <v>0.291246718230385</v>
      </c>
      <c r="X549" s="823">
        <f t="shared" si="257"/>
        <v>0.87152947714801032</v>
      </c>
      <c r="Y549" s="823">
        <f t="shared" si="258"/>
        <v>0.24264778543087354</v>
      </c>
      <c r="Z549" s="829">
        <f t="shared" si="259"/>
        <v>-0.11107597671998842</v>
      </c>
    </row>
    <row r="550" spans="1:26" ht="20.100000000000001" customHeight="1" x14ac:dyDescent="0.2">
      <c r="A550" s="798">
        <f t="shared" si="266"/>
        <v>858</v>
      </c>
      <c r="B550" s="817">
        <v>43091</v>
      </c>
      <c r="C550" s="842">
        <f>C551+0.84</f>
        <v>2681.34</v>
      </c>
      <c r="D550" s="814">
        <f t="shared" si="264"/>
        <v>-1.2106131662562999E-3</v>
      </c>
      <c r="E550" s="841">
        <f t="shared" si="232"/>
        <v>0.27534673997831094</v>
      </c>
      <c r="F550" s="838">
        <f>F551+23.71</f>
        <v>6960.95</v>
      </c>
      <c r="G550" s="814">
        <f t="shared" si="265"/>
        <v>-6.3313310439085059E-4</v>
      </c>
      <c r="H550" s="819">
        <f t="shared" si="261"/>
        <v>0.36711707288331991</v>
      </c>
      <c r="I550" s="821">
        <f>I551-1562</f>
        <v>338627.13</v>
      </c>
      <c r="J550" s="822">
        <v>290000</v>
      </c>
      <c r="K550" s="822">
        <f t="shared" si="262"/>
        <v>540.32000000000698</v>
      </c>
      <c r="L550" s="814">
        <f t="shared" si="263"/>
        <v>1.5981694169021471E-3</v>
      </c>
      <c r="M550" s="839">
        <f t="shared" si="236"/>
        <v>48627.130000000005</v>
      </c>
      <c r="N550" s="824">
        <f t="shared" si="242"/>
        <v>0.16767975862068968</v>
      </c>
      <c r="O550" s="808">
        <f t="shared" si="267"/>
        <v>7.1381155986255135E-2</v>
      </c>
      <c r="P550" s="839" t="b">
        <f t="shared" si="237"/>
        <v>1</v>
      </c>
      <c r="Q550" s="824">
        <f>COUNTIF(P$2:P550, TRUE)/(COUNTIF(P$2:P550,FALSE) + COUNTIF(P$2:P550, TRUE))</f>
        <v>0.48451730418943534</v>
      </c>
      <c r="R550" s="822"/>
      <c r="S550" s="822"/>
      <c r="T550" s="822"/>
      <c r="U550" s="822"/>
      <c r="V550" s="824">
        <f>STDEV(D$2:D550)*SQRT(252)</f>
        <v>0.13528726740433272</v>
      </c>
      <c r="W550" s="824">
        <f>STDEV(L$2:L550)*SQRT(252)</f>
        <v>0.29098117176035337</v>
      </c>
      <c r="X550" s="823">
        <f t="shared" si="257"/>
        <v>0.86641497686755109</v>
      </c>
      <c r="Y550" s="823">
        <f t="shared" si="258"/>
        <v>0.24531194081878024</v>
      </c>
      <c r="Z550" s="829">
        <f t="shared" si="259"/>
        <v>-0.10766698135762126</v>
      </c>
    </row>
    <row r="551" spans="1:26" ht="20.100000000000001" customHeight="1" x14ac:dyDescent="0.2">
      <c r="A551" s="798">
        <f t="shared" si="266"/>
        <v>862</v>
      </c>
      <c r="B551" s="817">
        <v>43095</v>
      </c>
      <c r="C551" s="842">
        <v>2680.5</v>
      </c>
      <c r="D551" s="814">
        <f t="shared" si="264"/>
        <v>-3.1327619772208878E-4</v>
      </c>
      <c r="E551" s="841">
        <f t="shared" si="232"/>
        <v>0.2749472042008333</v>
      </c>
      <c r="F551" s="838">
        <v>6937.24</v>
      </c>
      <c r="G551" s="814">
        <f t="shared" si="265"/>
        <v>-3.406144276284133E-3</v>
      </c>
      <c r="H551" s="819">
        <f t="shared" si="261"/>
        <v>0.36246047489050809</v>
      </c>
      <c r="I551" s="821">
        <v>340189.13</v>
      </c>
      <c r="J551" s="822">
        <v>290000</v>
      </c>
      <c r="K551" s="822">
        <f t="shared" si="262"/>
        <v>1562</v>
      </c>
      <c r="L551" s="814">
        <f t="shared" si="263"/>
        <v>4.6127432258602549E-3</v>
      </c>
      <c r="M551" s="839">
        <f t="shared" si="236"/>
        <v>50189.130000000005</v>
      </c>
      <c r="N551" s="824">
        <f t="shared" si="242"/>
        <v>0.1730659655172414</v>
      </c>
      <c r="O551" s="808">
        <f t="shared" si="267"/>
        <v>7.33321855048404E-2</v>
      </c>
      <c r="P551" s="839" t="b">
        <f t="shared" si="237"/>
        <v>1</v>
      </c>
      <c r="Q551" s="824">
        <f>COUNTIF(P$2:P551, TRUE)/(COUNTIF(P$2:P551,FALSE) + COUNTIF(P$2:P551, TRUE))</f>
        <v>0.48545454545454547</v>
      </c>
      <c r="R551" s="822">
        <v>222797.6</v>
      </c>
      <c r="S551" s="822">
        <f t="shared" ref="S551:S587" si="268">I551-R551</f>
        <v>117391.53</v>
      </c>
      <c r="T551" s="822">
        <v>-31257</v>
      </c>
      <c r="U551" s="822">
        <f t="shared" ref="U551:U587" si="269">M551-T551</f>
        <v>81446.13</v>
      </c>
      <c r="V551" s="824">
        <f>STDEV(D$2:D551)*SQRT(252)</f>
        <v>0.1351648425652329</v>
      </c>
      <c r="W551" s="824">
        <f>STDEV(L$2:L551)*SQRT(252)</f>
        <v>0.29072829644289788</v>
      </c>
      <c r="X551" s="823">
        <f t="shared" si="257"/>
        <v>0.86192310716976595</v>
      </c>
      <c r="Y551" s="823">
        <f t="shared" si="258"/>
        <v>0.25223614764049507</v>
      </c>
      <c r="Z551" s="829">
        <f t="shared" si="259"/>
        <v>-0.10188123868359189</v>
      </c>
    </row>
    <row r="552" spans="1:26" ht="20.100000000000001" customHeight="1" x14ac:dyDescent="0.2">
      <c r="A552" s="798">
        <f t="shared" si="266"/>
        <v>863</v>
      </c>
      <c r="B552" s="817">
        <v>43096</v>
      </c>
      <c r="C552" s="842">
        <v>2682.62</v>
      </c>
      <c r="D552" s="814">
        <f t="shared" si="264"/>
        <v>7.9089722066774519E-4</v>
      </c>
      <c r="E552" s="841">
        <f t="shared" si="232"/>
        <v>0.27595555640113384</v>
      </c>
      <c r="F552" s="838">
        <v>6939.33</v>
      </c>
      <c r="G552" s="814">
        <f t="shared" si="265"/>
        <v>3.0127255219657178E-4</v>
      </c>
      <c r="H552" s="819">
        <f t="shared" si="261"/>
        <v>0.36287094683504528</v>
      </c>
      <c r="I552" s="821">
        <v>338273.53</v>
      </c>
      <c r="J552" s="822">
        <v>290000</v>
      </c>
      <c r="K552" s="822">
        <f t="shared" si="262"/>
        <v>-1915.5999999999767</v>
      </c>
      <c r="L552" s="814">
        <f t="shared" ref="L552:L557" si="270">K552/I551</f>
        <v>-5.6309853286610791E-3</v>
      </c>
      <c r="M552" s="839">
        <f t="shared" si="236"/>
        <v>48273.530000000028</v>
      </c>
      <c r="N552" s="824">
        <f t="shared" si="242"/>
        <v>0.16646044827586218</v>
      </c>
      <c r="O552" s="808">
        <f t="shared" si="267"/>
        <v>7.0451539667159516E-2</v>
      </c>
      <c r="P552" s="839" t="b">
        <f t="shared" si="237"/>
        <v>0</v>
      </c>
      <c r="Q552" s="824">
        <f>COUNTIF(P$2:P552, TRUE)/(COUNTIF(P$2:P552,FALSE) + COUNTIF(P$2:P552, TRUE))</f>
        <v>0.48457350272232302</v>
      </c>
      <c r="R552" s="822">
        <v>220882</v>
      </c>
      <c r="S552" s="822">
        <f t="shared" si="268"/>
        <v>117391.53000000003</v>
      </c>
      <c r="T552" s="822">
        <v>-31384</v>
      </c>
      <c r="U552" s="822">
        <f t="shared" si="269"/>
        <v>79657.530000000028</v>
      </c>
      <c r="V552" s="824">
        <f>STDEV(D$2:D552)*SQRT(252)</f>
        <v>0.13504185089620829</v>
      </c>
      <c r="W552" s="824">
        <f>STDEV(L$2:L552)*SQRT(252)</f>
        <v>0.29049404453363842</v>
      </c>
      <c r="X552" s="823">
        <f t="shared" si="257"/>
        <v>0.86486872007406268</v>
      </c>
      <c r="Y552" s="823">
        <f t="shared" si="258"/>
        <v>0.24252318074287207</v>
      </c>
      <c r="Z552" s="829">
        <f t="shared" si="259"/>
        <v>-0.10949510812527166</v>
      </c>
    </row>
    <row r="553" spans="1:26" ht="20.100000000000001" customHeight="1" x14ac:dyDescent="0.2">
      <c r="A553" s="798">
        <f t="shared" si="266"/>
        <v>864</v>
      </c>
      <c r="B553" s="817">
        <v>43097</v>
      </c>
      <c r="C553" s="842">
        <v>2687.54</v>
      </c>
      <c r="D553" s="814">
        <f t="shared" si="264"/>
        <v>1.8340279279212386E-3</v>
      </c>
      <c r="E553" s="841">
        <f t="shared" si="232"/>
        <v>0.27829569452635977</v>
      </c>
      <c r="F553" s="838">
        <v>6950.16</v>
      </c>
      <c r="G553" s="814">
        <f t="shared" si="265"/>
        <v>1.560669401801028E-3</v>
      </c>
      <c r="H553" s="819">
        <f t="shared" si="261"/>
        <v>0.36499793782037437</v>
      </c>
      <c r="I553" s="821">
        <v>338405.59</v>
      </c>
      <c r="J553" s="822">
        <v>290000</v>
      </c>
      <c r="K553" s="822">
        <f t="shared" si="262"/>
        <v>132.05999999999767</v>
      </c>
      <c r="L553" s="814">
        <f t="shared" si="270"/>
        <v>3.9039412868041335E-4</v>
      </c>
      <c r="M553" s="839">
        <f t="shared" si="236"/>
        <v>48405.590000000026</v>
      </c>
      <c r="N553" s="824">
        <f t="shared" si="242"/>
        <v>0.16691582758620699</v>
      </c>
      <c r="O553" s="808">
        <f t="shared" si="267"/>
        <v>7.0562506974377437E-2</v>
      </c>
      <c r="P553" s="839" t="b">
        <f t="shared" si="237"/>
        <v>0</v>
      </c>
      <c r="Q553" s="824">
        <f>COUNTIF(P$2:P553, TRUE)/(COUNTIF(P$2:P553,FALSE) + COUNTIF(P$2:P553, TRUE))</f>
        <v>0.48369565217391303</v>
      </c>
      <c r="R553" s="822">
        <v>219160.1</v>
      </c>
      <c r="S553" s="822">
        <f t="shared" si="268"/>
        <v>119245.49000000002</v>
      </c>
      <c r="T553" s="822">
        <v>-31468</v>
      </c>
      <c r="U553" s="822">
        <f t="shared" si="269"/>
        <v>79873.590000000026</v>
      </c>
      <c r="V553" s="824">
        <f>STDEV(D$2:D553)*SQRT(252)</f>
        <v>0.13492214065501756</v>
      </c>
      <c r="W553" s="824">
        <f>STDEV(L$2:L553)*SQRT(252)</f>
        <v>0.29022987077746648</v>
      </c>
      <c r="X553" s="823">
        <f t="shared" si="257"/>
        <v>0.87196639247550867</v>
      </c>
      <c r="Y553" s="823">
        <f t="shared" si="258"/>
        <v>0.24312627361668496</v>
      </c>
      <c r="Z553" s="829">
        <f t="shared" si="259"/>
        <v>-0.11137986694015278</v>
      </c>
    </row>
    <row r="554" spans="1:26" ht="20.100000000000001" customHeight="1" x14ac:dyDescent="0.2">
      <c r="A554" s="798">
        <f t="shared" si="266"/>
        <v>865</v>
      </c>
      <c r="B554" s="817">
        <v>43098</v>
      </c>
      <c r="C554" s="842">
        <v>2673.61</v>
      </c>
      <c r="D554" s="814">
        <f t="shared" si="264"/>
        <v>-5.1831786689685872E-3</v>
      </c>
      <c r="E554" s="841">
        <f t="shared" ref="E554:E617" si="271">(C554-$C$2)/$C$2</f>
        <v>0.2716700595498564</v>
      </c>
      <c r="F554" s="838">
        <v>6903.38</v>
      </c>
      <c r="G554" s="814">
        <f t="shared" si="265"/>
        <v>-6.7307802985830181E-3</v>
      </c>
      <c r="H554" s="819">
        <f t="shared" si="261"/>
        <v>0.35581043659288653</v>
      </c>
      <c r="I554" s="844">
        <v>337203.38</v>
      </c>
      <c r="J554" s="822">
        <v>290000</v>
      </c>
      <c r="K554" s="822">
        <f t="shared" si="262"/>
        <v>-1202.210000000021</v>
      </c>
      <c r="L554" s="814">
        <f t="shared" si="270"/>
        <v>-3.5525713390255191E-3</v>
      </c>
      <c r="M554" s="844">
        <f t="shared" ref="M554:M617" si="272">I554-J554</f>
        <v>47203.380000000005</v>
      </c>
      <c r="N554" s="824">
        <f t="shared" si="242"/>
        <v>0.16277027586206899</v>
      </c>
      <c r="O554" s="808">
        <f t="shared" si="267"/>
        <v>6.8730454634243585E-2</v>
      </c>
      <c r="P554" s="839" t="b">
        <f t="shared" ref="P554:P617" si="273">L554&gt;D554</f>
        <v>1</v>
      </c>
      <c r="Q554" s="824">
        <f>COUNTIF(P$2:P554, TRUE)/(COUNTIF(P$2:P554,FALSE) + COUNTIF(P$2:P554, TRUE))</f>
        <v>0.48462929475587702</v>
      </c>
      <c r="R554" s="822">
        <v>227993.4</v>
      </c>
      <c r="S554" s="822">
        <f t="shared" si="268"/>
        <v>109209.98000000001</v>
      </c>
      <c r="T554" s="822">
        <v>-31748</v>
      </c>
      <c r="U554" s="822">
        <f t="shared" si="269"/>
        <v>78951.38</v>
      </c>
      <c r="V554" s="824">
        <f>STDEV(D$2:D554)*SQRT(252)</f>
        <v>0.13485398052483238</v>
      </c>
      <c r="W554" s="824">
        <f>STDEV(L$2:L554)*SQRT(252)</f>
        <v>0.28997990122526646</v>
      </c>
      <c r="X554" s="823">
        <f t="shared" si="257"/>
        <v>0.85065238681758393</v>
      </c>
      <c r="Y554" s="823">
        <f t="shared" si="258"/>
        <v>0.237017994501803</v>
      </c>
      <c r="Z554" s="829">
        <f t="shared" si="259"/>
        <v>-0.10889978368778741</v>
      </c>
    </row>
    <row r="555" spans="1:26" ht="20.100000000000001" customHeight="1" x14ac:dyDescent="0.2">
      <c r="A555" s="798">
        <f t="shared" si="266"/>
        <v>869</v>
      </c>
      <c r="B555" s="817">
        <v>43102</v>
      </c>
      <c r="C555" s="842">
        <v>2695.81</v>
      </c>
      <c r="D555" s="814">
        <f t="shared" si="264"/>
        <v>8.3033800741319098E-3</v>
      </c>
      <c r="E555" s="841">
        <f t="shared" si="271"/>
        <v>0.28222921938319279</v>
      </c>
      <c r="F555" s="838">
        <v>7006.89</v>
      </c>
      <c r="G555" s="814">
        <f t="shared" si="265"/>
        <v>1.4994104337295675E-2</v>
      </c>
      <c r="H555" s="819">
        <f t="shared" si="261"/>
        <v>0.37613959974075467</v>
      </c>
      <c r="I555" s="821">
        <v>343412.47999999998</v>
      </c>
      <c r="J555" s="822">
        <v>290000</v>
      </c>
      <c r="K555" s="822">
        <f t="shared" si="262"/>
        <v>6209.0999999999767</v>
      </c>
      <c r="L555" s="814">
        <f t="shared" si="270"/>
        <v>1.8413516495593776E-2</v>
      </c>
      <c r="M555" s="839">
        <f t="shared" si="272"/>
        <v>53412.479999999981</v>
      </c>
      <c r="N555" s="824">
        <f t="shared" si="242"/>
        <v>0.18418096551724131</v>
      </c>
      <c r="O555" s="808">
        <f t="shared" si="267"/>
        <v>7.7413230903535551E-2</v>
      </c>
      <c r="P555" s="839" t="b">
        <f t="shared" si="273"/>
        <v>1</v>
      </c>
      <c r="Q555" s="824">
        <f>COUNTIF(P$2:P555, TRUE)/(COUNTIF(P$2:P555,FALSE) + COUNTIF(P$2:P555, TRUE))</f>
        <v>0.48555956678700363</v>
      </c>
      <c r="R555" s="822">
        <v>227205.1</v>
      </c>
      <c r="S555" s="822">
        <f t="shared" si="268"/>
        <v>116207.37999999998</v>
      </c>
      <c r="T555" s="822">
        <v>-30580</v>
      </c>
      <c r="U555" s="822">
        <f t="shared" si="269"/>
        <v>83992.479999999981</v>
      </c>
      <c r="V555" s="824">
        <f>STDEV(D$2:D555)*SQRT(252)</f>
        <v>0.13483546761309076</v>
      </c>
      <c r="W555" s="824">
        <f>STDEV(L$2:L555)*SQRT(252)</f>
        <v>0.28996702596265966</v>
      </c>
      <c r="X555" s="823">
        <f t="shared" si="257"/>
        <v>0.87976823465996945</v>
      </c>
      <c r="Y555" s="823">
        <f t="shared" si="258"/>
        <v>0.26697253126120757</v>
      </c>
      <c r="Z555" s="829">
        <f t="shared" si="259"/>
        <v>-9.8048253865951479E-2</v>
      </c>
    </row>
    <row r="556" spans="1:26" ht="20.100000000000001" customHeight="1" x14ac:dyDescent="0.2">
      <c r="A556" s="798">
        <f t="shared" si="266"/>
        <v>870</v>
      </c>
      <c r="B556" s="817">
        <v>43103</v>
      </c>
      <c r="C556" s="842">
        <v>2713.06</v>
      </c>
      <c r="D556" s="814">
        <f t="shared" si="264"/>
        <v>6.3988189078607177E-3</v>
      </c>
      <c r="E556" s="841">
        <f t="shared" si="271"/>
        <v>0.29043397195639348</v>
      </c>
      <c r="F556" s="838">
        <v>7065.53</v>
      </c>
      <c r="G556" s="814">
        <f t="shared" si="265"/>
        <v>8.3689054630512842E-3</v>
      </c>
      <c r="H556" s="819">
        <f t="shared" si="261"/>
        <v>0.38765638195494628</v>
      </c>
      <c r="I556" s="821">
        <v>344644.23</v>
      </c>
      <c r="J556" s="822">
        <v>290000</v>
      </c>
      <c r="K556" s="822">
        <f t="shared" si="262"/>
        <v>1231.75</v>
      </c>
      <c r="L556" s="814">
        <f t="shared" si="270"/>
        <v>3.5867945160292371E-3</v>
      </c>
      <c r="M556" s="839">
        <f t="shared" si="272"/>
        <v>54644.229999999981</v>
      </c>
      <c r="N556" s="824">
        <f t="shared" si="242"/>
        <v>0.18842837931034476</v>
      </c>
      <c r="O556" s="808">
        <f t="shared" si="267"/>
        <v>7.9107431658739555E-2</v>
      </c>
      <c r="P556" s="839" t="b">
        <f t="shared" si="273"/>
        <v>0</v>
      </c>
      <c r="Q556" s="824">
        <f>COUNTIF(P$2:P556, TRUE)/(COUNTIF(P$2:P556,FALSE) + COUNTIF(P$2:P556, TRUE))</f>
        <v>0.48468468468468467</v>
      </c>
      <c r="R556" s="822">
        <v>229704.9</v>
      </c>
      <c r="S556" s="822">
        <f t="shared" si="268"/>
        <v>114939.32999999999</v>
      </c>
      <c r="T556" s="822">
        <v>-31165</v>
      </c>
      <c r="U556" s="822">
        <f t="shared" si="269"/>
        <v>85809.229999999981</v>
      </c>
      <c r="V556" s="824">
        <f>STDEV(D$2:D556)*SQRT(252)</f>
        <v>0.13477252040825866</v>
      </c>
      <c r="W556" s="824">
        <f>STDEV(L$2:L556)*SQRT(252)</f>
        <v>0.2897116598883494</v>
      </c>
      <c r="X556" s="823">
        <f t="shared" si="257"/>
        <v>0.90472592654327422</v>
      </c>
      <c r="Y556" s="823">
        <f t="shared" si="258"/>
        <v>0.27305573993544613</v>
      </c>
      <c r="Z556" s="829">
        <f t="shared" si="259"/>
        <v>-0.10200559264604872</v>
      </c>
    </row>
    <row r="557" spans="1:26" ht="20.100000000000001" customHeight="1" x14ac:dyDescent="0.2">
      <c r="A557" s="798">
        <f t="shared" si="266"/>
        <v>871</v>
      </c>
      <c r="B557" s="817">
        <v>43104</v>
      </c>
      <c r="C557" s="842">
        <v>2723.99</v>
      </c>
      <c r="D557" s="814">
        <f t="shared" si="264"/>
        <v>4.0286613639211209E-3</v>
      </c>
      <c r="E557" s="841">
        <f t="shared" si="271"/>
        <v>0.29563269344190546</v>
      </c>
      <c r="F557" s="838">
        <v>7077.91</v>
      </c>
      <c r="G557" s="814">
        <f t="shared" si="265"/>
        <v>1.7521686271235292E-3</v>
      </c>
      <c r="H557" s="819">
        <f t="shared" si="261"/>
        <v>0.39008778993263549</v>
      </c>
      <c r="I557" s="821">
        <v>346398.26</v>
      </c>
      <c r="J557" s="822">
        <v>290000</v>
      </c>
      <c r="K557" s="822">
        <f t="shared" si="262"/>
        <v>1754.0300000000279</v>
      </c>
      <c r="L557" s="814">
        <f t="shared" si="270"/>
        <v>5.0893931983136001E-3</v>
      </c>
      <c r="M557" s="839">
        <f t="shared" si="272"/>
        <v>56398.260000000009</v>
      </c>
      <c r="N557" s="824">
        <f t="shared" si="242"/>
        <v>0.19447675862068969</v>
      </c>
      <c r="O557" s="808">
        <f t="shared" si="267"/>
        <v>8.1552969100122732E-2</v>
      </c>
      <c r="P557" s="839" t="b">
        <f t="shared" si="273"/>
        <v>1</v>
      </c>
      <c r="Q557" s="824">
        <f>COUNTIF(P$2:P557, TRUE)/(COUNTIF(P$2:P557,FALSE) + COUNTIF(P$2:P557, TRUE))</f>
        <v>0.48561151079136688</v>
      </c>
      <c r="R557" s="822">
        <v>242885.7</v>
      </c>
      <c r="S557" s="822">
        <f t="shared" si="268"/>
        <v>103512.56</v>
      </c>
      <c r="T557" s="822">
        <v>-32271</v>
      </c>
      <c r="U557" s="822">
        <f t="shared" si="269"/>
        <v>88669.260000000009</v>
      </c>
      <c r="V557" s="824">
        <f>STDEV(D$2:D557)*SQRT(252)</f>
        <v>0.13467186615728099</v>
      </c>
      <c r="W557" s="824">
        <f>STDEV(L$2:L557)*SQRT(252)</f>
        <v>0.28946572718948649</v>
      </c>
      <c r="X557" s="823">
        <f t="shared" si="257"/>
        <v>0.92055057061790302</v>
      </c>
      <c r="Y557" s="823">
        <f t="shared" si="258"/>
        <v>0.28173618304296705</v>
      </c>
      <c r="Z557" s="829">
        <f t="shared" si="259"/>
        <v>-0.10115593482121576</v>
      </c>
    </row>
    <row r="558" spans="1:26" ht="20.100000000000001" customHeight="1" x14ac:dyDescent="0.2">
      <c r="A558" s="798">
        <f t="shared" si="266"/>
        <v>872</v>
      </c>
      <c r="B558" s="817">
        <v>43105</v>
      </c>
      <c r="C558" s="842">
        <v>2743.15</v>
      </c>
      <c r="D558" s="814">
        <f t="shared" si="264"/>
        <v>7.0337996835525499E-3</v>
      </c>
      <c r="E558" s="841">
        <f t="shared" si="271"/>
        <v>0.30474591427103748</v>
      </c>
      <c r="F558" s="838">
        <v>7136.55</v>
      </c>
      <c r="G558" s="814">
        <f t="shared" si="265"/>
        <v>8.2849315687823569E-3</v>
      </c>
      <c r="H558" s="819">
        <f t="shared" si="261"/>
        <v>0.40160457214682727</v>
      </c>
      <c r="I558" s="821">
        <v>346659.69</v>
      </c>
      <c r="J558" s="822">
        <v>290000</v>
      </c>
      <c r="K558" s="822">
        <f t="shared" si="262"/>
        <v>261.42999999999302</v>
      </c>
      <c r="L558" s="814">
        <f t="shared" ref="L558:L589" si="274">K558/I557</f>
        <v>7.5470933370159826E-4</v>
      </c>
      <c r="M558" s="839">
        <f t="shared" si="272"/>
        <v>56659.69</v>
      </c>
      <c r="N558" s="824">
        <f t="shared" si="242"/>
        <v>0.19537824137931034</v>
      </c>
      <c r="O558" s="808">
        <f t="shared" si="267"/>
        <v>8.1837044339212267E-2</v>
      </c>
      <c r="P558" s="839" t="b">
        <f t="shared" si="273"/>
        <v>0</v>
      </c>
      <c r="Q558" s="824">
        <f>COUNTIF(P$2:P558, TRUE)/(COUNTIF(P$2:P558,FALSE) + COUNTIF(P$2:P558, TRUE))</f>
        <v>0.48473967684021546</v>
      </c>
      <c r="R558" s="822">
        <v>221685.2</v>
      </c>
      <c r="S558" s="822">
        <f t="shared" si="268"/>
        <v>124974.48999999999</v>
      </c>
      <c r="T558" s="822">
        <v>-31364</v>
      </c>
      <c r="U558" s="822">
        <f t="shared" si="269"/>
        <v>88023.69</v>
      </c>
      <c r="V558" s="824">
        <f>STDEV(D$2:D558)*SQRT(252)</f>
        <v>0.13462231067466959</v>
      </c>
      <c r="W558" s="824">
        <f>STDEV(L$2:L558)*SQRT(252)</f>
        <v>0.2892048419948855</v>
      </c>
      <c r="X558" s="823">
        <f t="shared" si="257"/>
        <v>0.9481882972237784</v>
      </c>
      <c r="Y558" s="823">
        <f t="shared" si="258"/>
        <v>0.28297259400884972</v>
      </c>
      <c r="Z558" s="829">
        <f t="shared" si="259"/>
        <v>-0.10936767289172714</v>
      </c>
    </row>
    <row r="559" spans="1:26" ht="20.100000000000001" customHeight="1" x14ac:dyDescent="0.2">
      <c r="A559" s="798">
        <f t="shared" si="266"/>
        <v>875</v>
      </c>
      <c r="B559" s="817">
        <v>43108</v>
      </c>
      <c r="C559" s="842">
        <v>2747.71</v>
      </c>
      <c r="D559" s="814">
        <f t="shared" si="264"/>
        <v>1.662322512440058E-3</v>
      </c>
      <c r="E559" s="841">
        <f t="shared" si="271"/>
        <v>0.30691482277734439</v>
      </c>
      <c r="F559" s="838">
        <v>7157.38</v>
      </c>
      <c r="G559" s="814">
        <f t="shared" si="265"/>
        <v>2.9187772803385289E-3</v>
      </c>
      <c r="H559" s="819">
        <f t="shared" si="261"/>
        <v>0.40569554372802802</v>
      </c>
      <c r="I559" s="821">
        <v>347500.29</v>
      </c>
      <c r="J559" s="822">
        <v>290000</v>
      </c>
      <c r="K559" s="822">
        <f t="shared" si="262"/>
        <v>840.59999999997672</v>
      </c>
      <c r="L559" s="814">
        <f t="shared" si="274"/>
        <v>2.4248564925445377E-3</v>
      </c>
      <c r="M559" s="839">
        <f t="shared" si="272"/>
        <v>57500.289999999979</v>
      </c>
      <c r="N559" s="824">
        <f t="shared" si="242"/>
        <v>0.19827686206896544</v>
      </c>
      <c r="O559" s="808">
        <f t="shared" si="267"/>
        <v>8.2766427280788146E-2</v>
      </c>
      <c r="P559" s="839" t="b">
        <f t="shared" si="273"/>
        <v>1</v>
      </c>
      <c r="Q559" s="824">
        <f>COUNTIF(P$2:P559, TRUE)/(COUNTIF(P$2:P559,FALSE) + COUNTIF(P$2:P559, TRUE))</f>
        <v>0.48566308243727596</v>
      </c>
      <c r="R559" s="822">
        <v>226002.5</v>
      </c>
      <c r="S559" s="822">
        <f t="shared" si="268"/>
        <v>121497.78999999998</v>
      </c>
      <c r="T559" s="822">
        <v>-30809</v>
      </c>
      <c r="U559" s="822">
        <f t="shared" si="269"/>
        <v>88309.289999999979</v>
      </c>
      <c r="V559" s="824">
        <f>STDEV(D$2:D559)*SQRT(252)</f>
        <v>0.13450340927460769</v>
      </c>
      <c r="W559" s="824">
        <f>STDEV(L$2:L559)*SQRT(252)</f>
        <v>0.28894717192273284</v>
      </c>
      <c r="X559" s="823">
        <f t="shared" si="257"/>
        <v>0.95250385631962065</v>
      </c>
      <c r="Y559" s="823">
        <f t="shared" si="258"/>
        <v>0.28644138210468678</v>
      </c>
      <c r="Z559" s="829">
        <f t="shared" si="259"/>
        <v>-0.10863796070837894</v>
      </c>
    </row>
    <row r="560" spans="1:26" ht="20.100000000000001" customHeight="1" x14ac:dyDescent="0.2">
      <c r="A560" s="798">
        <f t="shared" si="266"/>
        <v>876</v>
      </c>
      <c r="B560" s="817">
        <v>43109</v>
      </c>
      <c r="C560" s="842">
        <v>2751.29</v>
      </c>
      <c r="D560" s="814">
        <f t="shared" si="264"/>
        <v>1.3029031448005528E-3</v>
      </c>
      <c r="E560" s="841">
        <f t="shared" si="271"/>
        <v>0.30861760620992745</v>
      </c>
      <c r="F560" s="838">
        <v>7163.57</v>
      </c>
      <c r="G560" s="814">
        <f t="shared" si="265"/>
        <v>8.6484160405058829E-4</v>
      </c>
      <c r="H560" s="819">
        <f t="shared" si="261"/>
        <v>0.40691124771687254</v>
      </c>
      <c r="I560" s="821">
        <v>347598.39</v>
      </c>
      <c r="J560" s="822">
        <v>290000</v>
      </c>
      <c r="K560" s="822">
        <f t="shared" si="262"/>
        <v>98.100000000034925</v>
      </c>
      <c r="L560" s="814">
        <f t="shared" si="274"/>
        <v>2.8230192268338807E-4</v>
      </c>
      <c r="M560" s="839">
        <f t="shared" si="272"/>
        <v>57598.390000000014</v>
      </c>
      <c r="N560" s="824">
        <f t="shared" si="242"/>
        <v>0.19861513793103452</v>
      </c>
      <c r="O560" s="808">
        <f t="shared" si="267"/>
        <v>8.2812989873641968E-2</v>
      </c>
      <c r="P560" s="839" t="b">
        <f t="shared" si="273"/>
        <v>0</v>
      </c>
      <c r="Q560" s="824">
        <f>COUNTIF(P$2:P560, TRUE)/(COUNTIF(P$2:P560,FALSE) + COUNTIF(P$2:P560, TRUE))</f>
        <v>0.48479427549194992</v>
      </c>
      <c r="R560" s="822">
        <v>226100.6</v>
      </c>
      <c r="S560" s="822">
        <f t="shared" si="268"/>
        <v>121497.79000000001</v>
      </c>
      <c r="T560" s="822">
        <v>-31069</v>
      </c>
      <c r="U560" s="822">
        <f t="shared" si="269"/>
        <v>88667.390000000014</v>
      </c>
      <c r="V560" s="824">
        <f>STDEV(D$2:D560)*SQRT(252)</f>
        <v>0.13438365522082504</v>
      </c>
      <c r="W560" s="824">
        <f>STDEV(L$2:L560)*SQRT(252)</f>
        <v>0.28868777341821511</v>
      </c>
      <c r="X560" s="823">
        <f t="shared" si="257"/>
        <v>0.95754758897981262</v>
      </c>
      <c r="Y560" s="823">
        <f t="shared" si="258"/>
        <v>0.28686005262049236</v>
      </c>
      <c r="Z560" s="829">
        <f t="shared" si="259"/>
        <v>-0.11000246827889293</v>
      </c>
    </row>
    <row r="561" spans="1:26" ht="20.100000000000001" customHeight="1" x14ac:dyDescent="0.2">
      <c r="A561" s="798">
        <f t="shared" si="266"/>
        <v>877</v>
      </c>
      <c r="B561" s="817">
        <v>43110</v>
      </c>
      <c r="C561" s="842">
        <v>2748.23</v>
      </c>
      <c r="D561" s="814">
        <f t="shared" si="264"/>
        <v>-1.1122055472160134E-3</v>
      </c>
      <c r="E561" s="841">
        <f t="shared" si="271"/>
        <v>0.30716215444911626</v>
      </c>
      <c r="F561" s="838">
        <v>7153.57</v>
      </c>
      <c r="G561" s="814">
        <f t="shared" si="265"/>
        <v>-1.3959520183372258E-3</v>
      </c>
      <c r="H561" s="819">
        <f t="shared" si="261"/>
        <v>0.40494726712100082</v>
      </c>
      <c r="I561" s="821">
        <v>346712.84</v>
      </c>
      <c r="J561" s="822">
        <v>290000</v>
      </c>
      <c r="K561" s="822">
        <f t="shared" si="262"/>
        <v>-885.54999999998836</v>
      </c>
      <c r="L561" s="814">
        <f t="shared" si="274"/>
        <v>-2.5476239979131902E-3</v>
      </c>
      <c r="M561" s="839">
        <f t="shared" si="272"/>
        <v>56712.840000000026</v>
      </c>
      <c r="N561" s="824">
        <f t="shared" si="242"/>
        <v>0.19556151724137941</v>
      </c>
      <c r="O561" s="808">
        <f t="shared" si="267"/>
        <v>8.1446800652695356E-2</v>
      </c>
      <c r="P561" s="839" t="b">
        <f t="shared" si="273"/>
        <v>0</v>
      </c>
      <c r="Q561" s="824">
        <f>COUNTIF(P$2:P561, TRUE)/(COUNTIF(P$2:P561,FALSE) + COUNTIF(P$2:P561, TRUE))</f>
        <v>0.48392857142857143</v>
      </c>
      <c r="R561" s="822">
        <v>225215.05</v>
      </c>
      <c r="S561" s="822">
        <f t="shared" si="268"/>
        <v>121497.79000000004</v>
      </c>
      <c r="T561" s="822">
        <v>-30783</v>
      </c>
      <c r="U561" s="822">
        <f t="shared" si="269"/>
        <v>87495.840000000026</v>
      </c>
      <c r="V561" s="824">
        <f>STDEV(D$2:D561)*SQRT(252)</f>
        <v>0.13426764638873573</v>
      </c>
      <c r="W561" s="824">
        <f>STDEV(L$2:L561)*SQRT(252)</f>
        <v>0.28843687816025637</v>
      </c>
      <c r="X561" s="823">
        <f t="shared" si="257"/>
        <v>0.9527675565157494</v>
      </c>
      <c r="Y561" s="823">
        <f t="shared" si="258"/>
        <v>0.28237304873145685</v>
      </c>
      <c r="Z561" s="829">
        <f t="shared" si="259"/>
        <v>-0.11160063720773686</v>
      </c>
    </row>
    <row r="562" spans="1:26" ht="20.100000000000001" customHeight="1" x14ac:dyDescent="0.2">
      <c r="A562" s="798">
        <f t="shared" si="266"/>
        <v>878</v>
      </c>
      <c r="B562" s="817">
        <v>43111</v>
      </c>
      <c r="C562" s="842">
        <v>2767.56</v>
      </c>
      <c r="D562" s="814">
        <f t="shared" si="264"/>
        <v>7.0336180014045138E-3</v>
      </c>
      <c r="E562" s="841">
        <f t="shared" si="271"/>
        <v>0.31635623370940424</v>
      </c>
      <c r="F562" s="838">
        <v>7211.77</v>
      </c>
      <c r="G562" s="814">
        <f t="shared" si="265"/>
        <v>8.1357979302642911E-3</v>
      </c>
      <c r="H562" s="819">
        <f t="shared" si="261"/>
        <v>0.41637763418897433</v>
      </c>
      <c r="I562" s="821">
        <v>352178.1</v>
      </c>
      <c r="J562" s="822">
        <v>290000</v>
      </c>
      <c r="K562" s="822">
        <f t="shared" si="262"/>
        <v>5465.2599999999511</v>
      </c>
      <c r="L562" s="814">
        <f t="shared" si="274"/>
        <v>1.5763073556779583E-2</v>
      </c>
      <c r="M562" s="839">
        <f t="shared" si="272"/>
        <v>62178.099999999977</v>
      </c>
      <c r="N562" s="824">
        <f t="shared" si="242"/>
        <v>0.21440724137931028</v>
      </c>
      <c r="O562" s="808">
        <f t="shared" si="267"/>
        <v>8.9193900812976179E-2</v>
      </c>
      <c r="P562" s="839" t="b">
        <f t="shared" si="273"/>
        <v>1</v>
      </c>
      <c r="Q562" s="824">
        <f>COUNTIF(P$2:P562, TRUE)/(COUNTIF(P$2:P562,FALSE) + COUNTIF(P$2:P562, TRUE))</f>
        <v>0.48484848484848486</v>
      </c>
      <c r="R562" s="822">
        <v>218099.25</v>
      </c>
      <c r="S562" s="822">
        <f t="shared" si="268"/>
        <v>134078.84999999998</v>
      </c>
      <c r="T562" s="822">
        <v>-30666</v>
      </c>
      <c r="U562" s="822">
        <f t="shared" si="269"/>
        <v>92844.099999999977</v>
      </c>
      <c r="V562" s="824">
        <f>STDEV(D$2:D562)*SQRT(252)</f>
        <v>0.13421874970356712</v>
      </c>
      <c r="W562" s="824">
        <f>STDEV(L$2:L562)*SQRT(252)</f>
        <v>0.28835759971493757</v>
      </c>
      <c r="X562" s="823">
        <f t="shared" si="257"/>
        <v>0.980525553568381</v>
      </c>
      <c r="Y562" s="823">
        <f t="shared" si="258"/>
        <v>0.30931697621686</v>
      </c>
      <c r="Z562" s="829">
        <f t="shared" si="259"/>
        <v>-0.10194899233009397</v>
      </c>
    </row>
    <row r="563" spans="1:26" ht="20.100000000000001" customHeight="1" x14ac:dyDescent="0.2">
      <c r="A563" s="798">
        <f t="shared" si="266"/>
        <v>879</v>
      </c>
      <c r="B563" s="817">
        <v>43112</v>
      </c>
      <c r="C563" s="842">
        <v>2786.24</v>
      </c>
      <c r="D563" s="814">
        <f t="shared" si="264"/>
        <v>6.7496278310135412E-3</v>
      </c>
      <c r="E563" s="841">
        <f t="shared" si="271"/>
        <v>0.32524114837997742</v>
      </c>
      <c r="F563" s="838">
        <v>7261.06</v>
      </c>
      <c r="G563" s="814">
        <f t="shared" si="265"/>
        <v>6.8346605618315563E-3</v>
      </c>
      <c r="H563" s="819">
        <f t="shared" si="261"/>
        <v>0.426058094546026</v>
      </c>
      <c r="I563" s="821">
        <v>354257.05</v>
      </c>
      <c r="J563" s="822">
        <v>290000</v>
      </c>
      <c r="K563" s="822">
        <f t="shared" si="262"/>
        <v>2078.9500000000116</v>
      </c>
      <c r="L563" s="814">
        <f t="shared" si="274"/>
        <v>5.9031211764729603E-3</v>
      </c>
      <c r="M563" s="839">
        <f t="shared" si="272"/>
        <v>64257.049999999988</v>
      </c>
      <c r="N563" s="824">
        <f t="shared" si="242"/>
        <v>0.22157603448275859</v>
      </c>
      <c r="O563" s="808">
        <f t="shared" si="267"/>
        <v>9.2071270301282801E-2</v>
      </c>
      <c r="P563" s="839" t="b">
        <f t="shared" si="273"/>
        <v>0</v>
      </c>
      <c r="Q563" s="824">
        <f>COUNTIF(P$2:P563, TRUE)/(COUNTIF(P$2:P563,FALSE) + COUNTIF(P$2:P563, TRUE))</f>
        <v>0.48398576512455516</v>
      </c>
      <c r="R563" s="822">
        <v>210112.6</v>
      </c>
      <c r="S563" s="822">
        <f t="shared" si="268"/>
        <v>144144.44999999998</v>
      </c>
      <c r="T563" s="822">
        <v>-30546</v>
      </c>
      <c r="U563" s="822">
        <f t="shared" si="269"/>
        <v>94803.049999999988</v>
      </c>
      <c r="V563" s="824">
        <f>STDEV(D$2:D563)*SQRT(252)</f>
        <v>0.13416370433949046</v>
      </c>
      <c r="W563" s="824">
        <f>STDEV(L$2:L563)*SQRT(252)</f>
        <v>0.28812150589296726</v>
      </c>
      <c r="X563" s="823">
        <f t="shared" si="257"/>
        <v>1.0073300609926426</v>
      </c>
      <c r="Y563" s="823">
        <f t="shared" si="258"/>
        <v>0.31955709108186414</v>
      </c>
      <c r="Z563" s="829">
        <f t="shared" si="259"/>
        <v>-0.10366511389721883</v>
      </c>
    </row>
    <row r="564" spans="1:26" ht="20.100000000000001" customHeight="1" x14ac:dyDescent="0.2">
      <c r="A564" s="798">
        <f t="shared" si="266"/>
        <v>883</v>
      </c>
      <c r="B564" s="817">
        <v>43116</v>
      </c>
      <c r="C564" s="842">
        <v>2776.42</v>
      </c>
      <c r="D564" s="814">
        <f t="shared" si="264"/>
        <v>-3.5244630756861252E-3</v>
      </c>
      <c r="E564" s="841">
        <f t="shared" si="271"/>
        <v>0.32057038488613232</v>
      </c>
      <c r="F564" s="838">
        <v>7223.68</v>
      </c>
      <c r="G564" s="814">
        <f t="shared" si="265"/>
        <v>-5.148008692945673E-3</v>
      </c>
      <c r="H564" s="819">
        <f t="shared" si="261"/>
        <v>0.41871673507865753</v>
      </c>
      <c r="I564" s="821">
        <v>351080.55</v>
      </c>
      <c r="J564" s="822">
        <v>290000</v>
      </c>
      <c r="K564" s="822">
        <f t="shared" si="262"/>
        <v>-3176.5</v>
      </c>
      <c r="L564" s="814">
        <f t="shared" si="274"/>
        <v>-8.9666528866539138E-3</v>
      </c>
      <c r="M564" s="839">
        <f t="shared" si="272"/>
        <v>61080.549999999988</v>
      </c>
      <c r="N564" s="824">
        <f t="shared" si="242"/>
        <v>0.2106225862068965</v>
      </c>
      <c r="O564" s="808">
        <f t="shared" si="267"/>
        <v>8.7123329118990886E-2</v>
      </c>
      <c r="P564" s="839" t="b">
        <f t="shared" si="273"/>
        <v>0</v>
      </c>
      <c r="Q564" s="824">
        <f>COUNTIF(P$2:P564, TRUE)/(COUNTIF(P$2:P564,FALSE) + COUNTIF(P$2:P564, TRUE))</f>
        <v>0.48312611012433393</v>
      </c>
      <c r="R564" s="822">
        <v>216645.1</v>
      </c>
      <c r="S564" s="822">
        <f t="shared" si="268"/>
        <v>134435.44999999998</v>
      </c>
      <c r="T564" s="822">
        <v>-30403</v>
      </c>
      <c r="U564" s="822">
        <f t="shared" si="269"/>
        <v>91483.549999999988</v>
      </c>
      <c r="V564" s="824">
        <f>STDEV(D$2:D564)*SQRT(252)</f>
        <v>0.13407167164533457</v>
      </c>
      <c r="W564" s="824">
        <f>STDEV(L$2:L564)*SQRT(252)</f>
        <v>0.28793680916923503</v>
      </c>
      <c r="X564" s="823">
        <f t="shared" si="257"/>
        <v>0.9890446437534286</v>
      </c>
      <c r="Y564" s="823">
        <f t="shared" si="258"/>
        <v>0.30257794885746647</v>
      </c>
      <c r="Z564" s="829">
        <f t="shared" si="259"/>
        <v>-0.10994779867923582</v>
      </c>
    </row>
    <row r="565" spans="1:26" ht="20.100000000000001" customHeight="1" x14ac:dyDescent="0.2">
      <c r="A565" s="798">
        <f t="shared" si="266"/>
        <v>884</v>
      </c>
      <c r="B565" s="817">
        <v>43117</v>
      </c>
      <c r="C565" s="842">
        <v>2802.56</v>
      </c>
      <c r="D565" s="814">
        <f t="shared" si="264"/>
        <v>9.4150020530034614E-3</v>
      </c>
      <c r="E565" s="841">
        <f t="shared" si="271"/>
        <v>0.33300355777097079</v>
      </c>
      <c r="F565" s="838">
        <v>7298.27</v>
      </c>
      <c r="G565" s="814">
        <f t="shared" si="265"/>
        <v>1.0325761938513353E-2</v>
      </c>
      <c r="H565" s="819">
        <f t="shared" si="261"/>
        <v>0.43336606634326469</v>
      </c>
      <c r="I565" s="821">
        <v>354388.75</v>
      </c>
      <c r="J565" s="822">
        <v>290000</v>
      </c>
      <c r="K565" s="822">
        <f t="shared" si="262"/>
        <v>3308.2000000000116</v>
      </c>
      <c r="L565" s="814">
        <f t="shared" si="274"/>
        <v>9.4229087883108634E-3</v>
      </c>
      <c r="M565" s="839">
        <f t="shared" si="272"/>
        <v>64388.75</v>
      </c>
      <c r="N565" s="824">
        <f t="shared" si="242"/>
        <v>0.22203017241379311</v>
      </c>
      <c r="O565" s="808">
        <f t="shared" si="267"/>
        <v>9.1738145332735208E-2</v>
      </c>
      <c r="P565" s="839" t="b">
        <f t="shared" si="273"/>
        <v>1</v>
      </c>
      <c r="Q565" s="824">
        <f>COUNTIF(P$2:P565, TRUE)/(COUNTIF(P$2:P565,FALSE) + COUNTIF(P$2:P565, TRUE))</f>
        <v>0.48404255319148937</v>
      </c>
      <c r="R565" s="822">
        <v>210366.65</v>
      </c>
      <c r="S565" s="822">
        <f t="shared" si="268"/>
        <v>144022.1</v>
      </c>
      <c r="T565" s="822">
        <v>-29857</v>
      </c>
      <c r="U565" s="822">
        <f t="shared" si="269"/>
        <v>94245.75</v>
      </c>
      <c r="V565" s="824">
        <f>STDEV(D$2:D565)*SQRT(252)</f>
        <v>0.13408415455090031</v>
      </c>
      <c r="W565" s="824">
        <f>STDEV(L$2:L565)*SQRT(252)</f>
        <v>0.28774044965708556</v>
      </c>
      <c r="X565" s="823">
        <f t="shared" si="257"/>
        <v>1.0261465163851142</v>
      </c>
      <c r="Y565" s="823">
        <f t="shared" ref="Y565:Y596" si="275">O565/W565</f>
        <v>0.31882255498684342</v>
      </c>
      <c r="Z565" s="829">
        <f t="shared" si="259"/>
        <v>-0.11097338535717768</v>
      </c>
    </row>
    <row r="566" spans="1:26" ht="20.100000000000001" customHeight="1" x14ac:dyDescent="0.2">
      <c r="A566" s="798">
        <f t="shared" si="266"/>
        <v>885</v>
      </c>
      <c r="B566" s="817">
        <v>43118</v>
      </c>
      <c r="C566" s="842">
        <v>2798.03</v>
      </c>
      <c r="D566" s="814">
        <f t="shared" si="264"/>
        <v>-1.6163793103447367E-3</v>
      </c>
      <c r="E566" s="841">
        <f t="shared" si="271"/>
        <v>0.33084891839957387</v>
      </c>
      <c r="F566" s="838">
        <v>7296.04</v>
      </c>
      <c r="G566" s="814">
        <f t="shared" si="265"/>
        <v>-3.0555186366090493E-4</v>
      </c>
      <c r="H566" s="819">
        <f t="shared" si="261"/>
        <v>0.43292809867038518</v>
      </c>
      <c r="I566" s="821">
        <v>353987.72</v>
      </c>
      <c r="J566" s="822">
        <v>290000</v>
      </c>
      <c r="K566" s="822">
        <f t="shared" si="262"/>
        <v>-401.03000000002794</v>
      </c>
      <c r="L566" s="814">
        <f t="shared" si="274"/>
        <v>-1.1316104137053672E-3</v>
      </c>
      <c r="M566" s="839">
        <f t="shared" si="272"/>
        <v>63987.719999999972</v>
      </c>
      <c r="N566" s="824">
        <f t="shared" si="242"/>
        <v>0.22064731034482749</v>
      </c>
      <c r="O566" s="808">
        <f t="shared" si="267"/>
        <v>9.1063762828755071E-2</v>
      </c>
      <c r="P566" s="839" t="b">
        <f t="shared" si="273"/>
        <v>1</v>
      </c>
      <c r="Q566" s="824">
        <f>COUNTIF(P$2:P566, TRUE)/(COUNTIF(P$2:P566,FALSE) + COUNTIF(P$2:P566, TRUE))</f>
        <v>0.4849557522123894</v>
      </c>
      <c r="R566" s="822">
        <v>212405.65</v>
      </c>
      <c r="S566" s="822">
        <f t="shared" si="268"/>
        <v>141582.06999999998</v>
      </c>
      <c r="T566" s="822">
        <v>-30624</v>
      </c>
      <c r="U566" s="822">
        <f t="shared" si="269"/>
        <v>94611.719999999972</v>
      </c>
      <c r="V566" s="824">
        <f>STDEV(D$2:D566)*SQRT(252)</f>
        <v>0.13397282052500681</v>
      </c>
      <c r="W566" s="824">
        <f>STDEV(L$2:L566)*SQRT(252)</f>
        <v>0.28748729200804252</v>
      </c>
      <c r="X566" s="823">
        <f t="shared" si="257"/>
        <v>1.0192013082546669</v>
      </c>
      <c r="Y566" s="823">
        <f t="shared" si="275"/>
        <v>0.31675752410721358</v>
      </c>
      <c r="Z566" s="829">
        <f t="shared" si="259"/>
        <v>-0.11020160805474638</v>
      </c>
    </row>
    <row r="567" spans="1:26" ht="20.100000000000001" customHeight="1" x14ac:dyDescent="0.2">
      <c r="A567" s="798">
        <f t="shared" si="266"/>
        <v>886</v>
      </c>
      <c r="B567" s="817">
        <v>43119</v>
      </c>
      <c r="C567" s="842">
        <v>2810.3</v>
      </c>
      <c r="D567" s="814">
        <f t="shared" si="264"/>
        <v>4.3852281783969367E-3</v>
      </c>
      <c r="E567" s="841">
        <f t="shared" si="271"/>
        <v>0.33668499457772877</v>
      </c>
      <c r="F567" s="838">
        <v>7336.38</v>
      </c>
      <c r="G567" s="814">
        <f t="shared" si="265"/>
        <v>5.5290267048974714E-3</v>
      </c>
      <c r="H567" s="819">
        <f t="shared" si="261"/>
        <v>0.44085079639413172</v>
      </c>
      <c r="I567" s="821">
        <v>365192.76</v>
      </c>
      <c r="J567" s="822">
        <v>300000</v>
      </c>
      <c r="K567" s="822">
        <f t="shared" si="262"/>
        <v>1205.0400000000373</v>
      </c>
      <c r="L567" s="814">
        <f t="shared" si="274"/>
        <v>3.4041858853183873E-3</v>
      </c>
      <c r="M567" s="839">
        <f t="shared" si="272"/>
        <v>65192.760000000009</v>
      </c>
      <c r="N567" s="824">
        <f t="shared" si="242"/>
        <v>0.21730920000000004</v>
      </c>
      <c r="O567" s="808">
        <f t="shared" si="267"/>
        <v>8.9584859255079016E-2</v>
      </c>
      <c r="P567" s="839" t="b">
        <f t="shared" si="273"/>
        <v>0</v>
      </c>
      <c r="Q567" s="824">
        <f>COUNTIF(P$2:P567, TRUE)/(COUNTIF(P$2:P567,FALSE) + COUNTIF(P$2:P567, TRUE))</f>
        <v>0.48409893992932862</v>
      </c>
      <c r="R567" s="822">
        <v>204670.9</v>
      </c>
      <c r="S567" s="822">
        <f t="shared" si="268"/>
        <v>160521.86000000002</v>
      </c>
      <c r="T567" s="822">
        <v>-30347</v>
      </c>
      <c r="U567" s="822">
        <f t="shared" si="269"/>
        <v>95539.760000000009</v>
      </c>
      <c r="V567" s="824">
        <f>STDEV(D$2:D567)*SQRT(252)</f>
        <v>0.13387859886701176</v>
      </c>
      <c r="W567" s="824">
        <f>STDEV(L$2:L567)*SQRT(252)</f>
        <v>0.28723816892790788</v>
      </c>
      <c r="X567" s="823">
        <f t="shared" si="257"/>
        <v>1.0367382103603608</v>
      </c>
      <c r="Y567" s="823">
        <f t="shared" si="275"/>
        <v>0.31188354803070534</v>
      </c>
      <c r="Z567" s="829">
        <f t="shared" si="259"/>
        <v>-0.11937579457772873</v>
      </c>
    </row>
    <row r="568" spans="1:26" ht="20.100000000000001" customHeight="1" x14ac:dyDescent="0.2">
      <c r="A568" s="798">
        <f t="shared" si="266"/>
        <v>889</v>
      </c>
      <c r="B568" s="817">
        <v>43122</v>
      </c>
      <c r="C568" s="842">
        <v>2832.97</v>
      </c>
      <c r="D568" s="814">
        <f t="shared" si="264"/>
        <v>8.0667544390277245E-3</v>
      </c>
      <c r="E568" s="841">
        <f t="shared" si="271"/>
        <v>0.34746770419132045</v>
      </c>
      <c r="F568" s="838">
        <v>7408.03</v>
      </c>
      <c r="G568" s="814">
        <f t="shared" si="265"/>
        <v>9.7663970514067742E-3</v>
      </c>
      <c r="H568" s="819">
        <f t="shared" si="261"/>
        <v>0.45492271736355244</v>
      </c>
      <c r="I568" s="821">
        <v>368309.46</v>
      </c>
      <c r="J568" s="822">
        <v>300000</v>
      </c>
      <c r="K568" s="822">
        <f t="shared" si="262"/>
        <v>3116.7000000000116</v>
      </c>
      <c r="L568" s="814">
        <f t="shared" si="274"/>
        <v>8.5343970126899871E-3</v>
      </c>
      <c r="M568" s="839">
        <f t="shared" si="272"/>
        <v>68309.460000000021</v>
      </c>
      <c r="N568" s="824">
        <f t="shared" si="242"/>
        <v>0.22769820000000007</v>
      </c>
      <c r="O568" s="808">
        <f t="shared" si="267"/>
        <v>9.3550919628796428E-2</v>
      </c>
      <c r="P568" s="839" t="b">
        <f t="shared" si="273"/>
        <v>1</v>
      </c>
      <c r="Q568" s="824">
        <f>COUNTIF(P$2:P568, TRUE)/(COUNTIF(P$2:P568,FALSE) + COUNTIF(P$2:P568, TRUE))</f>
        <v>0.48500881834215165</v>
      </c>
      <c r="R568" s="822">
        <v>220079.8</v>
      </c>
      <c r="S568" s="822">
        <f t="shared" si="268"/>
        <v>148229.66000000003</v>
      </c>
      <c r="T568" s="822">
        <v>-30244</v>
      </c>
      <c r="U568" s="822">
        <f t="shared" si="269"/>
        <v>98553.460000000021</v>
      </c>
      <c r="V568" s="824">
        <f>STDEV(D$2:D568)*SQRT(252)</f>
        <v>0.13385409195936193</v>
      </c>
      <c r="W568" s="824">
        <f>STDEV(L$2:L568)*SQRT(252)</f>
        <v>0.28703192101417985</v>
      </c>
      <c r="X568" s="823">
        <f t="shared" si="257"/>
        <v>1.0665255307838999</v>
      </c>
      <c r="Y568" s="823">
        <f t="shared" si="275"/>
        <v>0.32592514204778938</v>
      </c>
      <c r="Z568" s="829">
        <f t="shared" si="259"/>
        <v>-0.11976950419132038</v>
      </c>
    </row>
    <row r="569" spans="1:26" ht="20.100000000000001" customHeight="1" x14ac:dyDescent="0.2">
      <c r="A569" s="798">
        <f t="shared" si="266"/>
        <v>890</v>
      </c>
      <c r="B569" s="817">
        <v>43123</v>
      </c>
      <c r="C569" s="842">
        <v>2839.12</v>
      </c>
      <c r="D569" s="814">
        <f t="shared" si="264"/>
        <v>2.170866617013273E-3</v>
      </c>
      <c r="E569" s="841">
        <f t="shared" si="271"/>
        <v>0.35039287684785286</v>
      </c>
      <c r="F569" s="838">
        <v>7460.28</v>
      </c>
      <c r="G569" s="814">
        <f t="shared" si="265"/>
        <v>7.0531571821388413E-3</v>
      </c>
      <c r="H569" s="819">
        <f t="shared" si="261"/>
        <v>0.46518451597698213</v>
      </c>
      <c r="I569" s="821">
        <v>368315.52</v>
      </c>
      <c r="J569" s="822">
        <v>300000</v>
      </c>
      <c r="K569" s="822">
        <f t="shared" si="262"/>
        <v>6.0599999999976717</v>
      </c>
      <c r="L569" s="814">
        <f t="shared" si="274"/>
        <v>1.6453555116389548E-5</v>
      </c>
      <c r="M569" s="839">
        <f t="shared" si="272"/>
        <v>68315.520000000019</v>
      </c>
      <c r="N569" s="824">
        <f t="shared" si="242"/>
        <v>0.22771840000000007</v>
      </c>
      <c r="O569" s="808">
        <f t="shared" si="267"/>
        <v>9.3454096179775306E-2</v>
      </c>
      <c r="P569" s="839" t="b">
        <f t="shared" si="273"/>
        <v>0</v>
      </c>
      <c r="Q569" s="824">
        <f>COUNTIF(P$2:P569, TRUE)/(COUNTIF(P$2:P569,FALSE) + COUNTIF(P$2:P569, TRUE))</f>
        <v>0.48415492957746481</v>
      </c>
      <c r="R569" s="822">
        <v>218456.75</v>
      </c>
      <c r="S569" s="822">
        <f t="shared" si="268"/>
        <v>149858.77000000002</v>
      </c>
      <c r="T569" s="822">
        <v>-30209</v>
      </c>
      <c r="U569" s="822">
        <f t="shared" si="269"/>
        <v>98524.520000000019</v>
      </c>
      <c r="V569" s="824">
        <f>STDEV(D$2:D569)*SQRT(252)</f>
        <v>0.1337400925810926</v>
      </c>
      <c r="W569" s="824">
        <f>STDEV(L$2:L569)*SQRT(252)</f>
        <v>0.28677858516310845</v>
      </c>
      <c r="X569" s="823">
        <f t="shared" si="257"/>
        <v>1.0752114170400873</v>
      </c>
      <c r="Y569" s="823">
        <f t="shared" si="275"/>
        <v>0.32587543496883586</v>
      </c>
      <c r="Z569" s="829">
        <f t="shared" si="259"/>
        <v>-0.12267447684785279</v>
      </c>
    </row>
    <row r="570" spans="1:26" ht="20.100000000000001" customHeight="1" x14ac:dyDescent="0.2">
      <c r="A570" s="798">
        <f t="shared" si="266"/>
        <v>891</v>
      </c>
      <c r="B570" s="817">
        <v>43124</v>
      </c>
      <c r="C570" s="842">
        <v>2837.54</v>
      </c>
      <c r="D570" s="814">
        <f t="shared" si="264"/>
        <v>-5.5651046803232239E-4</v>
      </c>
      <c r="E570" s="841">
        <f t="shared" si="271"/>
        <v>0.3496413690759308</v>
      </c>
      <c r="F570" s="838">
        <v>7415.05</v>
      </c>
      <c r="G570" s="814">
        <f t="shared" si="265"/>
        <v>-6.0627751237218395E-3</v>
      </c>
      <c r="H570" s="819">
        <f t="shared" si="261"/>
        <v>0.4563014317418545</v>
      </c>
      <c r="I570" s="821">
        <v>368621.05</v>
      </c>
      <c r="J570" s="822">
        <v>300000</v>
      </c>
      <c r="K570" s="822">
        <f t="shared" si="262"/>
        <v>305.52999999996973</v>
      </c>
      <c r="L570" s="814">
        <f t="shared" si="274"/>
        <v>8.2953333055302617E-4</v>
      </c>
      <c r="M570" s="839">
        <f t="shared" si="272"/>
        <v>68621.049999999988</v>
      </c>
      <c r="N570" s="824">
        <f t="shared" si="242"/>
        <v>0.22873683333333331</v>
      </c>
      <c r="O570" s="808">
        <f t="shared" si="267"/>
        <v>9.3766698512906838E-2</v>
      </c>
      <c r="P570" s="839" t="b">
        <f t="shared" si="273"/>
        <v>1</v>
      </c>
      <c r="Q570" s="824">
        <f>COUNTIF(P$2:P570, TRUE)/(COUNTIF(P$2:P570,FALSE) + COUNTIF(P$2:P570, TRUE))</f>
        <v>0.48506151142355008</v>
      </c>
      <c r="R570" s="822">
        <v>219596.85</v>
      </c>
      <c r="S570" s="822">
        <f t="shared" si="268"/>
        <v>149024.19999999998</v>
      </c>
      <c r="T570" s="822">
        <v>-30343</v>
      </c>
      <c r="U570" s="822">
        <f t="shared" si="269"/>
        <v>98964.049999999988</v>
      </c>
      <c r="V570" s="824">
        <f>STDEV(D$2:D570)*SQRT(252)</f>
        <v>0.13362419314060342</v>
      </c>
      <c r="W570" s="824">
        <f>STDEV(L$2:L570)*SQRT(252)</f>
        <v>0.28652560070203631</v>
      </c>
      <c r="X570" s="823">
        <f t="shared" si="257"/>
        <v>1.0726307345929313</v>
      </c>
      <c r="Y570" s="823">
        <f t="shared" si="275"/>
        <v>0.32725417304130078</v>
      </c>
      <c r="Z570" s="829">
        <f t="shared" si="259"/>
        <v>-0.12090453574259749</v>
      </c>
    </row>
    <row r="571" spans="1:26" ht="20.100000000000001" customHeight="1" x14ac:dyDescent="0.2">
      <c r="A571" s="798">
        <f t="shared" si="266"/>
        <v>892</v>
      </c>
      <c r="B571" s="817">
        <v>43125</v>
      </c>
      <c r="C571" s="842">
        <v>2839.25</v>
      </c>
      <c r="D571" s="814">
        <f t="shared" si="264"/>
        <v>6.0263467651558618E-4</v>
      </c>
      <c r="E571" s="841">
        <f t="shared" si="271"/>
        <v>0.3504547097657959</v>
      </c>
      <c r="F571" s="838">
        <v>7411.16</v>
      </c>
      <c r="G571" s="814">
        <f t="shared" si="265"/>
        <v>-5.2460873493777218E-4</v>
      </c>
      <c r="H571" s="819">
        <f t="shared" si="261"/>
        <v>0.4555374432900603</v>
      </c>
      <c r="I571" s="821">
        <v>365192.24</v>
      </c>
      <c r="J571" s="822">
        <v>300000</v>
      </c>
      <c r="K571" s="822">
        <f t="shared" si="262"/>
        <v>-3428.8099999999977</v>
      </c>
      <c r="L571" s="814">
        <f t="shared" si="274"/>
        <v>-9.3017205609934595E-3</v>
      </c>
      <c r="M571" s="839">
        <f t="shared" si="272"/>
        <v>65192.239999999991</v>
      </c>
      <c r="N571" s="824">
        <f t="shared" si="242"/>
        <v>0.21730746666666664</v>
      </c>
      <c r="O571" s="808">
        <f t="shared" si="267"/>
        <v>8.8981560762331838E-2</v>
      </c>
      <c r="P571" s="839" t="b">
        <f t="shared" si="273"/>
        <v>0</v>
      </c>
      <c r="Q571" s="824">
        <f>COUNTIF(P$2:P571, TRUE)/(COUNTIF(P$2:P571,FALSE) + COUNTIF(P$2:P571, TRUE))</f>
        <v>0.48421052631578948</v>
      </c>
      <c r="R571" s="822">
        <v>213406.25</v>
      </c>
      <c r="S571" s="822">
        <f t="shared" si="268"/>
        <v>151785.99</v>
      </c>
      <c r="T571" s="822">
        <v>-32432</v>
      </c>
      <c r="U571" s="822">
        <f t="shared" si="269"/>
        <v>97624.239999999991</v>
      </c>
      <c r="V571" s="824">
        <f>STDEV(D$2:D571)*SQRT(252)</f>
        <v>0.13350651695509588</v>
      </c>
      <c r="W571" s="824">
        <f>STDEV(L$2:L571)*SQRT(252)</f>
        <v>0.28635026505168731</v>
      </c>
      <c r="X571" s="823">
        <f t="shared" si="257"/>
        <v>1.0748671873647724</v>
      </c>
      <c r="Y571" s="823">
        <f t="shared" si="275"/>
        <v>0.31074376950994032</v>
      </c>
      <c r="Z571" s="829">
        <f t="shared" si="259"/>
        <v>-0.13314724309912926</v>
      </c>
    </row>
    <row r="572" spans="1:26" ht="20.100000000000001" customHeight="1" x14ac:dyDescent="0.2">
      <c r="A572" s="798">
        <f t="shared" si="266"/>
        <v>893</v>
      </c>
      <c r="B572" s="817">
        <v>43126</v>
      </c>
      <c r="C572" s="842">
        <v>2872.87</v>
      </c>
      <c r="D572" s="814">
        <f t="shared" si="264"/>
        <v>1.1841155234657001E-2</v>
      </c>
      <c r="E572" s="841">
        <f t="shared" si="271"/>
        <v>0.36644565362150633</v>
      </c>
      <c r="F572" s="838">
        <v>7505.77</v>
      </c>
      <c r="G572" s="814">
        <f t="shared" si="265"/>
        <v>1.2765882803771687E-2</v>
      </c>
      <c r="H572" s="819">
        <f t="shared" si="261"/>
        <v>0.47411866370760269</v>
      </c>
      <c r="I572" s="821">
        <v>367940.03</v>
      </c>
      <c r="J572" s="822">
        <v>300000</v>
      </c>
      <c r="K572" s="822">
        <f t="shared" si="262"/>
        <v>2747.7900000000373</v>
      </c>
      <c r="L572" s="814">
        <f t="shared" si="274"/>
        <v>7.5242288828482155E-3</v>
      </c>
      <c r="M572" s="839">
        <f t="shared" si="272"/>
        <v>67940.030000000028</v>
      </c>
      <c r="N572" s="824">
        <f t="shared" si="242"/>
        <v>0.22646676666666676</v>
      </c>
      <c r="O572" s="808">
        <f t="shared" si="267"/>
        <v>9.2628204395296801E-2</v>
      </c>
      <c r="P572" s="839" t="b">
        <f t="shared" si="273"/>
        <v>0</v>
      </c>
      <c r="Q572" s="824">
        <f>COUNTIF(P$2:P572, TRUE)/(COUNTIF(P$2:P572,FALSE) + COUNTIF(P$2:P572, TRUE))</f>
        <v>0.48336252189141854</v>
      </c>
      <c r="R572" s="822">
        <v>189727.75</v>
      </c>
      <c r="S572" s="822">
        <f t="shared" si="268"/>
        <v>178212.28000000003</v>
      </c>
      <c r="T572" s="822">
        <v>-32122</v>
      </c>
      <c r="U572" s="822">
        <f t="shared" si="269"/>
        <v>100062.03000000003</v>
      </c>
      <c r="V572" s="824">
        <f>STDEV(D$2:D572)*SQRT(252)</f>
        <v>0.13359975823184689</v>
      </c>
      <c r="W572" s="824">
        <f>STDEV(L$2:L572)*SQRT(252)</f>
        <v>0.28613494749113977</v>
      </c>
      <c r="X572" s="823">
        <f t="shared" si="257"/>
        <v>1.1218703455007415</v>
      </c>
      <c r="Y572" s="823">
        <f t="shared" si="275"/>
        <v>0.32372209409395913</v>
      </c>
      <c r="Z572" s="829">
        <f t="shared" si="259"/>
        <v>-0.13997888695483957</v>
      </c>
    </row>
    <row r="573" spans="1:26" ht="20.100000000000001" customHeight="1" x14ac:dyDescent="0.2">
      <c r="A573" s="798">
        <f t="shared" si="266"/>
        <v>896</v>
      </c>
      <c r="B573" s="817">
        <v>43129</v>
      </c>
      <c r="C573" s="842">
        <v>2853.53</v>
      </c>
      <c r="D573" s="814">
        <f t="shared" si="264"/>
        <v>-6.7319440141738723E-3</v>
      </c>
      <c r="E573" s="841">
        <f t="shared" si="271"/>
        <v>0.35724681798291513</v>
      </c>
      <c r="F573" s="838">
        <v>7466.5</v>
      </c>
      <c r="G573" s="814">
        <f t="shared" si="265"/>
        <v>-5.2319748673354547E-3</v>
      </c>
      <c r="H573" s="819">
        <f t="shared" si="261"/>
        <v>0.46640611190761438</v>
      </c>
      <c r="I573" s="821">
        <v>367642.25</v>
      </c>
      <c r="J573" s="822">
        <v>300000</v>
      </c>
      <c r="K573" s="822">
        <f t="shared" si="262"/>
        <v>-297.78000000002794</v>
      </c>
      <c r="L573" s="814">
        <f t="shared" si="274"/>
        <v>-8.0931667043683151E-4</v>
      </c>
      <c r="M573" s="839">
        <f t="shared" si="272"/>
        <v>67642.25</v>
      </c>
      <c r="N573" s="824">
        <f t="shared" si="242"/>
        <v>0.22547416666666667</v>
      </c>
      <c r="O573" s="808">
        <f t="shared" si="267"/>
        <v>9.1913436802455367E-2</v>
      </c>
      <c r="P573" s="839" t="b">
        <f t="shared" si="273"/>
        <v>1</v>
      </c>
      <c r="Q573" s="824">
        <f>COUNTIF(P$2:P573, TRUE)/(COUNTIF(P$2:P573,FALSE) + COUNTIF(P$2:P573, TRUE))</f>
        <v>0.48426573426573427</v>
      </c>
      <c r="R573" s="822">
        <v>189728.75</v>
      </c>
      <c r="S573" s="822">
        <f t="shared" si="268"/>
        <v>177913.5</v>
      </c>
      <c r="T573" s="822">
        <v>-32121</v>
      </c>
      <c r="U573" s="822">
        <f t="shared" si="269"/>
        <v>99763.25</v>
      </c>
      <c r="V573" s="824">
        <f>STDEV(D$2:D573)*SQRT(252)</f>
        <v>0.13357094602559386</v>
      </c>
      <c r="W573" s="824">
        <f>STDEV(L$2:L573)*SQRT(252)</f>
        <v>0.28588553208856937</v>
      </c>
      <c r="X573" s="823">
        <f t="shared" si="257"/>
        <v>1.0902813474554434</v>
      </c>
      <c r="Y573" s="823">
        <f t="shared" si="275"/>
        <v>0.32150433122995509</v>
      </c>
      <c r="Z573" s="829">
        <f t="shared" si="259"/>
        <v>-0.13177265131624846</v>
      </c>
    </row>
    <row r="574" spans="1:26" ht="20.100000000000001" customHeight="1" x14ac:dyDescent="0.2">
      <c r="A574" s="798">
        <f t="shared" si="266"/>
        <v>897</v>
      </c>
      <c r="B574" s="817">
        <v>43130</v>
      </c>
      <c r="C574" s="842">
        <v>2822.43</v>
      </c>
      <c r="D574" s="814">
        <f t="shared" si="264"/>
        <v>-1.0898781509218533E-2</v>
      </c>
      <c r="E574" s="841">
        <f t="shared" si="271"/>
        <v>0.34245448145963725</v>
      </c>
      <c r="F574" s="838">
        <v>7402.48</v>
      </c>
      <c r="G574" s="814">
        <f t="shared" si="265"/>
        <v>-8.5742985334494662E-3</v>
      </c>
      <c r="H574" s="819">
        <f t="shared" si="261"/>
        <v>0.4538327081328436</v>
      </c>
      <c r="I574" s="821">
        <v>363472.55</v>
      </c>
      <c r="J574" s="822">
        <v>300000</v>
      </c>
      <c r="K574" s="822">
        <f t="shared" si="262"/>
        <v>-4169.7000000000116</v>
      </c>
      <c r="L574" s="814">
        <f t="shared" si="274"/>
        <v>-1.1341732349859168E-2</v>
      </c>
      <c r="M574" s="839">
        <f t="shared" si="272"/>
        <v>63472.549999999988</v>
      </c>
      <c r="N574" s="824">
        <f t="shared" si="242"/>
        <v>0.21157516666666662</v>
      </c>
      <c r="O574" s="808">
        <f t="shared" si="267"/>
        <v>8.6151426560758054E-2</v>
      </c>
      <c r="P574" s="839" t="b">
        <f t="shared" si="273"/>
        <v>0</v>
      </c>
      <c r="Q574" s="824">
        <f>COUNTIF(P$2:P574, TRUE)/(COUNTIF(P$2:P574,FALSE) + COUNTIF(P$2:P574, TRUE))</f>
        <v>0.48342059336823734</v>
      </c>
      <c r="R574" s="822">
        <v>202153.55</v>
      </c>
      <c r="S574" s="822">
        <f t="shared" si="268"/>
        <v>161319</v>
      </c>
      <c r="T574" s="822">
        <v>-32010</v>
      </c>
      <c r="U574" s="822">
        <f t="shared" si="269"/>
        <v>95482.549999999988</v>
      </c>
      <c r="V574" s="824">
        <f>STDEV(D$2:D574)*SQRT(252)</f>
        <v>0.13367087900186314</v>
      </c>
      <c r="W574" s="824">
        <f>STDEV(L$2:L574)*SQRT(252)</f>
        <v>0.28574629394244244</v>
      </c>
      <c r="X574" s="823">
        <f t="shared" si="257"/>
        <v>1.0431909998648377</v>
      </c>
      <c r="Y574" s="823">
        <f t="shared" si="275"/>
        <v>0.30149621670372895</v>
      </c>
      <c r="Z574" s="829">
        <f t="shared" si="259"/>
        <v>-0.13087931479297063</v>
      </c>
    </row>
    <row r="575" spans="1:26" ht="20.100000000000001" customHeight="1" x14ac:dyDescent="0.2">
      <c r="A575" s="798">
        <f t="shared" si="266"/>
        <v>898</v>
      </c>
      <c r="B575" s="817">
        <v>43131</v>
      </c>
      <c r="C575" s="842">
        <v>2823.81</v>
      </c>
      <c r="D575" s="814">
        <f t="shared" si="264"/>
        <v>4.8894038116095327E-4</v>
      </c>
      <c r="E575" s="841">
        <f t="shared" si="271"/>
        <v>0.34311086166549337</v>
      </c>
      <c r="F575" s="838">
        <v>7411.48</v>
      </c>
      <c r="G575" s="814">
        <f t="shared" si="265"/>
        <v>1.215808755984481E-3</v>
      </c>
      <c r="H575" s="819">
        <f t="shared" ref="H575:H606" si="276">(F575-F$2)/F$2</f>
        <v>0.45560029066912816</v>
      </c>
      <c r="I575" s="844">
        <v>363062.5</v>
      </c>
      <c r="J575" s="822">
        <v>300000</v>
      </c>
      <c r="K575" s="822">
        <f t="shared" ref="K575:K606" si="277">I575-I574-J575+J574</f>
        <v>-410.04999999998836</v>
      </c>
      <c r="L575" s="814">
        <f t="shared" si="274"/>
        <v>-1.1281457155429987E-3</v>
      </c>
      <c r="M575" s="844">
        <f t="shared" si="272"/>
        <v>63062.5</v>
      </c>
      <c r="N575" s="824">
        <f t="shared" si="242"/>
        <v>0.21020833333333333</v>
      </c>
      <c r="O575" s="808">
        <f t="shared" si="267"/>
        <v>8.5499547605790635E-2</v>
      </c>
      <c r="P575" s="839" t="b">
        <f t="shared" si="273"/>
        <v>0</v>
      </c>
      <c r="Q575" s="824">
        <f>COUNTIF(P$2:P575, TRUE)/(COUNTIF(P$2:P575,FALSE) + COUNTIF(P$2:P575, TRUE))</f>
        <v>0.48257839721254353</v>
      </c>
      <c r="R575" s="822">
        <v>225816.5</v>
      </c>
      <c r="S575" s="822">
        <f t="shared" si="268"/>
        <v>137246</v>
      </c>
      <c r="T575" s="822">
        <v>-31812</v>
      </c>
      <c r="U575" s="822">
        <f t="shared" si="269"/>
        <v>94874.5</v>
      </c>
      <c r="V575" s="824">
        <f>STDEV(D$2:D575)*SQRT(252)</f>
        <v>0.13355398891699974</v>
      </c>
      <c r="W575" s="824">
        <f>STDEV(L$2:L575)*SQRT(252)</f>
        <v>0.28549883335268605</v>
      </c>
      <c r="X575" s="823">
        <f t="shared" si="257"/>
        <v>1.0449403282928045</v>
      </c>
      <c r="Y575" s="823">
        <f t="shared" si="275"/>
        <v>0.29947424513700288</v>
      </c>
      <c r="Z575" s="829">
        <f t="shared" si="259"/>
        <v>-0.13290252833216004</v>
      </c>
    </row>
    <row r="576" spans="1:26" ht="20.100000000000001" customHeight="1" x14ac:dyDescent="0.2">
      <c r="A576" s="798">
        <f t="shared" si="266"/>
        <v>899</v>
      </c>
      <c r="B576" s="817">
        <v>43132</v>
      </c>
      <c r="C576" s="842">
        <v>2821.98</v>
      </c>
      <c r="D576" s="814">
        <f t="shared" ref="D576:D607" si="278">(C576-C575)/C575</f>
        <v>-6.4806059897795079E-4</v>
      </c>
      <c r="E576" s="841">
        <f t="shared" si="271"/>
        <v>0.34224044443598861</v>
      </c>
      <c r="F576" s="838">
        <v>7385.86</v>
      </c>
      <c r="G576" s="814">
        <f t="shared" ref="G576:G607" si="279">(F576-F575)/F575</f>
        <v>-3.4567994516614621E-3</v>
      </c>
      <c r="H576" s="819">
        <f t="shared" si="276"/>
        <v>0.45056857238250486</v>
      </c>
      <c r="I576" s="821">
        <v>363770.56</v>
      </c>
      <c r="J576" s="822">
        <v>300000</v>
      </c>
      <c r="K576" s="822">
        <f t="shared" si="277"/>
        <v>708.05999999999767</v>
      </c>
      <c r="L576" s="814">
        <f t="shared" si="274"/>
        <v>1.95024272680323E-3</v>
      </c>
      <c r="M576" s="839">
        <f t="shared" si="272"/>
        <v>63770.559999999998</v>
      </c>
      <c r="N576" s="824">
        <f t="shared" si="242"/>
        <v>0.21256853333333334</v>
      </c>
      <c r="O576" s="808">
        <f t="shared" si="267"/>
        <v>8.6363355728587318E-2</v>
      </c>
      <c r="P576" s="839" t="b">
        <f t="shared" si="273"/>
        <v>1</v>
      </c>
      <c r="Q576" s="824">
        <f>COUNTIF(P$2:P576, TRUE)/(COUNTIF(P$2:P576,FALSE) + COUNTIF(P$2:P576, TRUE))</f>
        <v>0.48347826086956519</v>
      </c>
      <c r="R576" s="822">
        <v>233398.5</v>
      </c>
      <c r="S576" s="822">
        <f t="shared" si="268"/>
        <v>130372.06</v>
      </c>
      <c r="T576" s="822">
        <v>-31543</v>
      </c>
      <c r="U576" s="822">
        <f t="shared" si="269"/>
        <v>95313.56</v>
      </c>
      <c r="V576" s="824">
        <f>STDEV(D$2:D576)*SQRT(252)</f>
        <v>0.13343976080758532</v>
      </c>
      <c r="W576" s="824">
        <f>STDEV(L$2:L576)*SQRT(252)</f>
        <v>0.28525091154522259</v>
      </c>
      <c r="X576" s="823">
        <f t="shared" si="257"/>
        <v>1.0420213306571622</v>
      </c>
      <c r="Y576" s="823">
        <f t="shared" si="275"/>
        <v>0.30276276861220686</v>
      </c>
      <c r="Z576" s="829">
        <f t="shared" si="259"/>
        <v>-0.12967191110265527</v>
      </c>
    </row>
    <row r="577" spans="1:26" ht="20.100000000000001" customHeight="1" x14ac:dyDescent="0.2">
      <c r="A577" s="798">
        <f t="shared" si="266"/>
        <v>900</v>
      </c>
      <c r="B577" s="817">
        <v>43133</v>
      </c>
      <c r="C577" s="842">
        <v>2762.13</v>
      </c>
      <c r="D577" s="814">
        <f t="shared" si="278"/>
        <v>-2.1208513171602886E-2</v>
      </c>
      <c r="E577" s="841">
        <f t="shared" si="271"/>
        <v>0.31377352029070987</v>
      </c>
      <c r="F577" s="838">
        <v>7240.94</v>
      </c>
      <c r="G577" s="814">
        <f t="shared" si="279"/>
        <v>-1.9621276330718439E-2</v>
      </c>
      <c r="H577" s="819">
        <f t="shared" si="276"/>
        <v>0.422106565587132</v>
      </c>
      <c r="I577" s="821">
        <v>356559.21</v>
      </c>
      <c r="J577" s="822">
        <v>300000</v>
      </c>
      <c r="K577" s="822">
        <f t="shared" si="277"/>
        <v>-7211.3499999999767</v>
      </c>
      <c r="L577" s="814">
        <f t="shared" si="274"/>
        <v>-1.9823896689165767E-2</v>
      </c>
      <c r="M577" s="839">
        <f t="shared" si="272"/>
        <v>56559.210000000021</v>
      </c>
      <c r="N577" s="824">
        <f t="shared" ref="N577:N617" si="280">M577/J577</f>
        <v>0.18853070000000008</v>
      </c>
      <c r="O577" s="808">
        <f t="shared" si="267"/>
        <v>7.651204241666669E-2</v>
      </c>
      <c r="P577" s="839" t="b">
        <f t="shared" si="273"/>
        <v>1</v>
      </c>
      <c r="Q577" s="824">
        <f>COUNTIF(P$2:P577, TRUE)/(COUNTIF(P$2:P577,FALSE) + COUNTIF(P$2:P577, TRUE))</f>
        <v>0.484375</v>
      </c>
      <c r="R577" s="822">
        <v>256773.45</v>
      </c>
      <c r="S577" s="822">
        <f t="shared" si="268"/>
        <v>99785.760000000009</v>
      </c>
      <c r="T577" s="822">
        <v>-31380</v>
      </c>
      <c r="U577" s="822">
        <f t="shared" si="269"/>
        <v>87939.210000000021</v>
      </c>
      <c r="V577" s="824">
        <f>STDEV(D$2:D577)*SQRT(252)</f>
        <v>0.13409921649872969</v>
      </c>
      <c r="W577" s="824">
        <f>STDEV(L$2:L577)*SQRT(252)</f>
        <v>0.28532431904874161</v>
      </c>
      <c r="X577" s="823">
        <f t="shared" si="257"/>
        <v>0.94959356941894857</v>
      </c>
      <c r="Y577" s="823">
        <f t="shared" si="275"/>
        <v>0.26815815305107671</v>
      </c>
      <c r="Z577" s="829">
        <f t="shared" si="259"/>
        <v>-0.12524282029070979</v>
      </c>
    </row>
    <row r="578" spans="1:26" ht="20.100000000000001" customHeight="1" x14ac:dyDescent="0.2">
      <c r="A578" s="798">
        <f t="shared" si="266"/>
        <v>903</v>
      </c>
      <c r="B578" s="817">
        <v>43136</v>
      </c>
      <c r="C578" s="842">
        <v>2648.94</v>
      </c>
      <c r="D578" s="814">
        <f t="shared" si="278"/>
        <v>-4.0979244278871757E-2</v>
      </c>
      <c r="E578" s="841">
        <f t="shared" si="271"/>
        <v>0.25993607427560356</v>
      </c>
      <c r="F578" s="838">
        <v>6967.52</v>
      </c>
      <c r="G578" s="814">
        <f t="shared" si="279"/>
        <v>-3.7760290790974538E-2</v>
      </c>
      <c r="H578" s="819">
        <f t="shared" si="276"/>
        <v>0.36840740813480777</v>
      </c>
      <c r="I578" s="821">
        <v>346151.51</v>
      </c>
      <c r="J578" s="822">
        <v>300000</v>
      </c>
      <c r="K578" s="822">
        <f t="shared" si="277"/>
        <v>-10407.700000000012</v>
      </c>
      <c r="L578" s="814">
        <f t="shared" si="274"/>
        <v>-2.918926144131857E-2</v>
      </c>
      <c r="M578" s="839">
        <f t="shared" si="272"/>
        <v>46151.510000000009</v>
      </c>
      <c r="N578" s="824">
        <f t="shared" si="280"/>
        <v>0.1538383666666667</v>
      </c>
      <c r="O578" s="808">
        <f t="shared" si="267"/>
        <v>6.2225319407530469E-2</v>
      </c>
      <c r="P578" s="839" t="b">
        <f t="shared" si="273"/>
        <v>1</v>
      </c>
      <c r="Q578" s="824">
        <f>COUNTIF(P$2:P578, TRUE)/(COUNTIF(P$2:P578,FALSE) + COUNTIF(P$2:P578, TRUE))</f>
        <v>0.48526863084922012</v>
      </c>
      <c r="R578" s="822">
        <v>265974.57</v>
      </c>
      <c r="S578" s="822">
        <f t="shared" si="268"/>
        <v>80176.94</v>
      </c>
      <c r="T578" s="822">
        <v>-31901</v>
      </c>
      <c r="U578" s="822">
        <f t="shared" si="269"/>
        <v>78052.510000000009</v>
      </c>
      <c r="V578" s="824">
        <f>STDEV(D$2:D578)*SQRT(252)</f>
        <v>0.13676413993416908</v>
      </c>
      <c r="W578" s="824">
        <f>STDEV(L$2:L578)*SQRT(252)</f>
        <v>0.28575670816669452</v>
      </c>
      <c r="X578" s="823">
        <f t="shared" si="257"/>
        <v>0.76877064417325591</v>
      </c>
      <c r="Y578" s="823">
        <f t="shared" si="275"/>
        <v>0.21775628578151066</v>
      </c>
      <c r="Z578" s="829">
        <f t="shared" si="259"/>
        <v>-0.10609770760893686</v>
      </c>
    </row>
    <row r="579" spans="1:26" ht="20.100000000000001" customHeight="1" x14ac:dyDescent="0.2">
      <c r="A579" s="798">
        <f t="shared" ref="A579:A610" si="281">B579-$B$2</f>
        <v>904</v>
      </c>
      <c r="B579" s="817">
        <v>43137</v>
      </c>
      <c r="C579" s="842">
        <v>2695.14</v>
      </c>
      <c r="D579" s="814">
        <f t="shared" si="278"/>
        <v>1.7440938639606718E-2</v>
      </c>
      <c r="E579" s="841">
        <f t="shared" si="271"/>
        <v>0.28191054203687133</v>
      </c>
      <c r="F579" s="838">
        <v>7115.88</v>
      </c>
      <c r="G579" s="814">
        <f t="shared" si="279"/>
        <v>2.1293085631616367E-2</v>
      </c>
      <c r="H579" s="819">
        <f t="shared" si="276"/>
        <v>0.39754502425516042</v>
      </c>
      <c r="I579" s="821">
        <v>368455.72</v>
      </c>
      <c r="J579" s="822">
        <v>315000</v>
      </c>
      <c r="K579" s="822">
        <f t="shared" si="277"/>
        <v>7304.2099999999627</v>
      </c>
      <c r="L579" s="814">
        <f t="shared" si="274"/>
        <v>2.1101193520721498E-2</v>
      </c>
      <c r="M579" s="839">
        <f t="shared" si="272"/>
        <v>53455.719999999972</v>
      </c>
      <c r="N579" s="824">
        <f t="shared" si="280"/>
        <v>0.16970069841269833</v>
      </c>
      <c r="O579" s="808">
        <f t="shared" ref="O579:O610" si="282">N579/(A579/365.25)</f>
        <v>6.8565464707121757E-2</v>
      </c>
      <c r="P579" s="839" t="b">
        <f t="shared" si="273"/>
        <v>1</v>
      </c>
      <c r="Q579" s="824">
        <f>COUNTIF(P$2:P579, TRUE)/(COUNTIF(P$2:P579,FALSE) + COUNTIF(P$2:P579, TRUE))</f>
        <v>0.48615916955017302</v>
      </c>
      <c r="R579" s="822">
        <v>296999.40999999997</v>
      </c>
      <c r="S579" s="822">
        <f t="shared" si="268"/>
        <v>71456.31</v>
      </c>
      <c r="T579" s="822">
        <v>-31165</v>
      </c>
      <c r="U579" s="822">
        <f t="shared" si="269"/>
        <v>84620.719999999972</v>
      </c>
      <c r="V579" s="824">
        <f>STDEV(D$2:D579)*SQRT(252)</f>
        <v>0.13710658349791818</v>
      </c>
      <c r="W579" s="824">
        <f>STDEV(L$2:L579)*SQRT(252)</f>
        <v>0.28583112452570963</v>
      </c>
      <c r="X579" s="823">
        <f t="shared" si="257"/>
        <v>0.8307585157991072</v>
      </c>
      <c r="Y579" s="823">
        <f t="shared" si="275"/>
        <v>0.23988103052421256</v>
      </c>
      <c r="Z579" s="829">
        <f t="shared" si="259"/>
        <v>-0.11220984362417299</v>
      </c>
    </row>
    <row r="580" spans="1:26" ht="20.100000000000001" customHeight="1" x14ac:dyDescent="0.2">
      <c r="A580" s="798">
        <f t="shared" si="281"/>
        <v>905</v>
      </c>
      <c r="B580" s="817">
        <v>43138</v>
      </c>
      <c r="C580" s="842">
        <v>2681.66</v>
      </c>
      <c r="D580" s="814">
        <f t="shared" si="278"/>
        <v>-5.0015954644285713E-3</v>
      </c>
      <c r="E580" s="841">
        <f t="shared" si="271"/>
        <v>0.27549894408401654</v>
      </c>
      <c r="F580" s="838">
        <v>7051.98</v>
      </c>
      <c r="G580" s="814">
        <f t="shared" si="279"/>
        <v>-8.979915344272324E-3</v>
      </c>
      <c r="H580" s="819">
        <f t="shared" si="276"/>
        <v>0.38499518824754009</v>
      </c>
      <c r="I580" s="821">
        <v>449047.22</v>
      </c>
      <c r="J580" s="822">
        <v>400000</v>
      </c>
      <c r="K580" s="822">
        <f t="shared" si="277"/>
        <v>-4408.5</v>
      </c>
      <c r="L580" s="814">
        <f t="shared" si="274"/>
        <v>-1.196480271767799E-2</v>
      </c>
      <c r="M580" s="839">
        <f t="shared" si="272"/>
        <v>49047.219999999972</v>
      </c>
      <c r="N580" s="824">
        <f t="shared" si="280"/>
        <v>0.12261804999999994</v>
      </c>
      <c r="O580" s="808">
        <f t="shared" si="282"/>
        <v>4.9487561063535884E-2</v>
      </c>
      <c r="P580" s="839" t="b">
        <f t="shared" si="273"/>
        <v>0</v>
      </c>
      <c r="Q580" s="824">
        <f>COUNTIF(P$2:P580, TRUE)/(COUNTIF(P$2:P580,FALSE) + COUNTIF(P$2:P580, TRUE))</f>
        <v>0.48531951640759929</v>
      </c>
      <c r="R580" s="822">
        <v>292590.90999999997</v>
      </c>
      <c r="S580" s="822">
        <f t="shared" si="268"/>
        <v>156456.31</v>
      </c>
      <c r="T580" s="822">
        <v>-30966</v>
      </c>
      <c r="U580" s="822">
        <f t="shared" si="269"/>
        <v>80013.219999999972</v>
      </c>
      <c r="V580" s="824">
        <f>STDEV(D$2:D580)*SQRT(252)</f>
        <v>0.13703531607045086</v>
      </c>
      <c r="W580" s="824">
        <f>STDEV(L$2:L580)*SQRT(252)</f>
        <v>0.28570370626215735</v>
      </c>
      <c r="X580" s="823">
        <f t="shared" si="257"/>
        <v>0.81138893002854873</v>
      </c>
      <c r="Y580" s="823">
        <f t="shared" si="275"/>
        <v>0.17321287746308356</v>
      </c>
      <c r="Z580" s="829">
        <f t="shared" si="259"/>
        <v>-0.15288089408401662</v>
      </c>
    </row>
    <row r="581" spans="1:26" ht="20.100000000000001" customHeight="1" x14ac:dyDescent="0.2">
      <c r="A581" s="798">
        <f t="shared" si="281"/>
        <v>906</v>
      </c>
      <c r="B581" s="817">
        <v>43139</v>
      </c>
      <c r="C581" s="842">
        <v>2581</v>
      </c>
      <c r="D581" s="814">
        <f t="shared" si="278"/>
        <v>-3.753645130255135E-2</v>
      </c>
      <c r="E581" s="841">
        <f t="shared" si="271"/>
        <v>0.2276212400829512</v>
      </c>
      <c r="F581" s="838">
        <v>6777.15</v>
      </c>
      <c r="G581" s="814">
        <f t="shared" si="279"/>
        <v>-3.8972033386368073E-2</v>
      </c>
      <c r="H581" s="819">
        <f t="shared" si="276"/>
        <v>0.33101910953119779</v>
      </c>
      <c r="I581" s="821">
        <v>437852.33</v>
      </c>
      <c r="J581" s="822">
        <v>400000</v>
      </c>
      <c r="K581" s="822">
        <f t="shared" si="277"/>
        <v>-11194.889999999956</v>
      </c>
      <c r="L581" s="814">
        <f t="shared" si="274"/>
        <v>-2.4930318018670634E-2</v>
      </c>
      <c r="M581" s="839">
        <f t="shared" si="272"/>
        <v>37852.330000000016</v>
      </c>
      <c r="N581" s="824">
        <f t="shared" si="280"/>
        <v>9.4630825000000043E-2</v>
      </c>
      <c r="O581" s="808">
        <f t="shared" si="282"/>
        <v>3.8150009747516575E-2</v>
      </c>
      <c r="P581" s="839" t="b">
        <f t="shared" si="273"/>
        <v>1</v>
      </c>
      <c r="Q581" s="824">
        <f>COUNTIF(P$2:P581, TRUE)/(COUNTIF(P$2:P581,FALSE) + COUNTIF(P$2:P581, TRUE))</f>
        <v>0.48620689655172411</v>
      </c>
      <c r="R581" s="822">
        <v>297311.21000000002</v>
      </c>
      <c r="S581" s="822">
        <f t="shared" si="268"/>
        <v>140541.12</v>
      </c>
      <c r="T581" s="822">
        <v>-31340</v>
      </c>
      <c r="U581" s="822">
        <f t="shared" si="269"/>
        <v>69192.330000000016</v>
      </c>
      <c r="V581" s="824">
        <f>STDEV(D$2:D581)*SQRT(252)</f>
        <v>0.13919227894653693</v>
      </c>
      <c r="W581" s="824">
        <f>STDEV(L$2:L581)*SQRT(252)</f>
        <v>0.28595185199746759</v>
      </c>
      <c r="X581" s="823">
        <f t="shared" si="257"/>
        <v>0.65926446357098534</v>
      </c>
      <c r="Y581" s="823">
        <f t="shared" si="275"/>
        <v>0.13341410269255552</v>
      </c>
      <c r="Z581" s="829">
        <f t="shared" si="259"/>
        <v>-0.13299041508295117</v>
      </c>
    </row>
    <row r="582" spans="1:26" ht="20.100000000000001" customHeight="1" x14ac:dyDescent="0.2">
      <c r="A582" s="798">
        <f t="shared" si="281"/>
        <v>907</v>
      </c>
      <c r="B582" s="817">
        <v>43140</v>
      </c>
      <c r="C582" s="842">
        <v>2619.5500000000002</v>
      </c>
      <c r="D582" s="814">
        <f t="shared" si="278"/>
        <v>1.4936071290197668E-2</v>
      </c>
      <c r="E582" s="841">
        <f t="shared" si="271"/>
        <v>0.24595707844219103</v>
      </c>
      <c r="F582" s="838">
        <v>6874.49</v>
      </c>
      <c r="G582" s="814">
        <f t="shared" si="279"/>
        <v>1.4362969684897066E-2</v>
      </c>
      <c r="H582" s="819">
        <f t="shared" si="276"/>
        <v>0.35013649665141311</v>
      </c>
      <c r="I582" s="821">
        <v>439997.44</v>
      </c>
      <c r="J582" s="822">
        <v>400000</v>
      </c>
      <c r="K582" s="822">
        <f t="shared" si="277"/>
        <v>2145.109999999986</v>
      </c>
      <c r="L582" s="814">
        <f t="shared" si="274"/>
        <v>4.8991631493658736E-3</v>
      </c>
      <c r="M582" s="839">
        <f t="shared" si="272"/>
        <v>39997.440000000002</v>
      </c>
      <c r="N582" s="824">
        <f t="shared" si="280"/>
        <v>9.9993600000000002E-2</v>
      </c>
      <c r="O582" s="808">
        <f t="shared" si="282"/>
        <v>4.0267543991179718E-2</v>
      </c>
      <c r="P582" s="839" t="b">
        <f t="shared" si="273"/>
        <v>0</v>
      </c>
      <c r="Q582" s="824">
        <f>COUNTIF(P$2:P582, TRUE)/(COUNTIF(P$2:P582,FALSE) + COUNTIF(P$2:P582, TRUE))</f>
        <v>0.48537005163511188</v>
      </c>
      <c r="R582" s="822">
        <v>299744.40000000002</v>
      </c>
      <c r="S582" s="822">
        <f t="shared" si="268"/>
        <v>140253.03999999998</v>
      </c>
      <c r="T582" s="822">
        <v>-31484</v>
      </c>
      <c r="U582" s="822">
        <f t="shared" si="269"/>
        <v>71481.440000000002</v>
      </c>
      <c r="V582" s="824">
        <f>STDEV(D$2:D582)*SQRT(252)</f>
        <v>0.13940203230869319</v>
      </c>
      <c r="W582" s="824">
        <f>STDEV(L$2:L582)*SQRT(252)</f>
        <v>0.28571933333245791</v>
      </c>
      <c r="X582" s="823">
        <f t="shared" si="257"/>
        <v>0.71051484790035679</v>
      </c>
      <c r="Y582" s="823">
        <f t="shared" si="275"/>
        <v>0.14093391413707773</v>
      </c>
      <c r="Z582" s="829">
        <f t="shared" si="259"/>
        <v>-0.14596347844219104</v>
      </c>
    </row>
    <row r="583" spans="1:26" ht="20.100000000000001" customHeight="1" x14ac:dyDescent="0.2">
      <c r="A583" s="798">
        <f t="shared" si="281"/>
        <v>910</v>
      </c>
      <c r="B583" s="817">
        <v>43143</v>
      </c>
      <c r="C583" s="842">
        <v>2656</v>
      </c>
      <c r="D583" s="814">
        <f t="shared" si="278"/>
        <v>1.3914603653299161E-2</v>
      </c>
      <c r="E583" s="841">
        <f t="shared" si="271"/>
        <v>0.26329407735773669</v>
      </c>
      <c r="F583" s="838">
        <v>6981.96</v>
      </c>
      <c r="G583" s="814">
        <f t="shared" si="279"/>
        <v>1.5633159696210229E-2</v>
      </c>
      <c r="H583" s="819">
        <f t="shared" si="276"/>
        <v>0.37124339611524643</v>
      </c>
      <c r="I583" s="821">
        <v>444241.95</v>
      </c>
      <c r="J583" s="822">
        <v>400000</v>
      </c>
      <c r="K583" s="822">
        <f t="shared" si="277"/>
        <v>4244.5100000000093</v>
      </c>
      <c r="L583" s="814">
        <f t="shared" si="274"/>
        <v>9.6466697624422761E-3</v>
      </c>
      <c r="M583" s="839">
        <f t="shared" si="272"/>
        <v>44241.950000000012</v>
      </c>
      <c r="N583" s="824">
        <f t="shared" si="280"/>
        <v>0.11060487500000003</v>
      </c>
      <c r="O583" s="808">
        <f t="shared" si="282"/>
        <v>4.4393879773351658E-2</v>
      </c>
      <c r="P583" s="839" t="b">
        <f t="shared" si="273"/>
        <v>0</v>
      </c>
      <c r="Q583" s="824">
        <f>COUNTIF(P$2:P583, TRUE)/(COUNTIF(P$2:P583,FALSE) + COUNTIF(P$2:P583, TRUE))</f>
        <v>0.4845360824742268</v>
      </c>
      <c r="R583" s="822">
        <v>304740.26</v>
      </c>
      <c r="S583" s="822">
        <f t="shared" si="268"/>
        <v>139501.69</v>
      </c>
      <c r="T583" s="822">
        <v>-31937</v>
      </c>
      <c r="U583" s="822">
        <f t="shared" si="269"/>
        <v>76178.950000000012</v>
      </c>
      <c r="V583" s="824">
        <f>STDEV(D$2:D583)*SQRT(252)</f>
        <v>0.13956515808931669</v>
      </c>
      <c r="W583" s="824">
        <f>STDEV(L$2:L583)*SQRT(252)</f>
        <v>0.28553596486340588</v>
      </c>
      <c r="X583" s="823">
        <f t="shared" si="257"/>
        <v>0.75720401910154334</v>
      </c>
      <c r="Y583" s="823">
        <f t="shared" si="275"/>
        <v>0.15547561511065239</v>
      </c>
      <c r="Z583" s="829">
        <f t="shared" si="259"/>
        <v>-0.15268920235773664</v>
      </c>
    </row>
    <row r="584" spans="1:26" ht="20.100000000000001" customHeight="1" x14ac:dyDescent="0.2">
      <c r="A584" s="798">
        <f t="shared" si="281"/>
        <v>911</v>
      </c>
      <c r="B584" s="817">
        <v>43144</v>
      </c>
      <c r="C584" s="842">
        <v>2662.94</v>
      </c>
      <c r="D584" s="814">
        <f t="shared" si="278"/>
        <v>2.6129518072289361E-3</v>
      </c>
      <c r="E584" s="841">
        <f t="shared" si="271"/>
        <v>0.26659500390023022</v>
      </c>
      <c r="F584" s="838">
        <v>7013.51</v>
      </c>
      <c r="G584" s="814">
        <f t="shared" si="279"/>
        <v>4.518788420443569E-3</v>
      </c>
      <c r="H584" s="819">
        <f t="shared" si="276"/>
        <v>0.37743975489522175</v>
      </c>
      <c r="I584" s="821">
        <v>443416.54</v>
      </c>
      <c r="J584" s="822">
        <v>400000</v>
      </c>
      <c r="K584" s="822">
        <f t="shared" si="277"/>
        <v>-825.4100000000326</v>
      </c>
      <c r="L584" s="814">
        <f t="shared" si="274"/>
        <v>-1.858019036698431E-3</v>
      </c>
      <c r="M584" s="839">
        <f t="shared" si="272"/>
        <v>43416.539999999979</v>
      </c>
      <c r="N584" s="824">
        <f t="shared" si="280"/>
        <v>0.10854134999999995</v>
      </c>
      <c r="O584" s="808">
        <f t="shared" si="282"/>
        <v>4.3517813487925334E-2</v>
      </c>
      <c r="P584" s="839" t="b">
        <f t="shared" si="273"/>
        <v>0</v>
      </c>
      <c r="Q584" s="824">
        <f>COUNTIF(P$2:P584, TRUE)/(COUNTIF(P$2:P584,FALSE) + COUNTIF(P$2:P584, TRUE))</f>
        <v>0.483704974271012</v>
      </c>
      <c r="R584" s="822">
        <v>303914.84999999998</v>
      </c>
      <c r="S584" s="822">
        <f t="shared" si="268"/>
        <v>139501.69</v>
      </c>
      <c r="T584" s="822">
        <v>-31767</v>
      </c>
      <c r="U584" s="822">
        <f t="shared" si="269"/>
        <v>75183.539999999979</v>
      </c>
      <c r="V584" s="824">
        <f>STDEV(D$2:D584)*SQRT(252)</f>
        <v>0.13945232278826475</v>
      </c>
      <c r="W584" s="824">
        <f>STDEV(L$2:L584)*SQRT(252)</f>
        <v>0.28529453793858889</v>
      </c>
      <c r="X584" s="823">
        <f t="shared" si="257"/>
        <v>0.76647518943588588</v>
      </c>
      <c r="Y584" s="823">
        <f t="shared" si="275"/>
        <v>0.15253644111929254</v>
      </c>
      <c r="Z584" s="829">
        <f t="shared" ref="Z584:Z617" si="283">-(E584-N584)</f>
        <v>-0.15805365390023027</v>
      </c>
    </row>
    <row r="585" spans="1:26" ht="20.100000000000001" customHeight="1" x14ac:dyDescent="0.2">
      <c r="A585" s="798">
        <f t="shared" si="281"/>
        <v>912</v>
      </c>
      <c r="B585" s="817">
        <v>43145</v>
      </c>
      <c r="C585" s="842">
        <v>2698.63</v>
      </c>
      <c r="D585" s="814">
        <f t="shared" si="278"/>
        <v>1.3402479965752159E-2</v>
      </c>
      <c r="E585" s="841">
        <f t="shared" si="271"/>
        <v>0.28357051806472483</v>
      </c>
      <c r="F585" s="838">
        <v>7143.61</v>
      </c>
      <c r="G585" s="814">
        <f t="shared" si="279"/>
        <v>1.854991295371354E-2</v>
      </c>
      <c r="H585" s="819">
        <f t="shared" si="276"/>
        <v>0.40299114244751261</v>
      </c>
      <c r="I585" s="821">
        <v>451561.53</v>
      </c>
      <c r="J585" s="822">
        <v>400000</v>
      </c>
      <c r="K585" s="822">
        <f t="shared" si="277"/>
        <v>8144.9900000000489</v>
      </c>
      <c r="L585" s="814">
        <f t="shared" si="274"/>
        <v>1.8368710377831304E-2</v>
      </c>
      <c r="M585" s="839">
        <f t="shared" si="272"/>
        <v>51561.530000000028</v>
      </c>
      <c r="N585" s="824">
        <f t="shared" si="280"/>
        <v>0.12890382500000008</v>
      </c>
      <c r="O585" s="808">
        <f t="shared" si="282"/>
        <v>5.1625133861019766E-2</v>
      </c>
      <c r="P585" s="839" t="b">
        <f t="shared" si="273"/>
        <v>1</v>
      </c>
      <c r="Q585" s="824">
        <f>COUNTIF(P$2:P585, TRUE)/(COUNTIF(P$2:P585,FALSE) + COUNTIF(P$2:P585, TRUE))</f>
        <v>0.4845890410958904</v>
      </c>
      <c r="R585" s="822">
        <v>309463.90999999997</v>
      </c>
      <c r="S585" s="822">
        <f t="shared" si="268"/>
        <v>142097.62000000005</v>
      </c>
      <c r="T585" s="822">
        <v>-31599</v>
      </c>
      <c r="U585" s="822">
        <f t="shared" si="269"/>
        <v>83160.530000000028</v>
      </c>
      <c r="V585" s="824">
        <f>STDEV(D$2:D585)*SQRT(252)</f>
        <v>0.13959266682591912</v>
      </c>
      <c r="W585" s="824">
        <f>STDEV(L$2:L585)*SQRT(252)</f>
        <v>0.28529002745867649</v>
      </c>
      <c r="X585" s="823">
        <f t="shared" si="257"/>
        <v>0.8135680008967473</v>
      </c>
      <c r="Y585" s="823">
        <f t="shared" si="275"/>
        <v>0.18095667178025537</v>
      </c>
      <c r="Z585" s="829">
        <f t="shared" si="283"/>
        <v>-0.15466669306472475</v>
      </c>
    </row>
    <row r="586" spans="1:26" ht="20.100000000000001" customHeight="1" x14ac:dyDescent="0.2">
      <c r="A586" s="798">
        <f t="shared" si="281"/>
        <v>913</v>
      </c>
      <c r="B586" s="817">
        <v>43146</v>
      </c>
      <c r="C586" s="842">
        <v>2731.2</v>
      </c>
      <c r="D586" s="814">
        <f t="shared" si="278"/>
        <v>1.206908690706014E-2</v>
      </c>
      <c r="E586" s="841">
        <f t="shared" si="271"/>
        <v>0.29906204219858817</v>
      </c>
      <c r="F586" s="838">
        <v>7256.43</v>
      </c>
      <c r="G586" s="814">
        <f t="shared" si="279"/>
        <v>1.5793135403528554E-2</v>
      </c>
      <c r="H586" s="819">
        <f t="shared" si="276"/>
        <v>0.42514877153013741</v>
      </c>
      <c r="I586" s="821">
        <v>450705.94</v>
      </c>
      <c r="J586" s="822">
        <v>400000</v>
      </c>
      <c r="K586" s="822">
        <f t="shared" si="277"/>
        <v>-855.59000000002561</v>
      </c>
      <c r="L586" s="814">
        <f t="shared" si="274"/>
        <v>-1.8947362500078904E-3</v>
      </c>
      <c r="M586" s="839">
        <f t="shared" si="272"/>
        <v>50705.94</v>
      </c>
      <c r="N586" s="824">
        <f t="shared" si="280"/>
        <v>0.12676485000000001</v>
      </c>
      <c r="O586" s="808">
        <f t="shared" si="282"/>
        <v>5.071288221522454E-2</v>
      </c>
      <c r="P586" s="839" t="b">
        <f t="shared" si="273"/>
        <v>0</v>
      </c>
      <c r="Q586" s="824">
        <f>COUNTIF(P$2:P586, TRUE)/(COUNTIF(P$2:P586,FALSE) + COUNTIF(P$2:P586, TRUE))</f>
        <v>0.48376068376068376</v>
      </c>
      <c r="R586" s="822">
        <v>308168.68</v>
      </c>
      <c r="S586" s="822">
        <f t="shared" si="268"/>
        <v>142537.26</v>
      </c>
      <c r="T586" s="822">
        <v>-31476</v>
      </c>
      <c r="U586" s="822">
        <f t="shared" si="269"/>
        <v>82181.94</v>
      </c>
      <c r="V586" s="824">
        <f>STDEV(D$2:D586)*SQRT(252)</f>
        <v>0.13968097297667137</v>
      </c>
      <c r="W586" s="824">
        <f>STDEV(L$2:L586)*SQRT(252)</f>
        <v>0.28504987730153164</v>
      </c>
      <c r="X586" s="823">
        <f t="shared" si="257"/>
        <v>0.85653179754406417</v>
      </c>
      <c r="Y586" s="823">
        <f t="shared" si="275"/>
        <v>0.17790880212019669</v>
      </c>
      <c r="Z586" s="829">
        <f t="shared" si="283"/>
        <v>-0.17229719219858816</v>
      </c>
    </row>
    <row r="587" spans="1:26" ht="20.100000000000001" customHeight="1" x14ac:dyDescent="0.2">
      <c r="A587" s="798">
        <f t="shared" si="281"/>
        <v>914</v>
      </c>
      <c r="B587" s="817">
        <v>43147</v>
      </c>
      <c r="C587" s="842">
        <v>2732.22</v>
      </c>
      <c r="D587" s="814">
        <f t="shared" si="278"/>
        <v>3.7346221441124117E-4</v>
      </c>
      <c r="E587" s="841">
        <f t="shared" si="271"/>
        <v>0.29954719278552527</v>
      </c>
      <c r="F587" s="838">
        <v>7239.46</v>
      </c>
      <c r="G587" s="814">
        <f t="shared" si="279"/>
        <v>-2.3386155451096827E-3</v>
      </c>
      <c r="H587" s="819">
        <f t="shared" si="276"/>
        <v>0.42181589645894302</v>
      </c>
      <c r="I587" s="821">
        <v>447551.93</v>
      </c>
      <c r="J587" s="822">
        <v>400000</v>
      </c>
      <c r="K587" s="822">
        <f t="shared" si="277"/>
        <v>-3154.0100000000093</v>
      </c>
      <c r="L587" s="814">
        <f t="shared" si="274"/>
        <v>-6.9979330647384173E-3</v>
      </c>
      <c r="M587" s="839">
        <f t="shared" si="272"/>
        <v>47551.929999999993</v>
      </c>
      <c r="N587" s="824">
        <f t="shared" si="280"/>
        <v>0.11887982499999998</v>
      </c>
      <c r="O587" s="808">
        <f t="shared" si="282"/>
        <v>4.7506407091083142E-2</v>
      </c>
      <c r="P587" s="839" t="b">
        <f t="shared" si="273"/>
        <v>0</v>
      </c>
      <c r="Q587" s="824">
        <f>COUNTIF(P$2:P587, TRUE)/(COUNTIF(P$2:P587,FALSE) + COUNTIF(P$2:P587, TRUE))</f>
        <v>0.48293515358361777</v>
      </c>
      <c r="R587" s="822">
        <v>312866.87</v>
      </c>
      <c r="S587" s="822">
        <f t="shared" si="268"/>
        <v>134685.06</v>
      </c>
      <c r="T587" s="822">
        <v>-31310</v>
      </c>
      <c r="U587" s="822">
        <f t="shared" si="269"/>
        <v>78861.929999999993</v>
      </c>
      <c r="V587" s="824">
        <f>STDEV(D$2:D587)*SQRT(252)</f>
        <v>0.13956135167754313</v>
      </c>
      <c r="W587" s="824">
        <f>STDEV(L$2:L587)*SQRT(252)</f>
        <v>0.28484907912566382</v>
      </c>
      <c r="X587" s="823">
        <f t="shared" si="257"/>
        <v>0.85771719333403895</v>
      </c>
      <c r="Y587" s="823">
        <f t="shared" si="275"/>
        <v>0.16677746418174394</v>
      </c>
      <c r="Z587" s="829">
        <f t="shared" si="283"/>
        <v>-0.18066736778552528</v>
      </c>
    </row>
    <row r="588" spans="1:26" ht="20.100000000000001" customHeight="1" x14ac:dyDescent="0.2">
      <c r="A588" s="798">
        <f t="shared" si="281"/>
        <v>918</v>
      </c>
      <c r="B588" s="817">
        <v>43151</v>
      </c>
      <c r="C588" s="842">
        <v>2716.26</v>
      </c>
      <c r="D588" s="814">
        <f t="shared" si="278"/>
        <v>-5.8414036936994766E-3</v>
      </c>
      <c r="E588" s="841">
        <f t="shared" si="271"/>
        <v>0.29195601301345109</v>
      </c>
      <c r="F588" s="838">
        <v>7234.3</v>
      </c>
      <c r="G588" s="814">
        <f t="shared" si="279"/>
        <v>-7.1276034400353822E-4</v>
      </c>
      <c r="H588" s="819">
        <f t="shared" si="276"/>
        <v>0.42080248247147328</v>
      </c>
      <c r="I588" s="821">
        <v>445228.37</v>
      </c>
      <c r="J588" s="822">
        <v>400000</v>
      </c>
      <c r="K588" s="822">
        <f t="shared" si="277"/>
        <v>-2323.5599999999977</v>
      </c>
      <c r="L588" s="814">
        <f t="shared" si="274"/>
        <v>-5.191710378726325E-3</v>
      </c>
      <c r="M588" s="839">
        <f t="shared" si="272"/>
        <v>45228.369999999995</v>
      </c>
      <c r="N588" s="824">
        <f t="shared" si="280"/>
        <v>0.11307092499999999</v>
      </c>
      <c r="O588" s="808">
        <f t="shared" si="282"/>
        <v>4.4988186662581697E-2</v>
      </c>
      <c r="P588" s="839" t="b">
        <f t="shared" si="273"/>
        <v>1</v>
      </c>
      <c r="Q588" s="824">
        <f>COUNTIF(P$2:P588, TRUE)/(COUNTIF(P$2:P588,FALSE) + COUNTIF(P$2:P588, TRUE))</f>
        <v>0.48381601362862009</v>
      </c>
      <c r="R588" s="822"/>
      <c r="S588" s="822"/>
      <c r="T588" s="822"/>
      <c r="U588" s="822"/>
      <c r="V588" s="824">
        <f>STDEV(D$2:D588)*SQRT(252)</f>
        <v>0.13950374983937611</v>
      </c>
      <c r="W588" s="824">
        <f>STDEV(L$2:L588)*SQRT(252)</f>
        <v>0.28463051579206888</v>
      </c>
      <c r="X588" s="823">
        <f t="shared" si="257"/>
        <v>0.83268182638552635</v>
      </c>
      <c r="Y588" s="823">
        <f t="shared" si="275"/>
        <v>0.15805819884557604</v>
      </c>
      <c r="Z588" s="829">
        <f t="shared" si="283"/>
        <v>-0.1788850880134511</v>
      </c>
    </row>
    <row r="589" spans="1:26" ht="20.100000000000001" customHeight="1" x14ac:dyDescent="0.2">
      <c r="A589" s="798">
        <f t="shared" si="281"/>
        <v>919</v>
      </c>
      <c r="B589" s="817">
        <v>43152</v>
      </c>
      <c r="C589" s="842">
        <v>2701.33</v>
      </c>
      <c r="D589" s="814">
        <f t="shared" si="278"/>
        <v>-5.496528314668069E-3</v>
      </c>
      <c r="E589" s="841">
        <f t="shared" si="271"/>
        <v>0.284854740206617</v>
      </c>
      <c r="F589" s="838">
        <v>7218.22</v>
      </c>
      <c r="G589" s="814">
        <f t="shared" si="279"/>
        <v>-2.2227444258601284E-3</v>
      </c>
      <c r="H589" s="819">
        <f t="shared" si="276"/>
        <v>0.41764440167331157</v>
      </c>
      <c r="I589" s="821">
        <v>442526.81</v>
      </c>
      <c r="J589" s="822">
        <v>400000</v>
      </c>
      <c r="K589" s="822">
        <f t="shared" si="277"/>
        <v>-2701.5599999999977</v>
      </c>
      <c r="L589" s="814">
        <f t="shared" si="274"/>
        <v>-6.0678074040969084E-3</v>
      </c>
      <c r="M589" s="839">
        <f t="shared" si="272"/>
        <v>42526.81</v>
      </c>
      <c r="N589" s="824">
        <f t="shared" si="280"/>
        <v>0.106317025</v>
      </c>
      <c r="O589" s="808">
        <f t="shared" si="282"/>
        <v>4.2254943831610443E-2</v>
      </c>
      <c r="P589" s="839" t="b">
        <f t="shared" si="273"/>
        <v>0</v>
      </c>
      <c r="Q589" s="824">
        <f>COUNTIF(P$2:P589, TRUE)/(COUNTIF(P$2:P589,FALSE) + COUNTIF(P$2:P589, TRUE))</f>
        <v>0.48299319727891155</v>
      </c>
      <c r="R589" s="822">
        <v>327182.61</v>
      </c>
      <c r="S589" s="822">
        <f t="shared" ref="S589:S606" si="284">I589-R589</f>
        <v>115344.20000000001</v>
      </c>
      <c r="T589" s="822">
        <v>-31702</v>
      </c>
      <c r="U589" s="822">
        <f>M589-T589</f>
        <v>74228.81</v>
      </c>
      <c r="V589" s="824">
        <f>STDEV(D$2:D589)*SQRT(252)</f>
        <v>0.13943958663784506</v>
      </c>
      <c r="W589" s="824">
        <f>STDEV(L$2:L589)*SQRT(252)</f>
        <v>0.28442061992708212</v>
      </c>
      <c r="X589" s="823">
        <f t="shared" si="257"/>
        <v>0.81191782747081387</v>
      </c>
      <c r="Y589" s="823">
        <f t="shared" si="275"/>
        <v>0.14856498042386479</v>
      </c>
      <c r="Z589" s="829">
        <f t="shared" si="283"/>
        <v>-0.17853771520661699</v>
      </c>
    </row>
    <row r="590" spans="1:26" ht="20.100000000000001" customHeight="1" x14ac:dyDescent="0.2">
      <c r="A590" s="798">
        <f t="shared" si="281"/>
        <v>920</v>
      </c>
      <c r="B590" s="817">
        <v>43153</v>
      </c>
      <c r="C590" s="842">
        <v>2703.96</v>
      </c>
      <c r="D590" s="814">
        <f t="shared" si="278"/>
        <v>9.735944886408211E-4</v>
      </c>
      <c r="E590" s="841">
        <f t="shared" si="271"/>
        <v>0.2861056677003862</v>
      </c>
      <c r="F590" s="838">
        <v>7210.08</v>
      </c>
      <c r="G590" s="814">
        <f t="shared" si="279"/>
        <v>-1.1277018433907982E-3</v>
      </c>
      <c r="H590" s="819">
        <f t="shared" si="276"/>
        <v>0.41604572146827196</v>
      </c>
      <c r="I590" s="821">
        <v>441168.86</v>
      </c>
      <c r="J590" s="822">
        <v>400000</v>
      </c>
      <c r="K590" s="822">
        <f t="shared" si="277"/>
        <v>-1357.9500000000116</v>
      </c>
      <c r="L590" s="814">
        <f t="shared" ref="L590:L621" si="285">K590/I589</f>
        <v>-3.0686276386282939E-3</v>
      </c>
      <c r="M590" s="839">
        <f t="shared" si="272"/>
        <v>41168.859999999986</v>
      </c>
      <c r="N590" s="824">
        <f t="shared" si="280"/>
        <v>0.10292214999999996</v>
      </c>
      <c r="O590" s="808">
        <f t="shared" si="282"/>
        <v>4.0861212269021729E-2</v>
      </c>
      <c r="P590" s="839" t="b">
        <f t="shared" si="273"/>
        <v>0</v>
      </c>
      <c r="Q590" s="824">
        <f>COUNTIF(P$2:P590, TRUE)/(COUNTIF(P$2:P590,FALSE) + COUNTIF(P$2:P590, TRUE))</f>
        <v>0.48217317487266553</v>
      </c>
      <c r="R590" s="822">
        <v>325824.65000000002</v>
      </c>
      <c r="S590" s="822">
        <f t="shared" si="284"/>
        <v>115344.20999999996</v>
      </c>
      <c r="T590" s="822">
        <v>-31901</v>
      </c>
      <c r="U590" s="822">
        <f>M590-T590</f>
        <v>73069.859999999986</v>
      </c>
      <c r="V590" s="824">
        <f>STDEV(D$2:D590)*SQRT(252)</f>
        <v>0.13932115984802981</v>
      </c>
      <c r="W590" s="824">
        <f>STDEV(L$2:L590)*SQRT(252)</f>
        <v>0.2841880695419704</v>
      </c>
      <c r="X590" s="823">
        <f t="shared" si="257"/>
        <v>0.81528936483996495</v>
      </c>
      <c r="Y590" s="823">
        <f t="shared" si="275"/>
        <v>0.14378229295437445</v>
      </c>
      <c r="Z590" s="829">
        <f t="shared" si="283"/>
        <v>-0.18318351770038624</v>
      </c>
    </row>
    <row r="591" spans="1:26" ht="20.100000000000001" customHeight="1" x14ac:dyDescent="0.2">
      <c r="A591" s="798">
        <f t="shared" si="281"/>
        <v>921</v>
      </c>
      <c r="B591" s="817">
        <v>43154</v>
      </c>
      <c r="C591" s="842">
        <v>2747.3</v>
      </c>
      <c r="D591" s="814">
        <f t="shared" si="278"/>
        <v>1.6028343614550564E-2</v>
      </c>
      <c r="E591" s="841">
        <f t="shared" si="271"/>
        <v>0.306719811266909</v>
      </c>
      <c r="F591" s="838">
        <v>7337.39</v>
      </c>
      <c r="G591" s="814">
        <f t="shared" si="279"/>
        <v>1.7657224330381964E-2</v>
      </c>
      <c r="H591" s="819">
        <f t="shared" si="276"/>
        <v>0.4410491584343148</v>
      </c>
      <c r="I591" s="821">
        <v>446261.7</v>
      </c>
      <c r="J591" s="822">
        <v>400000</v>
      </c>
      <c r="K591" s="822">
        <f t="shared" si="277"/>
        <v>5092.8400000000256</v>
      </c>
      <c r="L591" s="814">
        <f t="shared" si="285"/>
        <v>1.154396980784189E-2</v>
      </c>
      <c r="M591" s="839">
        <f t="shared" si="272"/>
        <v>46261.700000000012</v>
      </c>
      <c r="N591" s="824">
        <f t="shared" si="280"/>
        <v>0.11565425000000003</v>
      </c>
      <c r="O591" s="808">
        <f t="shared" si="282"/>
        <v>4.5866139861563529E-2</v>
      </c>
      <c r="P591" s="839" t="b">
        <f t="shared" si="273"/>
        <v>0</v>
      </c>
      <c r="Q591" s="824">
        <f>COUNTIF(P$2:P591, TRUE)/(COUNTIF(P$2:P591,FALSE) + COUNTIF(P$2:P591, TRUE))</f>
        <v>0.48135593220338985</v>
      </c>
      <c r="R591" s="822">
        <v>328333.55</v>
      </c>
      <c r="S591" s="822">
        <f t="shared" si="284"/>
        <v>117928.15000000002</v>
      </c>
      <c r="T591" s="822">
        <v>-31711</v>
      </c>
      <c r="U591" s="822">
        <f>M591-T591</f>
        <v>77972.700000000012</v>
      </c>
      <c r="V591" s="824">
        <f>STDEV(D$2:D591)*SQRT(252)</f>
        <v>0.13957430470539237</v>
      </c>
      <c r="W591" s="824">
        <f>STDEV(L$2:L591)*SQRT(252)</f>
        <v>0.28403762341097771</v>
      </c>
      <c r="X591" s="823">
        <f t="shared" si="257"/>
        <v>0.87149911342020359</v>
      </c>
      <c r="Y591" s="823">
        <f t="shared" si="275"/>
        <v>0.16147910023595438</v>
      </c>
      <c r="Z591" s="829">
        <f t="shared" si="283"/>
        <v>-0.19106556126690899</v>
      </c>
    </row>
    <row r="592" spans="1:26" ht="20.100000000000001" customHeight="1" x14ac:dyDescent="0.2">
      <c r="A592" s="798">
        <f t="shared" si="281"/>
        <v>924</v>
      </c>
      <c r="B592" s="817">
        <v>43157</v>
      </c>
      <c r="C592" s="842">
        <v>2779.6</v>
      </c>
      <c r="D592" s="814">
        <f t="shared" si="278"/>
        <v>1.175699777963809E-2</v>
      </c>
      <c r="E592" s="841">
        <f t="shared" si="271"/>
        <v>0.32208291318658311</v>
      </c>
      <c r="F592" s="838">
        <v>7421.46</v>
      </c>
      <c r="G592" s="814">
        <f t="shared" si="279"/>
        <v>1.1457752688626296E-2</v>
      </c>
      <c r="H592" s="819">
        <f t="shared" si="276"/>
        <v>0.45756034330380824</v>
      </c>
      <c r="I592" s="821">
        <v>445461.4</v>
      </c>
      <c r="J592" s="822">
        <v>400000</v>
      </c>
      <c r="K592" s="822">
        <f t="shared" si="277"/>
        <v>-800.29999999998836</v>
      </c>
      <c r="L592" s="814">
        <f t="shared" si="285"/>
        <v>-1.7933423370188129E-3</v>
      </c>
      <c r="M592" s="839">
        <f t="shared" si="272"/>
        <v>45461.400000000023</v>
      </c>
      <c r="N592" s="824">
        <f t="shared" si="280"/>
        <v>0.11365350000000006</v>
      </c>
      <c r="O592" s="808">
        <f t="shared" si="282"/>
        <v>4.4926342938311707E-2</v>
      </c>
      <c r="P592" s="839" t="b">
        <f t="shared" si="273"/>
        <v>0</v>
      </c>
      <c r="Q592" s="824">
        <f>COUNTIF(P$2:P592, TRUE)/(COUNTIF(P$2:P592,FALSE) + COUNTIF(P$2:P592, TRUE))</f>
        <v>0.48054145516074448</v>
      </c>
      <c r="R592" s="822">
        <v>330526.96000000002</v>
      </c>
      <c r="S592" s="822">
        <f t="shared" si="284"/>
        <v>114934.44</v>
      </c>
      <c r="T592" s="822">
        <v>-31425</v>
      </c>
      <c r="U592" s="822">
        <f>M592-T592</f>
        <v>76886.400000000023</v>
      </c>
      <c r="V592" s="824">
        <f>STDEV(D$2:D592)*SQRT(252)</f>
        <v>0.13964993647213261</v>
      </c>
      <c r="W592" s="824">
        <f>STDEV(L$2:L592)*SQRT(252)</f>
        <v>0.28380054359843188</v>
      </c>
      <c r="X592" s="823">
        <f t="shared" si="257"/>
        <v>0.91168581284014205</v>
      </c>
      <c r="Y592" s="823">
        <f t="shared" si="275"/>
        <v>0.15830252602292741</v>
      </c>
      <c r="Z592" s="829">
        <f t="shared" si="283"/>
        <v>-0.20842941318658303</v>
      </c>
    </row>
    <row r="593" spans="1:26" ht="20.100000000000001" customHeight="1" x14ac:dyDescent="0.2">
      <c r="A593" s="798">
        <f t="shared" si="281"/>
        <v>925</v>
      </c>
      <c r="B593" s="817">
        <v>43158</v>
      </c>
      <c r="C593" s="842">
        <v>2744.28</v>
      </c>
      <c r="D593" s="814">
        <f t="shared" si="278"/>
        <v>-1.270686429702105E-2</v>
      </c>
      <c r="E593" s="841">
        <f t="shared" si="271"/>
        <v>0.30528338501931096</v>
      </c>
      <c r="F593" s="838">
        <v>7330.35</v>
      </c>
      <c r="G593" s="814">
        <f t="shared" si="279"/>
        <v>-1.2276560137762606E-2</v>
      </c>
      <c r="H593" s="819">
        <f t="shared" si="276"/>
        <v>0.4396665160948211</v>
      </c>
      <c r="I593" s="821">
        <v>439475.96</v>
      </c>
      <c r="J593" s="822">
        <v>400000</v>
      </c>
      <c r="K593" s="822">
        <f t="shared" si="277"/>
        <v>-5985.4400000000023</v>
      </c>
      <c r="L593" s="814">
        <f t="shared" si="285"/>
        <v>-1.3436495283317482E-2</v>
      </c>
      <c r="M593" s="839">
        <f t="shared" si="272"/>
        <v>39475.960000000021</v>
      </c>
      <c r="N593" s="824">
        <f t="shared" si="280"/>
        <v>9.8689900000000053E-2</v>
      </c>
      <c r="O593" s="808">
        <f t="shared" si="282"/>
        <v>3.8969174027027043E-2</v>
      </c>
      <c r="P593" s="839" t="b">
        <f t="shared" si="273"/>
        <v>0</v>
      </c>
      <c r="Q593" s="824">
        <f>COUNTIF(P$2:P593, TRUE)/(COUNTIF(P$2:P593,FALSE) + COUNTIF(P$2:P593, TRUE))</f>
        <v>0.47972972972972971</v>
      </c>
      <c r="R593" s="822">
        <v>324541.51</v>
      </c>
      <c r="S593" s="822">
        <f t="shared" si="284"/>
        <v>114934.45000000001</v>
      </c>
      <c r="T593" s="822">
        <v>-31811</v>
      </c>
      <c r="U593" s="822">
        <f>M593-T593</f>
        <v>71286.960000000021</v>
      </c>
      <c r="V593" s="824">
        <f>STDEV(D$2:D593)*SQRT(252)</f>
        <v>0.139798275476226</v>
      </c>
      <c r="W593" s="824">
        <f>STDEV(L$2:L593)*SQRT(252)</f>
        <v>0.28370694512028866</v>
      </c>
      <c r="X593" s="823">
        <f t="shared" si="257"/>
        <v>0.86228304434011871</v>
      </c>
      <c r="Y593" s="823">
        <f t="shared" si="275"/>
        <v>0.13735713805139502</v>
      </c>
      <c r="Z593" s="829">
        <f t="shared" si="283"/>
        <v>-0.20659348501931091</v>
      </c>
    </row>
    <row r="594" spans="1:26" ht="20.100000000000001" customHeight="1" x14ac:dyDescent="0.2">
      <c r="A594" s="798">
        <f t="shared" si="281"/>
        <v>926</v>
      </c>
      <c r="B594" s="817">
        <v>43159</v>
      </c>
      <c r="C594" s="842">
        <v>2713.83</v>
      </c>
      <c r="D594" s="814">
        <f t="shared" si="278"/>
        <v>-1.1095806550352104E-2</v>
      </c>
      <c r="E594" s="841">
        <f t="shared" si="271"/>
        <v>0.29080021308574794</v>
      </c>
      <c r="F594" s="838">
        <v>7273</v>
      </c>
      <c r="G594" s="814">
        <f t="shared" si="279"/>
        <v>-7.8236373433738307E-3</v>
      </c>
      <c r="H594" s="819">
        <f t="shared" si="276"/>
        <v>0.42840308737749677</v>
      </c>
      <c r="I594" s="845">
        <v>434359.8</v>
      </c>
      <c r="J594" s="822">
        <v>400000</v>
      </c>
      <c r="K594" s="822">
        <f t="shared" si="277"/>
        <v>-5116.1600000000326</v>
      </c>
      <c r="L594" s="814">
        <f t="shared" si="285"/>
        <v>-1.1641501391794064E-2</v>
      </c>
      <c r="M594" s="845">
        <f t="shared" si="272"/>
        <v>34359.799999999988</v>
      </c>
      <c r="N594" s="824">
        <f t="shared" si="280"/>
        <v>8.5899499999999976E-2</v>
      </c>
      <c r="O594" s="808">
        <f t="shared" si="282"/>
        <v>3.3882065199784005E-2</v>
      </c>
      <c r="P594" s="839" t="b">
        <f t="shared" si="273"/>
        <v>0</v>
      </c>
      <c r="Q594" s="824">
        <f>COUNTIF(P$2:P594, TRUE)/(COUNTIF(P$2:P594,FALSE) + COUNTIF(P$2:P594, TRUE))</f>
        <v>0.47892074198988194</v>
      </c>
      <c r="R594" s="822">
        <v>325325.34999999998</v>
      </c>
      <c r="S594" s="822">
        <f t="shared" si="284"/>
        <v>109034.45000000001</v>
      </c>
      <c r="T594" s="822"/>
      <c r="U594" s="822"/>
      <c r="V594" s="824">
        <f>STDEV(D$2:D594)*SQRT(252)</f>
        <v>0.13988432434963807</v>
      </c>
      <c r="W594" s="824">
        <f>STDEV(L$2:L594)*SQRT(252)</f>
        <v>0.28357793902623352</v>
      </c>
      <c r="X594" s="823">
        <f t="shared" si="257"/>
        <v>0.81998311366562426</v>
      </c>
      <c r="Y594" s="823">
        <f t="shared" si="275"/>
        <v>0.11948061021999884</v>
      </c>
      <c r="Z594" s="829">
        <f t="shared" si="283"/>
        <v>-0.20490071308574798</v>
      </c>
    </row>
    <row r="595" spans="1:26" ht="20.100000000000001" customHeight="1" x14ac:dyDescent="0.2">
      <c r="A595" s="798">
        <f t="shared" si="281"/>
        <v>927</v>
      </c>
      <c r="B595" s="817">
        <v>43160</v>
      </c>
      <c r="C595" s="842">
        <v>2677.67</v>
      </c>
      <c r="D595" s="814">
        <f t="shared" si="278"/>
        <v>-1.3324342350110308E-2</v>
      </c>
      <c r="E595" s="841">
        <f t="shared" si="271"/>
        <v>0.27360114914099809</v>
      </c>
      <c r="F595" s="838">
        <v>7180.56</v>
      </c>
      <c r="G595" s="814">
        <f t="shared" si="279"/>
        <v>-1.2710023374123415E-2</v>
      </c>
      <c r="H595" s="819">
        <f t="shared" si="276"/>
        <v>0.41024805074925874</v>
      </c>
      <c r="I595" s="821">
        <v>432219.29</v>
      </c>
      <c r="J595" s="822">
        <v>400000</v>
      </c>
      <c r="K595" s="822">
        <f t="shared" si="277"/>
        <v>-2140.5100000000093</v>
      </c>
      <c r="L595" s="814">
        <f t="shared" si="285"/>
        <v>-4.9279652490861478E-3</v>
      </c>
      <c r="M595" s="839">
        <f t="shared" si="272"/>
        <v>32219.289999999979</v>
      </c>
      <c r="N595" s="824">
        <f t="shared" si="280"/>
        <v>8.0548224999999946E-2</v>
      </c>
      <c r="O595" s="808">
        <f t="shared" si="282"/>
        <v>3.1737043345469236E-2</v>
      </c>
      <c r="P595" s="839" t="b">
        <f t="shared" si="273"/>
        <v>1</v>
      </c>
      <c r="Q595" s="824">
        <f>COUNTIF(P$2:P595, TRUE)/(COUNTIF(P$2:P595,FALSE) + COUNTIF(P$2:P595, TRUE))</f>
        <v>0.47979797979797978</v>
      </c>
      <c r="R595" s="822">
        <v>330616.65000000002</v>
      </c>
      <c r="S595" s="822">
        <f t="shared" si="284"/>
        <v>101602.63999999996</v>
      </c>
      <c r="T595" s="822">
        <v>-32527</v>
      </c>
      <c r="U595" s="822">
        <f t="shared" ref="U595:U604" si="286">M595-T595</f>
        <v>64746.289999999979</v>
      </c>
      <c r="V595" s="824">
        <f>STDEV(D$2:D595)*SQRT(252)</f>
        <v>0.14005511018347203</v>
      </c>
      <c r="W595" s="824">
        <f>STDEV(L$2:L595)*SQRT(252)</f>
        <v>0.28336045846644775</v>
      </c>
      <c r="X595" s="823">
        <f t="shared" si="257"/>
        <v>0.76971411027259673</v>
      </c>
      <c r="Y595" s="823">
        <f t="shared" si="275"/>
        <v>0.1120023715278791</v>
      </c>
      <c r="Z595" s="829">
        <f t="shared" si="283"/>
        <v>-0.19305292414099814</v>
      </c>
    </row>
    <row r="596" spans="1:26" ht="20.100000000000001" customHeight="1" x14ac:dyDescent="0.2">
      <c r="A596" s="798">
        <f t="shared" si="281"/>
        <v>928</v>
      </c>
      <c r="B596" s="817">
        <v>43161</v>
      </c>
      <c r="C596" s="842">
        <v>2691.25</v>
      </c>
      <c r="D596" s="814">
        <f t="shared" si="278"/>
        <v>5.0715734201749758E-3</v>
      </c>
      <c r="E596" s="841">
        <f t="shared" si="271"/>
        <v>0.28006031087688588</v>
      </c>
      <c r="F596" s="838">
        <v>7257.86</v>
      </c>
      <c r="G596" s="814">
        <f t="shared" si="279"/>
        <v>1.076517708925199E-2</v>
      </c>
      <c r="H596" s="819">
        <f t="shared" si="276"/>
        <v>0.4254296207553469</v>
      </c>
      <c r="I596" s="821">
        <v>435569.11</v>
      </c>
      <c r="J596" s="822">
        <v>400000</v>
      </c>
      <c r="K596" s="822">
        <f t="shared" si="277"/>
        <v>3349.820000000007</v>
      </c>
      <c r="L596" s="814">
        <f t="shared" si="285"/>
        <v>7.7502787994492501E-3</v>
      </c>
      <c r="M596" s="839">
        <f t="shared" si="272"/>
        <v>35569.109999999986</v>
      </c>
      <c r="N596" s="824">
        <f t="shared" si="280"/>
        <v>8.8922774999999968E-2</v>
      </c>
      <c r="O596" s="808">
        <f t="shared" si="282"/>
        <v>3.4998969362877143E-2</v>
      </c>
      <c r="P596" s="839" t="b">
        <f t="shared" si="273"/>
        <v>1</v>
      </c>
      <c r="Q596" s="824">
        <f>COUNTIF(P$2:P596, TRUE)/(COUNTIF(P$2:P596,FALSE) + COUNTIF(P$2:P596, TRUE))</f>
        <v>0.48067226890756304</v>
      </c>
      <c r="R596" s="822">
        <v>340478.65</v>
      </c>
      <c r="S596" s="822">
        <f t="shared" si="284"/>
        <v>95090.459999999963</v>
      </c>
      <c r="T596" s="822">
        <v>-31997</v>
      </c>
      <c r="U596" s="822">
        <f t="shared" si="286"/>
        <v>67566.109999999986</v>
      </c>
      <c r="V596" s="824">
        <f>STDEV(D$2:D596)*SQRT(252)</f>
        <v>0.13996938804181233</v>
      </c>
      <c r="W596" s="824">
        <f>STDEV(L$2:L596)*SQRT(252)</f>
        <v>0.28316087017865788</v>
      </c>
      <c r="X596" s="823">
        <f t="shared" si="257"/>
        <v>0.78751847515137252</v>
      </c>
      <c r="Y596" s="823">
        <f t="shared" si="275"/>
        <v>0.1236010093513092</v>
      </c>
      <c r="Z596" s="829">
        <f t="shared" si="283"/>
        <v>-0.19113753587688592</v>
      </c>
    </row>
    <row r="597" spans="1:26" ht="20.100000000000001" customHeight="1" x14ac:dyDescent="0.2">
      <c r="A597" s="798">
        <f t="shared" si="281"/>
        <v>931</v>
      </c>
      <c r="B597" s="817">
        <v>43164</v>
      </c>
      <c r="C597" s="842">
        <v>2720.94</v>
      </c>
      <c r="D597" s="814">
        <f t="shared" si="278"/>
        <v>1.1032048304691148E-2</v>
      </c>
      <c r="E597" s="841">
        <f t="shared" si="271"/>
        <v>0.29418199805939765</v>
      </c>
      <c r="F597" s="838">
        <v>7330.7</v>
      </c>
      <c r="G597" s="814">
        <f t="shared" si="279"/>
        <v>1.0036016125965526E-2</v>
      </c>
      <c r="H597" s="819">
        <f t="shared" si="276"/>
        <v>0.43973525541567648</v>
      </c>
      <c r="I597" s="821">
        <v>441211.16</v>
      </c>
      <c r="J597" s="822">
        <v>400000</v>
      </c>
      <c r="K597" s="822">
        <f t="shared" si="277"/>
        <v>5642.0499999999884</v>
      </c>
      <c r="L597" s="814">
        <f t="shared" si="285"/>
        <v>1.2953283119640851E-2</v>
      </c>
      <c r="M597" s="839">
        <f t="shared" si="272"/>
        <v>41211.159999999974</v>
      </c>
      <c r="N597" s="824">
        <f t="shared" si="280"/>
        <v>0.10302789999999994</v>
      </c>
      <c r="O597" s="808">
        <f t="shared" si="282"/>
        <v>4.0419914581095569E-2</v>
      </c>
      <c r="P597" s="839" t="b">
        <f t="shared" si="273"/>
        <v>1</v>
      </c>
      <c r="Q597" s="824">
        <f>COUNTIF(P$2:P597, TRUE)/(COUNTIF(P$2:P597,FALSE) + COUNTIF(P$2:P597, TRUE))</f>
        <v>0.48154362416107382</v>
      </c>
      <c r="R597" s="822">
        <v>346120.7</v>
      </c>
      <c r="S597" s="822">
        <f t="shared" si="284"/>
        <v>95090.459999999963</v>
      </c>
      <c r="T597" s="822">
        <v>-31972</v>
      </c>
      <c r="U597" s="822">
        <f t="shared" si="286"/>
        <v>73183.159999999974</v>
      </c>
      <c r="V597" s="824">
        <f>STDEV(D$2:D597)*SQRT(252)</f>
        <v>0.14002083127496495</v>
      </c>
      <c r="W597" s="824">
        <f>STDEV(L$2:L597)*SQRT(252)</f>
        <v>0.28303833628625708</v>
      </c>
      <c r="X597" s="823">
        <f t="shared" si="257"/>
        <v>0.82425954557302428</v>
      </c>
      <c r="Y597" s="823">
        <f t="shared" ref="Y597:Y630" si="287">O597/W597</f>
        <v>0.14280720806744707</v>
      </c>
      <c r="Z597" s="829">
        <f t="shared" si="283"/>
        <v>-0.1911540980593977</v>
      </c>
    </row>
    <row r="598" spans="1:26" ht="20.100000000000001" customHeight="1" x14ac:dyDescent="0.2">
      <c r="A598" s="798">
        <f t="shared" si="281"/>
        <v>932</v>
      </c>
      <c r="B598" s="817">
        <v>43165</v>
      </c>
      <c r="C598" s="842">
        <v>2728.12</v>
      </c>
      <c r="D598" s="814">
        <f t="shared" si="278"/>
        <v>2.6387939462097056E-3</v>
      </c>
      <c r="E598" s="841">
        <f t="shared" si="271"/>
        <v>0.29759707768117039</v>
      </c>
      <c r="F598" s="838">
        <v>7372</v>
      </c>
      <c r="G598" s="814">
        <f t="shared" si="279"/>
        <v>5.6338412429918269E-3</v>
      </c>
      <c r="H598" s="819">
        <f t="shared" si="276"/>
        <v>0.44784649527662673</v>
      </c>
      <c r="I598" s="821">
        <v>440897.46</v>
      </c>
      <c r="J598" s="822">
        <v>400000</v>
      </c>
      <c r="K598" s="822">
        <f t="shared" si="277"/>
        <v>-313.69999999995343</v>
      </c>
      <c r="L598" s="814">
        <f t="shared" si="285"/>
        <v>-7.1099742807945621E-4</v>
      </c>
      <c r="M598" s="839">
        <f t="shared" si="272"/>
        <v>40897.460000000021</v>
      </c>
      <c r="N598" s="824">
        <f t="shared" si="280"/>
        <v>0.10224365000000005</v>
      </c>
      <c r="O598" s="808">
        <f t="shared" si="282"/>
        <v>4.0069198672210322E-2</v>
      </c>
      <c r="P598" s="839" t="b">
        <f t="shared" si="273"/>
        <v>0</v>
      </c>
      <c r="Q598" s="824">
        <f>COUNTIF(P$2:P598, TRUE)/(COUNTIF(P$2:P598,FALSE) + COUNTIF(P$2:P598, TRUE))</f>
        <v>0.48073701842546063</v>
      </c>
      <c r="R598" s="822">
        <v>355214.01</v>
      </c>
      <c r="S598" s="822">
        <f t="shared" si="284"/>
        <v>85683.450000000012</v>
      </c>
      <c r="T598" s="822">
        <v>-32140</v>
      </c>
      <c r="U598" s="822">
        <f t="shared" si="286"/>
        <v>73037.460000000021</v>
      </c>
      <c r="V598" s="824">
        <f>STDEV(D$2:D598)*SQRT(252)</f>
        <v>0.13991020947866528</v>
      </c>
      <c r="W598" s="824">
        <f>STDEV(L$2:L598)*SQRT(252)</f>
        <v>0.28280153709709011</v>
      </c>
      <c r="X598" s="823">
        <f t="shared" si="257"/>
        <v>0.8335920568605808</v>
      </c>
      <c r="Y598" s="823">
        <f t="shared" si="287"/>
        <v>0.14168663679665203</v>
      </c>
      <c r="Z598" s="829">
        <f t="shared" si="283"/>
        <v>-0.19535342768117034</v>
      </c>
    </row>
    <row r="599" spans="1:26" ht="20.100000000000001" customHeight="1" x14ac:dyDescent="0.2">
      <c r="A599" s="798">
        <f t="shared" si="281"/>
        <v>933</v>
      </c>
      <c r="B599" s="817">
        <v>43166</v>
      </c>
      <c r="C599" s="842">
        <v>2726.8</v>
      </c>
      <c r="D599" s="814">
        <f t="shared" si="278"/>
        <v>-4.8384968403138753E-4</v>
      </c>
      <c r="E599" s="841">
        <f t="shared" si="271"/>
        <v>0.29696923574513429</v>
      </c>
      <c r="F599" s="838">
        <v>7396.64</v>
      </c>
      <c r="G599" s="814">
        <f t="shared" si="279"/>
        <v>3.3423765599566368E-3</v>
      </c>
      <c r="H599" s="819">
        <f t="shared" si="276"/>
        <v>0.45268574346485468</v>
      </c>
      <c r="I599" s="821">
        <v>435779.16</v>
      </c>
      <c r="J599" s="822">
        <v>400000</v>
      </c>
      <c r="K599" s="822">
        <f t="shared" si="277"/>
        <v>-5118.3000000000466</v>
      </c>
      <c r="L599" s="814">
        <f t="shared" si="285"/>
        <v>-1.1608821697453295E-2</v>
      </c>
      <c r="M599" s="839">
        <f t="shared" si="272"/>
        <v>35779.159999999974</v>
      </c>
      <c r="N599" s="824">
        <f t="shared" si="280"/>
        <v>8.9447899999999941E-2</v>
      </c>
      <c r="O599" s="808">
        <f t="shared" si="282"/>
        <v>3.5016983360128595E-2</v>
      </c>
      <c r="P599" s="839" t="b">
        <f t="shared" si="273"/>
        <v>0</v>
      </c>
      <c r="Q599" s="824">
        <f>COUNTIF(P$2:P599, TRUE)/(COUNTIF(P$2:P599,FALSE) + COUNTIF(P$2:P599, TRUE))</f>
        <v>0.47993311036789299</v>
      </c>
      <c r="R599" s="822">
        <v>358173.46</v>
      </c>
      <c r="S599" s="822">
        <f t="shared" si="284"/>
        <v>77605.699999999953</v>
      </c>
      <c r="T599" s="822">
        <v>-33468</v>
      </c>
      <c r="U599" s="822">
        <f t="shared" si="286"/>
        <v>69247.159999999974</v>
      </c>
      <c r="V599" s="824">
        <f>STDEV(D$2:D599)*SQRT(252)</f>
        <v>0.13979417676369779</v>
      </c>
      <c r="W599" s="824">
        <f>STDEV(L$2:L599)*SQRT(252)</f>
        <v>0.28267415895687487</v>
      </c>
      <c r="X599" s="823">
        <f t="shared" si="257"/>
        <v>0.83163155814580803</v>
      </c>
      <c r="Y599" s="823">
        <f t="shared" si="287"/>
        <v>0.12387755389225667</v>
      </c>
      <c r="Z599" s="829">
        <f t="shared" si="283"/>
        <v>-0.20752133574513434</v>
      </c>
    </row>
    <row r="600" spans="1:26" ht="20.100000000000001" customHeight="1" x14ac:dyDescent="0.2">
      <c r="A600" s="798">
        <f t="shared" si="281"/>
        <v>934</v>
      </c>
      <c r="B600" s="817">
        <v>43167</v>
      </c>
      <c r="C600" s="842">
        <v>2738.97</v>
      </c>
      <c r="D600" s="814">
        <f t="shared" si="278"/>
        <v>4.4631069385358728E-3</v>
      </c>
      <c r="E600" s="841">
        <f t="shared" si="271"/>
        <v>0.30275774814025597</v>
      </c>
      <c r="F600" s="838">
        <v>7427.94</v>
      </c>
      <c r="G600" s="814">
        <f t="shared" si="279"/>
        <v>4.2316511280796783E-3</v>
      </c>
      <c r="H600" s="819">
        <f t="shared" si="276"/>
        <v>0.45883300272993299</v>
      </c>
      <c r="I600" s="821">
        <v>429670.56</v>
      </c>
      <c r="J600" s="822">
        <v>400000</v>
      </c>
      <c r="K600" s="822">
        <f t="shared" si="277"/>
        <v>-6108.5999999999767</v>
      </c>
      <c r="L600" s="814">
        <f t="shared" si="285"/>
        <v>-1.4017650591643659E-2</v>
      </c>
      <c r="M600" s="839">
        <f t="shared" si="272"/>
        <v>29670.559999999998</v>
      </c>
      <c r="N600" s="824">
        <f t="shared" si="280"/>
        <v>7.417639999999999E-2</v>
      </c>
      <c r="O600" s="808">
        <f t="shared" si="282"/>
        <v>2.9007419807280513E-2</v>
      </c>
      <c r="P600" s="839" t="b">
        <f t="shared" si="273"/>
        <v>0</v>
      </c>
      <c r="Q600" s="824">
        <f>COUNTIF(P$2:P600, TRUE)/(COUNTIF(P$2:P600,FALSE) + COUNTIF(P$2:P600, TRUE))</f>
        <v>0.47913188647746241</v>
      </c>
      <c r="R600" s="822">
        <v>369341.21</v>
      </c>
      <c r="S600" s="822">
        <f t="shared" si="284"/>
        <v>60329.349999999977</v>
      </c>
      <c r="T600" s="822">
        <v>-40317</v>
      </c>
      <c r="U600" s="822">
        <f t="shared" si="286"/>
        <v>69987.56</v>
      </c>
      <c r="V600" s="824">
        <f>STDEV(D$2:D600)*SQRT(252)</f>
        <v>0.13970104530269922</v>
      </c>
      <c r="W600" s="824">
        <f>STDEV(L$2:L600)*SQRT(252)</f>
        <v>0.28259463012255009</v>
      </c>
      <c r="X600" s="823">
        <f t="shared" si="257"/>
        <v>0.84749854065243946</v>
      </c>
      <c r="Y600" s="823">
        <f t="shared" si="287"/>
        <v>0.10264674808116893</v>
      </c>
      <c r="Z600" s="829">
        <f t="shared" si="283"/>
        <v>-0.22858134814025599</v>
      </c>
    </row>
    <row r="601" spans="1:26" ht="20.100000000000001" customHeight="1" x14ac:dyDescent="0.2">
      <c r="A601" s="798">
        <f t="shared" si="281"/>
        <v>935</v>
      </c>
      <c r="B601" s="817">
        <v>43168</v>
      </c>
      <c r="C601" s="842">
        <v>2786.57</v>
      </c>
      <c r="D601" s="814">
        <f t="shared" si="278"/>
        <v>1.7378795678667663E-2</v>
      </c>
      <c r="E601" s="841">
        <f t="shared" si="271"/>
        <v>0.32539810886398662</v>
      </c>
      <c r="F601" s="838">
        <v>7560.81</v>
      </c>
      <c r="G601" s="814">
        <f t="shared" si="279"/>
        <v>1.7887866622509175E-2</v>
      </c>
      <c r="H601" s="819">
        <f t="shared" si="276"/>
        <v>0.48492841290728061</v>
      </c>
      <c r="I601" s="821">
        <v>438280.9</v>
      </c>
      <c r="J601" s="822">
        <v>400000</v>
      </c>
      <c r="K601" s="822">
        <f t="shared" si="277"/>
        <v>8610.3400000000256</v>
      </c>
      <c r="L601" s="814">
        <f t="shared" si="285"/>
        <v>2.0039399487830921E-2</v>
      </c>
      <c r="M601" s="839">
        <f t="shared" si="272"/>
        <v>38280.900000000023</v>
      </c>
      <c r="N601" s="824">
        <f t="shared" si="280"/>
        <v>9.5702250000000058E-2</v>
      </c>
      <c r="O601" s="808">
        <f t="shared" si="282"/>
        <v>3.7385290708556174E-2</v>
      </c>
      <c r="P601" s="839" t="b">
        <f t="shared" si="273"/>
        <v>1</v>
      </c>
      <c r="Q601" s="824">
        <f>COUNTIF(P$2:P601, TRUE)/(COUNTIF(P$2:P601,FALSE) + COUNTIF(P$2:P601, TRUE))</f>
        <v>0.48</v>
      </c>
      <c r="R601" s="822">
        <v>374980.71</v>
      </c>
      <c r="S601" s="822">
        <f t="shared" si="284"/>
        <v>63300.19</v>
      </c>
      <c r="T601" s="822">
        <v>-37017</v>
      </c>
      <c r="U601" s="822">
        <f t="shared" si="286"/>
        <v>75297.900000000023</v>
      </c>
      <c r="V601" s="824">
        <f>STDEV(D$2:D601)*SQRT(252)</f>
        <v>0.14001382261721679</v>
      </c>
      <c r="W601" s="824">
        <f>STDEV(L$2:L601)*SQRT(252)</f>
        <v>0.2826430633070916</v>
      </c>
      <c r="X601" s="823">
        <f t="shared" si="257"/>
        <v>0.90786803546627559</v>
      </c>
      <c r="Y601" s="823">
        <f t="shared" si="287"/>
        <v>0.13227032806369307</v>
      </c>
      <c r="Z601" s="829">
        <f t="shared" si="283"/>
        <v>-0.22969585886398658</v>
      </c>
    </row>
    <row r="602" spans="1:26" ht="20.100000000000001" customHeight="1" x14ac:dyDescent="0.2">
      <c r="A602" s="798">
        <f t="shared" si="281"/>
        <v>938</v>
      </c>
      <c r="B602" s="817">
        <v>43171</v>
      </c>
      <c r="C602" s="842">
        <v>2783.02</v>
      </c>
      <c r="D602" s="814">
        <f t="shared" si="278"/>
        <v>-1.273967637633428E-3</v>
      </c>
      <c r="E602" s="841">
        <f t="shared" si="271"/>
        <v>0.32370959456631337</v>
      </c>
      <c r="F602" s="838">
        <v>7588.32</v>
      </c>
      <c r="G602" s="814">
        <f t="shared" si="279"/>
        <v>3.6384990497049003E-3</v>
      </c>
      <c r="H602" s="819">
        <f t="shared" si="276"/>
        <v>0.49033132352652353</v>
      </c>
      <c r="I602" s="821">
        <v>437286.12</v>
      </c>
      <c r="J602" s="822">
        <v>400000</v>
      </c>
      <c r="K602" s="822">
        <f t="shared" si="277"/>
        <v>-994.78000000002794</v>
      </c>
      <c r="L602" s="814">
        <f t="shared" si="285"/>
        <v>-2.2697315808195792E-3</v>
      </c>
      <c r="M602" s="839">
        <f t="shared" si="272"/>
        <v>37286.119999999995</v>
      </c>
      <c r="N602" s="824">
        <f t="shared" si="280"/>
        <v>9.3215299999999987E-2</v>
      </c>
      <c r="O602" s="808">
        <f t="shared" si="282"/>
        <v>3.6297322308102335E-2</v>
      </c>
      <c r="P602" s="839" t="b">
        <f t="shared" si="273"/>
        <v>0</v>
      </c>
      <c r="Q602" s="824">
        <f>COUNTIF(P$2:P602, TRUE)/(COUNTIF(P$2:P602,FALSE) + COUNTIF(P$2:P602, TRUE))</f>
        <v>0.47920133111480867</v>
      </c>
      <c r="R602" s="822">
        <v>373985.93</v>
      </c>
      <c r="S602" s="822">
        <f t="shared" si="284"/>
        <v>63300.19</v>
      </c>
      <c r="T602" s="822">
        <v>-37287</v>
      </c>
      <c r="U602" s="822">
        <f t="shared" si="286"/>
        <v>74573.119999999995</v>
      </c>
      <c r="V602" s="824">
        <f>STDEV(D$2:D602)*SQRT(252)</f>
        <v>0.13990167405306719</v>
      </c>
      <c r="W602" s="824">
        <f>STDEV(L$2:L602)*SQRT(252)</f>
        <v>0.28241279907260419</v>
      </c>
      <c r="X602" s="823">
        <f t="shared" si="257"/>
        <v>0.90099015764336643</v>
      </c>
      <c r="Y602" s="823">
        <f t="shared" si="287"/>
        <v>0.1285257694668818</v>
      </c>
      <c r="Z602" s="829">
        <f t="shared" si="283"/>
        <v>-0.23049429456631337</v>
      </c>
    </row>
    <row r="603" spans="1:26" ht="20.100000000000001" customHeight="1" x14ac:dyDescent="0.2">
      <c r="A603" s="798">
        <f t="shared" si="281"/>
        <v>939</v>
      </c>
      <c r="B603" s="817">
        <v>43172</v>
      </c>
      <c r="C603" s="842">
        <v>2765.31</v>
      </c>
      <c r="D603" s="814">
        <f t="shared" si="278"/>
        <v>-6.3635906317597562E-3</v>
      </c>
      <c r="E603" s="841">
        <f t="shared" si="271"/>
        <v>0.31528604859116066</v>
      </c>
      <c r="F603" s="838">
        <v>7511.01</v>
      </c>
      <c r="G603" s="814">
        <f t="shared" si="279"/>
        <v>-1.0188025808083936E-2</v>
      </c>
      <c r="H603" s="819">
        <f t="shared" si="276"/>
        <v>0.47514778953983944</v>
      </c>
      <c r="I603" s="821">
        <v>435615.49</v>
      </c>
      <c r="J603" s="822">
        <v>400000</v>
      </c>
      <c r="K603" s="822">
        <f t="shared" si="277"/>
        <v>-1670.6300000000047</v>
      </c>
      <c r="L603" s="814">
        <f t="shared" si="285"/>
        <v>-3.8204505553480744E-3</v>
      </c>
      <c r="M603" s="839">
        <f t="shared" si="272"/>
        <v>35615.489999999991</v>
      </c>
      <c r="N603" s="824">
        <f t="shared" si="280"/>
        <v>8.9038724999999971E-2</v>
      </c>
      <c r="O603" s="808">
        <f t="shared" si="282"/>
        <v>3.463407274361021E-2</v>
      </c>
      <c r="P603" s="839" t="b">
        <f t="shared" si="273"/>
        <v>1</v>
      </c>
      <c r="Q603" s="824">
        <f>COUNTIF(P$2:P603, TRUE)/(COUNTIF(P$2:P603,FALSE) + COUNTIF(P$2:P603, TRUE))</f>
        <v>0.48006644518272423</v>
      </c>
      <c r="R603" s="822">
        <v>378952.58</v>
      </c>
      <c r="S603" s="822">
        <f t="shared" si="284"/>
        <v>56662.909999999974</v>
      </c>
      <c r="T603" s="822">
        <v>-37227</v>
      </c>
      <c r="U603" s="822">
        <f t="shared" si="286"/>
        <v>72842.489999999991</v>
      </c>
      <c r="V603" s="824">
        <f>STDEV(D$2:D603)*SQRT(252)</f>
        <v>0.13985580631771188</v>
      </c>
      <c r="W603" s="824">
        <f>STDEV(L$2:L603)*SQRT(252)</f>
        <v>0.28219128709643676</v>
      </c>
      <c r="X603" s="823">
        <f t="shared" ref="X603:X638" si="288">E603/(A603/365.25)/V603</f>
        <v>0.87689760622217827</v>
      </c>
      <c r="Y603" s="823">
        <f t="shared" si="287"/>
        <v>0.12273260843724872</v>
      </c>
      <c r="Z603" s="829">
        <f t="shared" si="283"/>
        <v>-0.22624732359116068</v>
      </c>
    </row>
    <row r="604" spans="1:26" ht="20.100000000000001" customHeight="1" x14ac:dyDescent="0.2">
      <c r="A604" s="798">
        <f t="shared" si="281"/>
        <v>940</v>
      </c>
      <c r="B604" s="817">
        <v>43173</v>
      </c>
      <c r="C604" s="842">
        <v>2749.48</v>
      </c>
      <c r="D604" s="814">
        <f t="shared" si="278"/>
        <v>-5.7244938180529229E-3</v>
      </c>
      <c r="E604" s="841">
        <f t="shared" si="271"/>
        <v>0.30775670173702935</v>
      </c>
      <c r="F604" s="838">
        <v>7496.81</v>
      </c>
      <c r="G604" s="814">
        <f t="shared" si="279"/>
        <v>-1.8905579941978267E-3</v>
      </c>
      <c r="H604" s="819">
        <f t="shared" si="276"/>
        <v>0.47235893709370164</v>
      </c>
      <c r="I604" s="821">
        <v>429341.77</v>
      </c>
      <c r="J604" s="822">
        <v>400000</v>
      </c>
      <c r="K604" s="822">
        <f t="shared" si="277"/>
        <v>-6273.7199999999721</v>
      </c>
      <c r="L604" s="814">
        <f t="shared" si="285"/>
        <v>-1.4401967202773189E-2</v>
      </c>
      <c r="M604" s="839">
        <f t="shared" si="272"/>
        <v>29341.770000000019</v>
      </c>
      <c r="N604" s="824">
        <f t="shared" si="280"/>
        <v>7.3354425000000043E-2</v>
      </c>
      <c r="O604" s="808">
        <f t="shared" si="282"/>
        <v>2.8502876309840441E-2</v>
      </c>
      <c r="P604" s="839" t="b">
        <f t="shared" si="273"/>
        <v>0</v>
      </c>
      <c r="Q604" s="824">
        <f>COUNTIF(P$2:P604, TRUE)/(COUNTIF(P$2:P604,FALSE) + COUNTIF(P$2:P604, TRUE))</f>
        <v>0.4792703150912106</v>
      </c>
      <c r="R604" s="822">
        <v>372630.86</v>
      </c>
      <c r="S604" s="822">
        <f t="shared" si="284"/>
        <v>56710.910000000033</v>
      </c>
      <c r="T604" s="822">
        <v>-38937</v>
      </c>
      <c r="U604" s="822">
        <f t="shared" si="286"/>
        <v>68278.770000000019</v>
      </c>
      <c r="V604" s="824">
        <f>STDEV(D$2:D604)*SQRT(252)</f>
        <v>0.1397973286660589</v>
      </c>
      <c r="W604" s="824">
        <f>STDEV(L$2:L604)*SQRT(252)</f>
        <v>0.28212127314780289</v>
      </c>
      <c r="X604" s="823">
        <f t="shared" si="288"/>
        <v>0.8554034888269002</v>
      </c>
      <c r="Y604" s="823">
        <f t="shared" si="287"/>
        <v>0.10103058160703758</v>
      </c>
      <c r="Z604" s="829">
        <f t="shared" si="283"/>
        <v>-0.23440227673702929</v>
      </c>
    </row>
    <row r="605" spans="1:26" ht="20.100000000000001" customHeight="1" x14ac:dyDescent="0.2">
      <c r="A605" s="798">
        <f t="shared" si="281"/>
        <v>941</v>
      </c>
      <c r="B605" s="817">
        <v>43174</v>
      </c>
      <c r="C605" s="842">
        <v>2747.33</v>
      </c>
      <c r="D605" s="814">
        <f t="shared" si="278"/>
        <v>-7.8196604448844541E-4</v>
      </c>
      <c r="E605" s="841">
        <f t="shared" si="271"/>
        <v>0.30673408040181876</v>
      </c>
      <c r="F605" s="838">
        <v>7481.74</v>
      </c>
      <c r="G605" s="814">
        <f t="shared" si="279"/>
        <v>-2.0101883334379044E-3</v>
      </c>
      <c r="H605" s="819">
        <f t="shared" si="276"/>
        <v>0.46939921833572285</v>
      </c>
      <c r="I605" s="821">
        <v>429379.29</v>
      </c>
      <c r="J605" s="822">
        <v>400000</v>
      </c>
      <c r="K605" s="822">
        <f t="shared" si="277"/>
        <v>37.519999999960419</v>
      </c>
      <c r="L605" s="814">
        <f t="shared" si="285"/>
        <v>8.7389587088068359E-5</v>
      </c>
      <c r="M605" s="839">
        <f t="shared" si="272"/>
        <v>29379.289999999979</v>
      </c>
      <c r="N605" s="824">
        <f t="shared" si="280"/>
        <v>7.344822499999995E-2</v>
      </c>
      <c r="O605" s="808">
        <f t="shared" si="282"/>
        <v>2.8508994879117941E-2</v>
      </c>
      <c r="P605" s="839" t="b">
        <f t="shared" si="273"/>
        <v>1</v>
      </c>
      <c r="Q605" s="824">
        <f>COUNTIF(P$2:P605, TRUE)/(COUNTIF(P$2:P605,FALSE) + COUNTIF(P$2:P605, TRUE))</f>
        <v>0.48013245033112584</v>
      </c>
      <c r="R605" s="822">
        <v>376490.31</v>
      </c>
      <c r="S605" s="822">
        <f t="shared" si="284"/>
        <v>52888.979999999981</v>
      </c>
      <c r="T605" s="822"/>
      <c r="U605" s="822"/>
      <c r="V605" s="824">
        <f>STDEV(D$2:D605)*SQRT(252)</f>
        <v>0.13968356910665927</v>
      </c>
      <c r="W605" s="824">
        <f>STDEV(L$2:L605)*SQRT(252)</f>
        <v>0.2818869686749797</v>
      </c>
      <c r="X605" s="823">
        <f t="shared" si="288"/>
        <v>0.85234871317056815</v>
      </c>
      <c r="Y605" s="823">
        <f t="shared" si="287"/>
        <v>0.10113626398951872</v>
      </c>
      <c r="Z605" s="829">
        <f t="shared" si="283"/>
        <v>-0.23328585540181881</v>
      </c>
    </row>
    <row r="606" spans="1:26" ht="20.100000000000001" customHeight="1" x14ac:dyDescent="0.2">
      <c r="A606" s="798">
        <f t="shared" si="281"/>
        <v>942</v>
      </c>
      <c r="B606" s="817">
        <v>43175</v>
      </c>
      <c r="C606" s="842">
        <v>2752.02</v>
      </c>
      <c r="D606" s="814">
        <f t="shared" si="278"/>
        <v>1.707111996010692E-3</v>
      </c>
      <c r="E606" s="841">
        <f t="shared" si="271"/>
        <v>0.30896482182606871</v>
      </c>
      <c r="F606" s="838">
        <v>7481.98</v>
      </c>
      <c r="G606" s="814">
        <f t="shared" si="279"/>
        <v>3.2078099479503662E-5</v>
      </c>
      <c r="H606" s="819">
        <f t="shared" si="276"/>
        <v>0.46944635387002376</v>
      </c>
      <c r="I606" s="821">
        <v>432834.68</v>
      </c>
      <c r="J606" s="822">
        <v>400000</v>
      </c>
      <c r="K606" s="822">
        <f t="shared" si="277"/>
        <v>3455.390000000014</v>
      </c>
      <c r="L606" s="814">
        <f t="shared" si="285"/>
        <v>8.0474072235761866E-3</v>
      </c>
      <c r="M606" s="839">
        <f t="shared" si="272"/>
        <v>32834.679999999993</v>
      </c>
      <c r="N606" s="824">
        <f t="shared" si="280"/>
        <v>8.2086699999999985E-2</v>
      </c>
      <c r="O606" s="808">
        <f t="shared" si="282"/>
        <v>3.1828202945859869E-2</v>
      </c>
      <c r="P606" s="839" t="b">
        <f t="shared" si="273"/>
        <v>1</v>
      </c>
      <c r="Q606" s="824">
        <f>COUNTIF(P$2:P606, TRUE)/(COUNTIF(P$2:P606,FALSE) + COUNTIF(P$2:P606, TRUE))</f>
        <v>0.4809917355371901</v>
      </c>
      <c r="R606" s="822">
        <v>369896.1</v>
      </c>
      <c r="S606" s="822">
        <f t="shared" si="284"/>
        <v>62938.580000000016</v>
      </c>
      <c r="T606" s="822"/>
      <c r="U606" s="822"/>
      <c r="V606" s="824">
        <f>STDEV(D$2:D606)*SQRT(252)</f>
        <v>0.13956993901998668</v>
      </c>
      <c r="W606" s="824">
        <f>STDEV(L$2:L606)*SQRT(252)</f>
        <v>0.28169557911049675</v>
      </c>
      <c r="X606" s="823">
        <f t="shared" si="288"/>
        <v>0.85833429912511727</v>
      </c>
      <c r="Y606" s="823">
        <f t="shared" si="287"/>
        <v>0.112987939130472</v>
      </c>
      <c r="Z606" s="829">
        <f t="shared" si="283"/>
        <v>-0.22687812182606873</v>
      </c>
    </row>
    <row r="607" spans="1:26" ht="20.100000000000001" customHeight="1" x14ac:dyDescent="0.2">
      <c r="A607" s="798">
        <f t="shared" si="281"/>
        <v>945</v>
      </c>
      <c r="B607" s="817">
        <v>43178</v>
      </c>
      <c r="C607" s="842">
        <v>2712.92</v>
      </c>
      <c r="D607" s="814">
        <f t="shared" si="278"/>
        <v>-1.4207745583244275E-2</v>
      </c>
      <c r="E607" s="841">
        <f t="shared" si="271"/>
        <v>0.29036738266014728</v>
      </c>
      <c r="F607" s="838">
        <v>7324.44</v>
      </c>
      <c r="G607" s="814">
        <f t="shared" si="279"/>
        <v>-2.1055923699341613E-2</v>
      </c>
      <c r="H607" s="819">
        <f t="shared" ref="H607:H629" si="289">(F607-F$2)/F$2</f>
        <v>0.43850580356266078</v>
      </c>
      <c r="I607" s="821">
        <v>436840.3</v>
      </c>
      <c r="J607" s="822">
        <v>410000</v>
      </c>
      <c r="K607" s="822">
        <f t="shared" ref="K607:K629" si="290">I607-I606-J607+J606</f>
        <v>-5994.3800000000047</v>
      </c>
      <c r="L607" s="814">
        <f t="shared" si="285"/>
        <v>-1.3849121331959825E-2</v>
      </c>
      <c r="M607" s="839">
        <f t="shared" si="272"/>
        <v>26840.299999999988</v>
      </c>
      <c r="N607" s="824">
        <f t="shared" si="280"/>
        <v>6.5464146341463386E-2</v>
      </c>
      <c r="O607" s="808">
        <f t="shared" si="282"/>
        <v>2.5302412117692595E-2</v>
      </c>
      <c r="P607" s="839" t="b">
        <f t="shared" si="273"/>
        <v>1</v>
      </c>
      <c r="Q607" s="824">
        <f>COUNTIF(P$2:P607, TRUE)/(COUNTIF(P$2:P607,FALSE) + COUNTIF(P$2:P607, TRUE))</f>
        <v>0.48184818481848185</v>
      </c>
      <c r="R607" s="822"/>
      <c r="S607" s="822"/>
      <c r="T607" s="822"/>
      <c r="U607" s="822"/>
      <c r="V607" s="824">
        <f>STDEV(D$2:D607)*SQRT(252)</f>
        <v>0.13977635246668721</v>
      </c>
      <c r="W607" s="824">
        <f>STDEV(L$2:L607)*SQRT(252)</f>
        <v>0.28161437917604071</v>
      </c>
      <c r="X607" s="823">
        <f t="shared" si="288"/>
        <v>0.80292049349285621</v>
      </c>
      <c r="Y607" s="823">
        <f t="shared" si="287"/>
        <v>8.9847727916889275E-2</v>
      </c>
      <c r="Z607" s="829">
        <f t="shared" si="283"/>
        <v>-0.22490323631868389</v>
      </c>
    </row>
    <row r="608" spans="1:26" ht="20.100000000000001" customHeight="1" x14ac:dyDescent="0.2">
      <c r="A608" s="798">
        <f t="shared" si="281"/>
        <v>946</v>
      </c>
      <c r="B608" s="817">
        <v>43179</v>
      </c>
      <c r="C608" s="842">
        <v>2716.94</v>
      </c>
      <c r="D608" s="814">
        <f t="shared" ref="D608:D629" si="291">(C608-C607)/C607</f>
        <v>1.4817982100467325E-3</v>
      </c>
      <c r="E608" s="841">
        <f t="shared" si="271"/>
        <v>0.29227944673807577</v>
      </c>
      <c r="F608" s="838">
        <v>7364.3</v>
      </c>
      <c r="G608" s="814">
        <f t="shared" ref="G608:G629" si="292">(F608-F607)/F607</f>
        <v>5.4420542730912649E-3</v>
      </c>
      <c r="H608" s="819">
        <f t="shared" si="289"/>
        <v>0.44633423021780555</v>
      </c>
      <c r="I608" s="821">
        <v>437944.26</v>
      </c>
      <c r="J608" s="822">
        <v>410000</v>
      </c>
      <c r="K608" s="822">
        <f t="shared" si="290"/>
        <v>1103.960000000021</v>
      </c>
      <c r="L608" s="814">
        <f t="shared" si="285"/>
        <v>2.5271477929120116E-3</v>
      </c>
      <c r="M608" s="839">
        <f t="shared" si="272"/>
        <v>27944.260000000009</v>
      </c>
      <c r="N608" s="824">
        <f t="shared" si="280"/>
        <v>6.8156731707317092E-2</v>
      </c>
      <c r="O608" s="808">
        <f t="shared" si="282"/>
        <v>2.6315270883824068E-2</v>
      </c>
      <c r="P608" s="839" t="b">
        <f t="shared" si="273"/>
        <v>1</v>
      </c>
      <c r="Q608" s="824">
        <f>COUNTIF(P$2:P608, TRUE)/(COUNTIF(P$2:P608,FALSE) + COUNTIF(P$2:P608, TRUE))</f>
        <v>0.48270181219110381</v>
      </c>
      <c r="R608" s="822">
        <v>408998.53</v>
      </c>
      <c r="S608" s="822">
        <f t="shared" ref="S608:S615" si="293">I608-R608</f>
        <v>28945.729999999981</v>
      </c>
      <c r="T608" s="822">
        <v>-39027</v>
      </c>
      <c r="U608" s="822">
        <f t="shared" ref="U608:U615" si="294">M608-T608</f>
        <v>66971.260000000009</v>
      </c>
      <c r="V608" s="824">
        <f>STDEV(D$2:D608)*SQRT(252)</f>
        <v>0.13966234092312027</v>
      </c>
      <c r="W608" s="824">
        <f>STDEV(L$2:L608)*SQRT(252)</f>
        <v>0.28138468339100431</v>
      </c>
      <c r="X608" s="823">
        <f t="shared" si="288"/>
        <v>0.8080124410173406</v>
      </c>
      <c r="Y608" s="823">
        <f t="shared" si="287"/>
        <v>9.3520622966023703E-2</v>
      </c>
      <c r="Z608" s="829">
        <f t="shared" si="283"/>
        <v>-0.22412271503075867</v>
      </c>
    </row>
    <row r="609" spans="1:26" ht="20.100000000000001" customHeight="1" x14ac:dyDescent="0.2">
      <c r="A609" s="798">
        <f t="shared" si="281"/>
        <v>947</v>
      </c>
      <c r="B609" s="817">
        <v>43180</v>
      </c>
      <c r="C609" s="842">
        <v>2711.93</v>
      </c>
      <c r="D609" s="814">
        <f t="shared" si="291"/>
        <v>-1.8439862492363535E-3</v>
      </c>
      <c r="E609" s="841">
        <f t="shared" si="271"/>
        <v>0.28989650120811999</v>
      </c>
      <c r="F609" s="838">
        <v>7345.28</v>
      </c>
      <c r="G609" s="814">
        <f t="shared" si="292"/>
        <v>-2.582730198389587E-3</v>
      </c>
      <c r="H609" s="819">
        <f t="shared" si="289"/>
        <v>0.44259873912445746</v>
      </c>
      <c r="I609" s="821">
        <v>444291.72</v>
      </c>
      <c r="J609" s="822">
        <v>410000</v>
      </c>
      <c r="K609" s="822">
        <f t="shared" si="290"/>
        <v>6347.4599999999627</v>
      </c>
      <c r="L609" s="814">
        <f t="shared" si="285"/>
        <v>1.4493762288378806E-2</v>
      </c>
      <c r="M609" s="839">
        <f t="shared" si="272"/>
        <v>34291.719999999972</v>
      </c>
      <c r="N609" s="824">
        <f t="shared" si="280"/>
        <v>8.3638341463414562E-2</v>
      </c>
      <c r="O609" s="808">
        <f t="shared" si="282"/>
        <v>3.2258610580266286E-2</v>
      </c>
      <c r="P609" s="839" t="b">
        <f t="shared" si="273"/>
        <v>1</v>
      </c>
      <c r="Q609" s="824">
        <f>COUNTIF(P$2:P609, TRUE)/(COUNTIF(P$2:P609,FALSE) + COUNTIF(P$2:P609, TRUE))</f>
        <v>0.48355263157894735</v>
      </c>
      <c r="R609" s="822">
        <v>388465.73</v>
      </c>
      <c r="S609" s="822">
        <f t="shared" si="293"/>
        <v>55825.989999999991</v>
      </c>
      <c r="T609" s="822">
        <v>-38907</v>
      </c>
      <c r="U609" s="822">
        <f t="shared" si="294"/>
        <v>73198.719999999972</v>
      </c>
      <c r="V609" s="824">
        <f>STDEV(D$2:D609)*SQRT(252)</f>
        <v>0.13955496906364678</v>
      </c>
      <c r="W609" s="824">
        <f>STDEV(L$2:L609)*SQRT(252)</f>
        <v>0.28129760062211118</v>
      </c>
      <c r="X609" s="823">
        <f t="shared" si="288"/>
        <v>0.80119441759034837</v>
      </c>
      <c r="Y609" s="823">
        <f t="shared" si="287"/>
        <v>0.11467787321656459</v>
      </c>
      <c r="Z609" s="829">
        <f t="shared" si="283"/>
        <v>-0.20625815974470543</v>
      </c>
    </row>
    <row r="610" spans="1:26" ht="20.100000000000001" customHeight="1" x14ac:dyDescent="0.2">
      <c r="A610" s="798">
        <f t="shared" si="281"/>
        <v>948</v>
      </c>
      <c r="B610" s="817">
        <v>43181</v>
      </c>
      <c r="C610" s="842">
        <v>2643.69</v>
      </c>
      <c r="D610" s="814">
        <f t="shared" si="291"/>
        <v>-2.5162891372564847E-2</v>
      </c>
      <c r="E610" s="841">
        <f t="shared" si="271"/>
        <v>0.25743897566636859</v>
      </c>
      <c r="F610" s="838">
        <v>7166.67</v>
      </c>
      <c r="G610" s="814">
        <f t="shared" si="292"/>
        <v>-2.4316295634747714E-2</v>
      </c>
      <c r="H610" s="819">
        <f t="shared" si="289"/>
        <v>0.40752008170159287</v>
      </c>
      <c r="I610" s="821">
        <v>436497.12</v>
      </c>
      <c r="J610" s="822">
        <v>410000</v>
      </c>
      <c r="K610" s="822">
        <f t="shared" si="290"/>
        <v>-7794.5999999999767</v>
      </c>
      <c r="L610" s="814">
        <f t="shared" si="285"/>
        <v>-1.7543878603004298E-2</v>
      </c>
      <c r="M610" s="839">
        <f t="shared" si="272"/>
        <v>26497.119999999995</v>
      </c>
      <c r="N610" s="824">
        <f t="shared" si="280"/>
        <v>6.4627121951219502E-2</v>
      </c>
      <c r="O610" s="808">
        <f t="shared" si="282"/>
        <v>2.4899848410003086E-2</v>
      </c>
      <c r="P610" s="839" t="b">
        <f t="shared" si="273"/>
        <v>1</v>
      </c>
      <c r="Q610" s="824">
        <f>COUNTIF(P$2:P610, TRUE)/(COUNTIF(P$2:P610,FALSE) + COUNTIF(P$2:P610, TRUE))</f>
        <v>0.48440065681444994</v>
      </c>
      <c r="R610" s="822">
        <v>405000.68</v>
      </c>
      <c r="S610" s="822">
        <f t="shared" si="293"/>
        <v>31496.440000000002</v>
      </c>
      <c r="T610" s="822">
        <v>-39087</v>
      </c>
      <c r="U610" s="822">
        <f t="shared" si="294"/>
        <v>65584.12</v>
      </c>
      <c r="V610" s="824">
        <f>STDEV(D$2:D610)*SQRT(252)</f>
        <v>0.1404121731089179</v>
      </c>
      <c r="W610" s="824">
        <f>STDEV(L$2:L610)*SQRT(252)</f>
        <v>0.28130554779717615</v>
      </c>
      <c r="X610" s="823">
        <f t="shared" si="288"/>
        <v>0.706401194872605</v>
      </c>
      <c r="Y610" s="823">
        <f t="shared" si="287"/>
        <v>8.8515312282273592E-2</v>
      </c>
      <c r="Z610" s="829">
        <f t="shared" si="283"/>
        <v>-0.19281185371514908</v>
      </c>
    </row>
    <row r="611" spans="1:26" ht="20.100000000000001" customHeight="1" x14ac:dyDescent="0.2">
      <c r="A611" s="798">
        <f t="shared" ref="A611:A642" si="295">B611-$B$2</f>
        <v>949</v>
      </c>
      <c r="B611" s="817">
        <v>43182</v>
      </c>
      <c r="C611" s="842">
        <v>2588.2800000000002</v>
      </c>
      <c r="D611" s="814">
        <f t="shared" si="291"/>
        <v>-2.0959340921212342E-2</v>
      </c>
      <c r="E611" s="841">
        <f t="shared" si="271"/>
        <v>0.23108388348775716</v>
      </c>
      <c r="F611" s="838">
        <v>6992.66</v>
      </c>
      <c r="G611" s="814">
        <f t="shared" si="292"/>
        <v>-2.4280453823044765E-2</v>
      </c>
      <c r="H611" s="819">
        <f t="shared" si="289"/>
        <v>0.37334485535282913</v>
      </c>
      <c r="I611" s="821">
        <v>432731.74</v>
      </c>
      <c r="J611" s="822">
        <v>410000</v>
      </c>
      <c r="K611" s="822">
        <f t="shared" si="290"/>
        <v>-3765.3800000000047</v>
      </c>
      <c r="L611" s="814">
        <f t="shared" si="285"/>
        <v>-8.6263570307176483E-3</v>
      </c>
      <c r="M611" s="839">
        <f t="shared" si="272"/>
        <v>22731.739999999991</v>
      </c>
      <c r="N611" s="824">
        <f t="shared" si="280"/>
        <v>5.5443268292682903E-2</v>
      </c>
      <c r="O611" s="808">
        <f t="shared" ref="O611:O642" si="296">N611/(A611/365.25)</f>
        <v>2.1338939666915101E-2</v>
      </c>
      <c r="P611" s="839" t="b">
        <f t="shared" si="273"/>
        <v>1</v>
      </c>
      <c r="Q611" s="824">
        <f>COUNTIF(P$2:P611, TRUE)/(COUNTIF(P$2:P611,FALSE) + COUNTIF(P$2:P611, TRUE))</f>
        <v>0.48524590163934428</v>
      </c>
      <c r="R611" s="822">
        <v>410695.78</v>
      </c>
      <c r="S611" s="822">
        <f t="shared" si="293"/>
        <v>22035.959999999963</v>
      </c>
      <c r="T611" s="822">
        <v>-38588</v>
      </c>
      <c r="U611" s="822">
        <f t="shared" si="294"/>
        <v>61319.739999999991</v>
      </c>
      <c r="V611" s="824">
        <f>STDEV(D$2:D611)*SQRT(252)</f>
        <v>0.14096884043280336</v>
      </c>
      <c r="W611" s="824">
        <f>STDEV(L$2:L611)*SQRT(252)</f>
        <v>0.28113491852881572</v>
      </c>
      <c r="X611" s="823">
        <f t="shared" si="288"/>
        <v>0.63091454878179509</v>
      </c>
      <c r="Y611" s="823">
        <f t="shared" si="287"/>
        <v>7.5902843298805325E-2</v>
      </c>
      <c r="Z611" s="829">
        <f t="shared" si="283"/>
        <v>-0.17564061519507426</v>
      </c>
    </row>
    <row r="612" spans="1:26" ht="20.100000000000001" customHeight="1" x14ac:dyDescent="0.2">
      <c r="A612" s="798">
        <f t="shared" si="295"/>
        <v>952</v>
      </c>
      <c r="B612" s="817">
        <v>43185</v>
      </c>
      <c r="C612" s="842">
        <v>2658.55</v>
      </c>
      <c r="D612" s="814">
        <f t="shared" si="291"/>
        <v>2.7149303784752801E-2</v>
      </c>
      <c r="E612" s="841">
        <f t="shared" si="271"/>
        <v>0.26450695382507949</v>
      </c>
      <c r="F612" s="838">
        <v>7220.54</v>
      </c>
      <c r="G612" s="814">
        <f t="shared" si="292"/>
        <v>3.2588457039238301E-2</v>
      </c>
      <c r="H612" s="819">
        <f t="shared" si="289"/>
        <v>0.41810004517155375</v>
      </c>
      <c r="I612" s="821">
        <v>442155.65</v>
      </c>
      <c r="J612" s="822">
        <v>410000</v>
      </c>
      <c r="K612" s="822">
        <f t="shared" si="290"/>
        <v>9423.9100000000326</v>
      </c>
      <c r="L612" s="814">
        <f t="shared" si="285"/>
        <v>2.1777718454394013E-2</v>
      </c>
      <c r="M612" s="839">
        <f t="shared" si="272"/>
        <v>32155.650000000023</v>
      </c>
      <c r="N612" s="824">
        <f t="shared" si="280"/>
        <v>7.8428414634146404E-2</v>
      </c>
      <c r="O612" s="808">
        <f t="shared" si="296"/>
        <v>3.0090313492775182E-2</v>
      </c>
      <c r="P612" s="839" t="b">
        <f t="shared" si="273"/>
        <v>0</v>
      </c>
      <c r="Q612" s="824">
        <f>COUNTIF(P$2:P612, TRUE)/(COUNTIF(P$2:P612,FALSE) + COUNTIF(P$2:P612, TRUE))</f>
        <v>0.48445171849427171</v>
      </c>
      <c r="R612" s="822">
        <v>420120.18</v>
      </c>
      <c r="S612" s="822">
        <f t="shared" si="293"/>
        <v>22035.47000000003</v>
      </c>
      <c r="T612" s="822">
        <v>-36818</v>
      </c>
      <c r="U612" s="822">
        <f t="shared" si="294"/>
        <v>68973.650000000023</v>
      </c>
      <c r="V612" s="824">
        <f>STDEV(D$2:D612)*SQRT(252)</f>
        <v>0.14189996990715831</v>
      </c>
      <c r="W612" s="824">
        <f>STDEV(L$2:L612)*SQRT(252)</f>
        <v>0.28123835873909325</v>
      </c>
      <c r="X612" s="823">
        <f t="shared" si="288"/>
        <v>0.71516798856025343</v>
      </c>
      <c r="Y612" s="823">
        <f t="shared" si="287"/>
        <v>0.10699220983823964</v>
      </c>
      <c r="Z612" s="829">
        <f t="shared" si="283"/>
        <v>-0.18607853919093309</v>
      </c>
    </row>
    <row r="613" spans="1:26" ht="20.100000000000001" customHeight="1" x14ac:dyDescent="0.2">
      <c r="A613" s="798">
        <f t="shared" si="295"/>
        <v>953</v>
      </c>
      <c r="B613" s="817">
        <v>43186</v>
      </c>
      <c r="C613" s="842">
        <v>2612.62</v>
      </c>
      <c r="D613" s="814">
        <f t="shared" si="291"/>
        <v>-1.7276334844182086E-2</v>
      </c>
      <c r="E613" s="841">
        <f t="shared" si="271"/>
        <v>0.24266090827800071</v>
      </c>
      <c r="F613" s="838">
        <v>7008.8</v>
      </c>
      <c r="G613" s="814">
        <f t="shared" si="292"/>
        <v>-2.9324676547737398E-2</v>
      </c>
      <c r="H613" s="819">
        <f t="shared" si="289"/>
        <v>0.37651472003456615</v>
      </c>
      <c r="I613" s="821">
        <v>435282.26</v>
      </c>
      <c r="J613" s="822">
        <v>410000</v>
      </c>
      <c r="K613" s="822">
        <f t="shared" si="290"/>
        <v>-6873.390000000014</v>
      </c>
      <c r="L613" s="814">
        <f t="shared" si="285"/>
        <v>-1.5545181883348124E-2</v>
      </c>
      <c r="M613" s="839">
        <f t="shared" si="272"/>
        <v>25282.260000000009</v>
      </c>
      <c r="N613" s="824">
        <f t="shared" si="280"/>
        <v>6.1664048780487826E-2</v>
      </c>
      <c r="O613" s="808">
        <f t="shared" si="296"/>
        <v>2.363357168633072E-2</v>
      </c>
      <c r="P613" s="839" t="b">
        <f t="shared" si="273"/>
        <v>1</v>
      </c>
      <c r="Q613" s="824">
        <f>COUNTIF(P$2:P613, TRUE)/(COUNTIF(P$2:P613,FALSE) + COUNTIF(P$2:P613, TRUE))</f>
        <v>0.48529411764705882</v>
      </c>
      <c r="R613" s="822">
        <v>416208.39</v>
      </c>
      <c r="S613" s="822">
        <f t="shared" si="293"/>
        <v>19073.869999999995</v>
      </c>
      <c r="T613" s="822">
        <v>-38018</v>
      </c>
      <c r="U613" s="822">
        <f t="shared" si="294"/>
        <v>63300.260000000009</v>
      </c>
      <c r="V613" s="824">
        <f>STDEV(D$2:D613)*SQRT(252)</f>
        <v>0.14223860281970682</v>
      </c>
      <c r="W613" s="824">
        <f>STDEV(L$2:L613)*SQRT(252)</f>
        <v>0.28119620130080319</v>
      </c>
      <c r="X613" s="823">
        <f t="shared" si="288"/>
        <v>0.65385231411549516</v>
      </c>
      <c r="Y613" s="823">
        <f t="shared" si="287"/>
        <v>8.4046553890140388E-2</v>
      </c>
      <c r="Z613" s="829">
        <f t="shared" si="283"/>
        <v>-0.18099685949751287</v>
      </c>
    </row>
    <row r="614" spans="1:26" ht="20.100000000000001" customHeight="1" x14ac:dyDescent="0.2">
      <c r="A614" s="798">
        <f t="shared" si="295"/>
        <v>954</v>
      </c>
      <c r="B614" s="817">
        <v>43187</v>
      </c>
      <c r="C614" s="842">
        <v>2605</v>
      </c>
      <c r="D614" s="814">
        <f t="shared" si="291"/>
        <v>-2.9166124426820168E-3</v>
      </c>
      <c r="E614" s="841">
        <f t="shared" si="271"/>
        <v>0.23903654801088256</v>
      </c>
      <c r="F614" s="838">
        <v>6949.22</v>
      </c>
      <c r="G614" s="814">
        <f t="shared" si="292"/>
        <v>-8.5007419244378397E-3</v>
      </c>
      <c r="H614" s="819">
        <f t="shared" si="289"/>
        <v>0.36481332364436247</v>
      </c>
      <c r="I614" s="821">
        <v>434900.1</v>
      </c>
      <c r="J614" s="822">
        <v>410000</v>
      </c>
      <c r="K614" s="822">
        <f t="shared" si="290"/>
        <v>-382.1600000000326</v>
      </c>
      <c r="L614" s="814">
        <f t="shared" si="285"/>
        <v>-8.7795905121433755E-4</v>
      </c>
      <c r="M614" s="839">
        <f t="shared" si="272"/>
        <v>24900.099999999977</v>
      </c>
      <c r="N614" s="824">
        <f t="shared" si="280"/>
        <v>6.0731951219512137E-2</v>
      </c>
      <c r="O614" s="808">
        <f t="shared" si="296"/>
        <v>2.325193415401133E-2</v>
      </c>
      <c r="P614" s="839" t="b">
        <f t="shared" si="273"/>
        <v>1</v>
      </c>
      <c r="Q614" s="824">
        <f>COUNTIF(P$2:P614, TRUE)/(COUNTIF(P$2:P614,FALSE) + COUNTIF(P$2:P614, TRUE))</f>
        <v>0.48613376835236544</v>
      </c>
      <c r="R614" s="822">
        <v>423639.23</v>
      </c>
      <c r="S614" s="822">
        <f t="shared" si="293"/>
        <v>11260.869999999995</v>
      </c>
      <c r="T614" s="822">
        <v>-37568</v>
      </c>
      <c r="U614" s="822">
        <f t="shared" si="294"/>
        <v>62468.099999999977</v>
      </c>
      <c r="V614" s="824">
        <f>STDEV(D$2:D614)*SQRT(252)</f>
        <v>0.14213804976079963</v>
      </c>
      <c r="W614" s="824">
        <f>STDEV(L$2:L614)*SQRT(252)</f>
        <v>0.28096730052537355</v>
      </c>
      <c r="X614" s="823">
        <f t="shared" si="288"/>
        <v>0.64386646505164302</v>
      </c>
      <c r="Y614" s="823">
        <f t="shared" si="287"/>
        <v>8.2756726887908791E-2</v>
      </c>
      <c r="Z614" s="829">
        <f t="shared" si="283"/>
        <v>-0.17830459679137042</v>
      </c>
    </row>
    <row r="615" spans="1:26" ht="20.100000000000001" customHeight="1" x14ac:dyDescent="0.2">
      <c r="A615" s="798">
        <f t="shared" si="295"/>
        <v>955</v>
      </c>
      <c r="B615" s="817">
        <v>43188</v>
      </c>
      <c r="C615" s="842">
        <v>2640.87</v>
      </c>
      <c r="D615" s="814">
        <f t="shared" si="291"/>
        <v>1.3769673704414545E-2</v>
      </c>
      <c r="E615" s="841">
        <f t="shared" si="271"/>
        <v>0.2560976769848366</v>
      </c>
      <c r="F615" s="838">
        <v>7063.44</v>
      </c>
      <c r="G615" s="814">
        <f t="shared" si="292"/>
        <v>1.6436377032242374E-2</v>
      </c>
      <c r="H615" s="819">
        <f t="shared" si="289"/>
        <v>0.38724591001040909</v>
      </c>
      <c r="I615" s="845">
        <v>442598.74</v>
      </c>
      <c r="J615" s="822">
        <v>410000</v>
      </c>
      <c r="K615" s="822">
        <f t="shared" si="290"/>
        <v>7698.640000000014</v>
      </c>
      <c r="L615" s="814">
        <f t="shared" si="285"/>
        <v>1.770208836466125E-2</v>
      </c>
      <c r="M615" s="845">
        <f t="shared" si="272"/>
        <v>32598.739999999991</v>
      </c>
      <c r="N615" s="824">
        <f t="shared" si="280"/>
        <v>7.9509121951219494E-2</v>
      </c>
      <c r="O615" s="808">
        <f t="shared" si="296"/>
        <v>3.0409117060400961E-2</v>
      </c>
      <c r="P615" s="839" t="b">
        <f t="shared" si="273"/>
        <v>1</v>
      </c>
      <c r="Q615" s="824">
        <f>COUNTIF(P$2:P615, TRUE)/(COUNTIF(P$2:P615,FALSE) + COUNTIF(P$2:P615, TRUE))</f>
        <v>0.48697068403908794</v>
      </c>
      <c r="R615" s="822">
        <v>415205.93</v>
      </c>
      <c r="S615" s="822">
        <f t="shared" si="293"/>
        <v>27392.809999999998</v>
      </c>
      <c r="T615" s="822">
        <v>-36608</v>
      </c>
      <c r="U615" s="822">
        <f t="shared" si="294"/>
        <v>69206.739999999991</v>
      </c>
      <c r="V615" s="824">
        <f>STDEV(D$2:D615)*SQRT(252)</f>
        <v>0.1422807158227519</v>
      </c>
      <c r="W615" s="824">
        <f>STDEV(L$2:L615)*SQRT(252)</f>
        <v>0.28095538225453753</v>
      </c>
      <c r="X615" s="823">
        <f t="shared" si="288"/>
        <v>0.68840885912616945</v>
      </c>
      <c r="Y615" s="823">
        <f t="shared" si="287"/>
        <v>0.10823468415654401</v>
      </c>
      <c r="Z615" s="829">
        <f t="shared" si="283"/>
        <v>-0.17658855503361709</v>
      </c>
    </row>
    <row r="616" spans="1:26" ht="20.100000000000001" customHeight="1" x14ac:dyDescent="0.2">
      <c r="A616" s="798">
        <f t="shared" si="295"/>
        <v>959</v>
      </c>
      <c r="B616" s="817">
        <v>43192</v>
      </c>
      <c r="C616" s="842">
        <v>2581.88</v>
      </c>
      <c r="D616" s="814">
        <f t="shared" si="291"/>
        <v>-2.2337335802216612E-2</v>
      </c>
      <c r="E616" s="841">
        <f t="shared" si="271"/>
        <v>0.22803980137364208</v>
      </c>
      <c r="F616" s="838">
        <v>6870.11</v>
      </c>
      <c r="G616" s="814">
        <f t="shared" si="292"/>
        <v>-2.737051634897443E-2</v>
      </c>
      <c r="H616" s="819">
        <f t="shared" si="289"/>
        <v>0.34927627315042126</v>
      </c>
      <c r="I616" s="821">
        <v>431276</v>
      </c>
      <c r="J616" s="822">
        <v>410000</v>
      </c>
      <c r="K616" s="822">
        <f t="shared" si="290"/>
        <v>-11322.739999999991</v>
      </c>
      <c r="L616" s="814">
        <f t="shared" si="285"/>
        <v>-2.558240450481172E-2</v>
      </c>
      <c r="M616" s="839">
        <f t="shared" si="272"/>
        <v>21276</v>
      </c>
      <c r="N616" s="824">
        <f t="shared" si="280"/>
        <v>5.1892682926829269E-2</v>
      </c>
      <c r="O616" s="808">
        <f t="shared" si="296"/>
        <v>1.9764131844655256E-2</v>
      </c>
      <c r="P616" s="839" t="b">
        <f t="shared" si="273"/>
        <v>0</v>
      </c>
      <c r="Q616" s="824">
        <f>COUNTIF(P$2:P616, TRUE)/(COUNTIF(P$2:P616,FALSE) + COUNTIF(P$2:P616, TRUE))</f>
        <v>0.48617886178861791</v>
      </c>
      <c r="R616" s="822"/>
      <c r="S616" s="822"/>
      <c r="T616" s="822"/>
      <c r="U616" s="822"/>
      <c r="V616" s="824">
        <f>STDEV(D$2:D616)*SQRT(252)</f>
        <v>0.14290971909934441</v>
      </c>
      <c r="W616" s="824">
        <f>STDEV(L$2:L616)*SQRT(252)</f>
        <v>0.28122231314673968</v>
      </c>
      <c r="X616" s="823">
        <f t="shared" si="288"/>
        <v>0.60774375647435264</v>
      </c>
      <c r="Y616" s="823">
        <f t="shared" si="287"/>
        <v>7.0279387234619906E-2</v>
      </c>
      <c r="Z616" s="829">
        <f t="shared" si="283"/>
        <v>-0.1761471184468128</v>
      </c>
    </row>
    <row r="617" spans="1:26" ht="20.100000000000001" customHeight="1" x14ac:dyDescent="0.2">
      <c r="A617" s="798">
        <f t="shared" si="295"/>
        <v>960</v>
      </c>
      <c r="B617" s="817">
        <v>43193</v>
      </c>
      <c r="C617" s="842">
        <v>2614.4499999999998</v>
      </c>
      <c r="D617" s="814">
        <f t="shared" si="291"/>
        <v>1.2614838799634261E-2</v>
      </c>
      <c r="E617" s="841">
        <f t="shared" si="271"/>
        <v>0.24353132550750545</v>
      </c>
      <c r="F617" s="838">
        <v>6941.28</v>
      </c>
      <c r="G617" s="814">
        <f t="shared" si="292"/>
        <v>1.0359368336169301E-2</v>
      </c>
      <c r="H617" s="819">
        <f t="shared" si="289"/>
        <v>0.36325392305124027</v>
      </c>
      <c r="I617" s="821">
        <v>437107.28</v>
      </c>
      <c r="J617" s="822">
        <v>410000</v>
      </c>
      <c r="K617" s="822">
        <f t="shared" si="290"/>
        <v>5831.2800000000279</v>
      </c>
      <c r="L617" s="814">
        <f t="shared" si="285"/>
        <v>1.3520993516912669E-2</v>
      </c>
      <c r="M617" s="839">
        <f t="shared" si="272"/>
        <v>27107.280000000028</v>
      </c>
      <c r="N617" s="824">
        <f t="shared" si="280"/>
        <v>6.6115317073170796E-2</v>
      </c>
      <c r="O617" s="808">
        <f t="shared" si="296"/>
        <v>2.5154812042682953E-2</v>
      </c>
      <c r="P617" s="839" t="b">
        <f t="shared" si="273"/>
        <v>1</v>
      </c>
      <c r="Q617" s="824">
        <f>COUNTIF(P$2:P617, TRUE)/(COUNTIF(P$2:P617,FALSE) + COUNTIF(P$2:P617, TRUE))</f>
        <v>0.48701298701298701</v>
      </c>
      <c r="R617" s="822">
        <v>418088.69</v>
      </c>
      <c r="S617" s="822">
        <f t="shared" ref="S617:S648" si="297">I617-R617</f>
        <v>19018.590000000026</v>
      </c>
      <c r="T617" s="822">
        <v>-37594</v>
      </c>
      <c r="U617" s="822">
        <f t="shared" ref="U617:U662" si="298">M617-T617</f>
        <v>64701.280000000028</v>
      </c>
      <c r="V617" s="824">
        <f>STDEV(D$2:D617)*SQRT(252)</f>
        <v>0.14300808205246943</v>
      </c>
      <c r="W617" s="824">
        <f>STDEV(L$2:L617)*SQRT(252)</f>
        <v>0.28111794508373883</v>
      </c>
      <c r="X617" s="823">
        <f t="shared" si="288"/>
        <v>0.64790785018491726</v>
      </c>
      <c r="Y617" s="823">
        <f t="shared" si="287"/>
        <v>8.9481345757524977E-2</v>
      </c>
      <c r="Z617" s="829">
        <f t="shared" si="283"/>
        <v>-0.17741600843433464</v>
      </c>
    </row>
    <row r="618" spans="1:26" ht="20.100000000000001" customHeight="1" x14ac:dyDescent="0.2">
      <c r="A618" s="798">
        <f t="shared" si="295"/>
        <v>961</v>
      </c>
      <c r="B618" s="817">
        <v>43194</v>
      </c>
      <c r="C618" s="842">
        <v>2644.69</v>
      </c>
      <c r="D618" s="814">
        <f t="shared" si="291"/>
        <v>1.1566486259060314E-2</v>
      </c>
      <c r="E618" s="841">
        <f t="shared" ref="E618:E685" si="299">(C618-$C$2)/$C$2</f>
        <v>0.25791461349669909</v>
      </c>
      <c r="F618" s="838">
        <v>7042.1</v>
      </c>
      <c r="G618" s="814">
        <f t="shared" si="292"/>
        <v>1.452469861466482E-2</v>
      </c>
      <c r="H618" s="819">
        <f t="shared" si="289"/>
        <v>0.38305477541881899</v>
      </c>
      <c r="I618" s="821">
        <v>442334.44</v>
      </c>
      <c r="J618" s="822">
        <v>410000</v>
      </c>
      <c r="K618" s="822">
        <f t="shared" si="290"/>
        <v>5227.1599999999744</v>
      </c>
      <c r="L618" s="814">
        <f t="shared" si="285"/>
        <v>1.1958528807847753E-2</v>
      </c>
      <c r="M618" s="839">
        <f t="shared" ref="M618:M685" si="300">I618-J618</f>
        <v>32334.440000000002</v>
      </c>
      <c r="N618" s="824">
        <f t="shared" ref="N618:N623" si="301">M618/J618</f>
        <v>7.886448780487805E-2</v>
      </c>
      <c r="O618" s="808">
        <f t="shared" si="296"/>
        <v>2.9974249917514788E-2</v>
      </c>
      <c r="P618" s="839" t="b">
        <f t="shared" ref="P618:P685" si="302">L618&gt;D618</f>
        <v>1</v>
      </c>
      <c r="Q618" s="824">
        <f>COUNTIF(P$2:P618, TRUE)/(COUNTIF(P$2:P618,FALSE) + COUNTIF(P$2:P618, TRUE))</f>
        <v>0.4878444084278768</v>
      </c>
      <c r="R618" s="822">
        <v>400282.39</v>
      </c>
      <c r="S618" s="822">
        <f t="shared" si="297"/>
        <v>42052.049999999988</v>
      </c>
      <c r="T618" s="822">
        <v>-36222</v>
      </c>
      <c r="U618" s="822">
        <f t="shared" si="298"/>
        <v>68556.44</v>
      </c>
      <c r="V618" s="824">
        <f>STDEV(D$2:D618)*SQRT(252)</f>
        <v>0.14307030762480688</v>
      </c>
      <c r="W618" s="824">
        <f>STDEV(L$2:L618)*SQRT(252)</f>
        <v>0.28098554360281597</v>
      </c>
      <c r="X618" s="823">
        <f t="shared" si="288"/>
        <v>0.68516201202440108</v>
      </c>
      <c r="Y618" s="823">
        <f t="shared" si="287"/>
        <v>0.10667541658258604</v>
      </c>
      <c r="Z618" s="829">
        <f t="shared" ref="Z618:Z623" si="303">-(E618-N618)</f>
        <v>-0.17905012569182105</v>
      </c>
    </row>
    <row r="619" spans="1:26" ht="20.100000000000001" customHeight="1" x14ac:dyDescent="0.2">
      <c r="A619" s="798">
        <f t="shared" si="295"/>
        <v>962</v>
      </c>
      <c r="B619" s="817">
        <v>43195</v>
      </c>
      <c r="C619" s="842">
        <v>2662.84</v>
      </c>
      <c r="D619" s="814">
        <f t="shared" si="291"/>
        <v>6.8628081173975368E-3</v>
      </c>
      <c r="E619" s="841">
        <f t="shared" si="299"/>
        <v>0.26654744011719722</v>
      </c>
      <c r="F619" s="838">
        <v>7076.55</v>
      </c>
      <c r="G619" s="814">
        <f t="shared" si="292"/>
        <v>4.8920066457448508E-3</v>
      </c>
      <c r="H619" s="819">
        <f t="shared" si="289"/>
        <v>0.38982068857159702</v>
      </c>
      <c r="I619" s="821">
        <v>448428.71</v>
      </c>
      <c r="J619" s="822">
        <v>410000</v>
      </c>
      <c r="K619" s="822">
        <f t="shared" si="290"/>
        <v>6094.2700000000186</v>
      </c>
      <c r="L619" s="814">
        <f t="shared" si="285"/>
        <v>1.3777516396869343E-2</v>
      </c>
      <c r="M619" s="839">
        <f t="shared" si="300"/>
        <v>38428.710000000021</v>
      </c>
      <c r="N619" s="824">
        <f t="shared" si="301"/>
        <v>9.3728560975609804E-2</v>
      </c>
      <c r="O619" s="808">
        <f t="shared" si="296"/>
        <v>3.5586649580396555E-2</v>
      </c>
      <c r="P619" s="839" t="b">
        <f t="shared" si="302"/>
        <v>1</v>
      </c>
      <c r="Q619" s="824">
        <f>COUNTIF(P$2:P619, TRUE)/(COUNTIF(P$2:P619,FALSE) + COUNTIF(P$2:P619, TRUE))</f>
        <v>0.48867313915857608</v>
      </c>
      <c r="R619" s="822">
        <v>387887.09</v>
      </c>
      <c r="S619" s="822">
        <f t="shared" si="297"/>
        <v>60541.619999999995</v>
      </c>
      <c r="T619" s="822">
        <v>-36897</v>
      </c>
      <c r="U619" s="822">
        <f t="shared" si="298"/>
        <v>75325.710000000021</v>
      </c>
      <c r="V619" s="824">
        <f>STDEV(D$2:D619)*SQRT(252)</f>
        <v>0.14301354420635809</v>
      </c>
      <c r="W619" s="824">
        <f>STDEV(L$2:L619)*SQRT(252)</f>
        <v>0.28088596589043324</v>
      </c>
      <c r="X619" s="823">
        <f t="shared" si="288"/>
        <v>0.70764020387309212</v>
      </c>
      <c r="Y619" s="823">
        <f t="shared" si="287"/>
        <v>0.1266942955572157</v>
      </c>
      <c r="Z619" s="829">
        <f t="shared" si="303"/>
        <v>-0.17281887914158742</v>
      </c>
    </row>
    <row r="620" spans="1:26" ht="20.100000000000001" customHeight="1" x14ac:dyDescent="0.2">
      <c r="A620" s="798">
        <f t="shared" si="295"/>
        <v>963</v>
      </c>
      <c r="B620" s="817">
        <v>43196</v>
      </c>
      <c r="C620" s="842">
        <v>2604.4699999999998</v>
      </c>
      <c r="D620" s="814">
        <f t="shared" si="291"/>
        <v>-2.1920205494885287E-2</v>
      </c>
      <c r="E620" s="841">
        <f t="shared" si="299"/>
        <v>0.23878445996080733</v>
      </c>
      <c r="F620" s="838">
        <v>6915.11</v>
      </c>
      <c r="G620" s="814">
        <f t="shared" si="292"/>
        <v>-2.2813376574743412E-2</v>
      </c>
      <c r="H620" s="819">
        <f t="shared" si="289"/>
        <v>0.35811418583184396</v>
      </c>
      <c r="I620" s="821">
        <v>452280.76</v>
      </c>
      <c r="J620" s="822">
        <v>420000</v>
      </c>
      <c r="K620" s="822">
        <f t="shared" si="290"/>
        <v>-6147.9500000000116</v>
      </c>
      <c r="L620" s="814">
        <f t="shared" si="285"/>
        <v>-1.3709983020489503E-2</v>
      </c>
      <c r="M620" s="839">
        <f t="shared" si="300"/>
        <v>32280.760000000009</v>
      </c>
      <c r="N620" s="824">
        <f t="shared" si="301"/>
        <v>7.6858952380952403E-2</v>
      </c>
      <c r="O620" s="808">
        <f t="shared" si="296"/>
        <v>2.9151331627354997E-2</v>
      </c>
      <c r="P620" s="839" t="b">
        <f t="shared" si="302"/>
        <v>1</v>
      </c>
      <c r="Q620" s="824">
        <f>COUNTIF(P$2:P620, TRUE)/(COUNTIF(P$2:P620,FALSE) + COUNTIF(P$2:P620, TRUE))</f>
        <v>0.48949919224555732</v>
      </c>
      <c r="R620" s="822">
        <v>405076.57</v>
      </c>
      <c r="S620" s="822">
        <f t="shared" si="297"/>
        <v>47204.19</v>
      </c>
      <c r="T620" s="822">
        <v>-36997</v>
      </c>
      <c r="U620" s="822">
        <f t="shared" si="298"/>
        <v>69277.760000000009</v>
      </c>
      <c r="V620" s="824">
        <f>STDEV(D$2:D620)*SQRT(252)</f>
        <v>0.14360814849494091</v>
      </c>
      <c r="W620" s="824">
        <f>STDEV(L$2:L620)*SQRT(252)</f>
        <v>0.28080493083804442</v>
      </c>
      <c r="X620" s="823">
        <f t="shared" si="288"/>
        <v>0.63065365068171264</v>
      </c>
      <c r="Y620" s="823">
        <f t="shared" si="287"/>
        <v>0.10381346061251384</v>
      </c>
      <c r="Z620" s="829">
        <f t="shared" si="303"/>
        <v>-0.16192550757985491</v>
      </c>
    </row>
    <row r="621" spans="1:26" ht="20.100000000000001" customHeight="1" x14ac:dyDescent="0.2">
      <c r="A621" s="798">
        <f t="shared" si="295"/>
        <v>966</v>
      </c>
      <c r="B621" s="817">
        <v>43199</v>
      </c>
      <c r="C621" s="842">
        <v>2613.16</v>
      </c>
      <c r="D621" s="814">
        <f t="shared" si="291"/>
        <v>3.3365713561684545E-3</v>
      </c>
      <c r="E621" s="841">
        <f t="shared" si="299"/>
        <v>0.24291775270637916</v>
      </c>
      <c r="F621" s="838">
        <v>6950.34</v>
      </c>
      <c r="G621" s="814">
        <f t="shared" si="292"/>
        <v>5.0946405769395535E-3</v>
      </c>
      <c r="H621" s="819">
        <f t="shared" si="289"/>
        <v>0.36503328947110009</v>
      </c>
      <c r="I621" s="821">
        <v>451911.76</v>
      </c>
      <c r="J621" s="822">
        <v>420000</v>
      </c>
      <c r="K621" s="822">
        <f t="shared" si="290"/>
        <v>-369</v>
      </c>
      <c r="L621" s="814">
        <f t="shared" si="285"/>
        <v>-8.1586490656821212E-4</v>
      </c>
      <c r="M621" s="839">
        <f t="shared" si="300"/>
        <v>31911.760000000009</v>
      </c>
      <c r="N621" s="824">
        <f t="shared" si="301"/>
        <v>7.598038095238098E-2</v>
      </c>
      <c r="O621" s="808">
        <f t="shared" si="296"/>
        <v>2.8728606773144049E-2</v>
      </c>
      <c r="P621" s="839" t="b">
        <f t="shared" si="302"/>
        <v>0</v>
      </c>
      <c r="Q621" s="824">
        <f>COUNTIF(P$2:P621, TRUE)/(COUNTIF(P$2:P621,FALSE) + COUNTIF(P$2:P621, TRUE))</f>
        <v>0.48870967741935484</v>
      </c>
      <c r="R621" s="822">
        <v>397094.35</v>
      </c>
      <c r="S621" s="822">
        <f t="shared" si="297"/>
        <v>54817.410000000033</v>
      </c>
      <c r="T621" s="822"/>
      <c r="U621" s="822">
        <f t="shared" si="298"/>
        <v>31911.760000000009</v>
      </c>
      <c r="V621" s="824">
        <f>STDEV(D$2:D621)*SQRT(252)</f>
        <v>0.14350425117553484</v>
      </c>
      <c r="W621" s="824">
        <f>STDEV(L$2:L621)*SQRT(252)</f>
        <v>0.28057886587067182</v>
      </c>
      <c r="X621" s="823">
        <f t="shared" si="288"/>
        <v>0.64004069197405311</v>
      </c>
      <c r="Y621" s="823">
        <f t="shared" si="287"/>
        <v>0.10239048719509054</v>
      </c>
      <c r="Z621" s="829">
        <f t="shared" si="303"/>
        <v>-0.1669373717539982</v>
      </c>
    </row>
    <row r="622" spans="1:26" ht="20.100000000000001" customHeight="1" x14ac:dyDescent="0.2">
      <c r="A622" s="798">
        <f t="shared" si="295"/>
        <v>967</v>
      </c>
      <c r="B622" s="817">
        <v>43200</v>
      </c>
      <c r="C622" s="842">
        <v>2656.87</v>
      </c>
      <c r="D622" s="814">
        <f t="shared" si="291"/>
        <v>1.6726874741692065E-2</v>
      </c>
      <c r="E622" s="841">
        <f t="shared" si="299"/>
        <v>0.26370788227012415</v>
      </c>
      <c r="F622" s="838">
        <v>7094.3</v>
      </c>
      <c r="G622" s="814">
        <f t="shared" si="292"/>
        <v>2.0712655783745836E-2</v>
      </c>
      <c r="H622" s="819">
        <f t="shared" si="289"/>
        <v>0.3933067541292693</v>
      </c>
      <c r="I622" s="821">
        <v>439634.82</v>
      </c>
      <c r="J622" s="822">
        <v>400000</v>
      </c>
      <c r="K622" s="822">
        <f t="shared" si="290"/>
        <v>7723.0599999999977</v>
      </c>
      <c r="L622" s="814">
        <f t="shared" ref="L622:L629" si="304">K622/I621</f>
        <v>1.7089752211803467E-2</v>
      </c>
      <c r="M622" s="839">
        <f t="shared" si="300"/>
        <v>39634.820000000007</v>
      </c>
      <c r="N622" s="824">
        <f t="shared" si="301"/>
        <v>9.9087050000000024E-2</v>
      </c>
      <c r="O622" s="808">
        <f t="shared" si="296"/>
        <v>3.7426623591003107E-2</v>
      </c>
      <c r="P622" s="839" t="b">
        <f t="shared" si="302"/>
        <v>1</v>
      </c>
      <c r="Q622" s="824">
        <f>COUNTIF(P$2:P622, TRUE)/(COUNTIF(P$2:P622,FALSE) + COUNTIF(P$2:P622, TRUE))</f>
        <v>0.48953301127214172</v>
      </c>
      <c r="R622" s="822">
        <v>379508.19</v>
      </c>
      <c r="S622" s="822">
        <f t="shared" si="297"/>
        <v>60126.630000000005</v>
      </c>
      <c r="T622" s="822">
        <v>-37772</v>
      </c>
      <c r="U622" s="822">
        <f t="shared" si="298"/>
        <v>77406.820000000007</v>
      </c>
      <c r="V622" s="824">
        <f>STDEV(D$2:D622)*SQRT(252)</f>
        <v>0.14376596078910708</v>
      </c>
      <c r="W622" s="824">
        <f>STDEV(L$2:L622)*SQRT(252)</f>
        <v>0.28055213722502925</v>
      </c>
      <c r="X622" s="823">
        <f t="shared" si="288"/>
        <v>0.69283655017163581</v>
      </c>
      <c r="Y622" s="823">
        <f t="shared" si="287"/>
        <v>0.13340345206845966</v>
      </c>
      <c r="Z622" s="829">
        <f t="shared" si="303"/>
        <v>-0.16462083227012414</v>
      </c>
    </row>
    <row r="623" spans="1:26" ht="20.100000000000001" customHeight="1" x14ac:dyDescent="0.2">
      <c r="A623" s="798">
        <f t="shared" si="295"/>
        <v>968</v>
      </c>
      <c r="B623" s="817">
        <v>43201</v>
      </c>
      <c r="C623" s="842">
        <v>2642.19</v>
      </c>
      <c r="D623" s="814">
        <f t="shared" si="291"/>
        <v>-5.5252985656053313E-3</v>
      </c>
      <c r="E623" s="841">
        <f t="shared" si="299"/>
        <v>0.25672551892087286</v>
      </c>
      <c r="F623" s="838">
        <v>7069.02</v>
      </c>
      <c r="G623" s="814">
        <f t="shared" si="292"/>
        <v>-3.56342415742212E-3</v>
      </c>
      <c r="H623" s="819">
        <f t="shared" si="289"/>
        <v>0.38834181118290567</v>
      </c>
      <c r="I623" s="821">
        <v>440157.4</v>
      </c>
      <c r="J623" s="822">
        <v>400000</v>
      </c>
      <c r="K623" s="822">
        <f t="shared" si="290"/>
        <v>522.5800000000163</v>
      </c>
      <c r="L623" s="814">
        <f t="shared" si="304"/>
        <v>1.1886683588893535E-3</v>
      </c>
      <c r="M623" s="839">
        <f t="shared" si="300"/>
        <v>40157.400000000023</v>
      </c>
      <c r="N623" s="824">
        <f t="shared" si="301"/>
        <v>0.10039350000000005</v>
      </c>
      <c r="O623" s="808">
        <f t="shared" si="296"/>
        <v>3.7880915160123985E-2</v>
      </c>
      <c r="P623" s="839" t="b">
        <f t="shared" si="302"/>
        <v>1</v>
      </c>
      <c r="Q623" s="824">
        <f>COUNTIF(P$2:P623, TRUE)/(COUNTIF(P$2:P623,FALSE) + COUNTIF(P$2:P623, TRUE))</f>
        <v>0.49035369774919613</v>
      </c>
      <c r="R623" s="822">
        <v>380030.77</v>
      </c>
      <c r="S623" s="822">
        <f t="shared" si="297"/>
        <v>60126.630000000005</v>
      </c>
      <c r="T623" s="822">
        <v>-37722</v>
      </c>
      <c r="U623" s="822">
        <f t="shared" si="298"/>
        <v>77879.400000000023</v>
      </c>
      <c r="V623" s="824">
        <f>STDEV(D$2:D623)*SQRT(252)</f>
        <v>0.14369986563516796</v>
      </c>
      <c r="W623" s="824">
        <f>STDEV(L$2:L623)*SQRT(252)</f>
        <v>0.28032613427425968</v>
      </c>
      <c r="X623" s="823">
        <f t="shared" si="288"/>
        <v>0.67410499565368898</v>
      </c>
      <c r="Y623" s="823">
        <f t="shared" si="287"/>
        <v>0.13513158613696302</v>
      </c>
      <c r="Z623" s="829">
        <f t="shared" si="303"/>
        <v>-0.15633201892087281</v>
      </c>
    </row>
    <row r="624" spans="1:26" ht="20.100000000000001" customHeight="1" x14ac:dyDescent="0.2">
      <c r="A624" s="798">
        <f t="shared" si="295"/>
        <v>969</v>
      </c>
      <c r="B624" s="817">
        <v>43202</v>
      </c>
      <c r="C624" s="842">
        <v>2663.99</v>
      </c>
      <c r="D624" s="814">
        <f t="shared" si="291"/>
        <v>8.2507314008454079E-3</v>
      </c>
      <c r="E624" s="841">
        <f t="shared" si="299"/>
        <v>0.26709442362207708</v>
      </c>
      <c r="F624" s="838">
        <v>7140.24</v>
      </c>
      <c r="G624" s="814">
        <f t="shared" si="292"/>
        <v>1.0074946739434792E-2</v>
      </c>
      <c r="H624" s="819">
        <f t="shared" si="289"/>
        <v>0.40232928098670384</v>
      </c>
      <c r="I624" s="821">
        <v>442188.11</v>
      </c>
      <c r="J624" s="822">
        <v>400000</v>
      </c>
      <c r="K624" s="822">
        <f t="shared" si="290"/>
        <v>2030.7099999999627</v>
      </c>
      <c r="L624" s="814">
        <f t="shared" si="304"/>
        <v>4.6135995896012709E-3</v>
      </c>
      <c r="M624" s="839">
        <f t="shared" si="300"/>
        <v>42188.109999999986</v>
      </c>
      <c r="N624" s="824">
        <f t="shared" ref="N624:N655" si="305">M624/J624</f>
        <v>0.10547027499999996</v>
      </c>
      <c r="O624" s="808">
        <f t="shared" si="296"/>
        <v>3.9755436474458186E-2</v>
      </c>
      <c r="P624" s="839" t="b">
        <f t="shared" si="302"/>
        <v>0</v>
      </c>
      <c r="Q624" s="824">
        <f>COUNTIF(P$2:P624, TRUE)/(COUNTIF(P$2:P624,FALSE) + COUNTIF(P$2:P624, TRUE))</f>
        <v>0.4895666131621188</v>
      </c>
      <c r="R624" s="822">
        <v>378301.55</v>
      </c>
      <c r="S624" s="822">
        <f t="shared" si="297"/>
        <v>63886.559999999998</v>
      </c>
      <c r="T624" s="822">
        <v>-37422</v>
      </c>
      <c r="U624" s="822">
        <f t="shared" si="298"/>
        <v>79610.109999999986</v>
      </c>
      <c r="V624" s="824">
        <f>STDEV(D$2:D624)*SQRT(252)</f>
        <v>0.14367084903913591</v>
      </c>
      <c r="W624" s="824">
        <f>STDEV(L$2:L624)*SQRT(252)</f>
        <v>0.28011254999585899</v>
      </c>
      <c r="X624" s="823">
        <f t="shared" si="288"/>
        <v>0.70074919934505686</v>
      </c>
      <c r="Y624" s="823">
        <f t="shared" si="287"/>
        <v>0.14192665225119655</v>
      </c>
      <c r="Z624" s="829">
        <f t="shared" ref="Z624:Z655" si="306">-(E624-N624)</f>
        <v>-0.16162414862207714</v>
      </c>
    </row>
    <row r="625" spans="1:26" ht="20.100000000000001" customHeight="1" x14ac:dyDescent="0.2">
      <c r="A625" s="798">
        <f t="shared" si="295"/>
        <v>970</v>
      </c>
      <c r="B625" s="817">
        <v>43203</v>
      </c>
      <c r="C625" s="842">
        <v>2656.3</v>
      </c>
      <c r="D625" s="814">
        <f t="shared" si="291"/>
        <v>-2.8866474724002721E-3</v>
      </c>
      <c r="E625" s="841">
        <f t="shared" si="299"/>
        <v>0.26343676870683591</v>
      </c>
      <c r="F625" s="838">
        <v>7106.65</v>
      </c>
      <c r="G625" s="814">
        <f t="shared" si="292"/>
        <v>-4.70432366419058E-3</v>
      </c>
      <c r="H625" s="819">
        <f t="shared" si="289"/>
        <v>0.39573227016517076</v>
      </c>
      <c r="I625" s="821">
        <v>443860.83</v>
      </c>
      <c r="J625" s="822">
        <v>400000</v>
      </c>
      <c r="K625" s="822">
        <f t="shared" si="290"/>
        <v>1672.7200000000303</v>
      </c>
      <c r="L625" s="814">
        <f t="shared" si="304"/>
        <v>3.7828244635524696E-3</v>
      </c>
      <c r="M625" s="839">
        <f t="shared" si="300"/>
        <v>43860.830000000016</v>
      </c>
      <c r="N625" s="824">
        <f t="shared" si="305"/>
        <v>0.10965207500000004</v>
      </c>
      <c r="O625" s="808">
        <f t="shared" si="296"/>
        <v>4.1289093189433003E-2</v>
      </c>
      <c r="P625" s="839" t="b">
        <f t="shared" si="302"/>
        <v>1</v>
      </c>
      <c r="Q625" s="824">
        <f>COUNTIF(P$2:P625, TRUE)/(COUNTIF(P$2:P625,FALSE) + COUNTIF(P$2:P625, TRUE))</f>
        <v>0.49038461538461536</v>
      </c>
      <c r="R625" s="822">
        <v>379974.29</v>
      </c>
      <c r="S625" s="822">
        <f t="shared" si="297"/>
        <v>63886.540000000037</v>
      </c>
      <c r="T625" s="822">
        <v>-37097</v>
      </c>
      <c r="U625" s="822">
        <f t="shared" si="298"/>
        <v>80957.830000000016</v>
      </c>
      <c r="V625" s="824">
        <f>STDEV(D$2:D625)*SQRT(252)</f>
        <v>0.14357072949050406</v>
      </c>
      <c r="W625" s="824">
        <f>STDEV(L$2:L625)*SQRT(252)</f>
        <v>0.27989502416613538</v>
      </c>
      <c r="X625" s="823">
        <f t="shared" si="288"/>
        <v>0.690921924430831</v>
      </c>
      <c r="Y625" s="823">
        <f t="shared" si="287"/>
        <v>0.14751635300570873</v>
      </c>
      <c r="Z625" s="829">
        <f t="shared" si="306"/>
        <v>-0.15378469370683587</v>
      </c>
    </row>
    <row r="626" spans="1:26" ht="20.100000000000001" customHeight="1" x14ac:dyDescent="0.2">
      <c r="A626" s="798">
        <f t="shared" si="295"/>
        <v>973</v>
      </c>
      <c r="B626" s="817">
        <v>43206</v>
      </c>
      <c r="C626" s="842">
        <v>2677.84</v>
      </c>
      <c r="D626" s="814">
        <f t="shared" si="291"/>
        <v>8.1090238301396531E-3</v>
      </c>
      <c r="E626" s="841">
        <f t="shared" si="299"/>
        <v>0.27368200757215427</v>
      </c>
      <c r="F626" s="838">
        <v>7156.28</v>
      </c>
      <c r="G626" s="814">
        <f t="shared" si="292"/>
        <v>6.9835998677295367E-3</v>
      </c>
      <c r="H626" s="819">
        <f t="shared" si="289"/>
        <v>0.4054795058624821</v>
      </c>
      <c r="I626" s="821">
        <v>447856.68</v>
      </c>
      <c r="J626" s="822">
        <v>400000</v>
      </c>
      <c r="K626" s="822">
        <f t="shared" si="290"/>
        <v>3995.8499999999767</v>
      </c>
      <c r="L626" s="814">
        <f t="shared" si="304"/>
        <v>9.0024839542610161E-3</v>
      </c>
      <c r="M626" s="839">
        <f t="shared" si="300"/>
        <v>47856.679999999993</v>
      </c>
      <c r="N626" s="824">
        <f t="shared" si="305"/>
        <v>0.11964169999999998</v>
      </c>
      <c r="O626" s="808">
        <f t="shared" si="296"/>
        <v>4.4911748124357651E-2</v>
      </c>
      <c r="P626" s="839" t="b">
        <f t="shared" si="302"/>
        <v>1</v>
      </c>
      <c r="Q626" s="824">
        <f>COUNTIF(P$2:P626, TRUE)/(COUNTIF(P$2:P626,FALSE) + COUNTIF(P$2:P626, TRUE))</f>
        <v>0.49120000000000003</v>
      </c>
      <c r="R626" s="822">
        <v>377596.34</v>
      </c>
      <c r="S626" s="822">
        <f t="shared" si="297"/>
        <v>70260.339999999967</v>
      </c>
      <c r="T626" s="822">
        <v>-35997</v>
      </c>
      <c r="U626" s="822">
        <f t="shared" si="298"/>
        <v>83853.679999999993</v>
      </c>
      <c r="V626" s="824">
        <f>STDEV(D$2:D626)*SQRT(252)</f>
        <v>0.14353873169966588</v>
      </c>
      <c r="W626" s="824">
        <f>STDEV(L$2:L626)*SQRT(252)</f>
        <v>0.27972229117666914</v>
      </c>
      <c r="X626" s="823">
        <f t="shared" si="288"/>
        <v>0.7157387438230991</v>
      </c>
      <c r="Y626" s="823">
        <f t="shared" si="287"/>
        <v>0.16055834497648935</v>
      </c>
      <c r="Z626" s="829">
        <f t="shared" si="306"/>
        <v>-0.15404030757215431</v>
      </c>
    </row>
    <row r="627" spans="1:26" ht="20.100000000000001" customHeight="1" x14ac:dyDescent="0.2">
      <c r="A627" s="798">
        <f t="shared" si="295"/>
        <v>974</v>
      </c>
      <c r="B627" s="817">
        <v>43207</v>
      </c>
      <c r="C627" s="842">
        <v>2706.39</v>
      </c>
      <c r="D627" s="814">
        <f t="shared" si="291"/>
        <v>1.0661577988229217E-2</v>
      </c>
      <c r="E627" s="841">
        <f t="shared" si="299"/>
        <v>0.28726146762808918</v>
      </c>
      <c r="F627" s="838">
        <v>7281.09</v>
      </c>
      <c r="G627" s="814">
        <f t="shared" si="292"/>
        <v>1.7440625576416853E-2</v>
      </c>
      <c r="H627" s="819">
        <f t="shared" si="289"/>
        <v>0.42999194767955701</v>
      </c>
      <c r="I627" s="821">
        <v>449537.42</v>
      </c>
      <c r="J627" s="822">
        <v>400000</v>
      </c>
      <c r="K627" s="822">
        <f t="shared" si="290"/>
        <v>1680.7399999999907</v>
      </c>
      <c r="L627" s="814">
        <f t="shared" si="304"/>
        <v>3.7528523633944474E-3</v>
      </c>
      <c r="M627" s="839">
        <f t="shared" si="300"/>
        <v>49537.419999999984</v>
      </c>
      <c r="N627" s="824">
        <f t="shared" si="305"/>
        <v>0.12384354999999996</v>
      </c>
      <c r="O627" s="808">
        <f t="shared" si="296"/>
        <v>4.6441331249999988E-2</v>
      </c>
      <c r="P627" s="839" t="b">
        <f t="shared" si="302"/>
        <v>0</v>
      </c>
      <c r="Q627" s="824">
        <f>COUNTIF(P$2:P627, TRUE)/(COUNTIF(P$2:P627,FALSE) + COUNTIF(P$2:P627, TRUE))</f>
        <v>0.49041533546325877</v>
      </c>
      <c r="R627" s="822">
        <v>379256.65</v>
      </c>
      <c r="S627" s="822">
        <f t="shared" si="297"/>
        <v>70280.76999999996</v>
      </c>
      <c r="T627" s="822">
        <v>-35847</v>
      </c>
      <c r="U627" s="822">
        <f t="shared" si="298"/>
        <v>85384.419999999984</v>
      </c>
      <c r="V627" s="824">
        <f>STDEV(D$2:D627)*SQRT(252)</f>
        <v>0.14357078410269888</v>
      </c>
      <c r="W627" s="824">
        <f>STDEV(L$2:L627)*SQRT(252)</f>
        <v>0.279505557722312</v>
      </c>
      <c r="X627" s="823">
        <f t="shared" si="288"/>
        <v>0.75031317153967148</v>
      </c>
      <c r="Y627" s="823">
        <f t="shared" si="287"/>
        <v>0.16615530520555633</v>
      </c>
      <c r="Z627" s="829">
        <f t="shared" si="306"/>
        <v>-0.16341791762808922</v>
      </c>
    </row>
    <row r="628" spans="1:26" ht="20.100000000000001" customHeight="1" x14ac:dyDescent="0.2">
      <c r="A628" s="798">
        <f t="shared" si="295"/>
        <v>975</v>
      </c>
      <c r="B628" s="817">
        <v>43208</v>
      </c>
      <c r="C628" s="842">
        <v>2708.64</v>
      </c>
      <c r="D628" s="814">
        <f t="shared" si="291"/>
        <v>8.3136576768314994E-4</v>
      </c>
      <c r="E628" s="841">
        <f t="shared" si="299"/>
        <v>0.28833165274633271</v>
      </c>
      <c r="F628" s="838">
        <v>7295.23</v>
      </c>
      <c r="G628" s="814">
        <f t="shared" si="292"/>
        <v>1.9420169232902515E-3</v>
      </c>
      <c r="H628" s="819">
        <f t="shared" si="289"/>
        <v>0.4327690162421195</v>
      </c>
      <c r="I628" s="821">
        <v>450989.65</v>
      </c>
      <c r="J628" s="822">
        <v>400000</v>
      </c>
      <c r="K628" s="822">
        <f t="shared" si="290"/>
        <v>1452.2300000000396</v>
      </c>
      <c r="L628" s="814">
        <f t="shared" si="304"/>
        <v>3.230498586747327E-3</v>
      </c>
      <c r="M628" s="839">
        <f t="shared" si="300"/>
        <v>50989.650000000023</v>
      </c>
      <c r="N628" s="824">
        <f t="shared" si="305"/>
        <v>0.12747412500000005</v>
      </c>
      <c r="O628" s="808">
        <f t="shared" si="296"/>
        <v>4.7753768365384634E-2</v>
      </c>
      <c r="P628" s="839" t="b">
        <f t="shared" si="302"/>
        <v>1</v>
      </c>
      <c r="Q628" s="824">
        <f>COUNTIF(P$2:P628, TRUE)/(COUNTIF(P$2:P628,FALSE) + COUNTIF(P$2:P628, TRUE))</f>
        <v>0.49122807017543857</v>
      </c>
      <c r="R628" s="822">
        <v>368369.17</v>
      </c>
      <c r="S628" s="822">
        <f t="shared" si="297"/>
        <v>82620.48000000004</v>
      </c>
      <c r="T628" s="822">
        <v>-34922</v>
      </c>
      <c r="U628" s="822">
        <f t="shared" si="298"/>
        <v>85911.650000000023</v>
      </c>
      <c r="V628" s="824">
        <f>STDEV(D$2:D628)*SQRT(252)</f>
        <v>0.14345609099216267</v>
      </c>
      <c r="W628" s="824">
        <f>STDEV(L$2:L628)*SQRT(252)</f>
        <v>0.27928710037433652</v>
      </c>
      <c r="X628" s="823">
        <f t="shared" si="288"/>
        <v>0.75293751728016878</v>
      </c>
      <c r="Y628" s="823">
        <f t="shared" si="287"/>
        <v>0.1709845112838326</v>
      </c>
      <c r="Z628" s="829">
        <f t="shared" si="306"/>
        <v>-0.16085752774633266</v>
      </c>
    </row>
    <row r="629" spans="1:26" ht="20.100000000000001" customHeight="1" x14ac:dyDescent="0.2">
      <c r="A629" s="798">
        <f t="shared" si="295"/>
        <v>976</v>
      </c>
      <c r="B629" s="817">
        <v>43209</v>
      </c>
      <c r="C629" s="842">
        <v>2693.13</v>
      </c>
      <c r="D629" s="814">
        <f t="shared" si="291"/>
        <v>-5.726120857699718E-3</v>
      </c>
      <c r="E629" s="841">
        <f t="shared" si="299"/>
        <v>0.28095450999790722</v>
      </c>
      <c r="F629" s="838">
        <v>7238.05</v>
      </c>
      <c r="G629" s="814">
        <f t="shared" si="292"/>
        <v>-7.8379982536533298E-3</v>
      </c>
      <c r="H629" s="819">
        <f t="shared" si="289"/>
        <v>0.42153897519492517</v>
      </c>
      <c r="I629" s="821">
        <v>446018.81</v>
      </c>
      <c r="J629" s="822">
        <v>400000</v>
      </c>
      <c r="K629" s="822">
        <f t="shared" si="290"/>
        <v>-4970.8400000000256</v>
      </c>
      <c r="L629" s="814">
        <f t="shared" si="304"/>
        <v>-1.1022071127352978E-2</v>
      </c>
      <c r="M629" s="839">
        <f t="shared" si="300"/>
        <v>46018.81</v>
      </c>
      <c r="N629" s="824">
        <f t="shared" si="305"/>
        <v>0.115047025</v>
      </c>
      <c r="O629" s="808">
        <f t="shared" si="296"/>
        <v>4.3054227337346311E-2</v>
      </c>
      <c r="P629" s="839" t="b">
        <f t="shared" si="302"/>
        <v>0</v>
      </c>
      <c r="Q629" s="824">
        <f>COUNTIF(P$2:P629, TRUE)/(COUNTIF(P$2:P629,FALSE) + COUNTIF(P$2:P629, TRUE))</f>
        <v>0.49044585987261147</v>
      </c>
      <c r="R629" s="822">
        <v>381521.33</v>
      </c>
      <c r="S629" s="822">
        <f t="shared" si="297"/>
        <v>64497.479999999981</v>
      </c>
      <c r="T629" s="822">
        <v>-35722</v>
      </c>
      <c r="U629" s="822">
        <f t="shared" si="298"/>
        <v>81740.81</v>
      </c>
      <c r="V629" s="824">
        <f>STDEV(D$2:D629)*SQRT(252)</f>
        <v>0.14339485353266779</v>
      </c>
      <c r="W629" s="824">
        <f>STDEV(L$2:L629)*SQRT(252)</f>
        <v>0.27916017460324782</v>
      </c>
      <c r="X629" s="823">
        <f t="shared" si="288"/>
        <v>0.73323443093213536</v>
      </c>
      <c r="Y629" s="823">
        <f t="shared" si="287"/>
        <v>0.15422768451315264</v>
      </c>
      <c r="Z629" s="829">
        <f t="shared" si="306"/>
        <v>-0.16590748499790722</v>
      </c>
    </row>
    <row r="630" spans="1:26" ht="20.100000000000001" customHeight="1" x14ac:dyDescent="0.2">
      <c r="A630" s="798">
        <f t="shared" si="295"/>
        <v>977</v>
      </c>
      <c r="B630" s="817">
        <v>43210</v>
      </c>
      <c r="C630" s="842">
        <v>2670.14</v>
      </c>
      <c r="D630" s="814">
        <f t="shared" ref="D630:D635" si="307">(C630-C629)/C629</f>
        <v>-8.536535555283345E-3</v>
      </c>
      <c r="E630" s="841">
        <f t="shared" si="299"/>
        <v>0.2700195962786095</v>
      </c>
      <c r="F630" s="838">
        <v>7146.13</v>
      </c>
      <c r="G630" s="814">
        <f t="shared" ref="G630:G635" si="308">(F630-F629)/F629</f>
        <v>-1.2699553056417139E-2</v>
      </c>
      <c r="H630" s="819">
        <f t="shared" ref="H630:H635" si="309">(F630-F$2)/F$2</f>
        <v>0.40348606555767236</v>
      </c>
      <c r="I630" s="821">
        <v>445087.3</v>
      </c>
      <c r="J630" s="822">
        <v>400000</v>
      </c>
      <c r="K630" s="822">
        <f t="shared" ref="K630:K635" si="310">I630-I629-J630+J629</f>
        <v>-931.51000000000931</v>
      </c>
      <c r="L630" s="814">
        <f t="shared" ref="L630:L635" si="311">K630/I629</f>
        <v>-2.0884993617197654E-3</v>
      </c>
      <c r="M630" s="839">
        <f t="shared" si="300"/>
        <v>45087.299999999988</v>
      </c>
      <c r="N630" s="824">
        <f t="shared" si="305"/>
        <v>0.11271824999999996</v>
      </c>
      <c r="O630" s="808">
        <f t="shared" si="296"/>
        <v>4.2139550473387903E-2</v>
      </c>
      <c r="P630" s="839" t="b">
        <f t="shared" si="302"/>
        <v>1</v>
      </c>
      <c r="Q630" s="824">
        <f>COUNTIF(P$2:P630, TRUE)/(COUNTIF(P$2:P630,FALSE) + COUNTIF(P$2:P630, TRUE))</f>
        <v>0.49125596184419712</v>
      </c>
      <c r="R630" s="822">
        <v>367205.37</v>
      </c>
      <c r="S630" s="822">
        <f t="shared" si="297"/>
        <v>77881.929999999993</v>
      </c>
      <c r="T630" s="822">
        <v>-35573</v>
      </c>
      <c r="U630" s="822">
        <f t="shared" si="298"/>
        <v>80660.299999999988</v>
      </c>
      <c r="V630" s="824">
        <f>STDEV(D$2:D630)*SQRT(252)</f>
        <v>0.14339314066387959</v>
      </c>
      <c r="W630" s="824">
        <f>STDEV(L$2:L630)*SQRT(252)</f>
        <v>0.27894236718958543</v>
      </c>
      <c r="X630" s="823">
        <f t="shared" si="288"/>
        <v>0.70398364144780734</v>
      </c>
      <c r="Y630" s="823">
        <f t="shared" si="287"/>
        <v>0.15106902152568102</v>
      </c>
      <c r="Z630" s="829">
        <f t="shared" si="306"/>
        <v>-0.15730134627860953</v>
      </c>
    </row>
    <row r="631" spans="1:26" ht="20.100000000000001" customHeight="1" x14ac:dyDescent="0.2">
      <c r="A631" s="798">
        <f t="shared" si="295"/>
        <v>980</v>
      </c>
      <c r="B631" s="817">
        <v>43213</v>
      </c>
      <c r="C631" s="842">
        <v>2670.29</v>
      </c>
      <c r="D631" s="814">
        <f t="shared" si="307"/>
        <v>5.6176829679376721E-5</v>
      </c>
      <c r="E631" s="841">
        <f t="shared" si="299"/>
        <v>0.27009094195315914</v>
      </c>
      <c r="F631" s="838">
        <v>7128.6</v>
      </c>
      <c r="G631" s="814">
        <f t="shared" si="308"/>
        <v>-2.4530760005765E-3</v>
      </c>
      <c r="H631" s="819">
        <f t="shared" si="309"/>
        <v>0.40004320757310929</v>
      </c>
      <c r="I631" s="821">
        <v>449342.79</v>
      </c>
      <c r="J631" s="822">
        <v>400000</v>
      </c>
      <c r="K631" s="822">
        <f t="shared" si="310"/>
        <v>4255.4899999999907</v>
      </c>
      <c r="L631" s="814">
        <f t="shared" si="311"/>
        <v>9.5610231970222267E-3</v>
      </c>
      <c r="M631" s="839">
        <f t="shared" si="300"/>
        <v>49342.789999999979</v>
      </c>
      <c r="N631" s="824">
        <f t="shared" si="305"/>
        <v>0.12335697499999995</v>
      </c>
      <c r="O631" s="808">
        <f t="shared" si="296"/>
        <v>4.5975648080357125E-2</v>
      </c>
      <c r="P631" s="839" t="b">
        <f t="shared" si="302"/>
        <v>1</v>
      </c>
      <c r="Q631" s="824">
        <f>COUNTIF(P$2:P631, TRUE)/(COUNTIF(P$2:P631,FALSE) + COUNTIF(P$2:P631, TRUE))</f>
        <v>0.49206349206349204</v>
      </c>
      <c r="R631" s="822">
        <v>356708.25</v>
      </c>
      <c r="S631" s="822">
        <f t="shared" si="297"/>
        <v>92634.539999999979</v>
      </c>
      <c r="T631" s="822">
        <v>-33898</v>
      </c>
      <c r="U631" s="822">
        <f t="shared" si="298"/>
        <v>83240.789999999979</v>
      </c>
      <c r="V631" s="824">
        <f>STDEV(D$2:D631)*SQRT(252)</f>
        <v>0.14327911519808631</v>
      </c>
      <c r="W631" s="824">
        <f>STDEV(L$2:L631)*SQRT(252)</f>
        <v>0.27877897541972796</v>
      </c>
      <c r="X631" s="823">
        <f t="shared" si="288"/>
        <v>0.70257271158312462</v>
      </c>
      <c r="Y631" s="823">
        <f t="shared" ref="Y631:Y636" si="312">O631/W631</f>
        <v>0.16491791754072008</v>
      </c>
      <c r="Z631" s="829">
        <f t="shared" si="306"/>
        <v>-0.14673396695315918</v>
      </c>
    </row>
    <row r="632" spans="1:26" ht="20.100000000000001" customHeight="1" x14ac:dyDescent="0.2">
      <c r="A632" s="798">
        <f t="shared" si="295"/>
        <v>981</v>
      </c>
      <c r="B632" s="817">
        <v>43214</v>
      </c>
      <c r="C632" s="842">
        <v>2634.56</v>
      </c>
      <c r="D632" s="814">
        <f t="shared" si="307"/>
        <v>-1.3380569151665182E-2</v>
      </c>
      <c r="E632" s="841">
        <f t="shared" si="299"/>
        <v>0.25309640227545133</v>
      </c>
      <c r="F632" s="838">
        <v>7007.35</v>
      </c>
      <c r="G632" s="814">
        <f t="shared" si="308"/>
        <v>-1.70089498639284E-2</v>
      </c>
      <c r="H632" s="819">
        <f t="shared" si="309"/>
        <v>0.3762299428481648</v>
      </c>
      <c r="I632" s="821">
        <v>448523.78</v>
      </c>
      <c r="J632" s="822">
        <v>400000</v>
      </c>
      <c r="K632" s="822">
        <f t="shared" si="310"/>
        <v>-819.00999999995111</v>
      </c>
      <c r="L632" s="814">
        <f t="shared" si="311"/>
        <v>-1.8226841917279926E-3</v>
      </c>
      <c r="M632" s="839">
        <f t="shared" si="300"/>
        <v>48523.780000000028</v>
      </c>
      <c r="N632" s="824">
        <f t="shared" si="305"/>
        <v>0.12130945000000007</v>
      </c>
      <c r="O632" s="808">
        <f t="shared" si="296"/>
        <v>4.5166438952599412E-2</v>
      </c>
      <c r="P632" s="839" t="b">
        <f t="shared" si="302"/>
        <v>1</v>
      </c>
      <c r="Q632" s="824">
        <f>COUNTIF(P$2:P632, TRUE)/(COUNTIF(P$2:P632,FALSE) + COUNTIF(P$2:P632, TRUE))</f>
        <v>0.49286846275752771</v>
      </c>
      <c r="R632" s="822">
        <v>339733.33</v>
      </c>
      <c r="S632" s="822">
        <f t="shared" si="297"/>
        <v>108790.45000000001</v>
      </c>
      <c r="T632" s="822">
        <v>-32782</v>
      </c>
      <c r="U632" s="822">
        <f t="shared" si="298"/>
        <v>81305.780000000028</v>
      </c>
      <c r="V632" s="824">
        <f>STDEV(D$2:D632)*SQRT(252)</f>
        <v>0.14343102619616427</v>
      </c>
      <c r="W632" s="824">
        <f>STDEV(L$2:L632)*SQRT(252)</f>
        <v>0.27856125991838609</v>
      </c>
      <c r="X632" s="823">
        <f t="shared" si="288"/>
        <v>0.65699805424017199</v>
      </c>
      <c r="Y632" s="823">
        <f t="shared" si="312"/>
        <v>0.16214185334253745</v>
      </c>
      <c r="Z632" s="829">
        <f t="shared" si="306"/>
        <v>-0.13178695227545126</v>
      </c>
    </row>
    <row r="633" spans="1:26" ht="20.100000000000001" customHeight="1" x14ac:dyDescent="0.2">
      <c r="A633" s="798">
        <f t="shared" si="295"/>
        <v>982</v>
      </c>
      <c r="B633" s="817">
        <v>43215</v>
      </c>
      <c r="C633" s="842">
        <v>2639.4</v>
      </c>
      <c r="D633" s="814">
        <f t="shared" si="307"/>
        <v>1.8371189116968851E-3</v>
      </c>
      <c r="E633" s="841">
        <f t="shared" si="299"/>
        <v>0.25539848937425086</v>
      </c>
      <c r="F633" s="838">
        <v>7003.73</v>
      </c>
      <c r="G633" s="814">
        <f t="shared" si="308"/>
        <v>-5.1660042669494173E-4</v>
      </c>
      <c r="H633" s="819">
        <f t="shared" si="309"/>
        <v>0.37551898187245908</v>
      </c>
      <c r="I633" s="821">
        <v>451776.44</v>
      </c>
      <c r="J633" s="822">
        <v>400000</v>
      </c>
      <c r="K633" s="822">
        <f t="shared" si="310"/>
        <v>3252.6599999999744</v>
      </c>
      <c r="L633" s="814">
        <f t="shared" si="311"/>
        <v>7.2519231867705525E-3</v>
      </c>
      <c r="M633" s="839">
        <f t="shared" si="300"/>
        <v>51776.44</v>
      </c>
      <c r="N633" s="824">
        <f t="shared" si="305"/>
        <v>0.1294411</v>
      </c>
      <c r="O633" s="808">
        <f t="shared" si="296"/>
        <v>4.8144971257637476E-2</v>
      </c>
      <c r="P633" s="839" t="b">
        <f t="shared" si="302"/>
        <v>1</v>
      </c>
      <c r="Q633" s="824">
        <f>COUNTIF(P$2:P633, TRUE)/(COUNTIF(P$2:P633,FALSE) + COUNTIF(P$2:P633, TRUE))</f>
        <v>0.49367088607594939</v>
      </c>
      <c r="R633" s="822">
        <v>342985.99</v>
      </c>
      <c r="S633" s="822">
        <f t="shared" si="297"/>
        <v>108790.45000000001</v>
      </c>
      <c r="T633" s="822">
        <v>-32687</v>
      </c>
      <c r="U633" s="822">
        <f t="shared" si="298"/>
        <v>84463.44</v>
      </c>
      <c r="V633" s="824">
        <f>STDEV(D$2:D633)*SQRT(252)</f>
        <v>0.14332002858767423</v>
      </c>
      <c r="W633" s="824">
        <f>STDEV(L$2:L633)*SQRT(252)</f>
        <v>0.27837253154363339</v>
      </c>
      <c r="X633" s="823">
        <f t="shared" si="288"/>
        <v>0.66281171352818635</v>
      </c>
      <c r="Y633" s="823">
        <f t="shared" si="312"/>
        <v>0.17295158753869727</v>
      </c>
      <c r="Z633" s="829">
        <f t="shared" si="306"/>
        <v>-0.12595738937425086</v>
      </c>
    </row>
    <row r="634" spans="1:26" ht="20.100000000000001" customHeight="1" x14ac:dyDescent="0.2">
      <c r="A634" s="798">
        <f t="shared" si="295"/>
        <v>983</v>
      </c>
      <c r="B634" s="817">
        <v>43216</v>
      </c>
      <c r="C634" s="842">
        <v>2666.94</v>
      </c>
      <c r="D634" s="814">
        <f t="shared" si="307"/>
        <v>1.0434189588542836E-2</v>
      </c>
      <c r="E634" s="841">
        <f t="shared" si="299"/>
        <v>0.26849755522155211</v>
      </c>
      <c r="F634" s="838">
        <v>7118.67</v>
      </c>
      <c r="G634" s="814">
        <f t="shared" si="308"/>
        <v>1.6411255145472557E-2</v>
      </c>
      <c r="H634" s="819">
        <f t="shared" si="309"/>
        <v>0.39809297484140865</v>
      </c>
      <c r="I634" s="821">
        <v>455463.88</v>
      </c>
      <c r="J634" s="822">
        <v>400000</v>
      </c>
      <c r="K634" s="822">
        <f t="shared" si="310"/>
        <v>3687.4400000000023</v>
      </c>
      <c r="L634" s="814">
        <f t="shared" si="311"/>
        <v>8.1620900815456473E-3</v>
      </c>
      <c r="M634" s="839">
        <f t="shared" si="300"/>
        <v>55463.880000000005</v>
      </c>
      <c r="N634" s="824">
        <f t="shared" si="305"/>
        <v>0.13865970000000002</v>
      </c>
      <c r="O634" s="808">
        <f t="shared" si="296"/>
        <v>5.1521317828077326E-2</v>
      </c>
      <c r="P634" s="839" t="b">
        <f t="shared" si="302"/>
        <v>0</v>
      </c>
      <c r="Q634" s="824">
        <f>COUNTIF(P$2:P634, TRUE)/(COUNTIF(P$2:P634,FALSE) + COUNTIF(P$2:P634, TRUE))</f>
        <v>0.49289099526066349</v>
      </c>
      <c r="R634" s="822">
        <v>346752.53</v>
      </c>
      <c r="S634" s="822">
        <f t="shared" si="297"/>
        <v>108711.34999999998</v>
      </c>
      <c r="T634" s="822">
        <v>-32492</v>
      </c>
      <c r="U634" s="822">
        <f t="shared" si="298"/>
        <v>87955.88</v>
      </c>
      <c r="V634" s="824">
        <f>STDEV(D$2:D634)*SQRT(252)</f>
        <v>0.1433464849778508</v>
      </c>
      <c r="W634" s="824">
        <f>STDEV(L$2:L634)*SQRT(252)</f>
        <v>0.27819352385926271</v>
      </c>
      <c r="X634" s="823">
        <f t="shared" si="288"/>
        <v>0.69596915831272854</v>
      </c>
      <c r="Y634" s="823">
        <f t="shared" si="312"/>
        <v>0.18519955861424656</v>
      </c>
      <c r="Z634" s="829">
        <f t="shared" si="306"/>
        <v>-0.12983785522155208</v>
      </c>
    </row>
    <row r="635" spans="1:26" ht="20.100000000000001" customHeight="1" x14ac:dyDescent="0.2">
      <c r="A635" s="798">
        <f t="shared" si="295"/>
        <v>984</v>
      </c>
      <c r="B635" s="817">
        <v>43217</v>
      </c>
      <c r="C635" s="842">
        <v>2669.91</v>
      </c>
      <c r="D635" s="814">
        <f t="shared" si="307"/>
        <v>1.1136358523250616E-3</v>
      </c>
      <c r="E635" s="841">
        <f t="shared" si="299"/>
        <v>0.26991019957763351</v>
      </c>
      <c r="F635" s="838">
        <v>7119.79</v>
      </c>
      <c r="G635" s="814">
        <f t="shared" si="308"/>
        <v>1.5733276019254874E-4</v>
      </c>
      <c r="H635" s="819">
        <f t="shared" si="309"/>
        <v>0.39831294066814626</v>
      </c>
      <c r="I635" s="821">
        <f>455928.5</f>
        <v>455928.5</v>
      </c>
      <c r="J635" s="822">
        <v>400000</v>
      </c>
      <c r="K635" s="822">
        <f t="shared" si="310"/>
        <v>464.61999999999534</v>
      </c>
      <c r="L635" s="814">
        <f t="shared" si="311"/>
        <v>1.0201028454770011E-3</v>
      </c>
      <c r="M635" s="839">
        <f t="shared" si="300"/>
        <v>55928.5</v>
      </c>
      <c r="N635" s="824">
        <f t="shared" si="305"/>
        <v>0.13982125000000001</v>
      </c>
      <c r="O635" s="808">
        <f t="shared" si="296"/>
        <v>5.1900113376524393E-2</v>
      </c>
      <c r="P635" s="839" t="b">
        <f t="shared" si="302"/>
        <v>0</v>
      </c>
      <c r="Q635" s="824">
        <f>COUNTIF(P$2:P635, TRUE)/(COUNTIF(P$2:P635,FALSE) + COUNTIF(P$2:P635, TRUE))</f>
        <v>0.49211356466876971</v>
      </c>
      <c r="R635" s="822">
        <v>343587.98</v>
      </c>
      <c r="S635" s="822">
        <f t="shared" si="297"/>
        <v>112340.52000000002</v>
      </c>
      <c r="T635" s="822">
        <v>-32412</v>
      </c>
      <c r="U635" s="822">
        <f t="shared" si="298"/>
        <v>88340.5</v>
      </c>
      <c r="V635" s="824">
        <f>STDEV(D$2:D635)*SQRT(252)</f>
        <v>0.14323370726891749</v>
      </c>
      <c r="W635" s="824">
        <f>STDEV(L$2:L635)*SQRT(252)</f>
        <v>0.27797350516495312</v>
      </c>
      <c r="X635" s="823">
        <f t="shared" si="288"/>
        <v>0.69947015660285927</v>
      </c>
      <c r="Y635" s="823">
        <f t="shared" si="312"/>
        <v>0.18670884962840681</v>
      </c>
      <c r="Z635" s="829">
        <f t="shared" si="306"/>
        <v>-0.13008894957763351</v>
      </c>
    </row>
    <row r="636" spans="1:26" ht="20.100000000000001" customHeight="1" x14ac:dyDescent="0.2">
      <c r="A636" s="798">
        <f t="shared" si="295"/>
        <v>987</v>
      </c>
      <c r="B636" s="817">
        <v>43220</v>
      </c>
      <c r="C636" s="842">
        <v>2648.05</v>
      </c>
      <c r="D636" s="814">
        <f t="shared" ref="D636:D660" si="313">(C636-C635)/C635</f>
        <v>-8.1875419021613747E-3</v>
      </c>
      <c r="E636" s="841">
        <f t="shared" si="299"/>
        <v>0.2595127566066095</v>
      </c>
      <c r="F636" s="838">
        <v>7066.27</v>
      </c>
      <c r="G636" s="814">
        <f t="shared" ref="G636:G667" si="314">(F636-F635)/F635</f>
        <v>-7.5170756440849414E-3</v>
      </c>
      <c r="H636" s="819">
        <f t="shared" ref="H636:H667" si="315">(F636-F$2)/F$2</f>
        <v>0.38780171651904094</v>
      </c>
      <c r="I636" s="844">
        <v>453815.46</v>
      </c>
      <c r="J636" s="822">
        <v>400000</v>
      </c>
      <c r="K636" s="822">
        <f t="shared" ref="K636:K667" si="316">I636-I635-J636+J635</f>
        <v>-2113.039999999979</v>
      </c>
      <c r="L636" s="814">
        <f t="shared" ref="L636:L667" si="317">K636/I635</f>
        <v>-4.6345863441306671E-3</v>
      </c>
      <c r="M636" s="844">
        <f t="shared" si="300"/>
        <v>53815.460000000021</v>
      </c>
      <c r="N636" s="824">
        <f t="shared" si="305"/>
        <v>0.13453865000000007</v>
      </c>
      <c r="O636" s="808">
        <f t="shared" si="296"/>
        <v>4.978747914133741E-2</v>
      </c>
      <c r="P636" s="839" t="b">
        <f t="shared" si="302"/>
        <v>1</v>
      </c>
      <c r="Q636" s="824">
        <f>COUNTIF(P$2:P636, TRUE)/(COUNTIF(P$2:P636,FALSE) + COUNTIF(P$2:P636, TRUE))</f>
        <v>0.49291338582677163</v>
      </c>
      <c r="R636" s="822">
        <v>338183.41</v>
      </c>
      <c r="S636" s="822">
        <f t="shared" si="297"/>
        <v>115632.05000000005</v>
      </c>
      <c r="T636" s="822">
        <v>-32877</v>
      </c>
      <c r="U636" s="822">
        <f t="shared" si="298"/>
        <v>86692.460000000021</v>
      </c>
      <c r="V636" s="824">
        <f>STDEV(D$2:D636)*SQRT(252)</f>
        <v>0.14322332561157627</v>
      </c>
      <c r="W636" s="824">
        <f>STDEV(L$2:L636)*SQRT(252)</f>
        <v>0.27777308803681044</v>
      </c>
      <c r="X636" s="823">
        <f t="shared" si="288"/>
        <v>0.67052971564394903</v>
      </c>
      <c r="Y636" s="823">
        <f t="shared" si="312"/>
        <v>0.17923795099523673</v>
      </c>
      <c r="Z636" s="829">
        <f t="shared" si="306"/>
        <v>-0.12497410660660943</v>
      </c>
    </row>
    <row r="637" spans="1:26" ht="20.100000000000001" customHeight="1" x14ac:dyDescent="0.2">
      <c r="A637" s="798">
        <f t="shared" si="295"/>
        <v>988</v>
      </c>
      <c r="B637" s="817">
        <v>43221</v>
      </c>
      <c r="C637" s="842">
        <v>2654.8</v>
      </c>
      <c r="D637" s="814">
        <f t="shared" si="313"/>
        <v>2.5490455240648776E-3</v>
      </c>
      <c r="E637" s="841">
        <f t="shared" si="299"/>
        <v>0.26272331196134019</v>
      </c>
      <c r="F637" s="838">
        <v>7130.7</v>
      </c>
      <c r="G637" s="814">
        <f t="shared" si="314"/>
        <v>9.1179646404679383E-3</v>
      </c>
      <c r="H637" s="819">
        <f t="shared" si="315"/>
        <v>0.40045564349824225</v>
      </c>
      <c r="I637" s="863">
        <v>452706.55</v>
      </c>
      <c r="J637" s="822">
        <v>400000</v>
      </c>
      <c r="K637" s="822">
        <f t="shared" si="316"/>
        <v>-1108.9100000000326</v>
      </c>
      <c r="L637" s="814">
        <f t="shared" si="317"/>
        <v>-2.4435262738735971E-3</v>
      </c>
      <c r="M637" s="839">
        <f t="shared" si="300"/>
        <v>52706.549999999988</v>
      </c>
      <c r="N637" s="824">
        <f t="shared" si="305"/>
        <v>0.13176637499999996</v>
      </c>
      <c r="O637" s="808">
        <f t="shared" si="296"/>
        <v>4.8712215049342096E-2</v>
      </c>
      <c r="P637" s="839" t="b">
        <f t="shared" si="302"/>
        <v>0</v>
      </c>
      <c r="Q637" s="824">
        <f>COUNTIF(P$2:P637, TRUE)/(COUNTIF(P$2:P637,FALSE) + COUNTIF(P$2:P637, TRUE))</f>
        <v>0.49213836477987422</v>
      </c>
      <c r="R637" s="822">
        <v>348970.59</v>
      </c>
      <c r="S637" s="822">
        <f t="shared" si="297"/>
        <v>103735.95999999996</v>
      </c>
      <c r="T637" s="822">
        <v>-33575</v>
      </c>
      <c r="U637" s="822">
        <f t="shared" si="298"/>
        <v>86281.549999999988</v>
      </c>
      <c r="V637" s="824">
        <f>STDEV(D$2:D637)*SQRT(252)</f>
        <v>0.14311670464868867</v>
      </c>
      <c r="W637" s="824">
        <f>STDEV(L$2:L637)*SQRT(252)</f>
        <v>0.2775603122196989</v>
      </c>
      <c r="X637" s="823">
        <f t="shared" si="288"/>
        <v>0.67864329489886477</v>
      </c>
      <c r="Y637" s="823">
        <f t="shared" ref="Y637:Y663" si="318">O637/W637</f>
        <v>0.1755013699897579</v>
      </c>
      <c r="Z637" s="829">
        <f t="shared" si="306"/>
        <v>-0.13095693696134023</v>
      </c>
    </row>
    <row r="638" spans="1:26" ht="20.100000000000001" customHeight="1" x14ac:dyDescent="0.2">
      <c r="A638" s="798">
        <f t="shared" si="295"/>
        <v>989</v>
      </c>
      <c r="B638" s="817">
        <v>43222</v>
      </c>
      <c r="C638" s="842">
        <v>2635.67</v>
      </c>
      <c r="D638" s="814">
        <f t="shared" si="313"/>
        <v>-7.2058158806690177E-3</v>
      </c>
      <c r="E638" s="841">
        <f t="shared" si="299"/>
        <v>0.25362436026711821</v>
      </c>
      <c r="F638" s="838">
        <v>7100.89</v>
      </c>
      <c r="G638" s="814">
        <f t="shared" si="314"/>
        <v>-4.1805152369331893E-3</v>
      </c>
      <c r="H638" s="819">
        <f t="shared" si="315"/>
        <v>0.3946010173419488</v>
      </c>
      <c r="I638" s="863">
        <v>450912.32</v>
      </c>
      <c r="J638" s="822">
        <v>400000</v>
      </c>
      <c r="K638" s="822">
        <f t="shared" si="316"/>
        <v>-1794.2299999999814</v>
      </c>
      <c r="L638" s="814">
        <f t="shared" si="317"/>
        <v>-3.9633400488682602E-3</v>
      </c>
      <c r="M638" s="839">
        <f t="shared" si="300"/>
        <v>50912.320000000007</v>
      </c>
      <c r="N638" s="824">
        <f t="shared" si="305"/>
        <v>0.12728080000000003</v>
      </c>
      <c r="O638" s="808">
        <f t="shared" si="296"/>
        <v>4.7006382406471196E-2</v>
      </c>
      <c r="P638" s="839" t="b">
        <f t="shared" si="302"/>
        <v>1</v>
      </c>
      <c r="Q638" s="824">
        <f>COUNTIF(P$2:P638, TRUE)/(COUNTIF(P$2:P638,FALSE) + COUNTIF(P$2:P638, TRUE))</f>
        <v>0.49293563579277866</v>
      </c>
      <c r="R638" s="822">
        <v>354993.37</v>
      </c>
      <c r="S638" s="822">
        <f t="shared" si="297"/>
        <v>95918.950000000012</v>
      </c>
      <c r="T638" s="822">
        <v>-33995</v>
      </c>
      <c r="U638" s="822">
        <f t="shared" si="298"/>
        <v>84907.32</v>
      </c>
      <c r="V638" s="824">
        <f>STDEV(D$2:D638)*SQRT(252)</f>
        <v>0.14308425772624728</v>
      </c>
      <c r="W638" s="824">
        <f>STDEV(L$2:L638)*SQRT(252)</f>
        <v>0.27735614722341684</v>
      </c>
      <c r="X638" s="823">
        <f t="shared" si="288"/>
        <v>0.65462568707262703</v>
      </c>
      <c r="Y638" s="823">
        <f t="shared" si="318"/>
        <v>0.16948022561261805</v>
      </c>
      <c r="Z638" s="829">
        <f t="shared" si="306"/>
        <v>-0.12634356026711818</v>
      </c>
    </row>
    <row r="639" spans="1:26" ht="20.100000000000001" customHeight="1" x14ac:dyDescent="0.2">
      <c r="A639" s="798">
        <f t="shared" si="295"/>
        <v>990</v>
      </c>
      <c r="B639" s="817">
        <v>43223</v>
      </c>
      <c r="C639" s="842">
        <v>2629.373</v>
      </c>
      <c r="D639" s="814">
        <f t="shared" si="313"/>
        <v>-2.3891458338866495E-3</v>
      </c>
      <c r="E639" s="841">
        <f t="shared" si="299"/>
        <v>0.25062926884952719</v>
      </c>
      <c r="F639" s="838">
        <v>7088.15</v>
      </c>
      <c r="G639" s="814">
        <f t="shared" si="314"/>
        <v>-1.7941412977810797E-3</v>
      </c>
      <c r="H639" s="819">
        <f t="shared" si="315"/>
        <v>0.39209890606280806</v>
      </c>
      <c r="I639" s="863">
        <v>452277.59</v>
      </c>
      <c r="J639" s="822">
        <v>400000</v>
      </c>
      <c r="K639" s="822">
        <f t="shared" si="316"/>
        <v>1365.2700000000186</v>
      </c>
      <c r="L639" s="814">
        <f t="shared" si="317"/>
        <v>3.0277948493401523E-3</v>
      </c>
      <c r="M639" s="839">
        <f t="shared" si="300"/>
        <v>52277.590000000026</v>
      </c>
      <c r="N639" s="824">
        <f t="shared" si="305"/>
        <v>0.13069397500000007</v>
      </c>
      <c r="O639" s="808">
        <f t="shared" si="296"/>
        <v>4.8218155928030325E-2</v>
      </c>
      <c r="P639" s="839" t="b">
        <f t="shared" si="302"/>
        <v>1</v>
      </c>
      <c r="Q639" s="824">
        <f>COUNTIF(P$2:P639, TRUE)/(COUNTIF(P$2:P639,FALSE) + COUNTIF(P$2:P639, TRUE))</f>
        <v>0.49373040752351099</v>
      </c>
      <c r="R639" s="822">
        <v>347978.77</v>
      </c>
      <c r="S639" s="822">
        <f t="shared" si="297"/>
        <v>104298.82</v>
      </c>
      <c r="T639" s="822">
        <v>-35355</v>
      </c>
      <c r="U639" s="822">
        <f t="shared" si="298"/>
        <v>87632.590000000026</v>
      </c>
      <c r="V639" s="824">
        <f>STDEV(D$2:D639)*SQRT(252)</f>
        <v>0.14298245766560941</v>
      </c>
      <c r="W639" s="824">
        <f>STDEV(L$2:L639)*SQRT(252)</f>
        <v>0.27714246426885808</v>
      </c>
      <c r="X639" s="823">
        <f t="shared" ref="X639:X644" si="319">E639/(A639/365.25)/V639</f>
        <v>0.6467017846977352</v>
      </c>
      <c r="Y639" s="823">
        <f t="shared" si="318"/>
        <v>0.17398328349008801</v>
      </c>
      <c r="Z639" s="829">
        <f t="shared" si="306"/>
        <v>-0.11993529384952711</v>
      </c>
    </row>
    <row r="640" spans="1:26" ht="20.100000000000001" customHeight="1" x14ac:dyDescent="0.2">
      <c r="A640" s="798">
        <f t="shared" si="295"/>
        <v>991</v>
      </c>
      <c r="B640" s="817">
        <v>43224</v>
      </c>
      <c r="C640" s="842">
        <v>2663.42</v>
      </c>
      <c r="D640" s="814">
        <f t="shared" si="313"/>
        <v>1.2948714389324004E-2</v>
      </c>
      <c r="E640" s="841">
        <f t="shared" si="299"/>
        <v>0.26682331005878884</v>
      </c>
      <c r="F640" s="838">
        <v>7209.61</v>
      </c>
      <c r="G640" s="814">
        <f t="shared" si="314"/>
        <v>1.7135641881167871E-2</v>
      </c>
      <c r="H640" s="819">
        <f t="shared" si="315"/>
        <v>0.4159534143802659</v>
      </c>
      <c r="I640" s="863">
        <v>457844.7</v>
      </c>
      <c r="J640" s="822">
        <v>400000</v>
      </c>
      <c r="K640" s="822">
        <f t="shared" si="316"/>
        <v>5567.109999999986</v>
      </c>
      <c r="L640" s="814">
        <f t="shared" si="317"/>
        <v>1.2309055595701715E-2</v>
      </c>
      <c r="M640" s="839">
        <f t="shared" si="300"/>
        <v>57844.700000000012</v>
      </c>
      <c r="N640" s="824">
        <f t="shared" si="305"/>
        <v>0.14461175000000004</v>
      </c>
      <c r="O640" s="808">
        <f t="shared" si="296"/>
        <v>5.3299133892532803E-2</v>
      </c>
      <c r="P640" s="839" t="b">
        <f t="shared" si="302"/>
        <v>0</v>
      </c>
      <c r="Q640" s="824">
        <f>COUNTIF(P$2:P640, TRUE)/(COUNTIF(P$2:P640,FALSE) + COUNTIF(P$2:P640, TRUE))</f>
        <v>0.49295774647887325</v>
      </c>
      <c r="R640" s="822">
        <v>341507.01</v>
      </c>
      <c r="S640" s="822">
        <f t="shared" si="297"/>
        <v>116337.69</v>
      </c>
      <c r="T640" s="822">
        <v>-34815</v>
      </c>
      <c r="U640" s="822">
        <f t="shared" si="298"/>
        <v>92659.700000000012</v>
      </c>
      <c r="V640" s="824">
        <f>STDEV(D$2:D640)*SQRT(252)</f>
        <v>0.14308797968431308</v>
      </c>
      <c r="W640" s="824">
        <f>STDEV(L$2:L640)*SQRT(252)</f>
        <v>0.27702369325517084</v>
      </c>
      <c r="X640" s="823">
        <f t="shared" si="319"/>
        <v>0.68728550691537571</v>
      </c>
      <c r="Y640" s="823">
        <f t="shared" si="318"/>
        <v>0.19239918891500063</v>
      </c>
      <c r="Z640" s="829">
        <f t="shared" si="306"/>
        <v>-0.1222115600587888</v>
      </c>
    </row>
    <row r="641" spans="1:26" ht="20.100000000000001" customHeight="1" x14ac:dyDescent="0.2">
      <c r="A641" s="798">
        <f t="shared" si="295"/>
        <v>994</v>
      </c>
      <c r="B641" s="817">
        <v>43227</v>
      </c>
      <c r="C641" s="842">
        <v>2672.63</v>
      </c>
      <c r="D641" s="814">
        <f t="shared" si="313"/>
        <v>3.4579600663808322E-3</v>
      </c>
      <c r="E641" s="841">
        <f t="shared" si="299"/>
        <v>0.2712039344761325</v>
      </c>
      <c r="F641" s="838">
        <v>7265.21</v>
      </c>
      <c r="G641" s="814">
        <f t="shared" si="314"/>
        <v>7.711928939290803E-3</v>
      </c>
      <c r="H641" s="819">
        <f t="shared" si="315"/>
        <v>0.42687314649331271</v>
      </c>
      <c r="I641" s="863">
        <v>456957.86</v>
      </c>
      <c r="J641" s="822">
        <v>400000</v>
      </c>
      <c r="K641" s="822">
        <f t="shared" si="316"/>
        <v>-886.84000000002561</v>
      </c>
      <c r="L641" s="814">
        <f t="shared" si="317"/>
        <v>-1.9369886776018715E-3</v>
      </c>
      <c r="M641" s="839">
        <f t="shared" si="300"/>
        <v>56957.859999999986</v>
      </c>
      <c r="N641" s="824">
        <f t="shared" si="305"/>
        <v>0.14239464999999996</v>
      </c>
      <c r="O641" s="808">
        <f t="shared" si="296"/>
        <v>5.2323587437122718E-2</v>
      </c>
      <c r="P641" s="839" t="b">
        <f t="shared" si="302"/>
        <v>0</v>
      </c>
      <c r="Q641" s="824">
        <f>COUNTIF(P$2:P641, TRUE)/(COUNTIF(P$2:P641,FALSE) + COUNTIF(P$2:P641, TRUE))</f>
        <v>0.4921875</v>
      </c>
      <c r="R641" s="822">
        <v>326723.28999999998</v>
      </c>
      <c r="S641" s="822">
        <f t="shared" si="297"/>
        <v>130234.57</v>
      </c>
      <c r="T641" s="822">
        <v>-35135</v>
      </c>
      <c r="U641" s="822">
        <f t="shared" si="298"/>
        <v>92092.859999999986</v>
      </c>
      <c r="V641" s="824">
        <f>STDEV(D$2:D641)*SQRT(252)</f>
        <v>0.14298859813162662</v>
      </c>
      <c r="W641" s="824">
        <f>STDEV(L$2:L641)*SQRT(252)</f>
        <v>0.27681092205628688</v>
      </c>
      <c r="X641" s="823">
        <f t="shared" si="319"/>
        <v>0.69694485698870945</v>
      </c>
      <c r="Y641" s="823">
        <f t="shared" si="318"/>
        <v>0.18902284291543675</v>
      </c>
      <c r="Z641" s="829">
        <f t="shared" si="306"/>
        <v>-0.12880928447613255</v>
      </c>
    </row>
    <row r="642" spans="1:26" ht="20.100000000000001" customHeight="1" x14ac:dyDescent="0.2">
      <c r="A642" s="798">
        <f t="shared" si="295"/>
        <v>995</v>
      </c>
      <c r="B642" s="817">
        <v>43228</v>
      </c>
      <c r="C642" s="842">
        <v>2671.92</v>
      </c>
      <c r="D642" s="814">
        <f t="shared" si="313"/>
        <v>-2.6565592693340878E-4</v>
      </c>
      <c r="E642" s="841">
        <f t="shared" si="299"/>
        <v>0.27086623161659784</v>
      </c>
      <c r="F642" s="838">
        <v>7266.9</v>
      </c>
      <c r="G642" s="814">
        <f t="shared" si="314"/>
        <v>2.3261543713114967E-4</v>
      </c>
      <c r="H642" s="819">
        <f t="shared" si="315"/>
        <v>0.42720505921401497</v>
      </c>
      <c r="I642" s="863">
        <v>457631.51</v>
      </c>
      <c r="J642" s="822">
        <v>400000</v>
      </c>
      <c r="K642" s="822">
        <f t="shared" si="316"/>
        <v>673.65000000002328</v>
      </c>
      <c r="L642" s="814">
        <f t="shared" si="317"/>
        <v>1.4742059585100982E-3</v>
      </c>
      <c r="M642" s="839">
        <f t="shared" si="300"/>
        <v>57631.510000000009</v>
      </c>
      <c r="N642" s="824">
        <f t="shared" si="305"/>
        <v>0.14407877500000002</v>
      </c>
      <c r="O642" s="808">
        <f t="shared" si="296"/>
        <v>5.2889218662060311E-2</v>
      </c>
      <c r="P642" s="839" t="b">
        <f t="shared" si="302"/>
        <v>1</v>
      </c>
      <c r="Q642" s="824">
        <f>COUNTIF(P$2:P642, TRUE)/(COUNTIF(P$2:P642,FALSE) + COUNTIF(P$2:P642, TRUE))</f>
        <v>0.49297971918876754</v>
      </c>
      <c r="R642" s="822">
        <v>348824.93</v>
      </c>
      <c r="S642" s="822">
        <f t="shared" si="297"/>
        <v>108806.58000000002</v>
      </c>
      <c r="T642" s="822">
        <v>-34915</v>
      </c>
      <c r="U642" s="822">
        <f t="shared" si="298"/>
        <v>92546.510000000009</v>
      </c>
      <c r="V642" s="824">
        <f>STDEV(D$2:D642)*SQRT(252)</f>
        <v>0.14287731014679592</v>
      </c>
      <c r="W642" s="824">
        <f>STDEV(L$2:L642)*SQRT(252)</f>
        <v>0.27659484922159572</v>
      </c>
      <c r="X642" s="823">
        <f t="shared" si="319"/>
        <v>0.69591908069554453</v>
      </c>
      <c r="Y642" s="823">
        <f t="shared" si="318"/>
        <v>0.19121548651720474</v>
      </c>
      <c r="Z642" s="829">
        <f t="shared" si="306"/>
        <v>-0.12678745661659782</v>
      </c>
    </row>
    <row r="643" spans="1:26" ht="20.100000000000001" customHeight="1" x14ac:dyDescent="0.2">
      <c r="A643" s="798">
        <f t="shared" ref="A643:A674" si="320">B643-$B$2</f>
        <v>996</v>
      </c>
      <c r="B643" s="817">
        <v>43229</v>
      </c>
      <c r="C643" s="842">
        <v>2697.79</v>
      </c>
      <c r="D643" s="814">
        <f t="shared" si="313"/>
        <v>9.6821761130572361E-3</v>
      </c>
      <c r="E643" s="841">
        <f t="shared" si="299"/>
        <v>0.28317098228724713</v>
      </c>
      <c r="F643" s="838">
        <v>7339.9</v>
      </c>
      <c r="G643" s="814">
        <f t="shared" si="314"/>
        <v>1.0045548996133153E-2</v>
      </c>
      <c r="H643" s="819">
        <f t="shared" si="315"/>
        <v>0.44154211756387846</v>
      </c>
      <c r="I643" s="863">
        <v>461579.02</v>
      </c>
      <c r="J643" s="822">
        <v>400000</v>
      </c>
      <c r="K643" s="822">
        <f t="shared" si="316"/>
        <v>3947.5100000000093</v>
      </c>
      <c r="L643" s="814">
        <f t="shared" si="317"/>
        <v>8.6259575963202554E-3</v>
      </c>
      <c r="M643" s="839">
        <f t="shared" si="300"/>
        <v>61579.020000000019</v>
      </c>
      <c r="N643" s="824">
        <f t="shared" si="305"/>
        <v>0.15394755000000004</v>
      </c>
      <c r="O643" s="808">
        <f t="shared" ref="O643:O674" si="321">N643/(A643/365.25)</f>
        <v>5.6455163290662663E-2</v>
      </c>
      <c r="P643" s="839" t="b">
        <f t="shared" si="302"/>
        <v>0</v>
      </c>
      <c r="Q643" s="824">
        <f>COUNTIF(P$2:P643, TRUE)/(COUNTIF(P$2:P643,FALSE) + COUNTIF(P$2:P643, TRUE))</f>
        <v>0.49221183800623053</v>
      </c>
      <c r="R643" s="822">
        <v>351633.55</v>
      </c>
      <c r="S643" s="822">
        <f t="shared" si="297"/>
        <v>109945.47000000003</v>
      </c>
      <c r="T643" s="822">
        <v>-34375</v>
      </c>
      <c r="U643" s="822">
        <f t="shared" si="298"/>
        <v>95954.020000000019</v>
      </c>
      <c r="V643" s="824">
        <f>STDEV(D$2:D643)*SQRT(252)</f>
        <v>0.14288383857583484</v>
      </c>
      <c r="W643" s="824">
        <f>STDEV(L$2:L643)*SQRT(252)</f>
        <v>0.27642504992045575</v>
      </c>
      <c r="X643" s="823">
        <f t="shared" si="319"/>
        <v>0.72676921769310943</v>
      </c>
      <c r="Y643" s="823">
        <f t="shared" si="318"/>
        <v>0.20423316666455604</v>
      </c>
      <c r="Z643" s="829">
        <f t="shared" si="306"/>
        <v>-0.12922343228724709</v>
      </c>
    </row>
    <row r="644" spans="1:26" ht="20.100000000000001" customHeight="1" x14ac:dyDescent="0.2">
      <c r="A644" s="798">
        <f t="shared" si="320"/>
        <v>997</v>
      </c>
      <c r="B644" s="817">
        <v>43230</v>
      </c>
      <c r="C644" s="842">
        <v>2723.07</v>
      </c>
      <c r="D644" s="814">
        <f t="shared" si="313"/>
        <v>9.3706329996034541E-3</v>
      </c>
      <c r="E644" s="841">
        <f t="shared" si="299"/>
        <v>0.29519510663800158</v>
      </c>
      <c r="F644" s="838">
        <v>7404.97</v>
      </c>
      <c r="G644" s="814">
        <f t="shared" si="314"/>
        <v>8.8652433956866745E-3</v>
      </c>
      <c r="H644" s="819">
        <f t="shared" si="315"/>
        <v>0.45432173930121583</v>
      </c>
      <c r="I644" s="863">
        <v>464024.89</v>
      </c>
      <c r="J644" s="822">
        <v>400000</v>
      </c>
      <c r="K644" s="822">
        <f t="shared" si="316"/>
        <v>2445.8699999999953</v>
      </c>
      <c r="L644" s="814">
        <f t="shared" si="317"/>
        <v>5.2989193486306964E-3</v>
      </c>
      <c r="M644" s="839">
        <f t="shared" si="300"/>
        <v>64024.890000000014</v>
      </c>
      <c r="N644" s="824">
        <f t="shared" si="305"/>
        <v>0.16006222500000003</v>
      </c>
      <c r="O644" s="808">
        <f t="shared" si="321"/>
        <v>5.8638643612086268E-2</v>
      </c>
      <c r="P644" s="839" t="b">
        <f t="shared" si="302"/>
        <v>0</v>
      </c>
      <c r="Q644" s="824">
        <f>COUNTIF(P$2:P644, TRUE)/(COUNTIF(P$2:P644,FALSE) + COUNTIF(P$2:P644, TRUE))</f>
        <v>0.49144634525660963</v>
      </c>
      <c r="R644" s="822">
        <v>347226.42</v>
      </c>
      <c r="S644" s="822">
        <f t="shared" si="297"/>
        <v>116798.47000000003</v>
      </c>
      <c r="T644" s="822">
        <v>-34375</v>
      </c>
      <c r="U644" s="822">
        <f t="shared" si="298"/>
        <v>98399.890000000014</v>
      </c>
      <c r="V644" s="824">
        <f>STDEV(D$2:D644)*SQRT(252)</f>
        <v>0.14288219336570368</v>
      </c>
      <c r="W644" s="824">
        <f>STDEV(L$2:L644)*SQRT(252)</f>
        <v>0.2762252800180221</v>
      </c>
      <c r="X644" s="823">
        <f t="shared" si="319"/>
        <v>0.75687840094146508</v>
      </c>
      <c r="Y644" s="823">
        <f t="shared" si="318"/>
        <v>0.21228557939468987</v>
      </c>
      <c r="Z644" s="829">
        <f t="shared" si="306"/>
        <v>-0.13513288163800155</v>
      </c>
    </row>
    <row r="645" spans="1:26" ht="20.100000000000001" customHeight="1" x14ac:dyDescent="0.2">
      <c r="A645" s="798">
        <f t="shared" si="320"/>
        <v>998</v>
      </c>
      <c r="B645" s="817">
        <v>43231</v>
      </c>
      <c r="C645" s="842">
        <v>2727.72</v>
      </c>
      <c r="D645" s="814">
        <f t="shared" si="313"/>
        <v>1.7076314600798495E-3</v>
      </c>
      <c r="E645" s="841">
        <f t="shared" si="299"/>
        <v>0.29740682254903811</v>
      </c>
      <c r="F645" s="838">
        <v>7402.88</v>
      </c>
      <c r="G645" s="814">
        <f t="shared" si="314"/>
        <v>-2.8224287201705686E-4</v>
      </c>
      <c r="H645" s="819">
        <f t="shared" si="315"/>
        <v>0.45391126735667858</v>
      </c>
      <c r="I645" s="863">
        <v>464999.67</v>
      </c>
      <c r="J645" s="822">
        <v>400000</v>
      </c>
      <c r="K645" s="822">
        <f t="shared" si="316"/>
        <v>974.77999999996973</v>
      </c>
      <c r="L645" s="814">
        <f t="shared" si="317"/>
        <v>2.1007062789238952E-3</v>
      </c>
      <c r="M645" s="839">
        <f t="shared" si="300"/>
        <v>64999.669999999984</v>
      </c>
      <c r="N645" s="824">
        <f t="shared" si="305"/>
        <v>0.16249917499999997</v>
      </c>
      <c r="O645" s="808">
        <f t="shared" si="321"/>
        <v>5.9471767203156299E-2</v>
      </c>
      <c r="P645" s="839" t="b">
        <f t="shared" si="302"/>
        <v>1</v>
      </c>
      <c r="Q645" s="824">
        <f>COUNTIF(P$2:P645, TRUE)/(COUNTIF(P$2:P645,FALSE) + COUNTIF(P$2:P645, TRUE))</f>
        <v>0.49223602484472051</v>
      </c>
      <c r="R645" s="822">
        <v>348195.75</v>
      </c>
      <c r="S645" s="822">
        <f t="shared" si="297"/>
        <v>116803.91999999998</v>
      </c>
      <c r="T645" s="822">
        <v>-33955</v>
      </c>
      <c r="U645" s="822">
        <f t="shared" si="298"/>
        <v>98954.669999999984</v>
      </c>
      <c r="V645" s="824">
        <f>STDEV(D$2:D645)*SQRT(252)</f>
        <v>0.14277306456679006</v>
      </c>
      <c r="W645" s="824">
        <f>STDEV(L$2:L645)*SQRT(252)</f>
        <v>0.27601172944324498</v>
      </c>
      <c r="X645" s="823">
        <f t="shared" ref="X645:X685" si="322">E645/(A645/365.25)/V645</f>
        <v>0.76236742085984766</v>
      </c>
      <c r="Y645" s="823">
        <f t="shared" si="318"/>
        <v>0.21546826043632036</v>
      </c>
      <c r="Z645" s="829">
        <f t="shared" si="306"/>
        <v>-0.13490764754903814</v>
      </c>
    </row>
    <row r="646" spans="1:26" ht="20.100000000000001" customHeight="1" x14ac:dyDescent="0.2">
      <c r="A646" s="798">
        <f t="shared" si="320"/>
        <v>1001</v>
      </c>
      <c r="B646" s="817">
        <v>43234</v>
      </c>
      <c r="C646" s="842">
        <v>2730.13</v>
      </c>
      <c r="D646" s="814">
        <f t="shared" si="313"/>
        <v>8.8352176909664831E-4</v>
      </c>
      <c r="E646" s="841">
        <f t="shared" si="299"/>
        <v>0.29855310972013471</v>
      </c>
      <c r="F646" s="838">
        <v>7411.31</v>
      </c>
      <c r="G646" s="814">
        <f t="shared" si="314"/>
        <v>1.1387460015561904E-3</v>
      </c>
      <c r="H646" s="819">
        <f t="shared" si="315"/>
        <v>0.45556690299899849</v>
      </c>
      <c r="I646" s="863">
        <v>467579.22</v>
      </c>
      <c r="J646" s="822">
        <v>400000</v>
      </c>
      <c r="K646" s="822">
        <f t="shared" si="316"/>
        <v>2579.5499999999884</v>
      </c>
      <c r="L646" s="814">
        <f t="shared" si="317"/>
        <v>5.5474232917197309E-3</v>
      </c>
      <c r="M646" s="839">
        <f t="shared" si="300"/>
        <v>67579.219999999972</v>
      </c>
      <c r="N646" s="824">
        <f t="shared" si="305"/>
        <v>0.16894804999999993</v>
      </c>
      <c r="O646" s="808">
        <f t="shared" si="321"/>
        <v>6.1646628633866114E-2</v>
      </c>
      <c r="P646" s="839" t="b">
        <f t="shared" si="302"/>
        <v>1</v>
      </c>
      <c r="Q646" s="824">
        <f>COUNTIF(P$2:P646, TRUE)/(COUNTIF(P$2:P646,FALSE) + COUNTIF(P$2:P646, TRUE))</f>
        <v>0.49302325581395351</v>
      </c>
      <c r="R646" s="822">
        <v>330265.8</v>
      </c>
      <c r="S646" s="822">
        <f t="shared" si="297"/>
        <v>137313.41999999998</v>
      </c>
      <c r="T646" s="822">
        <v>-33635</v>
      </c>
      <c r="U646" s="822">
        <f t="shared" si="298"/>
        <v>101214.21999999997</v>
      </c>
      <c r="V646" s="824">
        <f>STDEV(D$2:D646)*SQRT(252)</f>
        <v>0.14266226356718267</v>
      </c>
      <c r="W646" s="824">
        <f>STDEV(L$2:L646)*SQRT(252)</f>
        <v>0.27581457099278633</v>
      </c>
      <c r="X646" s="823">
        <f t="shared" si="322"/>
        <v>0.76360477547195693</v>
      </c>
      <c r="Y646" s="823">
        <f t="shared" si="318"/>
        <v>0.223507512355025</v>
      </c>
      <c r="Z646" s="829">
        <f t="shared" si="306"/>
        <v>-0.12960505972013478</v>
      </c>
    </row>
    <row r="647" spans="1:26" ht="20.100000000000001" customHeight="1" x14ac:dyDescent="0.2">
      <c r="A647" s="798">
        <f t="shared" si="320"/>
        <v>1002</v>
      </c>
      <c r="B647" s="817">
        <v>43235</v>
      </c>
      <c r="C647" s="842">
        <v>2711.45</v>
      </c>
      <c r="D647" s="814">
        <f t="shared" si="313"/>
        <v>-6.8421650251088012E-3</v>
      </c>
      <c r="E647" s="841">
        <f t="shared" si="299"/>
        <v>0.28966819504956132</v>
      </c>
      <c r="F647" s="838">
        <v>7351.62</v>
      </c>
      <c r="G647" s="814">
        <f t="shared" si="314"/>
        <v>-8.0539067992029083E-3</v>
      </c>
      <c r="H647" s="819">
        <f t="shared" si="315"/>
        <v>0.44384390282224012</v>
      </c>
      <c r="I647" s="863">
        <v>466861.67</v>
      </c>
      <c r="J647" s="822">
        <v>400000</v>
      </c>
      <c r="K647" s="822">
        <f t="shared" si="316"/>
        <v>-717.54999999998836</v>
      </c>
      <c r="L647" s="814">
        <f t="shared" si="317"/>
        <v>-1.5346062641534591E-3</v>
      </c>
      <c r="M647" s="839">
        <f t="shared" si="300"/>
        <v>66861.669999999984</v>
      </c>
      <c r="N647" s="824">
        <f t="shared" si="305"/>
        <v>0.16715417499999996</v>
      </c>
      <c r="O647" s="808">
        <f t="shared" si="321"/>
        <v>6.0931200018712564E-2</v>
      </c>
      <c r="P647" s="839" t="b">
        <f t="shared" si="302"/>
        <v>1</v>
      </c>
      <c r="Q647" s="824">
        <f>COUNTIF(P$2:P647, TRUE)/(COUNTIF(P$2:P647,FALSE) + COUNTIF(P$2:P647, TRUE))</f>
        <v>0.4938080495356037</v>
      </c>
      <c r="R647" s="822">
        <v>329544.32000000001</v>
      </c>
      <c r="S647" s="822">
        <f t="shared" si="297"/>
        <v>137317.34999999998</v>
      </c>
      <c r="T647" s="822">
        <v>-33595</v>
      </c>
      <c r="U647" s="822">
        <f t="shared" si="298"/>
        <v>100456.66999999998</v>
      </c>
      <c r="V647" s="824">
        <f>STDEV(D$2:D647)*SQRT(252)</f>
        <v>0.1426242316403005</v>
      </c>
      <c r="W647" s="824">
        <f>STDEV(L$2:L647)*SQRT(252)</f>
        <v>0.27560351789719828</v>
      </c>
      <c r="X647" s="823">
        <f t="shared" si="322"/>
        <v>0.74033792695325229</v>
      </c>
      <c r="Y647" s="823">
        <f t="shared" si="318"/>
        <v>0.22108280940535838</v>
      </c>
      <c r="Z647" s="829">
        <f t="shared" si="306"/>
        <v>-0.12251402004956136</v>
      </c>
    </row>
    <row r="648" spans="1:26" ht="20.100000000000001" customHeight="1" x14ac:dyDescent="0.2">
      <c r="A648" s="798">
        <f t="shared" si="320"/>
        <v>1003</v>
      </c>
      <c r="B648" s="817">
        <v>43236</v>
      </c>
      <c r="C648" s="842">
        <v>2722.46</v>
      </c>
      <c r="D648" s="814">
        <f t="shared" si="313"/>
        <v>4.0605580040200704E-3</v>
      </c>
      <c r="E648" s="841">
        <f t="shared" si="299"/>
        <v>0.29490496756149998</v>
      </c>
      <c r="F648" s="838">
        <v>7398.29</v>
      </c>
      <c r="G648" s="814">
        <f t="shared" si="314"/>
        <v>6.3482606554745857E-3</v>
      </c>
      <c r="H648" s="819">
        <f t="shared" si="315"/>
        <v>0.45300980026317345</v>
      </c>
      <c r="I648" s="863">
        <v>469460.39</v>
      </c>
      <c r="J648" s="822">
        <v>400000</v>
      </c>
      <c r="K648" s="822">
        <f t="shared" si="316"/>
        <v>2598.7200000000303</v>
      </c>
      <c r="L648" s="814">
        <f t="shared" si="317"/>
        <v>5.5663597313526086E-3</v>
      </c>
      <c r="M648" s="839">
        <f t="shared" si="300"/>
        <v>69460.390000000014</v>
      </c>
      <c r="N648" s="824">
        <f t="shared" si="305"/>
        <v>0.17365097500000004</v>
      </c>
      <c r="O648" s="808">
        <f t="shared" si="321"/>
        <v>6.323630968968097E-2</v>
      </c>
      <c r="P648" s="839" t="b">
        <f t="shared" si="302"/>
        <v>1</v>
      </c>
      <c r="Q648" s="824">
        <f>COUNTIF(P$2:P648, TRUE)/(COUNTIF(P$2:P648,FALSE) + COUNTIF(P$2:P648, TRUE))</f>
        <v>0.49459041731066461</v>
      </c>
      <c r="R648" s="822">
        <v>329098.73</v>
      </c>
      <c r="S648" s="822">
        <f t="shared" si="297"/>
        <v>140361.66000000003</v>
      </c>
      <c r="T648" s="822">
        <v>-33215</v>
      </c>
      <c r="U648" s="822">
        <f t="shared" si="298"/>
        <v>102675.39000000001</v>
      </c>
      <c r="V648" s="824">
        <f>STDEV(D$2:D648)*SQRT(252)</f>
        <v>0.14253161835311137</v>
      </c>
      <c r="W648" s="824">
        <f>STDEV(L$2:L648)*SQRT(252)</f>
        <v>0.2754074158314333</v>
      </c>
      <c r="X648" s="823">
        <f t="shared" si="322"/>
        <v>0.75345993437295689</v>
      </c>
      <c r="Y648" s="823">
        <f t="shared" si="318"/>
        <v>0.22961004698720813</v>
      </c>
      <c r="Z648" s="829">
        <f t="shared" si="306"/>
        <v>-0.12125399256149993</v>
      </c>
    </row>
    <row r="649" spans="1:26" ht="20.100000000000001" customHeight="1" x14ac:dyDescent="0.2">
      <c r="A649" s="798">
        <f t="shared" si="320"/>
        <v>1004</v>
      </c>
      <c r="B649" s="817">
        <v>43237</v>
      </c>
      <c r="C649" s="842">
        <v>2720.13</v>
      </c>
      <c r="D649" s="814">
        <f t="shared" si="313"/>
        <v>-8.5584361202733085E-4</v>
      </c>
      <c r="E649" s="841">
        <f t="shared" si="299"/>
        <v>0.29379673141682999</v>
      </c>
      <c r="F649" s="838">
        <v>7382.47</v>
      </c>
      <c r="G649" s="814">
        <f t="shared" si="314"/>
        <v>-2.1383319659001891E-3</v>
      </c>
      <c r="H649" s="819">
        <f t="shared" si="315"/>
        <v>0.44990278296050445</v>
      </c>
      <c r="I649" s="863">
        <v>471759.89</v>
      </c>
      <c r="J649" s="822">
        <v>400000</v>
      </c>
      <c r="K649" s="822">
        <f t="shared" si="316"/>
        <v>2299.5</v>
      </c>
      <c r="L649" s="814">
        <f t="shared" si="317"/>
        <v>4.8981768195608582E-3</v>
      </c>
      <c r="M649" s="839">
        <f t="shared" si="300"/>
        <v>71759.890000000014</v>
      </c>
      <c r="N649" s="824">
        <f t="shared" si="305"/>
        <v>0.17939972500000004</v>
      </c>
      <c r="O649" s="808">
        <f t="shared" si="321"/>
        <v>6.5264690793077701E-2</v>
      </c>
      <c r="P649" s="839" t="b">
        <f t="shared" si="302"/>
        <v>1</v>
      </c>
      <c r="Q649" s="824">
        <f>COUNTIF(P$2:P649, TRUE)/(COUNTIF(P$2:P649,FALSE) + COUNTIF(P$2:P649, TRUE))</f>
        <v>0.49537037037037035</v>
      </c>
      <c r="R649" s="822">
        <v>334075.42</v>
      </c>
      <c r="S649" s="822">
        <f t="shared" ref="S649:S680" si="323">I649-R649</f>
        <v>137684.47000000003</v>
      </c>
      <c r="T649" s="822">
        <v>-32602</v>
      </c>
      <c r="U649" s="822">
        <f t="shared" si="298"/>
        <v>104361.89000000001</v>
      </c>
      <c r="V649" s="824">
        <f>STDEV(D$2:D649)*SQRT(252)</f>
        <v>0.14242355455399155</v>
      </c>
      <c r="W649" s="824">
        <f>STDEV(L$2:L649)*SQRT(252)</f>
        <v>0.27520733292205884</v>
      </c>
      <c r="X649" s="823">
        <f t="shared" si="322"/>
        <v>0.75044980844476061</v>
      </c>
      <c r="Y649" s="823">
        <f t="shared" si="318"/>
        <v>0.23714735396080902</v>
      </c>
      <c r="Z649" s="829">
        <f t="shared" si="306"/>
        <v>-0.11439700641682995</v>
      </c>
    </row>
    <row r="650" spans="1:26" ht="20.100000000000001" customHeight="1" x14ac:dyDescent="0.2">
      <c r="A650" s="798">
        <f t="shared" si="320"/>
        <v>1005</v>
      </c>
      <c r="B650" s="817">
        <v>43238</v>
      </c>
      <c r="C650" s="842">
        <v>2712.97</v>
      </c>
      <c r="D650" s="814">
        <f t="shared" si="313"/>
        <v>-2.6322271362031629E-3</v>
      </c>
      <c r="E650" s="841">
        <f t="shared" si="299"/>
        <v>0.29039116455166364</v>
      </c>
      <c r="F650" s="838">
        <v>7354.33</v>
      </c>
      <c r="G650" s="814">
        <f t="shared" si="314"/>
        <v>-3.8117323876697535E-3</v>
      </c>
      <c r="H650" s="819">
        <f t="shared" si="315"/>
        <v>0.44437614156372141</v>
      </c>
      <c r="I650" s="863">
        <v>368892.97</v>
      </c>
      <c r="J650" s="822">
        <v>300000</v>
      </c>
      <c r="K650" s="822">
        <f t="shared" si="316"/>
        <v>-2866.9200000000419</v>
      </c>
      <c r="L650" s="814">
        <f t="shared" si="317"/>
        <v>-6.0770745049988075E-3</v>
      </c>
      <c r="M650" s="839">
        <f t="shared" si="300"/>
        <v>68892.969999999972</v>
      </c>
      <c r="N650" s="824">
        <f t="shared" si="305"/>
        <v>0.22964323333333325</v>
      </c>
      <c r="O650" s="808">
        <f t="shared" si="321"/>
        <v>8.3459891517412899E-2</v>
      </c>
      <c r="P650" s="839" t="b">
        <f t="shared" si="302"/>
        <v>0</v>
      </c>
      <c r="Q650" s="824">
        <f>COUNTIF(P$2:P650, TRUE)/(COUNTIF(P$2:P650,FALSE) + COUNTIF(P$2:P650, TRUE))</f>
        <v>0.49460708782742679</v>
      </c>
      <c r="R650" s="822">
        <v>331208.48</v>
      </c>
      <c r="S650" s="822">
        <f t="shared" si="323"/>
        <v>37684.489999999991</v>
      </c>
      <c r="T650" s="822">
        <v>-33172</v>
      </c>
      <c r="U650" s="822">
        <f t="shared" si="298"/>
        <v>102064.96999999997</v>
      </c>
      <c r="V650" s="824">
        <f>STDEV(D$2:D650)*SQRT(252)</f>
        <v>0.14232632938568604</v>
      </c>
      <c r="W650" s="824">
        <f>STDEV(L$2:L650)*SQRT(252)</f>
        <v>0.27502601707498364</v>
      </c>
      <c r="X650" s="823">
        <f t="shared" si="322"/>
        <v>0.74151904911669486</v>
      </c>
      <c r="Y650" s="823">
        <f t="shared" si="318"/>
        <v>0.30346180483229784</v>
      </c>
      <c r="Z650" s="829">
        <f t="shared" si="306"/>
        <v>-6.0747931218330387E-2</v>
      </c>
    </row>
    <row r="651" spans="1:26" ht="20.100000000000001" customHeight="1" x14ac:dyDescent="0.2">
      <c r="A651" s="798">
        <f t="shared" si="320"/>
        <v>1008</v>
      </c>
      <c r="B651" s="817">
        <v>43241</v>
      </c>
      <c r="C651" s="842">
        <v>2733.01</v>
      </c>
      <c r="D651" s="814">
        <f t="shared" si="313"/>
        <v>7.386738519040174E-3</v>
      </c>
      <c r="E651" s="841">
        <f t="shared" si="299"/>
        <v>0.29992294667148656</v>
      </c>
      <c r="F651" s="838">
        <v>7394.03</v>
      </c>
      <c r="G651" s="814">
        <f t="shared" si="314"/>
        <v>5.3981803916875936E-3</v>
      </c>
      <c r="H651" s="819">
        <f t="shared" si="315"/>
        <v>0.45217314452933205</v>
      </c>
      <c r="I651" s="863">
        <v>370544.71</v>
      </c>
      <c r="J651" s="822">
        <v>300000</v>
      </c>
      <c r="K651" s="822">
        <f t="shared" si="316"/>
        <v>1651.7400000000489</v>
      </c>
      <c r="L651" s="814">
        <f t="shared" si="317"/>
        <v>4.4775588973681151E-3</v>
      </c>
      <c r="M651" s="839">
        <f t="shared" si="300"/>
        <v>70544.710000000021</v>
      </c>
      <c r="N651" s="824">
        <f t="shared" si="305"/>
        <v>0.2351490333333334</v>
      </c>
      <c r="O651" s="808">
        <f t="shared" si="321"/>
        <v>8.5206532167658749E-2</v>
      </c>
      <c r="P651" s="839" t="b">
        <f t="shared" si="302"/>
        <v>0</v>
      </c>
      <c r="Q651" s="824">
        <f>COUNTIF(P$2:P651, TRUE)/(COUNTIF(P$2:P651,FALSE) + COUNTIF(P$2:P651, TRUE))</f>
        <v>0.49384615384615382</v>
      </c>
      <c r="R651" s="822">
        <v>310980.52</v>
      </c>
      <c r="S651" s="822">
        <f t="shared" si="323"/>
        <v>59564.19</v>
      </c>
      <c r="T651" s="822">
        <v>-33411</v>
      </c>
      <c r="U651" s="822">
        <f t="shared" si="298"/>
        <v>103955.71000000002</v>
      </c>
      <c r="V651" s="824">
        <f>STDEV(D$2:D651)*SQRT(252)</f>
        <v>0.14228245000566273</v>
      </c>
      <c r="W651" s="824">
        <f>STDEV(L$2:L651)*SQRT(252)</f>
        <v>0.27482444645236265</v>
      </c>
      <c r="X651" s="823">
        <f t="shared" si="322"/>
        <v>0.76381476965862527</v>
      </c>
      <c r="Y651" s="823">
        <f t="shared" si="318"/>
        <v>0.31003985732553174</v>
      </c>
      <c r="Z651" s="829">
        <f t="shared" si="306"/>
        <v>-6.4773913338153161E-2</v>
      </c>
    </row>
    <row r="652" spans="1:26" ht="20.100000000000001" customHeight="1" x14ac:dyDescent="0.2">
      <c r="A652" s="798">
        <f t="shared" si="320"/>
        <v>1009</v>
      </c>
      <c r="B652" s="817">
        <v>43242</v>
      </c>
      <c r="C652" s="842">
        <v>2724.44</v>
      </c>
      <c r="D652" s="814">
        <f t="shared" si="313"/>
        <v>-3.1357367883762454E-3</v>
      </c>
      <c r="E652" s="841">
        <f t="shared" si="299"/>
        <v>0.29584673046555432</v>
      </c>
      <c r="F652" s="838">
        <v>7378.45</v>
      </c>
      <c r="G652" s="814">
        <f t="shared" si="314"/>
        <v>-2.1071053268650422E-3</v>
      </c>
      <c r="H652" s="819">
        <f t="shared" si="315"/>
        <v>0.44911326276096392</v>
      </c>
      <c r="I652" s="863">
        <v>369224.1</v>
      </c>
      <c r="J652" s="822">
        <v>300000</v>
      </c>
      <c r="K652" s="822">
        <f t="shared" si="316"/>
        <v>-1320.6100000000442</v>
      </c>
      <c r="L652" s="814">
        <f t="shared" si="317"/>
        <v>-3.5639693790259323E-3</v>
      </c>
      <c r="M652" s="839">
        <f t="shared" si="300"/>
        <v>69224.099999999977</v>
      </c>
      <c r="N652" s="824">
        <f t="shared" si="305"/>
        <v>0.23074699999999992</v>
      </c>
      <c r="O652" s="808">
        <f t="shared" si="321"/>
        <v>8.3528584489593632E-2</v>
      </c>
      <c r="P652" s="839" t="b">
        <f t="shared" si="302"/>
        <v>0</v>
      </c>
      <c r="Q652" s="824">
        <f>COUNTIF(P$2:P652, TRUE)/(COUNTIF(P$2:P652,FALSE) + COUNTIF(P$2:P652, TRUE))</f>
        <v>0.49308755760368661</v>
      </c>
      <c r="R652" s="822">
        <v>309642.99</v>
      </c>
      <c r="S652" s="822">
        <f t="shared" si="323"/>
        <v>59581.109999999986</v>
      </c>
      <c r="T652" s="822">
        <v>-33552</v>
      </c>
      <c r="U652" s="822">
        <f t="shared" si="298"/>
        <v>102776.09999999998</v>
      </c>
      <c r="V652" s="824">
        <f>STDEV(D$2:D652)*SQRT(252)</f>
        <v>0.14219026559539735</v>
      </c>
      <c r="W652" s="824">
        <f>STDEV(L$2:L652)*SQRT(252)</f>
        <v>0.27462480184217142</v>
      </c>
      <c r="X652" s="823">
        <f t="shared" si="322"/>
        <v>0.75317512290461208</v>
      </c>
      <c r="Y652" s="823">
        <f t="shared" si="318"/>
        <v>0.30415528360616906</v>
      </c>
      <c r="Z652" s="829">
        <f t="shared" si="306"/>
        <v>-6.5099730465554395E-2</v>
      </c>
    </row>
    <row r="653" spans="1:26" ht="20.100000000000001" customHeight="1" x14ac:dyDescent="0.2">
      <c r="A653" s="798">
        <f t="shared" si="320"/>
        <v>1010</v>
      </c>
      <c r="B653" s="817">
        <v>43243</v>
      </c>
      <c r="C653" s="842">
        <v>2733.29</v>
      </c>
      <c r="D653" s="814">
        <f t="shared" si="313"/>
        <v>3.2483739777715453E-3</v>
      </c>
      <c r="E653" s="841">
        <f t="shared" si="299"/>
        <v>0.30005612526397896</v>
      </c>
      <c r="F653" s="838">
        <v>7425.95</v>
      </c>
      <c r="G653" s="814">
        <f t="shared" si="314"/>
        <v>6.4376664475601243E-3</v>
      </c>
      <c r="H653" s="819">
        <f t="shared" si="315"/>
        <v>0.45844217059135456</v>
      </c>
      <c r="I653" s="863">
        <v>369307.32</v>
      </c>
      <c r="J653" s="822">
        <v>300000</v>
      </c>
      <c r="K653" s="822">
        <f t="shared" si="316"/>
        <v>83.220000000030268</v>
      </c>
      <c r="L653" s="814">
        <f t="shared" si="317"/>
        <v>2.2539157113533561E-4</v>
      </c>
      <c r="M653" s="839">
        <f t="shared" si="300"/>
        <v>69307.320000000007</v>
      </c>
      <c r="N653" s="824">
        <f t="shared" si="305"/>
        <v>0.23102440000000002</v>
      </c>
      <c r="O653" s="808">
        <f t="shared" si="321"/>
        <v>8.3546200099009912E-2</v>
      </c>
      <c r="P653" s="839" t="b">
        <f t="shared" si="302"/>
        <v>0</v>
      </c>
      <c r="Q653" s="824">
        <f>COUNTIF(P$2:P653, TRUE)/(COUNTIF(P$2:P653,FALSE) + COUNTIF(P$2:P653, TRUE))</f>
        <v>0.49233128834355827</v>
      </c>
      <c r="R653" s="822">
        <v>304541.98</v>
      </c>
      <c r="S653" s="822">
        <f t="shared" si="323"/>
        <v>64765.340000000026</v>
      </c>
      <c r="T653" s="822">
        <v>-33811</v>
      </c>
      <c r="U653" s="822">
        <f t="shared" si="298"/>
        <v>103118.32</v>
      </c>
      <c r="V653" s="824">
        <f>STDEV(D$2:D653)*SQRT(252)</f>
        <v>0.1420915986337544</v>
      </c>
      <c r="W653" s="824">
        <f>STDEV(L$2:L653)*SQRT(252)</f>
        <v>0.27441355998676326</v>
      </c>
      <c r="X653" s="823">
        <f t="shared" si="322"/>
        <v>0.76366510643891128</v>
      </c>
      <c r="Y653" s="823">
        <f t="shared" si="318"/>
        <v>0.30445361411090577</v>
      </c>
      <c r="Z653" s="829">
        <f t="shared" si="306"/>
        <v>-6.9031725263978938E-2</v>
      </c>
    </row>
    <row r="654" spans="1:26" ht="20.100000000000001" customHeight="1" x14ac:dyDescent="0.2">
      <c r="A654" s="798">
        <f t="shared" si="320"/>
        <v>1011</v>
      </c>
      <c r="B654" s="817">
        <v>43244</v>
      </c>
      <c r="C654" s="842">
        <v>2727.76</v>
      </c>
      <c r="D654" s="814">
        <f t="shared" si="313"/>
        <v>-2.0232028068736742E-3</v>
      </c>
      <c r="E654" s="841">
        <f t="shared" si="299"/>
        <v>0.29742584806225153</v>
      </c>
      <c r="F654" s="838">
        <v>7424.42</v>
      </c>
      <c r="G654" s="814">
        <f t="shared" si="314"/>
        <v>-2.0603424477672828E-4</v>
      </c>
      <c r="H654" s="819">
        <f t="shared" si="315"/>
        <v>0.45814168156018625</v>
      </c>
      <c r="I654" s="863">
        <v>369717.91</v>
      </c>
      <c r="J654" s="822">
        <v>300000</v>
      </c>
      <c r="K654" s="822">
        <f t="shared" si="316"/>
        <v>410.5899999999674</v>
      </c>
      <c r="L654" s="814">
        <f t="shared" si="317"/>
        <v>1.1117840826982996E-3</v>
      </c>
      <c r="M654" s="839">
        <f t="shared" si="300"/>
        <v>69717.909999999974</v>
      </c>
      <c r="N654" s="824">
        <f t="shared" si="305"/>
        <v>0.23239303333333325</v>
      </c>
      <c r="O654" s="808">
        <f t="shared" si="321"/>
        <v>8.3958017235410451E-2</v>
      </c>
      <c r="P654" s="839" t="b">
        <f t="shared" si="302"/>
        <v>1</v>
      </c>
      <c r="Q654" s="824">
        <f>COUNTIF(P$2:P654, TRUE)/(COUNTIF(P$2:P654,FALSE) + COUNTIF(P$2:P654, TRUE))</f>
        <v>0.49310872894333846</v>
      </c>
      <c r="R654" s="822">
        <v>306982</v>
      </c>
      <c r="S654" s="822">
        <f t="shared" si="323"/>
        <v>62735.909999999974</v>
      </c>
      <c r="T654" s="822">
        <v>-33834</v>
      </c>
      <c r="U654" s="822">
        <f t="shared" si="298"/>
        <v>103551.90999999997</v>
      </c>
      <c r="V654" s="824">
        <f>STDEV(D$2:D654)*SQRT(252)</f>
        <v>0.14199070268800965</v>
      </c>
      <c r="W654" s="824">
        <f>STDEV(L$2:L654)*SQRT(252)</f>
        <v>0.27420291468288271</v>
      </c>
      <c r="X654" s="823">
        <f t="shared" si="322"/>
        <v>0.75675947832872026</v>
      </c>
      <c r="Y654" s="823">
        <f t="shared" si="318"/>
        <v>0.30618936830962717</v>
      </c>
      <c r="Z654" s="829">
        <f t="shared" si="306"/>
        <v>-6.5032814728918281E-2</v>
      </c>
    </row>
    <row r="655" spans="1:26" ht="20.100000000000001" customHeight="1" x14ac:dyDescent="0.2">
      <c r="A655" s="798">
        <f t="shared" si="320"/>
        <v>1012</v>
      </c>
      <c r="B655" s="817">
        <v>43245</v>
      </c>
      <c r="C655" s="842">
        <v>2721.33</v>
      </c>
      <c r="D655" s="814">
        <f t="shared" si="313"/>
        <v>-2.3572455054697958E-3</v>
      </c>
      <c r="E655" s="841">
        <f t="shared" si="299"/>
        <v>0.29436749681322649</v>
      </c>
      <c r="F655" s="838">
        <v>7433.85</v>
      </c>
      <c r="G655" s="814">
        <f t="shared" si="314"/>
        <v>1.2701328858012197E-3</v>
      </c>
      <c r="H655" s="819">
        <f t="shared" si="315"/>
        <v>0.45999371526209332</v>
      </c>
      <c r="I655" s="863">
        <v>370226.78</v>
      </c>
      <c r="J655" s="822">
        <v>300000</v>
      </c>
      <c r="K655" s="822">
        <f t="shared" si="316"/>
        <v>508.87000000005355</v>
      </c>
      <c r="L655" s="814">
        <f t="shared" si="317"/>
        <v>1.3763736790572401E-3</v>
      </c>
      <c r="M655" s="839">
        <f t="shared" si="300"/>
        <v>70226.780000000028</v>
      </c>
      <c r="N655" s="824">
        <f t="shared" si="305"/>
        <v>0.23408926666666677</v>
      </c>
      <c r="O655" s="808">
        <f t="shared" si="321"/>
        <v>8.448725755928857E-2</v>
      </c>
      <c r="P655" s="839" t="b">
        <f t="shared" si="302"/>
        <v>1</v>
      </c>
      <c r="Q655" s="824">
        <f>COUNTIF(P$2:P655, TRUE)/(COUNTIF(P$2:P655,FALSE) + COUNTIF(P$2:P655, TRUE))</f>
        <v>0.49388379204892968</v>
      </c>
      <c r="R655" s="822">
        <v>324879.32</v>
      </c>
      <c r="S655" s="822">
        <f t="shared" si="323"/>
        <v>45347.460000000021</v>
      </c>
      <c r="T655" s="822">
        <v>-33723</v>
      </c>
      <c r="U655" s="822">
        <f t="shared" si="298"/>
        <v>103949.78000000003</v>
      </c>
      <c r="V655" s="824">
        <f>STDEV(D$2:D655)*SQRT(252)</f>
        <v>0.14189240854304816</v>
      </c>
      <c r="W655" s="824">
        <f>STDEV(L$2:L655)*SQRT(252)</f>
        <v>0.27399300064676285</v>
      </c>
      <c r="X655" s="823">
        <f t="shared" si="322"/>
        <v>0.74875615636297466</v>
      </c>
      <c r="Y655" s="823">
        <f t="shared" si="318"/>
        <v>0.3083555322940939</v>
      </c>
      <c r="Z655" s="829">
        <f t="shared" si="306"/>
        <v>-6.0278230146559725E-2</v>
      </c>
    </row>
    <row r="656" spans="1:26" ht="20.100000000000001" customHeight="1" x14ac:dyDescent="0.2">
      <c r="A656" s="798">
        <f t="shared" si="320"/>
        <v>1015</v>
      </c>
      <c r="B656" s="817">
        <v>43248</v>
      </c>
      <c r="C656" s="842">
        <v>2689.86</v>
      </c>
      <c r="D656" s="814">
        <f t="shared" si="313"/>
        <v>-1.1564198388288007E-2</v>
      </c>
      <c r="E656" s="841">
        <f t="shared" si="299"/>
        <v>0.27939917429272659</v>
      </c>
      <c r="F656" s="838">
        <v>7396.59</v>
      </c>
      <c r="G656" s="814">
        <f t="shared" si="314"/>
        <v>-5.0122076716641066E-3</v>
      </c>
      <c r="H656" s="819">
        <f t="shared" si="315"/>
        <v>0.4526759235618753</v>
      </c>
      <c r="I656" s="863">
        <v>367527</v>
      </c>
      <c r="J656" s="822">
        <v>300000</v>
      </c>
      <c r="K656" s="822">
        <f t="shared" si="316"/>
        <v>-2699.7800000000279</v>
      </c>
      <c r="L656" s="814">
        <f t="shared" si="317"/>
        <v>-7.292233155040885E-3</v>
      </c>
      <c r="M656" s="839">
        <f t="shared" si="300"/>
        <v>67527</v>
      </c>
      <c r="N656" s="824">
        <f t="shared" ref="N656:N685" si="324">M656/J656</f>
        <v>0.22509000000000001</v>
      </c>
      <c r="O656" s="808">
        <f t="shared" si="321"/>
        <v>8.0999135467980307E-2</v>
      </c>
      <c r="P656" s="839" t="b">
        <f t="shared" si="302"/>
        <v>1</v>
      </c>
      <c r="Q656" s="824">
        <f>COUNTIF(P$2:P656, TRUE)/(COUNTIF(P$2:P656,FALSE) + COUNTIF(P$2:P656, TRUE))</f>
        <v>0.4946564885496183</v>
      </c>
      <c r="R656" s="822">
        <v>334136.78000000003</v>
      </c>
      <c r="S656" s="822">
        <f t="shared" si="323"/>
        <v>33390.219999999972</v>
      </c>
      <c r="T656" s="822">
        <v>-33965</v>
      </c>
      <c r="U656" s="822">
        <f t="shared" si="298"/>
        <v>101492</v>
      </c>
      <c r="V656" s="824">
        <f>STDEV(D$2:D656)*SQRT(252)</f>
        <v>0.14197923510555985</v>
      </c>
      <c r="W656" s="824">
        <f>STDEV(L$2:L656)*SQRT(252)</f>
        <v>0.27382676083750657</v>
      </c>
      <c r="X656" s="823">
        <f t="shared" si="322"/>
        <v>0.70814871028331094</v>
      </c>
      <c r="Y656" s="823">
        <f t="shared" si="318"/>
        <v>0.29580430787787965</v>
      </c>
      <c r="Z656" s="829">
        <f t="shared" ref="Z656:Z685" si="325">-(E656-N656)</f>
        <v>-5.4309174292726581E-2</v>
      </c>
    </row>
    <row r="657" spans="1:26" ht="20.100000000000001" customHeight="1" x14ac:dyDescent="0.2">
      <c r="A657" s="798">
        <f t="shared" si="320"/>
        <v>1016</v>
      </c>
      <c r="B657" s="817">
        <v>43249</v>
      </c>
      <c r="C657" s="842">
        <v>2724.01</v>
      </c>
      <c r="D657" s="814">
        <f t="shared" si="313"/>
        <v>1.2695828035659882E-2</v>
      </c>
      <c r="E657" s="841">
        <f t="shared" si="299"/>
        <v>0.29564220619851228</v>
      </c>
      <c r="F657" s="838">
        <v>7462.45</v>
      </c>
      <c r="G657" s="814">
        <f t="shared" si="314"/>
        <v>8.9041031069722228E-3</v>
      </c>
      <c r="H657" s="819">
        <f t="shared" si="315"/>
        <v>0.46561069976628633</v>
      </c>
      <c r="I657" s="863">
        <v>372747.09</v>
      </c>
      <c r="J657" s="822">
        <v>300000</v>
      </c>
      <c r="K657" s="822">
        <f t="shared" si="316"/>
        <v>5220.0900000000256</v>
      </c>
      <c r="L657" s="814">
        <f t="shared" si="317"/>
        <v>1.420328302410442E-2</v>
      </c>
      <c r="M657" s="839">
        <f t="shared" si="300"/>
        <v>72747.090000000026</v>
      </c>
      <c r="N657" s="824">
        <f t="shared" si="324"/>
        <v>0.24249030000000008</v>
      </c>
      <c r="O657" s="808">
        <f t="shared" si="321"/>
        <v>8.7174785506889799E-2</v>
      </c>
      <c r="P657" s="839" t="b">
        <f t="shared" si="302"/>
        <v>1</v>
      </c>
      <c r="Q657" s="824">
        <f>COUNTIF(P$2:P657, TRUE)/(COUNTIF(P$2:P657,FALSE) + COUNTIF(P$2:P657, TRUE))</f>
        <v>0.49542682926829268</v>
      </c>
      <c r="R657" s="822">
        <v>332957.99</v>
      </c>
      <c r="S657" s="822">
        <f t="shared" si="323"/>
        <v>39789.100000000035</v>
      </c>
      <c r="T657" s="822">
        <v>-33334</v>
      </c>
      <c r="U657" s="822">
        <f t="shared" si="298"/>
        <v>106081.09000000003</v>
      </c>
      <c r="V657" s="824">
        <f>STDEV(D$2:D657)*SQRT(252)</f>
        <v>0.14207494036026391</v>
      </c>
      <c r="W657" s="824">
        <f>STDEV(L$2:L657)*SQRT(252)</f>
        <v>0.27374796229721837</v>
      </c>
      <c r="X657" s="823">
        <f t="shared" si="322"/>
        <v>0.74807556410732035</v>
      </c>
      <c r="Y657" s="823">
        <f t="shared" si="318"/>
        <v>0.31844907547564094</v>
      </c>
      <c r="Z657" s="829">
        <f t="shared" si="325"/>
        <v>-5.3151906198512205E-2</v>
      </c>
    </row>
    <row r="658" spans="1:26" ht="20.100000000000001" customHeight="1" x14ac:dyDescent="0.2">
      <c r="A658" s="798">
        <f t="shared" si="320"/>
        <v>1017</v>
      </c>
      <c r="B658" s="817">
        <v>43250</v>
      </c>
      <c r="C658" s="842">
        <v>2705.27</v>
      </c>
      <c r="D658" s="814">
        <f t="shared" si="313"/>
        <v>-6.8795635845684249E-3</v>
      </c>
      <c r="E658" s="841">
        <f t="shared" si="299"/>
        <v>0.28672875325811908</v>
      </c>
      <c r="F658" s="838">
        <v>7442.11</v>
      </c>
      <c r="G658" s="814">
        <f t="shared" si="314"/>
        <v>-2.7256464029909943E-3</v>
      </c>
      <c r="H658" s="819">
        <f t="shared" si="315"/>
        <v>0.46161596323428322</v>
      </c>
      <c r="I658" s="864">
        <v>367531.04</v>
      </c>
      <c r="J658" s="822">
        <v>300000</v>
      </c>
      <c r="K658" s="822">
        <f t="shared" si="316"/>
        <v>-5216.0500000000466</v>
      </c>
      <c r="L658" s="814">
        <f t="shared" si="317"/>
        <v>-1.3993536475362011E-2</v>
      </c>
      <c r="M658" s="844">
        <f t="shared" si="300"/>
        <v>67531.039999999979</v>
      </c>
      <c r="N658" s="824">
        <f t="shared" si="324"/>
        <v>0.22510346666666659</v>
      </c>
      <c r="O658" s="808">
        <f t="shared" si="321"/>
        <v>8.0844681612585997E-2</v>
      </c>
      <c r="P658" s="839" t="b">
        <f t="shared" si="302"/>
        <v>0</v>
      </c>
      <c r="Q658" s="824">
        <f>COUNTIF(P$2:P658, TRUE)/(COUNTIF(P$2:P658,FALSE) + COUNTIF(P$2:P658, TRUE))</f>
        <v>0.49467275494672752</v>
      </c>
      <c r="R658" s="822">
        <v>334660.08</v>
      </c>
      <c r="S658" s="822">
        <f t="shared" si="323"/>
        <v>32870.959999999963</v>
      </c>
      <c r="T658" s="822">
        <v>-34339</v>
      </c>
      <c r="U658" s="822">
        <f t="shared" si="298"/>
        <v>101870.03999999998</v>
      </c>
      <c r="V658" s="824">
        <f>STDEV(D$2:D658)*SQRT(252)</f>
        <v>0.14203882295195239</v>
      </c>
      <c r="W658" s="824">
        <f>STDEV(L$2:L658)*SQRT(252)</f>
        <v>0.27368824315462342</v>
      </c>
      <c r="X658" s="823">
        <f t="shared" si="322"/>
        <v>0.72499239889895384</v>
      </c>
      <c r="Y658" s="823">
        <f t="shared" si="318"/>
        <v>0.29538967651932285</v>
      </c>
      <c r="Z658" s="829">
        <f t="shared" si="325"/>
        <v>-6.1625286591452499E-2</v>
      </c>
    </row>
    <row r="659" spans="1:26" ht="20.100000000000001" customHeight="1" x14ac:dyDescent="0.2">
      <c r="A659" s="798">
        <f t="shared" si="320"/>
        <v>1019</v>
      </c>
      <c r="B659" s="817">
        <v>43252</v>
      </c>
      <c r="C659" s="842">
        <v>2734.62</v>
      </c>
      <c r="D659" s="814">
        <f t="shared" si="313"/>
        <v>1.0849194350286629E-2</v>
      </c>
      <c r="E659" s="841">
        <f t="shared" si="299"/>
        <v>0.30068872357831844</v>
      </c>
      <c r="F659" s="838">
        <v>7555.33</v>
      </c>
      <c r="G659" s="814">
        <f t="shared" si="314"/>
        <v>1.5213427374763375E-2</v>
      </c>
      <c r="H659" s="819">
        <f t="shared" si="315"/>
        <v>0.48385215154074279</v>
      </c>
      <c r="I659" s="863">
        <v>369254.27</v>
      </c>
      <c r="J659" s="822">
        <v>300000</v>
      </c>
      <c r="K659" s="822">
        <f t="shared" si="316"/>
        <v>1723.2300000000396</v>
      </c>
      <c r="L659" s="814">
        <f t="shared" si="317"/>
        <v>4.6886652077061022E-3</v>
      </c>
      <c r="M659" s="839">
        <f t="shared" si="300"/>
        <v>69254.270000000019</v>
      </c>
      <c r="N659" s="824">
        <f t="shared" si="324"/>
        <v>0.23084756666666673</v>
      </c>
      <c r="O659" s="808">
        <f t="shared" si="321"/>
        <v>8.2744920240431813E-2</v>
      </c>
      <c r="P659" s="839" t="b">
        <f t="shared" si="302"/>
        <v>0</v>
      </c>
      <c r="Q659" s="824">
        <f>COUNTIF(P$2:P659, TRUE)/(COUNTIF(P$2:P659,FALSE) + COUNTIF(P$2:P659, TRUE))</f>
        <v>0.4939209726443769</v>
      </c>
      <c r="R659" s="822">
        <v>331627.31</v>
      </c>
      <c r="S659" s="822">
        <f t="shared" si="323"/>
        <v>37626.960000000021</v>
      </c>
      <c r="T659" s="822">
        <v>-34339</v>
      </c>
      <c r="U659" s="822">
        <f t="shared" si="298"/>
        <v>103593.27000000002</v>
      </c>
      <c r="V659" s="824">
        <f>STDEV(D$2:D659)*SQRT(252)</f>
        <v>0.14207729241612863</v>
      </c>
      <c r="W659" s="824">
        <f>STDEV(L$2:L659)*SQRT(252)</f>
        <v>0.27349145962953619</v>
      </c>
      <c r="X659" s="823">
        <f t="shared" si="322"/>
        <v>0.75859243948823241</v>
      </c>
      <c r="Y659" s="823">
        <f t="shared" si="318"/>
        <v>0.30255028933084693</v>
      </c>
      <c r="Z659" s="829">
        <f t="shared" si="325"/>
        <v>-6.9841156911651714E-2</v>
      </c>
    </row>
    <row r="660" spans="1:26" ht="20.100000000000001" customHeight="1" x14ac:dyDescent="0.2">
      <c r="A660" s="798">
        <f t="shared" si="320"/>
        <v>1022</v>
      </c>
      <c r="B660" s="817">
        <v>43255</v>
      </c>
      <c r="C660" s="842">
        <v>2746.87</v>
      </c>
      <c r="D660" s="814">
        <f t="shared" si="313"/>
        <v>4.4795986279629347E-3</v>
      </c>
      <c r="E660" s="841">
        <f t="shared" si="299"/>
        <v>0.30651528699986674</v>
      </c>
      <c r="F660" s="838">
        <v>7606.46</v>
      </c>
      <c r="G660" s="814">
        <f t="shared" si="314"/>
        <v>6.7674079093831916E-3</v>
      </c>
      <c r="H660" s="819">
        <f t="shared" si="315"/>
        <v>0.49389398432743492</v>
      </c>
      <c r="I660" s="863">
        <v>371020.96</v>
      </c>
      <c r="J660" s="822">
        <v>300000</v>
      </c>
      <c r="K660" s="822">
        <f t="shared" si="316"/>
        <v>1766.6900000000023</v>
      </c>
      <c r="L660" s="814">
        <f t="shared" si="317"/>
        <v>4.7844808944254111E-3</v>
      </c>
      <c r="M660" s="839">
        <f t="shared" si="300"/>
        <v>71020.960000000021</v>
      </c>
      <c r="N660" s="824">
        <f t="shared" si="324"/>
        <v>0.23673653333333342</v>
      </c>
      <c r="O660" s="808">
        <f t="shared" si="321"/>
        <v>8.460667201565561E-2</v>
      </c>
      <c r="P660" s="839" t="b">
        <f t="shared" si="302"/>
        <v>1</v>
      </c>
      <c r="Q660" s="824">
        <f>COUNTIF(P$2:P660, TRUE)/(COUNTIF(P$2:P660,FALSE) + COUNTIF(P$2:P660, TRUE))</f>
        <v>0.49468892261001518</v>
      </c>
      <c r="R660" s="822">
        <v>333393.40999999997</v>
      </c>
      <c r="S660" s="822">
        <f t="shared" si="323"/>
        <v>37627.550000000047</v>
      </c>
      <c r="T660" s="822">
        <v>-33454</v>
      </c>
      <c r="U660" s="822">
        <f t="shared" si="298"/>
        <v>104474.96000000002</v>
      </c>
      <c r="V660" s="824">
        <f>STDEV(D$2:D660)*SQRT(252)</f>
        <v>0.14199113164686064</v>
      </c>
      <c r="W660" s="824">
        <f>STDEV(L$2:L660)*SQRT(252)</f>
        <v>0.27329565666030325</v>
      </c>
      <c r="X660" s="823">
        <f t="shared" si="322"/>
        <v>0.7714899047863113</v>
      </c>
      <c r="Y660" s="823">
        <f t="shared" si="318"/>
        <v>0.30957927780322791</v>
      </c>
      <c r="Z660" s="829">
        <f t="shared" si="325"/>
        <v>-6.9778753666533327E-2</v>
      </c>
    </row>
    <row r="661" spans="1:26" ht="20.100000000000001" customHeight="1" x14ac:dyDescent="0.2">
      <c r="A661" s="798">
        <f t="shared" si="320"/>
        <v>1023</v>
      </c>
      <c r="B661" s="817">
        <v>43256</v>
      </c>
      <c r="C661" s="842">
        <v>2748.8</v>
      </c>
      <c r="D661" s="814">
        <f t="shared" ref="D661:D667" si="326">(C661-C660)/C660</f>
        <v>7.0261788872436309E-4</v>
      </c>
      <c r="E661" s="841">
        <f t="shared" si="299"/>
        <v>0.30743326801240467</v>
      </c>
      <c r="F661" s="838">
        <v>7637.86</v>
      </c>
      <c r="G661" s="814">
        <f t="shared" si="314"/>
        <v>4.1280700877937481E-3</v>
      </c>
      <c r="H661" s="819">
        <f t="shared" si="315"/>
        <v>0.50006088339847199</v>
      </c>
      <c r="I661" s="863">
        <v>370163.04</v>
      </c>
      <c r="J661" s="822">
        <v>300000</v>
      </c>
      <c r="K661" s="822">
        <f t="shared" si="316"/>
        <v>-857.92000000004191</v>
      </c>
      <c r="L661" s="814">
        <f t="shared" si="317"/>
        <v>-2.3123221933338805E-3</v>
      </c>
      <c r="M661" s="839">
        <f t="shared" si="300"/>
        <v>70163.039999999979</v>
      </c>
      <c r="N661" s="824">
        <f t="shared" si="324"/>
        <v>0.23387679999999994</v>
      </c>
      <c r="O661" s="808">
        <f t="shared" si="321"/>
        <v>8.3502933724340159E-2</v>
      </c>
      <c r="P661" s="839" t="b">
        <f t="shared" si="302"/>
        <v>0</v>
      </c>
      <c r="Q661" s="824">
        <f>COUNTIF(P$2:P661, TRUE)/(COUNTIF(P$2:P661,FALSE) + COUNTIF(P$2:P661, TRUE))</f>
        <v>0.49393939393939396</v>
      </c>
      <c r="R661" s="822">
        <v>329615.94</v>
      </c>
      <c r="S661" s="822">
        <f t="shared" si="323"/>
        <v>40547.099999999977</v>
      </c>
      <c r="T661" s="822">
        <v>-33418</v>
      </c>
      <c r="U661" s="822">
        <f t="shared" si="298"/>
        <v>103581.03999999998</v>
      </c>
      <c r="V661" s="824">
        <f>STDEV(D$2:D661)*SQRT(252)</f>
        <v>0.14188328311500059</v>
      </c>
      <c r="W661" s="824">
        <f>STDEV(L$2:L661)*SQRT(252)</f>
        <v>0.27309377092885773</v>
      </c>
      <c r="X661" s="823">
        <f t="shared" si="322"/>
        <v>0.77363164003842477</v>
      </c>
      <c r="Y661" s="823">
        <f t="shared" si="318"/>
        <v>0.30576652642177288</v>
      </c>
      <c r="Z661" s="829">
        <f t="shared" si="325"/>
        <v>-7.355646801240473E-2</v>
      </c>
    </row>
    <row r="662" spans="1:26" ht="20.100000000000001" customHeight="1" x14ac:dyDescent="0.2">
      <c r="A662" s="798">
        <f t="shared" si="320"/>
        <v>1024</v>
      </c>
      <c r="B662" s="817">
        <v>43257</v>
      </c>
      <c r="C662" s="842">
        <v>2772.35</v>
      </c>
      <c r="D662" s="814">
        <f t="shared" si="326"/>
        <v>8.5673748544818559E-3</v>
      </c>
      <c r="E662" s="841">
        <f t="shared" si="299"/>
        <v>0.31863453891668719</v>
      </c>
      <c r="F662" s="838">
        <v>7689.24</v>
      </c>
      <c r="G662" s="814">
        <f t="shared" si="314"/>
        <v>6.7270151586962985E-3</v>
      </c>
      <c r="H662" s="819">
        <f t="shared" si="315"/>
        <v>0.51015181570006085</v>
      </c>
      <c r="I662" s="863">
        <v>374822.41</v>
      </c>
      <c r="J662" s="822">
        <v>300000</v>
      </c>
      <c r="K662" s="822">
        <f t="shared" si="316"/>
        <v>4659.3699999999953</v>
      </c>
      <c r="L662" s="814">
        <f t="shared" si="317"/>
        <v>1.2587345295197477E-2</v>
      </c>
      <c r="M662" s="839">
        <f t="shared" si="300"/>
        <v>74822.409999999974</v>
      </c>
      <c r="N662" s="824">
        <f t="shared" si="324"/>
        <v>0.24940803333333325</v>
      </c>
      <c r="O662" s="808">
        <f t="shared" si="321"/>
        <v>8.8961215014648404E-2</v>
      </c>
      <c r="P662" s="839" t="b">
        <f t="shared" si="302"/>
        <v>1</v>
      </c>
      <c r="Q662" s="824">
        <f>COUNTIF(P$2:P662, TRUE)/(COUNTIF(P$2:P662,FALSE) + COUNTIF(P$2:P662, TRUE))</f>
        <v>0.49470499243570348</v>
      </c>
      <c r="R662" s="822">
        <v>325869.38</v>
      </c>
      <c r="S662" s="822">
        <f t="shared" si="323"/>
        <v>48953.02999999997</v>
      </c>
      <c r="T662" s="822">
        <v>-33319</v>
      </c>
      <c r="U662" s="822">
        <f t="shared" si="298"/>
        <v>108141.40999999997</v>
      </c>
      <c r="V662" s="824">
        <f>STDEV(D$2:D662)*SQRT(252)</f>
        <v>0.14186436211681544</v>
      </c>
      <c r="W662" s="824">
        <f>STDEV(L$2:L662)*SQRT(252)</f>
        <v>0.27298737663475708</v>
      </c>
      <c r="X662" s="823">
        <f t="shared" si="322"/>
        <v>0.80114256841576503</v>
      </c>
      <c r="Y662" s="823">
        <f t="shared" si="318"/>
        <v>0.32588032498540725</v>
      </c>
      <c r="Z662" s="829">
        <f t="shared" si="325"/>
        <v>-6.9226505583353942E-2</v>
      </c>
    </row>
    <row r="663" spans="1:26" ht="20.100000000000001" customHeight="1" x14ac:dyDescent="0.2">
      <c r="A663" s="798">
        <f t="shared" si="320"/>
        <v>1025</v>
      </c>
      <c r="B663" s="817">
        <v>43258</v>
      </c>
      <c r="C663" s="842">
        <v>2770.37</v>
      </c>
      <c r="D663" s="814">
        <f t="shared" si="326"/>
        <v>-7.1419553808141768E-4</v>
      </c>
      <c r="E663" s="841">
        <f t="shared" si="299"/>
        <v>0.31769277601263285</v>
      </c>
      <c r="F663" s="838">
        <v>7635.07</v>
      </c>
      <c r="G663" s="814">
        <f t="shared" si="314"/>
        <v>-7.0449095099125629E-3</v>
      </c>
      <c r="H663" s="819">
        <f t="shared" si="315"/>
        <v>0.49951293281222381</v>
      </c>
      <c r="I663" s="863">
        <v>377198.67</v>
      </c>
      <c r="J663" s="822">
        <v>300000</v>
      </c>
      <c r="K663" s="822">
        <f t="shared" si="316"/>
        <v>2376.2600000000093</v>
      </c>
      <c r="L663" s="814">
        <f t="shared" si="317"/>
        <v>6.3396956441318687E-3</v>
      </c>
      <c r="M663" s="839">
        <f t="shared" si="300"/>
        <v>77198.669999999984</v>
      </c>
      <c r="N663" s="824">
        <f t="shared" si="324"/>
        <v>0.25732889999999997</v>
      </c>
      <c r="O663" s="808">
        <f t="shared" si="321"/>
        <v>9.1696956804878035E-2</v>
      </c>
      <c r="P663" s="839" t="b">
        <f t="shared" si="302"/>
        <v>1</v>
      </c>
      <c r="Q663" s="824">
        <f>COUNTIF(P$2:P663, TRUE)/(COUNTIF(P$2:P663,FALSE) + COUNTIF(P$2:P663, TRUE))</f>
        <v>0.49546827794561932</v>
      </c>
      <c r="R663" s="822">
        <v>322890.77</v>
      </c>
      <c r="S663" s="822">
        <f t="shared" si="323"/>
        <v>54307.899999999965</v>
      </c>
      <c r="T663" s="822"/>
      <c r="U663" s="822"/>
      <c r="V663" s="824">
        <f>STDEV(D$2:D663)*SQRT(252)</f>
        <v>0.14175869937017727</v>
      </c>
      <c r="W663" s="824">
        <f>STDEV(L$2:L663)*SQRT(252)</f>
        <v>0.27280354449400568</v>
      </c>
      <c r="X663" s="823">
        <f t="shared" si="322"/>
        <v>0.79859020450645668</v>
      </c>
      <c r="Y663" s="823">
        <f t="shared" si="318"/>
        <v>0.3361281722895389</v>
      </c>
      <c r="Z663" s="829">
        <f t="shared" si="325"/>
        <v>-6.0363876012632878E-2</v>
      </c>
    </row>
    <row r="664" spans="1:26" ht="20.100000000000001" customHeight="1" x14ac:dyDescent="0.2">
      <c r="A664" s="798">
        <f t="shared" si="320"/>
        <v>1026</v>
      </c>
      <c r="B664" s="817">
        <v>43259</v>
      </c>
      <c r="C664" s="842">
        <v>2779.03</v>
      </c>
      <c r="D664" s="814">
        <f t="shared" si="326"/>
        <v>3.1259362467830325E-3</v>
      </c>
      <c r="E664" s="841">
        <f t="shared" si="299"/>
        <v>0.32181179962329493</v>
      </c>
      <c r="F664" s="838">
        <v>7645.51</v>
      </c>
      <c r="G664" s="814">
        <f t="shared" si="314"/>
        <v>1.3673744968940049E-3</v>
      </c>
      <c r="H664" s="819">
        <f t="shared" si="315"/>
        <v>0.50156332855431396</v>
      </c>
      <c r="I664" s="863">
        <v>379330.1</v>
      </c>
      <c r="J664" s="822">
        <v>300000</v>
      </c>
      <c r="K664" s="822">
        <f t="shared" si="316"/>
        <v>2131.429999999993</v>
      </c>
      <c r="L664" s="814">
        <f t="shared" si="317"/>
        <v>5.6506827025662445E-3</v>
      </c>
      <c r="M664" s="839">
        <f t="shared" si="300"/>
        <v>79330.099999999977</v>
      </c>
      <c r="N664" s="824">
        <f t="shared" si="324"/>
        <v>0.26443366666666657</v>
      </c>
      <c r="O664" s="808">
        <f t="shared" si="321"/>
        <v>9.41368389376218E-2</v>
      </c>
      <c r="P664" s="839" t="b">
        <f t="shared" si="302"/>
        <v>1</v>
      </c>
      <c r="Q664" s="824">
        <f>COUNTIF(P$2:P664, TRUE)/(COUNTIF(P$2:P664,FALSE) + COUNTIF(P$2:P664, TRUE))</f>
        <v>0.4962292609351433</v>
      </c>
      <c r="R664" s="822">
        <v>307315.24</v>
      </c>
      <c r="S664" s="822">
        <f t="shared" si="323"/>
        <v>72014.859999999986</v>
      </c>
      <c r="T664" s="822">
        <v>-33130</v>
      </c>
      <c r="U664" s="822">
        <f t="shared" ref="U664:U675" si="327">M664-T664</f>
        <v>112460.09999999998</v>
      </c>
      <c r="V664" s="824">
        <f>STDEV(D$2:D664)*SQRT(252)</f>
        <v>0.14166099718805908</v>
      </c>
      <c r="W664" s="824">
        <f>STDEV(L$2:L664)*SQRT(252)</f>
        <v>0.27261488916591109</v>
      </c>
      <c r="X664" s="823">
        <f t="shared" si="322"/>
        <v>0.80871320264291569</v>
      </c>
      <c r="Y664" s="823">
        <f t="shared" ref="Y664:Y669" si="328">O664/W664</f>
        <v>0.3453107026752707</v>
      </c>
      <c r="Z664" s="829">
        <f t="shared" si="325"/>
        <v>-5.7378132956628358E-2</v>
      </c>
    </row>
    <row r="665" spans="1:26" ht="20.100000000000001" customHeight="1" x14ac:dyDescent="0.2">
      <c r="A665" s="798">
        <f t="shared" si="320"/>
        <v>1029</v>
      </c>
      <c r="B665" s="817">
        <v>43262</v>
      </c>
      <c r="C665" s="842">
        <v>2782</v>
      </c>
      <c r="D665" s="814">
        <f t="shared" si="326"/>
        <v>1.0687182218255291E-3</v>
      </c>
      <c r="E665" s="841">
        <f t="shared" si="299"/>
        <v>0.32322444397937633</v>
      </c>
      <c r="F665" s="838">
        <v>7659.92</v>
      </c>
      <c r="G665" s="814">
        <f t="shared" si="314"/>
        <v>1.8847663530621049E-3</v>
      </c>
      <c r="H665" s="819">
        <f t="shared" si="315"/>
        <v>0.5043934245929651</v>
      </c>
      <c r="I665" s="863">
        <v>382027.21</v>
      </c>
      <c r="J665" s="822">
        <v>300000</v>
      </c>
      <c r="K665" s="822">
        <f t="shared" si="316"/>
        <v>2697.1100000000442</v>
      </c>
      <c r="L665" s="814">
        <f t="shared" si="317"/>
        <v>7.1101924155242214E-3</v>
      </c>
      <c r="M665" s="839">
        <f t="shared" si="300"/>
        <v>82027.210000000021</v>
      </c>
      <c r="N665" s="824">
        <f t="shared" si="324"/>
        <v>0.27342403333333343</v>
      </c>
      <c r="O665" s="808">
        <f t="shared" si="321"/>
        <v>9.7053574514091398E-2</v>
      </c>
      <c r="P665" s="839" t="b">
        <f t="shared" si="302"/>
        <v>1</v>
      </c>
      <c r="Q665" s="824">
        <f>COUNTIF(P$2:P665, TRUE)/(COUNTIF(P$2:P665,FALSE) + COUNTIF(P$2:P665, TRUE))</f>
        <v>0.49698795180722893</v>
      </c>
      <c r="R665" s="822">
        <v>300485.96000000002</v>
      </c>
      <c r="S665" s="822">
        <f t="shared" si="323"/>
        <v>81541.25</v>
      </c>
      <c r="T665" s="822">
        <v>-32866</v>
      </c>
      <c r="U665" s="822">
        <f t="shared" si="327"/>
        <v>114893.21000000002</v>
      </c>
      <c r="V665" s="824">
        <f>STDEV(D$2:D665)*SQRT(252)</f>
        <v>0.1415544573663266</v>
      </c>
      <c r="W665" s="824">
        <f>STDEV(L$2:L665)*SQRT(252)</f>
        <v>0.27243836617833139</v>
      </c>
      <c r="X665" s="823">
        <f t="shared" si="322"/>
        <v>0.81050462534007905</v>
      </c>
      <c r="Y665" s="823">
        <f t="shared" si="328"/>
        <v>0.35624048064714403</v>
      </c>
      <c r="Z665" s="829">
        <f t="shared" si="325"/>
        <v>-4.9800410646042903E-2</v>
      </c>
    </row>
    <row r="666" spans="1:26" ht="20.100000000000001" customHeight="1" x14ac:dyDescent="0.2">
      <c r="A666" s="798">
        <f t="shared" si="320"/>
        <v>1030</v>
      </c>
      <c r="B666" s="817">
        <v>43263</v>
      </c>
      <c r="C666" s="842">
        <v>2786.85</v>
      </c>
      <c r="D666" s="814">
        <f t="shared" si="326"/>
        <v>1.7433501078360566E-3</v>
      </c>
      <c r="E666" s="841">
        <f t="shared" si="299"/>
        <v>0.32553128745647908</v>
      </c>
      <c r="F666" s="838">
        <v>7703.79</v>
      </c>
      <c r="G666" s="814">
        <f t="shared" si="314"/>
        <v>5.7272138612413561E-3</v>
      </c>
      <c r="H666" s="819">
        <f t="shared" si="315"/>
        <v>0.51300940746705426</v>
      </c>
      <c r="I666" s="863">
        <v>383351.38</v>
      </c>
      <c r="J666" s="822">
        <v>300000</v>
      </c>
      <c r="K666" s="822">
        <f t="shared" si="316"/>
        <v>1324.1699999999837</v>
      </c>
      <c r="L666" s="814">
        <f t="shared" si="317"/>
        <v>3.4661667162398813E-3</v>
      </c>
      <c r="M666" s="839">
        <f t="shared" si="300"/>
        <v>83351.38</v>
      </c>
      <c r="N666" s="824">
        <f t="shared" si="324"/>
        <v>0.27783793333333334</v>
      </c>
      <c r="O666" s="808">
        <f t="shared" si="321"/>
        <v>9.8524568106796107E-2</v>
      </c>
      <c r="P666" s="839" t="b">
        <f t="shared" si="302"/>
        <v>1</v>
      </c>
      <c r="Q666" s="824">
        <f>COUNTIF(P$2:P666, TRUE)/(COUNTIF(P$2:P666,FALSE) + COUNTIF(P$2:P666, TRUE))</f>
        <v>0.49774436090225566</v>
      </c>
      <c r="R666" s="822">
        <v>298240.19</v>
      </c>
      <c r="S666" s="822">
        <f t="shared" si="323"/>
        <v>85111.19</v>
      </c>
      <c r="T666" s="822">
        <v>-32722</v>
      </c>
      <c r="U666" s="822">
        <f t="shared" si="327"/>
        <v>116073.38</v>
      </c>
      <c r="V666" s="824">
        <f>STDEV(D$2:D666)*SQRT(252)</f>
        <v>0.14144986592538053</v>
      </c>
      <c r="W666" s="824">
        <f>STDEV(L$2:L666)*SQRT(252)</f>
        <v>0.27223846906338528</v>
      </c>
      <c r="X666" s="823">
        <f t="shared" si="322"/>
        <v>0.81609965746088553</v>
      </c>
      <c r="Y666" s="823">
        <f t="shared" si="328"/>
        <v>0.36190538554584889</v>
      </c>
      <c r="Z666" s="829">
        <f t="shared" si="325"/>
        <v>-4.7693354123145737E-2</v>
      </c>
    </row>
    <row r="667" spans="1:26" ht="20.100000000000001" customHeight="1" x14ac:dyDescent="0.2">
      <c r="A667" s="798">
        <f t="shared" si="320"/>
        <v>1031</v>
      </c>
      <c r="B667" s="817">
        <v>43264</v>
      </c>
      <c r="C667" s="842">
        <v>2775.63</v>
      </c>
      <c r="D667" s="814">
        <f t="shared" si="326"/>
        <v>-4.0260509177027113E-3</v>
      </c>
      <c r="E667" s="841">
        <f t="shared" si="299"/>
        <v>0.32019463100017126</v>
      </c>
      <c r="F667" s="838">
        <v>7695.69</v>
      </c>
      <c r="G667" s="814">
        <f t="shared" si="314"/>
        <v>-1.0514305296484411E-3</v>
      </c>
      <c r="H667" s="819">
        <f t="shared" si="315"/>
        <v>0.51141858318439815</v>
      </c>
      <c r="I667" s="863">
        <v>383566.49</v>
      </c>
      <c r="J667" s="822">
        <v>300000</v>
      </c>
      <c r="K667" s="822">
        <f t="shared" si="316"/>
        <v>215.10999999998603</v>
      </c>
      <c r="L667" s="814">
        <f t="shared" si="317"/>
        <v>5.6113010470964272E-4</v>
      </c>
      <c r="M667" s="839">
        <f t="shared" si="300"/>
        <v>83566.489999999991</v>
      </c>
      <c r="N667" s="824">
        <f t="shared" si="324"/>
        <v>0.27855496666666663</v>
      </c>
      <c r="O667" s="808">
        <f t="shared" si="321"/>
        <v>9.8683027715809876E-2</v>
      </c>
      <c r="P667" s="839" t="b">
        <f t="shared" si="302"/>
        <v>1</v>
      </c>
      <c r="Q667" s="824">
        <f>COUNTIF(P$2:P667, TRUE)/(COUNTIF(P$2:P667,FALSE) + COUNTIF(P$2:P667, TRUE))</f>
        <v>0.49849849849849848</v>
      </c>
      <c r="R667" s="822">
        <v>285646.46000000002</v>
      </c>
      <c r="S667" s="822">
        <f t="shared" si="323"/>
        <v>97920.02999999997</v>
      </c>
      <c r="T667" s="822">
        <v>-32818</v>
      </c>
      <c r="U667" s="822">
        <f t="shared" si="327"/>
        <v>116384.48999999999</v>
      </c>
      <c r="V667" s="824">
        <f>STDEV(D$2:D667)*SQRT(252)</f>
        <v>0.14137033731973925</v>
      </c>
      <c r="W667" s="824">
        <f>STDEV(L$2:L667)*SQRT(252)</f>
        <v>0.27203339591623577</v>
      </c>
      <c r="X667" s="823">
        <f t="shared" si="322"/>
        <v>0.80239333109858757</v>
      </c>
      <c r="Y667" s="823">
        <f t="shared" si="328"/>
        <v>0.3627607095203717</v>
      </c>
      <c r="Z667" s="829">
        <f t="shared" si="325"/>
        <v>-4.1639664333504633E-2</v>
      </c>
    </row>
    <row r="668" spans="1:26" ht="20.100000000000001" customHeight="1" x14ac:dyDescent="0.2">
      <c r="A668" s="798">
        <f t="shared" si="320"/>
        <v>1032</v>
      </c>
      <c r="B668" s="817">
        <v>43265</v>
      </c>
      <c r="C668" s="842">
        <v>2782.49</v>
      </c>
      <c r="D668" s="814">
        <f t="shared" ref="D668:D685" si="329">(C668-C667)/C667</f>
        <v>2.4715109722836517E-3</v>
      </c>
      <c r="E668" s="841">
        <f t="shared" si="299"/>
        <v>0.32345750651623811</v>
      </c>
      <c r="F668" s="838">
        <v>7761.04</v>
      </c>
      <c r="G668" s="814">
        <f t="shared" ref="G668:G685" si="330">(F668-F667)/F667</f>
        <v>8.4917661704149161E-3</v>
      </c>
      <c r="H668" s="819">
        <f t="shared" ref="H668:H685" si="331">(F668-F$2)/F$2</f>
        <v>0.52425319637841983</v>
      </c>
      <c r="I668" s="863">
        <v>383755.49</v>
      </c>
      <c r="J668" s="822">
        <v>300000</v>
      </c>
      <c r="K668" s="822">
        <f t="shared" ref="K668:K685" si="332">I668-I667-J668+J667</f>
        <v>189</v>
      </c>
      <c r="L668" s="814">
        <f t="shared" ref="L668:L685" si="333">K668/I667</f>
        <v>4.9274377435839091E-4</v>
      </c>
      <c r="M668" s="839">
        <f t="shared" si="300"/>
        <v>83755.489999999991</v>
      </c>
      <c r="N668" s="824">
        <f t="shared" si="324"/>
        <v>0.27918496666666665</v>
      </c>
      <c r="O668" s="808">
        <f t="shared" si="321"/>
        <v>9.8810377010658909E-2</v>
      </c>
      <c r="P668" s="839" t="b">
        <f t="shared" si="302"/>
        <v>0</v>
      </c>
      <c r="Q668" s="824">
        <f>COUNTIF(P$2:P668, TRUE)/(COUNTIF(P$2:P668,FALSE) + COUNTIF(P$2:P668, TRUE))</f>
        <v>0.49775112443778113</v>
      </c>
      <c r="R668" s="822">
        <v>277509.56</v>
      </c>
      <c r="S668" s="822">
        <f t="shared" si="323"/>
        <v>106245.93</v>
      </c>
      <c r="T668" s="822">
        <v>-32800</v>
      </c>
      <c r="U668" s="822">
        <f t="shared" si="327"/>
        <v>116555.48999999999</v>
      </c>
      <c r="V668" s="824">
        <f>STDEV(D$2:D668)*SQRT(252)</f>
        <v>0.14126943660076133</v>
      </c>
      <c r="W668" s="824">
        <f>STDEV(L$2:L668)*SQRT(252)</f>
        <v>0.27182879493933965</v>
      </c>
      <c r="X668" s="823">
        <f t="shared" si="322"/>
        <v>0.81036289725284272</v>
      </c>
      <c r="Y668" s="823">
        <f t="shared" si="328"/>
        <v>0.36350224424424604</v>
      </c>
      <c r="Z668" s="829">
        <f t="shared" si="325"/>
        <v>-4.4272539849571468E-2</v>
      </c>
    </row>
    <row r="669" spans="1:26" ht="20.100000000000001" customHeight="1" x14ac:dyDescent="0.2">
      <c r="A669" s="798">
        <f t="shared" si="320"/>
        <v>1033</v>
      </c>
      <c r="B669" s="817">
        <v>43266</v>
      </c>
      <c r="C669" s="842">
        <v>2779.66</v>
      </c>
      <c r="D669" s="814">
        <f t="shared" si="329"/>
        <v>-1.0170746345898557E-3</v>
      </c>
      <c r="E669" s="841">
        <f t="shared" si="299"/>
        <v>0.32211145145640291</v>
      </c>
      <c r="F669" s="838">
        <v>7746.37</v>
      </c>
      <c r="G669" s="814">
        <f t="shared" si="330"/>
        <v>-1.8902105903332636E-3</v>
      </c>
      <c r="H669" s="819">
        <f t="shared" si="331"/>
        <v>0.52137203684427602</v>
      </c>
      <c r="I669" s="863">
        <v>382086.2</v>
      </c>
      <c r="J669" s="822">
        <v>300000</v>
      </c>
      <c r="K669" s="822">
        <f t="shared" si="332"/>
        <v>-1669.289999999979</v>
      </c>
      <c r="L669" s="814">
        <f t="shared" si="333"/>
        <v>-4.3498791378853733E-3</v>
      </c>
      <c r="M669" s="839">
        <f t="shared" si="300"/>
        <v>82086.200000000012</v>
      </c>
      <c r="N669" s="824">
        <f t="shared" si="324"/>
        <v>0.27362066666666668</v>
      </c>
      <c r="O669" s="808">
        <f t="shared" si="321"/>
        <v>9.6747287996127779E-2</v>
      </c>
      <c r="P669" s="839" t="b">
        <f t="shared" si="302"/>
        <v>0</v>
      </c>
      <c r="Q669" s="824">
        <f>COUNTIF(P$2:P669, TRUE)/(COUNTIF(P$2:P669,FALSE) + COUNTIF(P$2:P669, TRUE))</f>
        <v>0.49700598802395207</v>
      </c>
      <c r="R669" s="822">
        <v>298822.90999999997</v>
      </c>
      <c r="S669" s="822">
        <f t="shared" si="323"/>
        <v>83263.290000000037</v>
      </c>
      <c r="T669" s="822">
        <v>-32770</v>
      </c>
      <c r="U669" s="822">
        <f t="shared" si="327"/>
        <v>114856.20000000001</v>
      </c>
      <c r="V669" s="824">
        <f>STDEV(D$2:D669)*SQRT(252)</f>
        <v>0.14116625992619064</v>
      </c>
      <c r="W669" s="824">
        <f>STDEV(L$2:L669)*SQRT(252)</f>
        <v>0.27164186009172409</v>
      </c>
      <c r="X669" s="823">
        <f t="shared" si="322"/>
        <v>0.80679864333878126</v>
      </c>
      <c r="Y669" s="823">
        <f t="shared" si="328"/>
        <v>0.35615750813758806</v>
      </c>
      <c r="Z669" s="829">
        <f t="shared" si="325"/>
        <v>-4.849078478973623E-2</v>
      </c>
    </row>
    <row r="670" spans="1:26" ht="20.100000000000001" customHeight="1" x14ac:dyDescent="0.2">
      <c r="A670" s="798">
        <f t="shared" si="320"/>
        <v>1036</v>
      </c>
      <c r="B670" s="817">
        <v>43269</v>
      </c>
      <c r="C670" s="842">
        <v>2773.75</v>
      </c>
      <c r="D670" s="814">
        <f t="shared" si="329"/>
        <v>-2.1261593144484775E-3</v>
      </c>
      <c r="E670" s="841">
        <f t="shared" si="299"/>
        <v>0.31930043187914992</v>
      </c>
      <c r="F670" s="838">
        <v>7747.02</v>
      </c>
      <c r="G670" s="814">
        <f t="shared" si="330"/>
        <v>8.3910270229868404E-5</v>
      </c>
      <c r="H670" s="819">
        <f t="shared" si="331"/>
        <v>0.52149969558300779</v>
      </c>
      <c r="I670" s="863">
        <v>381438.85</v>
      </c>
      <c r="J670" s="822">
        <v>300000</v>
      </c>
      <c r="K670" s="822">
        <f t="shared" si="332"/>
        <v>-647.35000000003492</v>
      </c>
      <c r="L670" s="814">
        <f t="shared" si="333"/>
        <v>-1.6942511925320384E-3</v>
      </c>
      <c r="M670" s="839">
        <f t="shared" si="300"/>
        <v>81438.849999999977</v>
      </c>
      <c r="N670" s="824">
        <f t="shared" si="324"/>
        <v>0.27146283333333326</v>
      </c>
      <c r="O670" s="808">
        <f t="shared" si="321"/>
        <v>9.5706370535714264E-2</v>
      </c>
      <c r="P670" s="839" t="b">
        <f t="shared" si="302"/>
        <v>1</v>
      </c>
      <c r="Q670" s="824">
        <f>COUNTIF(P$2:P670, TRUE)/(COUNTIF(P$2:P670,FALSE) + COUNTIF(P$2:P670, TRUE))</f>
        <v>0.49775784753363228</v>
      </c>
      <c r="R670" s="822">
        <v>287048.14</v>
      </c>
      <c r="S670" s="822">
        <f t="shared" si="323"/>
        <v>94390.709999999963</v>
      </c>
      <c r="T670" s="822">
        <v>-33106</v>
      </c>
      <c r="U670" s="822">
        <f t="shared" si="327"/>
        <v>114544.84999999998</v>
      </c>
      <c r="V670" s="824">
        <f>STDEV(D$2:D670)*SQRT(252)</f>
        <v>0.14106932916582796</v>
      </c>
      <c r="W670" s="824">
        <f>STDEV(L$2:L670)*SQRT(252)</f>
        <v>0.27144187055309588</v>
      </c>
      <c r="X670" s="823">
        <f t="shared" si="322"/>
        <v>0.79798986219092249</v>
      </c>
      <c r="Y670" s="823">
        <f t="shared" ref="Y670:Y685" si="334">O670/W670</f>
        <v>0.35258514222842952</v>
      </c>
      <c r="Z670" s="829">
        <f t="shared" si="325"/>
        <v>-4.7837598545816651E-2</v>
      </c>
    </row>
    <row r="671" spans="1:26" ht="20.100000000000001" customHeight="1" x14ac:dyDescent="0.2">
      <c r="A671" s="798">
        <f t="shared" si="320"/>
        <v>1037</v>
      </c>
      <c r="B671" s="817">
        <v>43270</v>
      </c>
      <c r="C671" s="842">
        <v>2762.59</v>
      </c>
      <c r="D671" s="814">
        <f t="shared" si="329"/>
        <v>-4.023433979269889E-3</v>
      </c>
      <c r="E671" s="841">
        <f t="shared" si="299"/>
        <v>0.3139923136926619</v>
      </c>
      <c r="F671" s="838">
        <v>7725.58</v>
      </c>
      <c r="G671" s="814">
        <f t="shared" si="330"/>
        <v>-2.7675157673531896E-3</v>
      </c>
      <c r="H671" s="819">
        <f t="shared" si="331"/>
        <v>0.51728892118545877</v>
      </c>
      <c r="I671" s="863">
        <v>382081.51</v>
      </c>
      <c r="J671" s="822">
        <v>300000</v>
      </c>
      <c r="K671" s="822">
        <f t="shared" si="332"/>
        <v>642.6600000000326</v>
      </c>
      <c r="L671" s="814">
        <f t="shared" si="333"/>
        <v>1.6848310024006013E-3</v>
      </c>
      <c r="M671" s="839">
        <f t="shared" si="300"/>
        <v>82081.510000000009</v>
      </c>
      <c r="N671" s="824">
        <f t="shared" si="324"/>
        <v>0.27360503333333336</v>
      </c>
      <c r="O671" s="808">
        <f t="shared" si="321"/>
        <v>9.636860021697205E-2</v>
      </c>
      <c r="P671" s="839" t="b">
        <f t="shared" si="302"/>
        <v>1</v>
      </c>
      <c r="Q671" s="824">
        <f>COUNTIF(P$2:P671, TRUE)/(COUNTIF(P$2:P671,FALSE) + COUNTIF(P$2:P671, TRUE))</f>
        <v>0.49850746268656715</v>
      </c>
      <c r="R671" s="822">
        <v>293330.78999999998</v>
      </c>
      <c r="S671" s="822">
        <f t="shared" si="323"/>
        <v>88750.72000000003</v>
      </c>
      <c r="T671" s="822">
        <v>-32722</v>
      </c>
      <c r="U671" s="822">
        <f t="shared" si="327"/>
        <v>114803.51000000001</v>
      </c>
      <c r="V671" s="824">
        <f>STDEV(D$2:D671)*SQRT(252)</f>
        <v>0.14099048564823533</v>
      </c>
      <c r="W671" s="824">
        <f>STDEV(L$2:L671)*SQRT(252)</f>
        <v>0.2712394142936202</v>
      </c>
      <c r="X671" s="823">
        <f t="shared" si="322"/>
        <v>0.78440558773622837</v>
      </c>
      <c r="Y671" s="823">
        <f t="shared" si="334"/>
        <v>0.35528981091461798</v>
      </c>
      <c r="Z671" s="829">
        <f t="shared" si="325"/>
        <v>-4.0387280359328537E-2</v>
      </c>
    </row>
    <row r="672" spans="1:26" ht="20.100000000000001" customHeight="1" x14ac:dyDescent="0.2">
      <c r="A672" s="798">
        <f t="shared" si="320"/>
        <v>1038</v>
      </c>
      <c r="B672" s="817">
        <v>43271</v>
      </c>
      <c r="C672" s="842">
        <v>2767.32</v>
      </c>
      <c r="D672" s="814">
        <f t="shared" si="329"/>
        <v>1.712161413745803E-3</v>
      </c>
      <c r="E672" s="841">
        <f t="shared" si="299"/>
        <v>0.31624208063012504</v>
      </c>
      <c r="F672" s="838">
        <v>7781.51</v>
      </c>
      <c r="G672" s="814">
        <f t="shared" si="330"/>
        <v>7.2395858951690732E-3</v>
      </c>
      <c r="H672" s="819">
        <f t="shared" si="331"/>
        <v>0.52827346465816927</v>
      </c>
      <c r="I672" s="863">
        <v>384754.19</v>
      </c>
      <c r="J672" s="822">
        <v>300000</v>
      </c>
      <c r="K672" s="822">
        <f t="shared" si="332"/>
        <v>2672.679999999993</v>
      </c>
      <c r="L672" s="814">
        <f t="shared" si="333"/>
        <v>6.9950519196806801E-3</v>
      </c>
      <c r="M672" s="839">
        <f t="shared" si="300"/>
        <v>84754.19</v>
      </c>
      <c r="N672" s="824">
        <f t="shared" si="324"/>
        <v>0.28251396666666667</v>
      </c>
      <c r="O672" s="808">
        <f t="shared" si="321"/>
        <v>9.9410622663776496E-2</v>
      </c>
      <c r="P672" s="839" t="b">
        <f t="shared" si="302"/>
        <v>1</v>
      </c>
      <c r="Q672" s="824">
        <f>COUNTIF(P$2:P672, TRUE)/(COUNTIF(P$2:P672,FALSE) + COUNTIF(P$2:P672, TRUE))</f>
        <v>0.49925484351713861</v>
      </c>
      <c r="R672" s="822">
        <v>272761.78000000003</v>
      </c>
      <c r="S672" s="822">
        <f t="shared" si="323"/>
        <v>111992.40999999997</v>
      </c>
      <c r="T672" s="822">
        <v>-32680</v>
      </c>
      <c r="U672" s="822">
        <f t="shared" si="327"/>
        <v>117434.19</v>
      </c>
      <c r="V672" s="824">
        <f>STDEV(D$2:D672)*SQRT(252)</f>
        <v>0.14088720655990541</v>
      </c>
      <c r="W672" s="824">
        <f>STDEV(L$2:L672)*SQRT(252)</f>
        <v>0.27106484707651579</v>
      </c>
      <c r="X672" s="823">
        <f t="shared" si="322"/>
        <v>0.78984336003195033</v>
      </c>
      <c r="Y672" s="823">
        <f t="shared" si="334"/>
        <v>0.36674110913288216</v>
      </c>
      <c r="Z672" s="829">
        <f t="shared" si="325"/>
        <v>-3.3728113963458373E-2</v>
      </c>
    </row>
    <row r="673" spans="1:26" ht="20.100000000000001" customHeight="1" x14ac:dyDescent="0.2">
      <c r="A673" s="798">
        <f t="shared" si="320"/>
        <v>1039</v>
      </c>
      <c r="B673" s="817">
        <v>43272</v>
      </c>
      <c r="C673" s="842">
        <v>2749.76</v>
      </c>
      <c r="D673" s="814">
        <f t="shared" si="329"/>
        <v>-6.3454894988653077E-3</v>
      </c>
      <c r="E673" s="841">
        <f t="shared" si="299"/>
        <v>0.30788988032952197</v>
      </c>
      <c r="F673" s="838">
        <v>7712.95</v>
      </c>
      <c r="G673" s="814">
        <f t="shared" si="330"/>
        <v>-8.8106292994547843E-3</v>
      </c>
      <c r="H673" s="819">
        <f t="shared" si="331"/>
        <v>0.51480841369287278</v>
      </c>
      <c r="I673" s="863">
        <v>386790.11</v>
      </c>
      <c r="J673" s="822">
        <v>300000</v>
      </c>
      <c r="K673" s="822">
        <f t="shared" si="332"/>
        <v>2035.9199999999837</v>
      </c>
      <c r="L673" s="814">
        <f t="shared" si="333"/>
        <v>5.2914823357738706E-3</v>
      </c>
      <c r="M673" s="839">
        <f t="shared" si="300"/>
        <v>86790.109999999986</v>
      </c>
      <c r="N673" s="824">
        <f t="shared" si="324"/>
        <v>0.28930036666666664</v>
      </c>
      <c r="O673" s="808">
        <f t="shared" si="321"/>
        <v>0.10170063419153032</v>
      </c>
      <c r="P673" s="839" t="b">
        <f t="shared" si="302"/>
        <v>1</v>
      </c>
      <c r="Q673" s="824">
        <f>COUNTIF(P$2:P673, TRUE)/(COUNTIF(P$2:P673,FALSE) + COUNTIF(P$2:P673, TRUE))</f>
        <v>0.5</v>
      </c>
      <c r="R673" s="822">
        <v>273521.84000000003</v>
      </c>
      <c r="S673" s="822">
        <f t="shared" si="323"/>
        <v>113268.26999999996</v>
      </c>
      <c r="T673" s="822">
        <v>-31908</v>
      </c>
      <c r="U673" s="822">
        <f t="shared" si="327"/>
        <v>118698.10999999999</v>
      </c>
      <c r="V673" s="824">
        <f>STDEV(D$2:D673)*SQRT(252)</f>
        <v>0.1408436003599591</v>
      </c>
      <c r="W673" s="824">
        <f>STDEV(L$2:L673)*SQRT(252)</f>
        <v>0.27087757391976441</v>
      </c>
      <c r="X673" s="823">
        <f t="shared" si="322"/>
        <v>0.76848071530722506</v>
      </c>
      <c r="Y673" s="823">
        <f t="shared" si="334"/>
        <v>0.37544870444555395</v>
      </c>
      <c r="Z673" s="829">
        <f t="shared" si="325"/>
        <v>-1.8589513662855328E-2</v>
      </c>
    </row>
    <row r="674" spans="1:26" ht="20.100000000000001" customHeight="1" x14ac:dyDescent="0.2">
      <c r="A674" s="798">
        <f t="shared" si="320"/>
        <v>1040</v>
      </c>
      <c r="B674" s="817">
        <v>43273</v>
      </c>
      <c r="C674" s="842">
        <v>2754.88</v>
      </c>
      <c r="D674" s="814">
        <f t="shared" si="329"/>
        <v>1.8619806819503849E-3</v>
      </c>
      <c r="E674" s="841">
        <f t="shared" si="299"/>
        <v>0.3103251460208139</v>
      </c>
      <c r="F674" s="838">
        <v>7692.81</v>
      </c>
      <c r="G674" s="814">
        <f t="shared" si="330"/>
        <v>-2.6111928639495157E-3</v>
      </c>
      <c r="H674" s="819">
        <f t="shared" si="331"/>
        <v>0.51085295677278719</v>
      </c>
      <c r="I674" s="863">
        <v>393809.39</v>
      </c>
      <c r="J674" s="822">
        <v>300000</v>
      </c>
      <c r="K674" s="822">
        <f t="shared" si="332"/>
        <v>7019.2800000000279</v>
      </c>
      <c r="L674" s="814">
        <f t="shared" si="333"/>
        <v>1.8147516750105189E-2</v>
      </c>
      <c r="M674" s="839">
        <f t="shared" si="300"/>
        <v>93809.390000000014</v>
      </c>
      <c r="N674" s="824">
        <f t="shared" si="324"/>
        <v>0.31269796666666672</v>
      </c>
      <c r="O674" s="808">
        <f t="shared" si="321"/>
        <v>0.10982012723557695</v>
      </c>
      <c r="P674" s="839" t="b">
        <f t="shared" si="302"/>
        <v>1</v>
      </c>
      <c r="Q674" s="824">
        <f>COUNTIF(P$2:P674, TRUE)/(COUNTIF(P$2:P674,FALSE) + COUNTIF(P$2:P674, TRUE))</f>
        <v>0.50074294205052006</v>
      </c>
      <c r="R674" s="822">
        <v>274378.59000000003</v>
      </c>
      <c r="S674" s="822">
        <f t="shared" si="323"/>
        <v>119430.79999999999</v>
      </c>
      <c r="T674" s="822">
        <v>-31374</v>
      </c>
      <c r="U674" s="822">
        <f t="shared" si="327"/>
        <v>125183.39000000001</v>
      </c>
      <c r="V674" s="824">
        <f>STDEV(D$2:D674)*SQRT(252)</f>
        <v>0.14074130676281663</v>
      </c>
      <c r="W674" s="824">
        <f>STDEV(L$2:L674)*SQRT(252)</f>
        <v>0.27088806472355031</v>
      </c>
      <c r="X674" s="823">
        <f t="shared" si="322"/>
        <v>0.77437669557314881</v>
      </c>
      <c r="Y674" s="823">
        <f>O674/W674</f>
        <v>0.40540777367822317</v>
      </c>
      <c r="Z674" s="829">
        <f t="shared" si="325"/>
        <v>2.3728206458528134E-3</v>
      </c>
    </row>
    <row r="675" spans="1:26" ht="20.100000000000001" customHeight="1" x14ac:dyDescent="0.2">
      <c r="A675" s="798">
        <f t="shared" ref="A675:A685" si="335">B675-$B$2</f>
        <v>1041</v>
      </c>
      <c r="B675" s="817">
        <v>43274</v>
      </c>
      <c r="C675" s="842">
        <v>2717.07</v>
      </c>
      <c r="D675" s="814">
        <f t="shared" si="329"/>
        <v>-1.3724735741665679E-2</v>
      </c>
      <c r="E675" s="841">
        <f t="shared" si="299"/>
        <v>0.29234127965601875</v>
      </c>
      <c r="F675" s="838">
        <v>7532</v>
      </c>
      <c r="G675" s="814">
        <f t="shared" si="330"/>
        <v>-2.0903934973046313E-2</v>
      </c>
      <c r="H675" s="819">
        <f t="shared" si="331"/>
        <v>0.47927018481057415</v>
      </c>
      <c r="I675" s="863">
        <v>389217.82</v>
      </c>
      <c r="J675" s="822">
        <v>300000</v>
      </c>
      <c r="K675" s="822">
        <f t="shared" si="332"/>
        <v>-4591.570000000007</v>
      </c>
      <c r="L675" s="814">
        <f t="shared" si="333"/>
        <v>-1.1659371555360848E-2</v>
      </c>
      <c r="M675" s="839">
        <f t="shared" si="300"/>
        <v>89217.82</v>
      </c>
      <c r="N675" s="824">
        <f t="shared" si="324"/>
        <v>0.29739273333333338</v>
      </c>
      <c r="O675" s="808">
        <f t="shared" ref="O675:O685" si="336">N675/(A675/365.25)</f>
        <v>0.10434456853986554</v>
      </c>
      <c r="P675" s="839" t="b">
        <f t="shared" si="302"/>
        <v>1</v>
      </c>
      <c r="Q675" s="824">
        <f>COUNTIF(P$2:P675, TRUE)/(COUNTIF(P$2:P675,FALSE) + COUNTIF(P$2:P675, TRUE))</f>
        <v>0.50148367952522255</v>
      </c>
      <c r="R675" s="822">
        <v>277550.8</v>
      </c>
      <c r="S675" s="822">
        <f t="shared" si="323"/>
        <v>111667.02000000002</v>
      </c>
      <c r="T675" s="822">
        <v>-31574</v>
      </c>
      <c r="U675" s="822">
        <f t="shared" si="327"/>
        <v>120791.82</v>
      </c>
      <c r="V675" s="824">
        <f>STDEV(D$2:D675)*SQRT(252)</f>
        <v>0.14090345423327139</v>
      </c>
      <c r="W675" s="824">
        <f>STDEV(L$2:L675)*SQRT(252)</f>
        <v>0.27079136945867271</v>
      </c>
      <c r="X675" s="823">
        <f t="shared" si="322"/>
        <v>0.72796080876750646</v>
      </c>
      <c r="Y675" s="823">
        <f t="shared" si="334"/>
        <v>0.38533195776680862</v>
      </c>
      <c r="Z675" s="829">
        <f t="shared" si="325"/>
        <v>5.0514536773146324E-3</v>
      </c>
    </row>
    <row r="676" spans="1:26" ht="20.100000000000001" customHeight="1" x14ac:dyDescent="0.2">
      <c r="A676" s="798">
        <f t="shared" si="335"/>
        <v>1044</v>
      </c>
      <c r="B676" s="817">
        <v>43277</v>
      </c>
      <c r="C676" s="842">
        <v>2723.06</v>
      </c>
      <c r="D676" s="814">
        <f t="shared" si="329"/>
        <v>2.2045806696182951E-3</v>
      </c>
      <c r="E676" s="841">
        <f t="shared" si="299"/>
        <v>0.2951903502596982</v>
      </c>
      <c r="F676" s="838">
        <v>7561.62</v>
      </c>
      <c r="G676" s="814">
        <f t="shared" si="330"/>
        <v>3.9325544344131561E-3</v>
      </c>
      <c r="H676" s="819">
        <f t="shared" si="331"/>
        <v>0.48508749533554613</v>
      </c>
      <c r="I676" s="863">
        <v>389379.96</v>
      </c>
      <c r="J676" s="822">
        <v>300000</v>
      </c>
      <c r="K676" s="822">
        <f t="shared" si="332"/>
        <v>162.14000000001397</v>
      </c>
      <c r="L676" s="814">
        <f t="shared" si="333"/>
        <v>4.165790764667814E-4</v>
      </c>
      <c r="M676" s="839">
        <f t="shared" si="300"/>
        <v>89379.960000000021</v>
      </c>
      <c r="N676" s="824">
        <f t="shared" si="324"/>
        <v>0.29793320000000006</v>
      </c>
      <c r="O676" s="808">
        <f t="shared" si="336"/>
        <v>0.10423381350574715</v>
      </c>
      <c r="P676" s="839" t="b">
        <f t="shared" si="302"/>
        <v>0</v>
      </c>
      <c r="Q676" s="824">
        <f>COUNTIF(P$2:P676, TRUE)/(COUNTIF(P$2:P676,FALSE) + COUNTIF(P$2:P676, TRUE))</f>
        <v>0.50074074074074071</v>
      </c>
      <c r="R676" s="822">
        <v>280070.89</v>
      </c>
      <c r="S676" s="822">
        <f t="shared" si="323"/>
        <v>109309.07</v>
      </c>
      <c r="T676" s="822"/>
      <c r="U676" s="822"/>
      <c r="V676" s="824">
        <f>STDEV(D$2:D676)*SQRT(252)</f>
        <v>0.14080295835010456</v>
      </c>
      <c r="W676" s="824">
        <f>STDEV(L$2:L676)*SQRT(252)</f>
        <v>0.27059014708609302</v>
      </c>
      <c r="X676" s="823">
        <f t="shared" si="322"/>
        <v>0.73346619555718418</v>
      </c>
      <c r="Y676" s="823">
        <f t="shared" si="334"/>
        <v>0.38520919785221641</v>
      </c>
      <c r="Z676" s="829">
        <f t="shared" si="325"/>
        <v>2.742849740301867E-3</v>
      </c>
    </row>
    <row r="677" spans="1:26" ht="20.100000000000001" customHeight="1" x14ac:dyDescent="0.2">
      <c r="A677" s="798">
        <f t="shared" si="335"/>
        <v>1045</v>
      </c>
      <c r="B677" s="817">
        <v>43278</v>
      </c>
      <c r="C677" s="842">
        <v>2699.23</v>
      </c>
      <c r="D677" s="814">
        <f t="shared" si="329"/>
        <v>-8.7511843293941113E-3</v>
      </c>
      <c r="E677" s="841">
        <f t="shared" si="299"/>
        <v>0.28385590076292305</v>
      </c>
      <c r="F677" s="838">
        <v>7445.08</v>
      </c>
      <c r="G677" s="814">
        <f t="shared" si="330"/>
        <v>-1.5412041335057827E-2</v>
      </c>
      <c r="H677" s="819">
        <f t="shared" si="331"/>
        <v>0.46219926547125717</v>
      </c>
      <c r="I677" s="863">
        <v>389218.36</v>
      </c>
      <c r="J677" s="822">
        <v>300000</v>
      </c>
      <c r="K677" s="822">
        <f t="shared" si="332"/>
        <v>-161.60000000003492</v>
      </c>
      <c r="L677" s="814">
        <f t="shared" si="333"/>
        <v>-4.1501879038673411E-4</v>
      </c>
      <c r="M677" s="839">
        <f t="shared" si="300"/>
        <v>89218.359999999986</v>
      </c>
      <c r="N677" s="824">
        <f t="shared" si="324"/>
        <v>0.29739453333333327</v>
      </c>
      <c r="O677" s="808">
        <f t="shared" si="336"/>
        <v>0.10394579263157892</v>
      </c>
      <c r="P677" s="839" t="b">
        <f t="shared" si="302"/>
        <v>1</v>
      </c>
      <c r="Q677" s="824">
        <f>COUNTIF(P$2:P677, TRUE)/(COUNTIF(P$2:P677,FALSE) + COUNTIF(P$2:P677, TRUE))</f>
        <v>0.50147928994082835</v>
      </c>
      <c r="R677" s="822">
        <v>287521.32</v>
      </c>
      <c r="S677" s="822">
        <f t="shared" si="323"/>
        <v>101697.03999999998</v>
      </c>
      <c r="T677" s="822">
        <v>-31552</v>
      </c>
      <c r="U677" s="822">
        <f t="shared" ref="U677:U685" si="337">M677-T677</f>
        <v>120770.35999999999</v>
      </c>
      <c r="V677" s="824">
        <f>STDEV(D$2:D677)*SQRT(252)</f>
        <v>0.14081008898410585</v>
      </c>
      <c r="W677" s="824">
        <f>STDEV(L$2:L677)*SQRT(252)</f>
        <v>0.27039010703840782</v>
      </c>
      <c r="X677" s="823">
        <f t="shared" si="322"/>
        <v>0.70459261663957362</v>
      </c>
      <c r="Y677" s="823">
        <f t="shared" si="334"/>
        <v>0.38442897844932561</v>
      </c>
      <c r="Z677" s="829">
        <f t="shared" si="325"/>
        <v>1.3538632570410214E-2</v>
      </c>
    </row>
    <row r="678" spans="1:26" ht="20.100000000000001" customHeight="1" x14ac:dyDescent="0.2">
      <c r="A678" s="798">
        <f t="shared" si="335"/>
        <v>1046</v>
      </c>
      <c r="B678" s="817">
        <v>43279</v>
      </c>
      <c r="C678" s="842">
        <v>2716.31</v>
      </c>
      <c r="D678" s="814">
        <f t="shared" si="329"/>
        <v>6.3277305009206055E-3</v>
      </c>
      <c r="E678" s="841">
        <f t="shared" si="299"/>
        <v>0.2919797949049675</v>
      </c>
      <c r="F678" s="838">
        <v>7503.68</v>
      </c>
      <c r="G678" s="814">
        <f t="shared" si="330"/>
        <v>7.870969821680944E-3</v>
      </c>
      <c r="H678" s="819">
        <f t="shared" si="331"/>
        <v>0.4737081917630655</v>
      </c>
      <c r="I678" s="863">
        <v>385956.85</v>
      </c>
      <c r="J678" s="822">
        <v>300000</v>
      </c>
      <c r="K678" s="822">
        <f t="shared" si="332"/>
        <v>-3261.5100000000093</v>
      </c>
      <c r="L678" s="814">
        <f t="shared" si="333"/>
        <v>-8.3796406726548284E-3</v>
      </c>
      <c r="M678" s="839">
        <f t="shared" si="300"/>
        <v>85956.849999999977</v>
      </c>
      <c r="N678" s="824">
        <f t="shared" si="324"/>
        <v>0.28652283333333328</v>
      </c>
      <c r="O678" s="808">
        <f t="shared" si="336"/>
        <v>0.10005015762428296</v>
      </c>
      <c r="P678" s="839" t="b">
        <f t="shared" si="302"/>
        <v>0</v>
      </c>
      <c r="Q678" s="824">
        <f>COUNTIF(P$2:P678, TRUE)/(COUNTIF(P$2:P678,FALSE) + COUNTIF(P$2:P678, TRUE))</f>
        <v>0.50073855243722309</v>
      </c>
      <c r="R678" s="822">
        <v>300734.57</v>
      </c>
      <c r="S678" s="822">
        <f t="shared" si="323"/>
        <v>85222.27999999997</v>
      </c>
      <c r="T678" s="822">
        <v>-31828</v>
      </c>
      <c r="U678" s="822">
        <f t="shared" si="337"/>
        <v>117784.84999999998</v>
      </c>
      <c r="V678" s="824">
        <f>STDEV(D$2:D678)*SQRT(252)</f>
        <v>0.14075213595058755</v>
      </c>
      <c r="W678" s="824">
        <f>STDEV(L$2:L678)*SQRT(252)</f>
        <v>0.27024584552699632</v>
      </c>
      <c r="X678" s="823">
        <f t="shared" si="322"/>
        <v>0.7243631441355034</v>
      </c>
      <c r="Y678" s="823">
        <f t="shared" si="334"/>
        <v>0.37021904047841658</v>
      </c>
      <c r="Z678" s="829">
        <f t="shared" si="325"/>
        <v>-5.4569615716342224E-3</v>
      </c>
    </row>
    <row r="679" spans="1:26" ht="20.100000000000001" customHeight="1" x14ac:dyDescent="0.2">
      <c r="A679" s="798">
        <f t="shared" si="335"/>
        <v>1047</v>
      </c>
      <c r="B679" s="817">
        <v>43280</v>
      </c>
      <c r="C679" s="842">
        <v>2718.37</v>
      </c>
      <c r="D679" s="814">
        <f t="shared" si="329"/>
        <v>7.5838177527599773E-4</v>
      </c>
      <c r="E679" s="841">
        <f t="shared" si="299"/>
        <v>0.29295960883544825</v>
      </c>
      <c r="F679" s="838">
        <v>7510.3</v>
      </c>
      <c r="G679" s="814">
        <f t="shared" si="330"/>
        <v>8.8223378395665736E-4</v>
      </c>
      <c r="H679" s="819">
        <f t="shared" si="331"/>
        <v>0.47500834691753252</v>
      </c>
      <c r="I679" s="864">
        <v>386037.42</v>
      </c>
      <c r="J679" s="822">
        <v>300000</v>
      </c>
      <c r="K679" s="822">
        <f t="shared" si="332"/>
        <v>80.570000000006985</v>
      </c>
      <c r="L679" s="814">
        <f t="shared" si="333"/>
        <v>2.087539060389963E-4</v>
      </c>
      <c r="M679" s="844">
        <f t="shared" si="300"/>
        <v>86037.419999999984</v>
      </c>
      <c r="N679" s="824">
        <f t="shared" si="324"/>
        <v>0.28679139999999992</v>
      </c>
      <c r="O679" s="808">
        <f t="shared" si="336"/>
        <v>0.1000482892550143</v>
      </c>
      <c r="P679" s="839" t="b">
        <f t="shared" si="302"/>
        <v>0</v>
      </c>
      <c r="Q679" s="824">
        <f>COUNTIF(P$2:P679, TRUE)/(COUNTIF(P$2:P679,FALSE) + COUNTIF(P$2:P679, TRUE))</f>
        <v>0.5</v>
      </c>
      <c r="R679" s="822">
        <v>296502.8</v>
      </c>
      <c r="S679" s="822">
        <f t="shared" si="323"/>
        <v>89534.62</v>
      </c>
      <c r="T679" s="822">
        <v>-31984</v>
      </c>
      <c r="U679" s="822">
        <f t="shared" si="337"/>
        <v>118021.41999999998</v>
      </c>
      <c r="V679" s="824">
        <f>STDEV(D$2:D679)*SQRT(252)</f>
        <v>0.14064814386240324</v>
      </c>
      <c r="W679" s="824">
        <f>STDEV(L$2:L679)*SQRT(252)</f>
        <v>0.27004600526294353</v>
      </c>
      <c r="X679" s="823">
        <f t="shared" si="322"/>
        <v>0.72663662641063287</v>
      </c>
      <c r="Y679" s="823">
        <f t="shared" si="334"/>
        <v>0.37048609238858166</v>
      </c>
      <c r="Z679" s="829">
        <f t="shared" si="325"/>
        <v>-6.16820883544833E-3</v>
      </c>
    </row>
    <row r="680" spans="1:26" ht="20.100000000000001" customHeight="1" x14ac:dyDescent="0.2">
      <c r="A680" s="798">
        <f t="shared" si="335"/>
        <v>1050</v>
      </c>
      <c r="B680" s="817">
        <v>43283</v>
      </c>
      <c r="C680" s="842">
        <v>2726.71</v>
      </c>
      <c r="D680" s="814">
        <f t="shared" si="329"/>
        <v>3.0680150237091144E-3</v>
      </c>
      <c r="E680" s="841">
        <f t="shared" si="299"/>
        <v>0.29692642834040445</v>
      </c>
      <c r="F680" s="838">
        <v>7567.68</v>
      </c>
      <c r="G680" s="814">
        <f t="shared" si="330"/>
        <v>7.6401741608191562E-3</v>
      </c>
      <c r="H680" s="819">
        <f t="shared" si="331"/>
        <v>0.48627766757664448</v>
      </c>
      <c r="I680" s="863">
        <v>385840.77</v>
      </c>
      <c r="J680" s="822">
        <v>300000</v>
      </c>
      <c r="K680" s="822">
        <f t="shared" si="332"/>
        <v>-196.64999999996508</v>
      </c>
      <c r="L680" s="814">
        <f t="shared" si="333"/>
        <v>-5.0940657514487867E-4</v>
      </c>
      <c r="M680" s="839">
        <f t="shared" si="300"/>
        <v>85840.770000000019</v>
      </c>
      <c r="N680" s="824">
        <f t="shared" si="324"/>
        <v>0.28613590000000005</v>
      </c>
      <c r="O680" s="808">
        <f t="shared" si="336"/>
        <v>9.9534416642857157E-2</v>
      </c>
      <c r="P680" s="839" t="b">
        <f t="shared" si="302"/>
        <v>0</v>
      </c>
      <c r="Q680" s="824">
        <f>COUNTIF(P$2:P680, TRUE)/(COUNTIF(P$2:P680,FALSE) + COUNTIF(P$2:P680, TRUE))</f>
        <v>0.49926362297496318</v>
      </c>
      <c r="R680" s="822">
        <v>302561.11</v>
      </c>
      <c r="S680" s="822">
        <f t="shared" si="323"/>
        <v>83279.660000000033</v>
      </c>
      <c r="T680" s="822">
        <v>-32060</v>
      </c>
      <c r="U680" s="822">
        <f t="shared" si="337"/>
        <v>117900.77000000002</v>
      </c>
      <c r="V680" s="824">
        <f>STDEV(D$2:D680)*SQRT(252)</f>
        <v>0.14055350948419473</v>
      </c>
      <c r="W680" s="824">
        <f>STDEV(L$2:L680)*SQRT(252)</f>
        <v>0.26984737448960039</v>
      </c>
      <c r="X680" s="823">
        <f t="shared" si="322"/>
        <v>0.73486588403460684</v>
      </c>
      <c r="Y680" s="823">
        <f t="shared" si="334"/>
        <v>0.36885449351182442</v>
      </c>
      <c r="Z680" s="829">
        <f t="shared" si="325"/>
        <v>-1.0790528340404393E-2</v>
      </c>
    </row>
    <row r="681" spans="1:26" ht="20.100000000000001" customHeight="1" x14ac:dyDescent="0.2">
      <c r="A681" s="798">
        <f t="shared" si="335"/>
        <v>1051</v>
      </c>
      <c r="B681" s="817">
        <v>43284</v>
      </c>
      <c r="C681" s="842">
        <v>2713.22</v>
      </c>
      <c r="D681" s="814">
        <f t="shared" si="329"/>
        <v>-4.9473541374037708E-3</v>
      </c>
      <c r="E681" s="841">
        <f t="shared" si="299"/>
        <v>0.29051007400924628</v>
      </c>
      <c r="F681" s="838">
        <v>7502.67</v>
      </c>
      <c r="G681" s="814">
        <f t="shared" si="330"/>
        <v>-8.5904795128758371E-3</v>
      </c>
      <c r="H681" s="819">
        <f t="shared" si="331"/>
        <v>0.47350982972288241</v>
      </c>
      <c r="I681" s="863">
        <v>389787.46</v>
      </c>
      <c r="J681" s="822">
        <v>300000</v>
      </c>
      <c r="K681" s="822">
        <f t="shared" si="332"/>
        <v>3946.6900000000023</v>
      </c>
      <c r="L681" s="814">
        <f t="shared" si="333"/>
        <v>1.0228805006790759E-2</v>
      </c>
      <c r="M681" s="839">
        <f t="shared" si="300"/>
        <v>89787.460000000021</v>
      </c>
      <c r="N681" s="824">
        <f t="shared" si="324"/>
        <v>0.29929153333333341</v>
      </c>
      <c r="O681" s="808">
        <f t="shared" si="336"/>
        <v>0.10401163896289252</v>
      </c>
      <c r="P681" s="839" t="b">
        <f t="shared" si="302"/>
        <v>1</v>
      </c>
      <c r="Q681" s="824">
        <f>COUNTIF(P$2:P681, TRUE)/(COUNTIF(P$2:P681,FALSE) + COUNTIF(P$2:P681, TRUE))</f>
        <v>0.5</v>
      </c>
      <c r="R681" s="822">
        <v>288376.77</v>
      </c>
      <c r="S681" s="822">
        <f t="shared" ref="S681:S711" si="338">I681-R681</f>
        <v>101410.69</v>
      </c>
      <c r="T681" s="822">
        <v>-31900</v>
      </c>
      <c r="U681" s="822">
        <f t="shared" si="337"/>
        <v>121687.46000000002</v>
      </c>
      <c r="V681" s="824">
        <f>STDEV(D$2:D681)*SQRT(252)</f>
        <v>0.14048791411058481</v>
      </c>
      <c r="W681" s="824">
        <f>STDEV(L$2:L681)*SQRT(252)</f>
        <v>0.26971178795215239</v>
      </c>
      <c r="X681" s="823">
        <f t="shared" si="322"/>
        <v>0.71863727720044857</v>
      </c>
      <c r="Y681" s="823">
        <f t="shared" si="334"/>
        <v>0.38563994459650563</v>
      </c>
      <c r="Z681" s="829">
        <f t="shared" si="325"/>
        <v>8.7814593240871375E-3</v>
      </c>
    </row>
    <row r="682" spans="1:26" ht="20.100000000000001" customHeight="1" x14ac:dyDescent="0.2">
      <c r="A682" s="798">
        <f t="shared" si="335"/>
        <v>1053</v>
      </c>
      <c r="B682" s="817">
        <v>43286</v>
      </c>
      <c r="C682" s="842">
        <v>2736.61</v>
      </c>
      <c r="D682" s="814">
        <f t="shared" si="329"/>
        <v>8.6207532009937738E-3</v>
      </c>
      <c r="E682" s="841">
        <f t="shared" si="299"/>
        <v>0.30163524286067617</v>
      </c>
      <c r="F682" s="838">
        <v>7586.42</v>
      </c>
      <c r="G682" s="814">
        <f t="shared" si="330"/>
        <v>1.1162692748048361E-2</v>
      </c>
      <c r="H682" s="819">
        <f t="shared" si="331"/>
        <v>0.48995816721330798</v>
      </c>
      <c r="I682" s="863">
        <v>390550.57</v>
      </c>
      <c r="J682" s="822">
        <v>300000</v>
      </c>
      <c r="K682" s="822">
        <f t="shared" si="332"/>
        <v>763.10999999998603</v>
      </c>
      <c r="L682" s="814">
        <f t="shared" si="333"/>
        <v>1.9577592362770881E-3</v>
      </c>
      <c r="M682" s="839">
        <f t="shared" si="300"/>
        <v>90550.57</v>
      </c>
      <c r="N682" s="824">
        <f t="shared" si="324"/>
        <v>0.30183523333333334</v>
      </c>
      <c r="O682" s="808">
        <f t="shared" si="336"/>
        <v>0.10469640928300096</v>
      </c>
      <c r="P682" s="839" t="b">
        <f t="shared" si="302"/>
        <v>0</v>
      </c>
      <c r="Q682" s="824">
        <f>COUNTIF(P$2:P682, TRUE)/(COUNTIF(P$2:P682,FALSE) + COUNTIF(P$2:P682, TRUE))</f>
        <v>0.49926578560939794</v>
      </c>
      <c r="R682" s="822">
        <v>262947.86</v>
      </c>
      <c r="S682" s="822">
        <f t="shared" si="338"/>
        <v>127602.71000000002</v>
      </c>
      <c r="T682" s="822">
        <v>-31952</v>
      </c>
      <c r="U682" s="822">
        <f t="shared" si="337"/>
        <v>122502.57</v>
      </c>
      <c r="V682" s="824">
        <f>STDEV(D$2:D682)*SQRT(252)</f>
        <v>0.14047327528724421</v>
      </c>
      <c r="W682" s="824">
        <f>STDEV(L$2:L682)*SQRT(252)</f>
        <v>0.26951430387366743</v>
      </c>
      <c r="X682" s="823">
        <f t="shared" si="322"/>
        <v>0.74481810973934559</v>
      </c>
      <c r="Y682" s="823">
        <f t="shared" si="334"/>
        <v>0.38846327552275861</v>
      </c>
      <c r="Z682" s="829">
        <f t="shared" si="325"/>
        <v>1.999904726571744E-4</v>
      </c>
    </row>
    <row r="683" spans="1:26" ht="20.100000000000001" customHeight="1" x14ac:dyDescent="0.2">
      <c r="A683" s="798">
        <f t="shared" si="335"/>
        <v>1054</v>
      </c>
      <c r="B683" s="817">
        <v>43287</v>
      </c>
      <c r="C683" s="842">
        <v>2759.82</v>
      </c>
      <c r="D683" s="814">
        <f t="shared" si="329"/>
        <v>8.4812962022356251E-3</v>
      </c>
      <c r="E683" s="841">
        <f t="shared" si="299"/>
        <v>0.31267479690264649</v>
      </c>
      <c r="F683" s="838">
        <v>7688.38</v>
      </c>
      <c r="G683" s="814">
        <f t="shared" si="330"/>
        <v>1.3439804281861541E-2</v>
      </c>
      <c r="H683" s="819">
        <f t="shared" si="331"/>
        <v>0.50998291336881596</v>
      </c>
      <c r="I683" s="863">
        <v>394408.13</v>
      </c>
      <c r="J683" s="822">
        <v>300000</v>
      </c>
      <c r="K683" s="822">
        <f t="shared" si="332"/>
        <v>3857.5599999999977</v>
      </c>
      <c r="L683" s="814">
        <f t="shared" si="333"/>
        <v>9.8772356163761271E-3</v>
      </c>
      <c r="M683" s="839">
        <f t="shared" si="300"/>
        <v>94408.13</v>
      </c>
      <c r="N683" s="824">
        <f t="shared" si="324"/>
        <v>0.31469376666666671</v>
      </c>
      <c r="O683" s="808">
        <f t="shared" si="336"/>
        <v>0.10905303441650856</v>
      </c>
      <c r="P683" s="839" t="b">
        <f t="shared" si="302"/>
        <v>1</v>
      </c>
      <c r="Q683" s="824">
        <f>COUNTIF(P$2:P683, TRUE)/(COUNTIF(P$2:P683,FALSE) + COUNTIF(P$2:P683, TRUE))</f>
        <v>0.5</v>
      </c>
      <c r="R683" s="822">
        <v>226076.88</v>
      </c>
      <c r="S683" s="822">
        <f t="shared" si="338"/>
        <v>168331.25</v>
      </c>
      <c r="T683" s="822">
        <v>-31820</v>
      </c>
      <c r="U683" s="822">
        <f t="shared" si="337"/>
        <v>126228.13</v>
      </c>
      <c r="V683" s="824">
        <f>STDEV(D$2:D683)*SQRT(252)</f>
        <v>0.14045543259882526</v>
      </c>
      <c r="W683" s="824">
        <f>STDEV(L$2:L683)*SQRT(252)</f>
        <v>0.2693746812100854</v>
      </c>
      <c r="X683" s="823">
        <f t="shared" si="322"/>
        <v>0.77144318794023969</v>
      </c>
      <c r="Y683" s="823">
        <f t="shared" si="334"/>
        <v>0.40483772983645061</v>
      </c>
      <c r="Z683" s="829">
        <f t="shared" si="325"/>
        <v>2.0189697640202175E-3</v>
      </c>
    </row>
    <row r="684" spans="1:26" ht="20.100000000000001" customHeight="1" x14ac:dyDescent="0.2">
      <c r="A684" s="798">
        <f t="shared" si="335"/>
        <v>1057</v>
      </c>
      <c r="B684" s="817">
        <v>43290</v>
      </c>
      <c r="C684" s="842">
        <v>2784.17</v>
      </c>
      <c r="D684" s="814">
        <f t="shared" si="329"/>
        <v>8.8230391837148467E-3</v>
      </c>
      <c r="E684" s="841">
        <f t="shared" si="299"/>
        <v>0.32425657807119346</v>
      </c>
      <c r="F684" s="838">
        <v>7756.2</v>
      </c>
      <c r="G684" s="814">
        <f t="shared" si="330"/>
        <v>8.821104055730819E-3</v>
      </c>
      <c r="H684" s="819">
        <f t="shared" si="331"/>
        <v>0.52330262977001785</v>
      </c>
      <c r="I684" s="863">
        <v>396269.68</v>
      </c>
      <c r="J684" s="822">
        <v>300000</v>
      </c>
      <c r="K684" s="822">
        <f t="shared" si="332"/>
        <v>1861.5499999999884</v>
      </c>
      <c r="L684" s="814">
        <f t="shared" si="333"/>
        <v>4.7198570678550376E-3</v>
      </c>
      <c r="M684" s="839">
        <f t="shared" si="300"/>
        <v>96269.68</v>
      </c>
      <c r="N684" s="824">
        <f t="shared" si="324"/>
        <v>0.3208989333333333</v>
      </c>
      <c r="O684" s="808">
        <f t="shared" si="336"/>
        <v>0.11088773453169345</v>
      </c>
      <c r="P684" s="839" t="b">
        <f t="shared" si="302"/>
        <v>0</v>
      </c>
      <c r="Q684" s="824">
        <f>COUNTIF(P$2:P684, TRUE)/(COUNTIF(P$2:P684,FALSE) + COUNTIF(P$2:P684, TRUE))</f>
        <v>0.49926793557833088</v>
      </c>
      <c r="R684" s="822">
        <v>221497.05</v>
      </c>
      <c r="S684" s="822">
        <f t="shared" si="338"/>
        <v>174772.63</v>
      </c>
      <c r="T684" s="822">
        <v>-31748</v>
      </c>
      <c r="U684" s="822">
        <f t="shared" si="337"/>
        <v>128017.68</v>
      </c>
      <c r="V684" s="824">
        <f>STDEV(D$2:D684)*SQRT(252)</f>
        <v>0.14044477475064268</v>
      </c>
      <c r="W684" s="824">
        <f>STDEV(L$2:L684)*SQRT(252)</f>
        <v>0.2691881821835182</v>
      </c>
      <c r="X684" s="823">
        <f t="shared" si="322"/>
        <v>0.79780810973079075</v>
      </c>
      <c r="Y684" s="823">
        <f t="shared" si="334"/>
        <v>0.41193388815299509</v>
      </c>
      <c r="Z684" s="829">
        <f t="shared" si="325"/>
        <v>-3.3576447378601548E-3</v>
      </c>
    </row>
    <row r="685" spans="1:26" ht="20.100000000000001" customHeight="1" x14ac:dyDescent="0.2">
      <c r="A685" s="798">
        <f t="shared" si="335"/>
        <v>1058</v>
      </c>
      <c r="B685" s="817">
        <v>43291</v>
      </c>
      <c r="C685" s="842">
        <v>2793.84</v>
      </c>
      <c r="D685" s="814">
        <f t="shared" si="329"/>
        <v>3.4732074550045695E-3</v>
      </c>
      <c r="E685" s="841">
        <f t="shared" si="299"/>
        <v>0.32885599589048919</v>
      </c>
      <c r="F685" s="838">
        <v>7759.19</v>
      </c>
      <c r="G685" s="814">
        <f t="shared" si="330"/>
        <v>3.8549805317033881E-4</v>
      </c>
      <c r="H685" s="819">
        <f t="shared" si="331"/>
        <v>0.52388985996818349</v>
      </c>
      <c r="I685" s="863">
        <v>397186.29</v>
      </c>
      <c r="J685" s="822">
        <v>300000</v>
      </c>
      <c r="K685" s="822">
        <f t="shared" si="332"/>
        <v>916.60999999998603</v>
      </c>
      <c r="L685" s="814">
        <f t="shared" si="333"/>
        <v>2.3130964751075229E-3</v>
      </c>
      <c r="M685" s="839">
        <f t="shared" si="300"/>
        <v>97186.289999999979</v>
      </c>
      <c r="N685" s="824">
        <f t="shared" si="324"/>
        <v>0.32395429999999992</v>
      </c>
      <c r="O685" s="808">
        <f t="shared" si="336"/>
        <v>0.11183772029773154</v>
      </c>
      <c r="P685" s="839" t="b">
        <f t="shared" si="302"/>
        <v>0</v>
      </c>
      <c r="Q685" s="824">
        <f>COUNTIF(P$2:P685, TRUE)/(COUNTIF(P$2:P685,FALSE) + COUNTIF(P$2:P685, TRUE))</f>
        <v>0.49853801169590645</v>
      </c>
      <c r="R685" s="822">
        <v>201287.05</v>
      </c>
      <c r="S685" s="822">
        <f t="shared" si="338"/>
        <v>195899.24</v>
      </c>
      <c r="T685" s="822">
        <v>-31788</v>
      </c>
      <c r="U685" s="822">
        <f t="shared" si="337"/>
        <v>128974.28999999998</v>
      </c>
      <c r="V685" s="824">
        <f>STDEV(D$2:D685)*SQRT(252)</f>
        <v>0.14035377759574863</v>
      </c>
      <c r="W685" s="824">
        <f>STDEV(L$2:L685)*SQRT(252)</f>
        <v>0.26899263458634343</v>
      </c>
      <c r="X685" s="823">
        <f t="shared" si="322"/>
        <v>0.80888394484710457</v>
      </c>
      <c r="Y685" s="823">
        <f t="shared" si="334"/>
        <v>0.41576499099953224</v>
      </c>
      <c r="Z685" s="829">
        <f t="shared" si="325"/>
        <v>-4.9016958904892771E-3</v>
      </c>
    </row>
    <row r="686" spans="1:26" ht="20.100000000000001" customHeight="1" x14ac:dyDescent="0.2">
      <c r="A686" s="798">
        <f t="shared" ref="A686:A712" si="339">B686-$B$2</f>
        <v>1059</v>
      </c>
      <c r="B686" s="817">
        <v>43292</v>
      </c>
      <c r="C686" s="842">
        <v>2774.02</v>
      </c>
      <c r="D686" s="814">
        <f t="shared" ref="D686:D712" si="340">(C686-C685)/C685</f>
        <v>-7.094178621538872E-3</v>
      </c>
      <c r="E686" s="841">
        <f t="shared" ref="E686:E711" si="341">(C686-$C$2)/$C$2</f>
        <v>0.3194288540933391</v>
      </c>
      <c r="F686" s="838">
        <v>7716.61</v>
      </c>
      <c r="G686" s="814">
        <f t="shared" ref="G686:G712" si="342">(F686-F685)/F685</f>
        <v>-5.4876862146693052E-3</v>
      </c>
      <c r="H686" s="819">
        <f t="shared" ref="H686:H711" si="343">(F686-F$2)/F$2</f>
        <v>0.51552723059096173</v>
      </c>
      <c r="I686" s="863">
        <v>394153.65</v>
      </c>
      <c r="J686" s="822">
        <v>300000</v>
      </c>
      <c r="K686" s="822">
        <f t="shared" ref="K686:K711" si="344">I686-I685-J686+J685</f>
        <v>-3032.6399999999558</v>
      </c>
      <c r="L686" s="814">
        <f t="shared" ref="L686:L711" si="345">K686/I685</f>
        <v>-7.6353088622468715E-3</v>
      </c>
      <c r="M686" s="839">
        <f t="shared" ref="M686:M711" si="346">I686-J686</f>
        <v>94153.650000000023</v>
      </c>
      <c r="N686" s="824">
        <f t="shared" ref="N686:N711" si="347">M686/J686</f>
        <v>0.31384550000000005</v>
      </c>
      <c r="O686" s="808">
        <f t="shared" ref="O686:O711" si="348">N686/(A686/365.25)</f>
        <v>0.10824557967422098</v>
      </c>
      <c r="P686" s="839" t="b">
        <f t="shared" ref="P686:P711" si="349">L686&gt;D686</f>
        <v>0</v>
      </c>
      <c r="Q686" s="824">
        <f>COUNTIF(P$2:P686, TRUE)/(COUNTIF(P$2:P686,FALSE) + COUNTIF(P$2:P686, TRUE))</f>
        <v>0.49781021897810218</v>
      </c>
      <c r="R686" s="822">
        <v>218821.94</v>
      </c>
      <c r="S686" s="822">
        <f t="shared" si="338"/>
        <v>175331.71000000002</v>
      </c>
      <c r="T686" s="822">
        <v>-31948</v>
      </c>
      <c r="U686" s="822">
        <f t="shared" ref="U686:U711" si="350">M686-T686</f>
        <v>126101.65000000002</v>
      </c>
      <c r="V686" s="824">
        <f>STDEV(D$2:D686)*SQRT(252)</f>
        <v>0.1403258328218375</v>
      </c>
      <c r="W686" s="824">
        <f>STDEV(L$2:L686)*SQRT(252)</f>
        <v>0.26884281071905403</v>
      </c>
      <c r="X686" s="823">
        <f t="shared" ref="X686:X711" si="351">E686/(A686/365.25)/V686</f>
        <v>0.78511048914244463</v>
      </c>
      <c r="Y686" s="823">
        <f t="shared" ref="Y686:Y711" si="352">O686/W686</f>
        <v>0.40263520301958056</v>
      </c>
      <c r="Z686" s="829">
        <f t="shared" ref="Z686:Z711" si="353">-(E686-N686)</f>
        <v>-5.5833540933390435E-3</v>
      </c>
    </row>
    <row r="687" spans="1:26" ht="20.100000000000001" customHeight="1" x14ac:dyDescent="0.2">
      <c r="A687" s="798">
        <f t="shared" si="339"/>
        <v>1060</v>
      </c>
      <c r="B687" s="817">
        <v>43293</v>
      </c>
      <c r="C687" s="842">
        <v>2798.29</v>
      </c>
      <c r="D687" s="814">
        <f t="shared" si="340"/>
        <v>8.749035695488851E-3</v>
      </c>
      <c r="E687" s="841">
        <f t="shared" si="341"/>
        <v>0.33097258423545972</v>
      </c>
      <c r="F687" s="838">
        <v>7823.91</v>
      </c>
      <c r="G687" s="814">
        <f t="shared" si="342"/>
        <v>1.3905069713254939E-2</v>
      </c>
      <c r="H687" s="819">
        <f t="shared" si="343"/>
        <v>0.53660074238466526</v>
      </c>
      <c r="I687" s="863">
        <v>395295.9</v>
      </c>
      <c r="J687" s="822">
        <v>300000</v>
      </c>
      <c r="K687" s="822">
        <f t="shared" si="344"/>
        <v>1142.25</v>
      </c>
      <c r="L687" s="814">
        <f t="shared" si="345"/>
        <v>2.8979815358807408E-3</v>
      </c>
      <c r="M687" s="839">
        <f t="shared" si="346"/>
        <v>95295.900000000023</v>
      </c>
      <c r="N687" s="824">
        <f t="shared" si="347"/>
        <v>0.31765300000000007</v>
      </c>
      <c r="O687" s="808">
        <f t="shared" si="348"/>
        <v>0.10945543231132078</v>
      </c>
      <c r="P687" s="839" t="b">
        <f t="shared" si="349"/>
        <v>0</v>
      </c>
      <c r="Q687" s="824">
        <f>COUNTIF(P$2:P687, TRUE)/(COUNTIF(P$2:P687,FALSE) + COUNTIF(P$2:P687, TRUE))</f>
        <v>0.49708454810495628</v>
      </c>
      <c r="R687" s="822">
        <v>215692.65</v>
      </c>
      <c r="S687" s="822">
        <f t="shared" si="338"/>
        <v>179603.25000000003</v>
      </c>
      <c r="T687" s="822">
        <v>-31904</v>
      </c>
      <c r="U687" s="822">
        <f t="shared" si="350"/>
        <v>127199.90000000002</v>
      </c>
      <c r="V687" s="824">
        <f>STDEV(D$2:D687)*SQRT(252)</f>
        <v>0.14031365874172999</v>
      </c>
      <c r="W687" s="824">
        <f>STDEV(L$2:L687)*SQRT(252)</f>
        <v>0.26864967909317089</v>
      </c>
      <c r="X687" s="823">
        <f t="shared" si="351"/>
        <v>0.81278640550593428</v>
      </c>
      <c r="Y687" s="823">
        <f t="shared" si="352"/>
        <v>0.40742811486240538</v>
      </c>
      <c r="Z687" s="829">
        <f t="shared" si="353"/>
        <v>-1.3319584235459647E-2</v>
      </c>
    </row>
    <row r="688" spans="1:26" ht="20.100000000000001" customHeight="1" x14ac:dyDescent="0.2">
      <c r="A688" s="798">
        <f t="shared" si="339"/>
        <v>1061</v>
      </c>
      <c r="B688" s="817">
        <v>43294</v>
      </c>
      <c r="C688" s="842">
        <v>2801.31</v>
      </c>
      <c r="D688" s="814">
        <f t="shared" si="340"/>
        <v>1.0792305300737172E-3</v>
      </c>
      <c r="E688" s="841">
        <f t="shared" si="341"/>
        <v>0.33240901048305771</v>
      </c>
      <c r="F688" s="838">
        <v>7825.97</v>
      </c>
      <c r="G688" s="814">
        <f t="shared" si="342"/>
        <v>2.6329546224335403E-4</v>
      </c>
      <c r="H688" s="819">
        <f t="shared" si="343"/>
        <v>0.53700532238741494</v>
      </c>
      <c r="I688" s="863">
        <v>396222.85</v>
      </c>
      <c r="J688" s="822">
        <v>300000</v>
      </c>
      <c r="K688" s="822">
        <f t="shared" si="344"/>
        <v>926.94999999995343</v>
      </c>
      <c r="L688" s="814">
        <f t="shared" si="345"/>
        <v>2.3449522243968466E-3</v>
      </c>
      <c r="M688" s="839">
        <f t="shared" si="346"/>
        <v>96222.849999999977</v>
      </c>
      <c r="N688" s="824">
        <f t="shared" si="347"/>
        <v>0.32074283333333325</v>
      </c>
      <c r="O688" s="808">
        <f t="shared" si="348"/>
        <v>0.11041594710179073</v>
      </c>
      <c r="P688" s="839" t="b">
        <f t="shared" si="349"/>
        <v>1</v>
      </c>
      <c r="Q688" s="824">
        <f>COUNTIF(P$2:P688, TRUE)/(COUNTIF(P$2:P688,FALSE) + COUNTIF(P$2:P688, TRUE))</f>
        <v>0.49781659388646288</v>
      </c>
      <c r="R688" s="822">
        <v>226261.05</v>
      </c>
      <c r="S688" s="822">
        <f t="shared" si="338"/>
        <v>169961.8</v>
      </c>
      <c r="T688" s="822">
        <v>-32319</v>
      </c>
      <c r="U688" s="822">
        <f t="shared" si="350"/>
        <v>128541.84999999998</v>
      </c>
      <c r="V688" s="824">
        <f>STDEV(D$2:D688)*SQRT(252)</f>
        <v>0.14021171061753313</v>
      </c>
      <c r="W688" s="824">
        <f>STDEV(L$2:L688)*SQRT(252)</f>
        <v>0.26845547284380461</v>
      </c>
      <c r="X688" s="823">
        <f t="shared" si="351"/>
        <v>0.81613751325179795</v>
      </c>
      <c r="Y688" s="823">
        <f t="shared" si="352"/>
        <v>0.41130078642886903</v>
      </c>
      <c r="Z688" s="829">
        <f t="shared" si="353"/>
        <v>-1.1666177149724455E-2</v>
      </c>
    </row>
    <row r="689" spans="1:26" ht="20.100000000000001" customHeight="1" x14ac:dyDescent="0.2">
      <c r="A689" s="798">
        <f t="shared" si="339"/>
        <v>1064</v>
      </c>
      <c r="B689" s="817">
        <v>43297</v>
      </c>
      <c r="C689" s="842">
        <v>2798.43</v>
      </c>
      <c r="D689" s="814">
        <f t="shared" si="340"/>
        <v>-1.0280904291207003E-3</v>
      </c>
      <c r="E689" s="841">
        <f t="shared" si="341"/>
        <v>0.33103917353170592</v>
      </c>
      <c r="F689" s="838">
        <v>7805.71</v>
      </c>
      <c r="G689" s="814">
        <f t="shared" si="342"/>
        <v>-2.5888164662016618E-3</v>
      </c>
      <c r="H689" s="819">
        <f t="shared" si="343"/>
        <v>0.53302629770017873</v>
      </c>
      <c r="I689" s="863">
        <v>392316.49</v>
      </c>
      <c r="J689" s="822">
        <v>300000</v>
      </c>
      <c r="K689" s="822">
        <f t="shared" si="344"/>
        <v>-3906.359999999986</v>
      </c>
      <c r="L689" s="814">
        <f t="shared" si="345"/>
        <v>-9.8589972789302448E-3</v>
      </c>
      <c r="M689" s="839">
        <f t="shared" si="346"/>
        <v>92316.489999999991</v>
      </c>
      <c r="N689" s="824">
        <f t="shared" si="347"/>
        <v>0.3077216333333333</v>
      </c>
      <c r="O689" s="808">
        <f t="shared" si="348"/>
        <v>0.10563470542763156</v>
      </c>
      <c r="P689" s="839" t="b">
        <f t="shared" si="349"/>
        <v>0</v>
      </c>
      <c r="Q689" s="824">
        <f>COUNTIF(P$2:P689, TRUE)/(COUNTIF(P$2:P689,FALSE) + COUNTIF(P$2:P689, TRUE))</f>
        <v>0.49709302325581395</v>
      </c>
      <c r="R689" s="822">
        <v>248251.44</v>
      </c>
      <c r="S689" s="822">
        <f t="shared" si="338"/>
        <v>144065.04999999999</v>
      </c>
      <c r="T689" s="822">
        <v>-32475</v>
      </c>
      <c r="U689" s="822">
        <f t="shared" si="350"/>
        <v>124791.48999999999</v>
      </c>
      <c r="V689" s="824">
        <f>STDEV(D$2:D689)*SQRT(252)</f>
        <v>0.14011236678602129</v>
      </c>
      <c r="W689" s="824">
        <f>STDEV(L$2:L689)*SQRT(252)</f>
        <v>0.2683352993857776</v>
      </c>
      <c r="X689" s="823">
        <f t="shared" si="351"/>
        <v>0.81105726058911287</v>
      </c>
      <c r="Y689" s="823">
        <f t="shared" si="352"/>
        <v>0.39366682530934449</v>
      </c>
      <c r="Z689" s="829">
        <f t="shared" si="353"/>
        <v>-2.3317540198372622E-2</v>
      </c>
    </row>
    <row r="690" spans="1:26" ht="20.100000000000001" customHeight="1" x14ac:dyDescent="0.2">
      <c r="A690" s="798">
        <f t="shared" si="339"/>
        <v>1065</v>
      </c>
      <c r="B690" s="817">
        <v>43298</v>
      </c>
      <c r="C690" s="842">
        <v>2809.55</v>
      </c>
      <c r="D690" s="814">
        <f t="shared" si="340"/>
        <v>3.9736566574830696E-3</v>
      </c>
      <c r="E690" s="841">
        <f t="shared" si="341"/>
        <v>0.33632826620498091</v>
      </c>
      <c r="F690" s="838">
        <v>7855.11</v>
      </c>
      <c r="G690" s="814">
        <f t="shared" si="342"/>
        <v>6.3287004000916807E-3</v>
      </c>
      <c r="H690" s="819">
        <f t="shared" si="343"/>
        <v>0.54272836184378492</v>
      </c>
      <c r="I690" s="863">
        <v>393640.6</v>
      </c>
      <c r="J690" s="822">
        <v>300000</v>
      </c>
      <c r="K690" s="822">
        <f t="shared" si="344"/>
        <v>1324.109999999986</v>
      </c>
      <c r="L690" s="814">
        <f t="shared" si="345"/>
        <v>3.3751066645197249E-3</v>
      </c>
      <c r="M690" s="839">
        <f t="shared" si="346"/>
        <v>93640.599999999977</v>
      </c>
      <c r="N690" s="824">
        <f t="shared" si="347"/>
        <v>0.31213533333333326</v>
      </c>
      <c r="O690" s="808">
        <f t="shared" si="348"/>
        <v>0.10704923051643191</v>
      </c>
      <c r="P690" s="839" t="b">
        <f t="shared" si="349"/>
        <v>0</v>
      </c>
      <c r="Q690" s="824">
        <f>COUNTIF(P$2:P690, TRUE)/(COUNTIF(P$2:P690,FALSE) + COUNTIF(P$2:P690, TRUE))</f>
        <v>0.49637155297532654</v>
      </c>
      <c r="R690" s="822">
        <v>254153.13</v>
      </c>
      <c r="S690" s="822">
        <f t="shared" si="338"/>
        <v>139487.46999999997</v>
      </c>
      <c r="T690" s="822">
        <v>-32387</v>
      </c>
      <c r="U690" s="822">
        <f t="shared" si="350"/>
        <v>126027.59999999998</v>
      </c>
      <c r="V690" s="824">
        <f>STDEV(D$2:D690)*SQRT(252)</f>
        <v>0.14002654726015454</v>
      </c>
      <c r="W690" s="824">
        <f>STDEV(L$2:L690)*SQRT(252)</f>
        <v>0.26814504427740948</v>
      </c>
      <c r="X690" s="823">
        <f t="shared" si="351"/>
        <v>0.82374654315017448</v>
      </c>
      <c r="Y690" s="823">
        <f t="shared" si="352"/>
        <v>0.39922136470918373</v>
      </c>
      <c r="Z690" s="829">
        <f t="shared" si="353"/>
        <v>-2.4192932871647643E-2</v>
      </c>
    </row>
    <row r="691" spans="1:26" ht="20.100000000000001" customHeight="1" x14ac:dyDescent="0.2">
      <c r="A691" s="798">
        <f t="shared" si="339"/>
        <v>1066</v>
      </c>
      <c r="B691" s="817">
        <v>43299</v>
      </c>
      <c r="C691" s="842">
        <v>2815.62</v>
      </c>
      <c r="D691" s="814">
        <f t="shared" si="340"/>
        <v>2.1604883344306771E-3</v>
      </c>
      <c r="E691" s="841">
        <f t="shared" si="341"/>
        <v>0.33921538783508676</v>
      </c>
      <c r="F691" s="838">
        <v>7854.44</v>
      </c>
      <c r="G691" s="814">
        <f t="shared" si="342"/>
        <v>-8.5294795362518509E-5</v>
      </c>
      <c r="H691" s="819">
        <f t="shared" si="343"/>
        <v>0.54259677514386151</v>
      </c>
      <c r="I691" s="863">
        <v>393399.1</v>
      </c>
      <c r="J691" s="822">
        <v>300000</v>
      </c>
      <c r="K691" s="822">
        <f t="shared" si="344"/>
        <v>-241.5</v>
      </c>
      <c r="L691" s="814">
        <f t="shared" si="345"/>
        <v>-6.1350379000540088E-4</v>
      </c>
      <c r="M691" s="839">
        <f t="shared" si="346"/>
        <v>93399.099999999977</v>
      </c>
      <c r="N691" s="824">
        <f t="shared" si="347"/>
        <v>0.31133033333333326</v>
      </c>
      <c r="O691" s="808">
        <f t="shared" si="348"/>
        <v>0.1066729871013133</v>
      </c>
      <c r="P691" s="839" t="b">
        <f t="shared" si="349"/>
        <v>0</v>
      </c>
      <c r="Q691" s="824">
        <f>COUNTIF(P$2:P691, TRUE)/(COUNTIF(P$2:P691,FALSE) + COUNTIF(P$2:P691, TRUE))</f>
        <v>0.4956521739130435</v>
      </c>
      <c r="R691" s="822">
        <v>247098.07</v>
      </c>
      <c r="S691" s="822">
        <f t="shared" si="338"/>
        <v>146301.02999999997</v>
      </c>
      <c r="T691" s="822">
        <v>-32575</v>
      </c>
      <c r="U691" s="822">
        <f t="shared" si="350"/>
        <v>125974.09999999998</v>
      </c>
      <c r="V691" s="824">
        <f>STDEV(D$2:D691)*SQRT(252)</f>
        <v>0.13992852439635978</v>
      </c>
      <c r="W691" s="824">
        <f>STDEV(L$2:L691)*SQRT(252)</f>
        <v>0.26795117899797427</v>
      </c>
      <c r="X691" s="823">
        <f t="shared" si="351"/>
        <v>0.8306198594230717</v>
      </c>
      <c r="Y691" s="823">
        <f t="shared" si="352"/>
        <v>0.39810605611151184</v>
      </c>
      <c r="Z691" s="829">
        <f t="shared" si="353"/>
        <v>-2.7885054501753492E-2</v>
      </c>
    </row>
    <row r="692" spans="1:26" ht="20.100000000000001" customHeight="1" x14ac:dyDescent="0.2">
      <c r="A692" s="798">
        <f t="shared" si="339"/>
        <v>1067</v>
      </c>
      <c r="B692" s="817">
        <v>43300</v>
      </c>
      <c r="C692" s="842">
        <v>2804.49</v>
      </c>
      <c r="D692" s="814">
        <f t="shared" si="340"/>
        <v>-3.9529481961344606E-3</v>
      </c>
      <c r="E692" s="841">
        <f t="shared" si="341"/>
        <v>0.33392153878350855</v>
      </c>
      <c r="F692" s="838">
        <v>7825.29</v>
      </c>
      <c r="G692" s="814">
        <f t="shared" si="342"/>
        <v>-3.7112766791775908E-3</v>
      </c>
      <c r="H692" s="819">
        <f t="shared" si="343"/>
        <v>0.5368717717068956</v>
      </c>
      <c r="I692" s="863">
        <v>394279.56</v>
      </c>
      <c r="J692" s="822">
        <v>300000</v>
      </c>
      <c r="K692" s="822">
        <f t="shared" si="344"/>
        <v>880.46000000002095</v>
      </c>
      <c r="L692" s="814">
        <f t="shared" si="345"/>
        <v>2.2380834119854901E-3</v>
      </c>
      <c r="M692" s="839">
        <f t="shared" si="346"/>
        <v>94279.56</v>
      </c>
      <c r="N692" s="824">
        <f t="shared" si="347"/>
        <v>0.31426519999999997</v>
      </c>
      <c r="O692" s="808">
        <f t="shared" si="348"/>
        <v>0.10757766101218369</v>
      </c>
      <c r="P692" s="839" t="b">
        <f t="shared" si="349"/>
        <v>1</v>
      </c>
      <c r="Q692" s="824">
        <f>COUNTIF(P$2:P692, TRUE)/(COUNTIF(P$2:P692,FALSE) + COUNTIF(P$2:P692, TRUE))</f>
        <v>0.49638205499276411</v>
      </c>
      <c r="R692" s="822">
        <v>255684.16</v>
      </c>
      <c r="S692" s="822">
        <f t="shared" si="338"/>
        <v>138595.4</v>
      </c>
      <c r="T692" s="822">
        <v>-32295</v>
      </c>
      <c r="U692" s="822">
        <f t="shared" si="350"/>
        <v>126574.56</v>
      </c>
      <c r="V692" s="824">
        <f>STDEV(D$2:D692)*SQRT(252)</f>
        <v>0.13985240552391423</v>
      </c>
      <c r="W692" s="824">
        <f>STDEV(L$2:L692)*SQRT(252)</f>
        <v>0.26775839705405224</v>
      </c>
      <c r="X692" s="823">
        <f t="shared" si="351"/>
        <v>0.81733537768142361</v>
      </c>
      <c r="Y692" s="823">
        <f t="shared" si="352"/>
        <v>0.40177138119954853</v>
      </c>
      <c r="Z692" s="829">
        <f t="shared" si="353"/>
        <v>-1.9656338783508587E-2</v>
      </c>
    </row>
    <row r="693" spans="1:26" ht="20.100000000000001" customHeight="1" x14ac:dyDescent="0.2">
      <c r="A693" s="798">
        <f t="shared" si="339"/>
        <v>1068</v>
      </c>
      <c r="B693" s="817">
        <v>43301</v>
      </c>
      <c r="C693" s="842">
        <v>2801.83</v>
      </c>
      <c r="D693" s="814">
        <f t="shared" si="340"/>
        <v>-9.4847904610102177E-4</v>
      </c>
      <c r="E693" s="841">
        <f t="shared" si="341"/>
        <v>0.33265634215482953</v>
      </c>
      <c r="F693" s="838">
        <v>7820.19</v>
      </c>
      <c r="G693" s="814">
        <f t="shared" si="342"/>
        <v>-6.5173303481409176E-4</v>
      </c>
      <c r="H693" s="819">
        <f t="shared" si="343"/>
        <v>0.53587014160300095</v>
      </c>
      <c r="I693" s="863">
        <v>393654.11</v>
      </c>
      <c r="J693" s="822">
        <v>300000</v>
      </c>
      <c r="K693" s="822">
        <f t="shared" si="344"/>
        <v>-625.45000000001164</v>
      </c>
      <c r="L693" s="814">
        <f t="shared" si="345"/>
        <v>-1.5863109921295734E-3</v>
      </c>
      <c r="M693" s="839">
        <f t="shared" si="346"/>
        <v>93654.109999999986</v>
      </c>
      <c r="N693" s="824">
        <f t="shared" si="347"/>
        <v>0.3121803666666666</v>
      </c>
      <c r="O693" s="808">
        <f t="shared" si="348"/>
        <v>0.10676393157771534</v>
      </c>
      <c r="P693" s="839" t="b">
        <f t="shared" si="349"/>
        <v>0</v>
      </c>
      <c r="Q693" s="824">
        <f>COUNTIF(P$2:P693, TRUE)/(COUNTIF(P$2:P693,FALSE) + COUNTIF(P$2:P693, TRUE))</f>
        <v>0.49566473988439308</v>
      </c>
      <c r="R693" s="822">
        <v>264730.7</v>
      </c>
      <c r="S693" s="822">
        <f t="shared" si="338"/>
        <v>128923.40999999997</v>
      </c>
      <c r="T693" s="822">
        <v>-31596</v>
      </c>
      <c r="U693" s="822">
        <f t="shared" si="350"/>
        <v>125250.10999999999</v>
      </c>
      <c r="V693" s="824">
        <f>STDEV(D$2:D693)*SQRT(252)</f>
        <v>0.13975360173239254</v>
      </c>
      <c r="W693" s="824">
        <f>STDEV(L$2:L693)*SQRT(252)</f>
        <v>0.26756768889690702</v>
      </c>
      <c r="X693" s="823">
        <f t="shared" si="351"/>
        <v>0.81405129278129884</v>
      </c>
      <c r="Y693" s="823">
        <f t="shared" si="352"/>
        <v>0.39901653304204138</v>
      </c>
      <c r="Z693" s="829">
        <f t="shared" si="353"/>
        <v>-2.0475975488162934E-2</v>
      </c>
    </row>
    <row r="694" spans="1:26" ht="20.100000000000001" customHeight="1" x14ac:dyDescent="0.2">
      <c r="A694" s="798">
        <f t="shared" si="339"/>
        <v>1071</v>
      </c>
      <c r="B694" s="817">
        <v>43304</v>
      </c>
      <c r="C694" s="842">
        <v>2806.98</v>
      </c>
      <c r="D694" s="814">
        <f t="shared" si="340"/>
        <v>1.8380843948419751E-3</v>
      </c>
      <c r="E694" s="841">
        <f t="shared" si="341"/>
        <v>0.33510587698103156</v>
      </c>
      <c r="F694" s="838">
        <v>7841.87</v>
      </c>
      <c r="G694" s="814">
        <f t="shared" si="342"/>
        <v>2.7723111586803253E-3</v>
      </c>
      <c r="H694" s="819">
        <f t="shared" si="343"/>
        <v>0.54012805153485088</v>
      </c>
      <c r="I694" s="863">
        <v>395267.72</v>
      </c>
      <c r="J694" s="822">
        <v>300000</v>
      </c>
      <c r="K694" s="822">
        <f t="shared" si="344"/>
        <v>1613.609999999986</v>
      </c>
      <c r="L694" s="814">
        <f t="shared" si="345"/>
        <v>4.0990553864660171E-3</v>
      </c>
      <c r="M694" s="839">
        <f t="shared" si="346"/>
        <v>95267.719999999972</v>
      </c>
      <c r="N694" s="824">
        <f t="shared" si="347"/>
        <v>0.31755906666666656</v>
      </c>
      <c r="O694" s="808">
        <f t="shared" si="348"/>
        <v>0.10829920550887018</v>
      </c>
      <c r="P694" s="839" t="b">
        <f t="shared" si="349"/>
        <v>1</v>
      </c>
      <c r="Q694" s="824">
        <f>COUNTIF(P$2:P694, TRUE)/(COUNTIF(P$2:P694,FALSE) + COUNTIF(P$2:P694, TRUE))</f>
        <v>0.49639249639249639</v>
      </c>
      <c r="R694" s="822">
        <v>262282.39</v>
      </c>
      <c r="S694" s="822">
        <f t="shared" si="338"/>
        <v>132985.32999999996</v>
      </c>
      <c r="T694" s="822">
        <v>-31343</v>
      </c>
      <c r="U694" s="822">
        <f t="shared" si="350"/>
        <v>126610.71999999997</v>
      </c>
      <c r="V694" s="824">
        <f>STDEV(D$2:D694)*SQRT(252)</f>
        <v>0.13965493723627229</v>
      </c>
      <c r="W694" s="824">
        <f>STDEV(L$2:L694)*SQRT(252)</f>
        <v>0.2673821540591399</v>
      </c>
      <c r="X694" s="823">
        <f t="shared" si="351"/>
        <v>0.81832629083639241</v>
      </c>
      <c r="Y694" s="823">
        <f t="shared" si="352"/>
        <v>0.40503527952324159</v>
      </c>
      <c r="Z694" s="829">
        <f t="shared" si="353"/>
        <v>-1.7546810314365002E-2</v>
      </c>
    </row>
    <row r="695" spans="1:26" ht="20.100000000000001" customHeight="1" x14ac:dyDescent="0.2">
      <c r="A695" s="798">
        <f t="shared" si="339"/>
        <v>1072</v>
      </c>
      <c r="B695" s="817">
        <v>43305</v>
      </c>
      <c r="C695" s="842">
        <v>2820.4</v>
      </c>
      <c r="D695" s="814">
        <f t="shared" si="340"/>
        <v>4.7809389450584163E-3</v>
      </c>
      <c r="E695" s="841">
        <f t="shared" si="341"/>
        <v>0.34148893666406654</v>
      </c>
      <c r="F695" s="838">
        <v>7840.76</v>
      </c>
      <c r="G695" s="814">
        <f t="shared" si="342"/>
        <v>-1.4154787059714999E-4</v>
      </c>
      <c r="H695" s="819">
        <f t="shared" si="343"/>
        <v>0.53991004968870915</v>
      </c>
      <c r="I695" s="863">
        <v>396061.88</v>
      </c>
      <c r="J695" s="822">
        <v>300000</v>
      </c>
      <c r="K695" s="822">
        <f t="shared" si="344"/>
        <v>794.1600000000326</v>
      </c>
      <c r="L695" s="814">
        <f t="shared" si="345"/>
        <v>2.0091698861724218E-3</v>
      </c>
      <c r="M695" s="839">
        <f t="shared" si="346"/>
        <v>96061.88</v>
      </c>
      <c r="N695" s="824">
        <f t="shared" si="347"/>
        <v>0.32020626666666668</v>
      </c>
      <c r="O695" s="808">
        <f t="shared" si="348"/>
        <v>0.10910012957089553</v>
      </c>
      <c r="P695" s="839" t="b">
        <f t="shared" si="349"/>
        <v>0</v>
      </c>
      <c r="Q695" s="824">
        <f>COUNTIF(P$2:P695, TRUE)/(COUNTIF(P$2:P695,FALSE) + COUNTIF(P$2:P695, TRUE))</f>
        <v>0.49567723342939479</v>
      </c>
      <c r="R695" s="822">
        <v>258956.66</v>
      </c>
      <c r="S695" s="822">
        <f t="shared" si="338"/>
        <v>137105.22</v>
      </c>
      <c r="T695" s="822">
        <v>-31316</v>
      </c>
      <c r="U695" s="822">
        <f t="shared" si="350"/>
        <v>127377.88</v>
      </c>
      <c r="V695" s="824">
        <f>STDEV(D$2:D695)*SQRT(252)</f>
        <v>0.13957835749612202</v>
      </c>
      <c r="W695" s="824">
        <f>STDEV(L$2:L695)*SQRT(252)</f>
        <v>0.26719015389352224</v>
      </c>
      <c r="X695" s="823">
        <f t="shared" si="351"/>
        <v>0.8335928753545212</v>
      </c>
      <c r="Y695" s="823">
        <f t="shared" si="352"/>
        <v>0.40832391456450506</v>
      </c>
      <c r="Z695" s="829">
        <f t="shared" si="353"/>
        <v>-2.1282669997399861E-2</v>
      </c>
    </row>
    <row r="696" spans="1:26" ht="20.100000000000001" customHeight="1" x14ac:dyDescent="0.2">
      <c r="A696" s="798">
        <f t="shared" si="339"/>
        <v>1073</v>
      </c>
      <c r="B696" s="817">
        <v>43306</v>
      </c>
      <c r="C696" s="842">
        <v>2846.07</v>
      </c>
      <c r="D696" s="814">
        <f t="shared" si="340"/>
        <v>9.1015458800170444E-3</v>
      </c>
      <c r="E696" s="841">
        <f t="shared" si="341"/>
        <v>0.35369855976864978</v>
      </c>
      <c r="F696" s="838">
        <v>7932.23</v>
      </c>
      <c r="G696" s="814">
        <f t="shared" si="342"/>
        <v>1.16659609527647E-2</v>
      </c>
      <c r="H696" s="819">
        <f t="shared" si="343"/>
        <v>0.5578745801991476</v>
      </c>
      <c r="I696" s="863">
        <v>397194.94</v>
      </c>
      <c r="J696" s="822">
        <v>300000</v>
      </c>
      <c r="K696" s="822">
        <f t="shared" si="344"/>
        <v>1133.0599999999977</v>
      </c>
      <c r="L696" s="814">
        <f t="shared" si="345"/>
        <v>2.8608155877056325E-3</v>
      </c>
      <c r="M696" s="839">
        <f t="shared" si="346"/>
        <v>97194.94</v>
      </c>
      <c r="N696" s="824">
        <f t="shared" si="347"/>
        <v>0.32398313333333334</v>
      </c>
      <c r="O696" s="808">
        <f t="shared" si="348"/>
        <v>0.11028410013979496</v>
      </c>
      <c r="P696" s="839" t="b">
        <f t="shared" si="349"/>
        <v>0</v>
      </c>
      <c r="Q696" s="824">
        <f>COUNTIF(P$2:P696, TRUE)/(COUNTIF(P$2:P696,FALSE) + COUNTIF(P$2:P696, TRUE))</f>
        <v>0.49496402877697843</v>
      </c>
      <c r="R696" s="822">
        <v>311104.62</v>
      </c>
      <c r="S696" s="822">
        <f t="shared" si="338"/>
        <v>86090.32</v>
      </c>
      <c r="T696" s="822">
        <v>-31452</v>
      </c>
      <c r="U696" s="822">
        <f t="shared" si="350"/>
        <v>128646.94</v>
      </c>
      <c r="V696" s="824">
        <f>STDEV(D$2:D696)*SQRT(252)</f>
        <v>0.13957472754547251</v>
      </c>
      <c r="W696" s="824">
        <f>STDEV(L$2:L696)*SQRT(252)</f>
        <v>0.26700063672614199</v>
      </c>
      <c r="X696" s="823">
        <f t="shared" si="351"/>
        <v>0.86261499893794014</v>
      </c>
      <c r="Y696" s="823">
        <f t="shared" si="352"/>
        <v>0.41304807918084285</v>
      </c>
      <c r="Z696" s="829">
        <f t="shared" si="353"/>
        <v>-2.9715426435316439E-2</v>
      </c>
    </row>
    <row r="697" spans="1:26" ht="20.100000000000001" customHeight="1" x14ac:dyDescent="0.2">
      <c r="A697" s="798">
        <f t="shared" si="339"/>
        <v>1074</v>
      </c>
      <c r="B697" s="817">
        <v>43307</v>
      </c>
      <c r="C697" s="842">
        <v>2837.44</v>
      </c>
      <c r="D697" s="814">
        <f t="shared" si="340"/>
        <v>-3.0322514906520599E-3</v>
      </c>
      <c r="E697" s="841">
        <f t="shared" si="341"/>
        <v>0.34959380529289774</v>
      </c>
      <c r="F697" s="838">
        <v>7852.18</v>
      </c>
      <c r="G697" s="814">
        <f t="shared" si="342"/>
        <v>-1.0091739649505785E-2</v>
      </c>
      <c r="H697" s="819">
        <f t="shared" si="343"/>
        <v>0.54215291552919465</v>
      </c>
      <c r="I697" s="863">
        <v>399108.12</v>
      </c>
      <c r="J697" s="822">
        <v>300000</v>
      </c>
      <c r="K697" s="822">
        <f t="shared" si="344"/>
        <v>1913.179999999993</v>
      </c>
      <c r="L697" s="814">
        <f t="shared" si="345"/>
        <v>4.8167280278041636E-3</v>
      </c>
      <c r="M697" s="839">
        <f t="shared" si="346"/>
        <v>99108.12</v>
      </c>
      <c r="N697" s="824">
        <f t="shared" si="347"/>
        <v>0.3303604</v>
      </c>
      <c r="O697" s="808">
        <f t="shared" si="348"/>
        <v>0.11235021983240223</v>
      </c>
      <c r="P697" s="839" t="b">
        <f t="shared" si="349"/>
        <v>1</v>
      </c>
      <c r="Q697" s="824">
        <f>COUNTIF(P$2:P697, TRUE)/(COUNTIF(P$2:P697,FALSE) + COUNTIF(P$2:P697, TRUE))</f>
        <v>0.49568965517241381</v>
      </c>
      <c r="R697" s="822">
        <v>302471.34000000003</v>
      </c>
      <c r="S697" s="822">
        <f t="shared" si="338"/>
        <v>96636.77999999997</v>
      </c>
      <c r="T697" s="822">
        <v>-31624</v>
      </c>
      <c r="U697" s="822">
        <f t="shared" si="350"/>
        <v>130732.12</v>
      </c>
      <c r="V697" s="824">
        <f>STDEV(D$2:D697)*SQRT(252)</f>
        <v>0.13949012206949335</v>
      </c>
      <c r="W697" s="824">
        <f>STDEV(L$2:L697)*SQRT(252)</f>
        <v>0.26681999531144557</v>
      </c>
      <c r="X697" s="823">
        <f t="shared" si="351"/>
        <v>0.85232694334176662</v>
      </c>
      <c r="Y697" s="823">
        <f t="shared" si="352"/>
        <v>0.42107121582571599</v>
      </c>
      <c r="Z697" s="829">
        <f t="shared" si="353"/>
        <v>-1.9233405292897743E-2</v>
      </c>
    </row>
    <row r="698" spans="1:26" ht="20.100000000000001" customHeight="1" x14ac:dyDescent="0.2">
      <c r="A698" s="798">
        <f t="shared" si="339"/>
        <v>1075</v>
      </c>
      <c r="B698" s="817">
        <v>43308</v>
      </c>
      <c r="C698" s="842">
        <v>2818.85</v>
      </c>
      <c r="D698" s="814">
        <f t="shared" si="340"/>
        <v>-6.5516803879553916E-3</v>
      </c>
      <c r="E698" s="841">
        <f t="shared" si="341"/>
        <v>0.34075169802705418</v>
      </c>
      <c r="F698" s="838">
        <v>7737.41</v>
      </c>
      <c r="G698" s="814">
        <f t="shared" si="342"/>
        <v>-1.461632311027007E-2</v>
      </c>
      <c r="H698" s="819">
        <f t="shared" si="343"/>
        <v>0.51961231023037491</v>
      </c>
      <c r="I698" s="863">
        <v>400512.23</v>
      </c>
      <c r="J698" s="822">
        <v>300000</v>
      </c>
      <c r="K698" s="822">
        <f t="shared" si="344"/>
        <v>1404.109999999986</v>
      </c>
      <c r="L698" s="814">
        <f t="shared" si="345"/>
        <v>3.5181193507162574E-3</v>
      </c>
      <c r="M698" s="839">
        <f t="shared" si="346"/>
        <v>100512.22999999998</v>
      </c>
      <c r="N698" s="824">
        <f t="shared" si="347"/>
        <v>0.3350407666666666</v>
      </c>
      <c r="O698" s="808">
        <f t="shared" si="348"/>
        <v>0.11383594420930231</v>
      </c>
      <c r="P698" s="839" t="b">
        <f t="shared" si="349"/>
        <v>1</v>
      </c>
      <c r="Q698" s="824">
        <f>COUNTIF(P$2:P698, TRUE)/(COUNTIF(P$2:P698,FALSE) + COUNTIF(P$2:P698, TRUE))</f>
        <v>0.4964131994261119</v>
      </c>
      <c r="R698" s="822">
        <v>303807.39</v>
      </c>
      <c r="S698" s="822">
        <f t="shared" si="338"/>
        <v>96704.839999999967</v>
      </c>
      <c r="T698" s="822">
        <v>-31335</v>
      </c>
      <c r="U698" s="822">
        <f t="shared" si="350"/>
        <v>131847.22999999998</v>
      </c>
      <c r="V698" s="824">
        <f>STDEV(D$2:D698)*SQRT(252)</f>
        <v>0.13945375345080335</v>
      </c>
      <c r="W698" s="824">
        <f>STDEV(L$2:L698)*SQRT(252)</f>
        <v>0.26663352765470749</v>
      </c>
      <c r="X698" s="823">
        <f t="shared" si="351"/>
        <v>0.83021309848863689</v>
      </c>
      <c r="Y698" s="823">
        <f t="shared" si="352"/>
        <v>0.42693784690393755</v>
      </c>
      <c r="Z698" s="829">
        <f t="shared" si="353"/>
        <v>-5.7109313603875833E-3</v>
      </c>
    </row>
    <row r="699" spans="1:26" ht="20.100000000000001" customHeight="1" x14ac:dyDescent="0.2">
      <c r="A699" s="798">
        <f t="shared" si="339"/>
        <v>1078</v>
      </c>
      <c r="B699" s="817">
        <v>43311</v>
      </c>
      <c r="C699" s="842">
        <v>2802.6</v>
      </c>
      <c r="D699" s="814">
        <f t="shared" si="340"/>
        <v>-5.7647622257303516E-3</v>
      </c>
      <c r="E699" s="841">
        <f t="shared" si="341"/>
        <v>0.33302258328418399</v>
      </c>
      <c r="F699" s="838">
        <v>7630</v>
      </c>
      <c r="G699" s="814">
        <f t="shared" si="342"/>
        <v>-1.3881906219264568E-2</v>
      </c>
      <c r="H699" s="819">
        <f t="shared" si="343"/>
        <v>0.4985171946501169</v>
      </c>
      <c r="I699" s="863">
        <v>404801.42</v>
      </c>
      <c r="J699" s="822">
        <v>300000</v>
      </c>
      <c r="K699" s="822">
        <f t="shared" si="344"/>
        <v>4289.1900000000023</v>
      </c>
      <c r="L699" s="814">
        <f t="shared" si="345"/>
        <v>1.0709260988110158E-2</v>
      </c>
      <c r="M699" s="839">
        <f t="shared" si="346"/>
        <v>104801.41999999998</v>
      </c>
      <c r="N699" s="824">
        <f t="shared" si="347"/>
        <v>0.34933806666666661</v>
      </c>
      <c r="O699" s="808">
        <f t="shared" si="348"/>
        <v>0.11836338483302411</v>
      </c>
      <c r="P699" s="839" t="b">
        <f t="shared" si="349"/>
        <v>1</v>
      </c>
      <c r="Q699" s="824">
        <f>COUNTIF(P$2:P699, TRUE)/(COUNTIF(P$2:P699,FALSE) + COUNTIF(P$2:P699, TRUE))</f>
        <v>0.49713467048710602</v>
      </c>
      <c r="R699" s="822">
        <v>290391.89</v>
      </c>
      <c r="S699" s="822">
        <f t="shared" si="338"/>
        <v>114409.52999999997</v>
      </c>
      <c r="T699" s="822">
        <v>-31137</v>
      </c>
      <c r="U699" s="822">
        <f t="shared" si="350"/>
        <v>135938.41999999998</v>
      </c>
      <c r="V699" s="824">
        <f>STDEV(D$2:D699)*SQRT(252)</f>
        <v>0.13940379006719908</v>
      </c>
      <c r="W699" s="824">
        <f>STDEV(L$2:L699)*SQRT(252)</f>
        <v>0.26651040634496115</v>
      </c>
      <c r="X699" s="823">
        <f t="shared" si="351"/>
        <v>0.8094137313172598</v>
      </c>
      <c r="Y699" s="823">
        <f t="shared" si="352"/>
        <v>0.44412293859857371</v>
      </c>
      <c r="Z699" s="829">
        <f t="shared" si="353"/>
        <v>1.6315483382482621E-2</v>
      </c>
    </row>
    <row r="700" spans="1:26" ht="20.100000000000001" customHeight="1" x14ac:dyDescent="0.2">
      <c r="A700" s="798">
        <f t="shared" si="339"/>
        <v>1079</v>
      </c>
      <c r="B700" s="817">
        <v>43312</v>
      </c>
      <c r="C700" s="842">
        <v>2816.29</v>
      </c>
      <c r="D700" s="814">
        <f t="shared" si="340"/>
        <v>4.884749875115983E-3</v>
      </c>
      <c r="E700" s="841">
        <f t="shared" si="341"/>
        <v>0.33953406518140822</v>
      </c>
      <c r="F700" s="838">
        <v>7671.78</v>
      </c>
      <c r="G700" s="814">
        <f t="shared" si="342"/>
        <v>5.4757536041939378E-3</v>
      </c>
      <c r="H700" s="819">
        <f t="shared" si="343"/>
        <v>0.50672270557966892</v>
      </c>
      <c r="I700" s="864">
        <v>404183.05</v>
      </c>
      <c r="J700" s="822">
        <v>300000</v>
      </c>
      <c r="K700" s="822">
        <f t="shared" si="344"/>
        <v>-618.36999999999534</v>
      </c>
      <c r="L700" s="814">
        <f t="shared" si="345"/>
        <v>-1.5275885148821745E-3</v>
      </c>
      <c r="M700" s="844">
        <f t="shared" si="346"/>
        <v>104183.04999999999</v>
      </c>
      <c r="N700" s="824">
        <f t="shared" si="347"/>
        <v>0.34727683333333331</v>
      </c>
      <c r="O700" s="808">
        <f t="shared" si="348"/>
        <v>0.1175559438137164</v>
      </c>
      <c r="P700" s="839" t="b">
        <f t="shared" si="349"/>
        <v>0</v>
      </c>
      <c r="Q700" s="824">
        <f>COUNTIF(P$2:P700, TRUE)/(COUNTIF(P$2:P700,FALSE) + COUNTIF(P$2:P700, TRUE))</f>
        <v>0.49642346208869814</v>
      </c>
      <c r="R700" s="822">
        <v>292466.09999999998</v>
      </c>
      <c r="S700" s="822">
        <f t="shared" si="338"/>
        <v>111716.95000000001</v>
      </c>
      <c r="T700" s="822">
        <v>-31145</v>
      </c>
      <c r="U700" s="822">
        <f t="shared" si="350"/>
        <v>135328.04999999999</v>
      </c>
      <c r="V700" s="824">
        <f>STDEV(D$2:D700)*SQRT(252)</f>
        <v>0.13932922287713678</v>
      </c>
      <c r="W700" s="824">
        <f>STDEV(L$2:L700)*SQRT(252)</f>
        <v>0.26632244353509082</v>
      </c>
      <c r="X700" s="823">
        <f t="shared" si="351"/>
        <v>0.82491636302824856</v>
      </c>
      <c r="Y700" s="823">
        <f t="shared" si="352"/>
        <v>0.44140457053979809</v>
      </c>
      <c r="Z700" s="829">
        <f t="shared" si="353"/>
        <v>7.7427681519250946E-3</v>
      </c>
    </row>
    <row r="701" spans="1:26" ht="20.100000000000001" customHeight="1" x14ac:dyDescent="0.2">
      <c r="A701" s="798">
        <f t="shared" si="339"/>
        <v>1080</v>
      </c>
      <c r="B701" s="817">
        <v>43313</v>
      </c>
      <c r="C701" s="842">
        <v>2813.36</v>
      </c>
      <c r="D701" s="814">
        <f t="shared" si="340"/>
        <v>-1.0403758135702774E-3</v>
      </c>
      <c r="E701" s="841">
        <f t="shared" si="341"/>
        <v>0.33814044633854001</v>
      </c>
      <c r="F701" s="838">
        <v>7707.28</v>
      </c>
      <c r="G701" s="814">
        <f t="shared" si="342"/>
        <v>4.6273485423200351E-3</v>
      </c>
      <c r="H701" s="819">
        <f t="shared" si="343"/>
        <v>0.51369483669501348</v>
      </c>
      <c r="I701" s="863">
        <v>400088.38</v>
      </c>
      <c r="J701" s="822">
        <v>300000</v>
      </c>
      <c r="K701" s="822">
        <f t="shared" si="344"/>
        <v>-4094.6699999999837</v>
      </c>
      <c r="L701" s="814">
        <f t="shared" si="345"/>
        <v>-1.0130731607869215E-2</v>
      </c>
      <c r="M701" s="839">
        <f t="shared" si="346"/>
        <v>100088.38</v>
      </c>
      <c r="N701" s="824">
        <f t="shared" si="347"/>
        <v>0.33362793333333335</v>
      </c>
      <c r="O701" s="808">
        <f t="shared" si="348"/>
        <v>0.11283111356481483</v>
      </c>
      <c r="P701" s="839" t="b">
        <f t="shared" si="349"/>
        <v>0</v>
      </c>
      <c r="Q701" s="824">
        <f>COUNTIF(P$2:P701, TRUE)/(COUNTIF(P$2:P701,FALSE) + COUNTIF(P$2:P701, TRUE))</f>
        <v>0.49571428571428572</v>
      </c>
      <c r="R701" s="822">
        <v>307659.33</v>
      </c>
      <c r="S701" s="822">
        <f t="shared" si="338"/>
        <v>92429.049999999988</v>
      </c>
      <c r="T701" s="822">
        <v>-31149</v>
      </c>
      <c r="U701" s="822">
        <f t="shared" si="350"/>
        <v>131237.38</v>
      </c>
      <c r="V701" s="824">
        <f>STDEV(D$2:D701)*SQRT(252)</f>
        <v>0.13923228528742781</v>
      </c>
      <c r="W701" s="824">
        <f>STDEV(L$2:L701)*SQRT(252)</f>
        <v>0.26621063577113346</v>
      </c>
      <c r="X701" s="823">
        <f t="shared" si="351"/>
        <v>0.82134125829783444</v>
      </c>
      <c r="Y701" s="823">
        <f t="shared" si="352"/>
        <v>0.42384149392820641</v>
      </c>
      <c r="Z701" s="829">
        <f t="shared" si="353"/>
        <v>-4.5125130052066642E-3</v>
      </c>
    </row>
    <row r="702" spans="1:26" ht="20.100000000000001" customHeight="1" x14ac:dyDescent="0.2">
      <c r="A702" s="798">
        <f t="shared" si="339"/>
        <v>1081</v>
      </c>
      <c r="B702" s="817">
        <v>43314</v>
      </c>
      <c r="C702" s="842">
        <v>2827.22</v>
      </c>
      <c r="D702" s="814">
        <f t="shared" si="340"/>
        <v>4.926493587738388E-3</v>
      </c>
      <c r="E702" s="841">
        <f t="shared" si="341"/>
        <v>0.3447327866669202</v>
      </c>
      <c r="F702" s="838">
        <v>7802.68</v>
      </c>
      <c r="G702" s="814">
        <f t="shared" si="342"/>
        <v>1.2377907640568469E-2</v>
      </c>
      <c r="H702" s="819">
        <f t="shared" si="343"/>
        <v>0.53243121157962969</v>
      </c>
      <c r="I702" s="863">
        <v>403196.94</v>
      </c>
      <c r="J702" s="822">
        <v>300000</v>
      </c>
      <c r="K702" s="822">
        <f t="shared" si="344"/>
        <v>3108.5599999999977</v>
      </c>
      <c r="L702" s="814">
        <f t="shared" si="345"/>
        <v>7.7696832884774046E-3</v>
      </c>
      <c r="M702" s="839">
        <f t="shared" si="346"/>
        <v>103196.94</v>
      </c>
      <c r="N702" s="824">
        <f t="shared" si="347"/>
        <v>0.34398980000000001</v>
      </c>
      <c r="O702" s="808">
        <f t="shared" si="348"/>
        <v>0.11622782095282147</v>
      </c>
      <c r="P702" s="839" t="b">
        <f t="shared" si="349"/>
        <v>1</v>
      </c>
      <c r="Q702" s="824">
        <f>COUNTIF(P$2:P702, TRUE)/(COUNTIF(P$2:P702,FALSE) + COUNTIF(P$2:P702, TRUE))</f>
        <v>0.49643366619115548</v>
      </c>
      <c r="R702" s="822">
        <v>309280.24</v>
      </c>
      <c r="S702" s="822">
        <f t="shared" si="338"/>
        <v>93916.700000000012</v>
      </c>
      <c r="T702" s="822">
        <v>-31192</v>
      </c>
      <c r="U702" s="822">
        <f t="shared" si="350"/>
        <v>134388.94</v>
      </c>
      <c r="V702" s="824">
        <f>STDEV(D$2:D702)*SQRT(252)</f>
        <v>0.13915851795625786</v>
      </c>
      <c r="W702" s="824">
        <f>STDEV(L$2:L702)*SQRT(252)</f>
        <v>0.2660543756926837</v>
      </c>
      <c r="X702" s="823">
        <f t="shared" si="351"/>
        <v>0.83702287276898191</v>
      </c>
      <c r="Y702" s="823">
        <f t="shared" si="352"/>
        <v>0.43685739296795056</v>
      </c>
      <c r="Z702" s="829">
        <f t="shared" si="353"/>
        <v>-7.4298666692018678E-4</v>
      </c>
    </row>
    <row r="703" spans="1:26" ht="20.100000000000001" customHeight="1" x14ac:dyDescent="0.2">
      <c r="A703" s="798">
        <f t="shared" si="339"/>
        <v>1082</v>
      </c>
      <c r="B703" s="817">
        <v>43315</v>
      </c>
      <c r="C703" s="842">
        <v>2840.35</v>
      </c>
      <c r="D703" s="814">
        <f t="shared" si="340"/>
        <v>4.6441380578802179E-3</v>
      </c>
      <c r="E703" s="841">
        <f t="shared" si="341"/>
        <v>0.3509779113791594</v>
      </c>
      <c r="F703" s="838">
        <v>7812.01</v>
      </c>
      <c r="G703" s="814">
        <f t="shared" si="342"/>
        <v>1.1957430011226818E-3</v>
      </c>
      <c r="H703" s="819">
        <f t="shared" si="343"/>
        <v>0.53426360547557805</v>
      </c>
      <c r="I703" s="863">
        <v>406121.93</v>
      </c>
      <c r="J703" s="822">
        <v>300000</v>
      </c>
      <c r="K703" s="822">
        <f t="shared" si="344"/>
        <v>2924.9899999999907</v>
      </c>
      <c r="L703" s="814">
        <f t="shared" si="345"/>
        <v>7.2544945405587421E-3</v>
      </c>
      <c r="M703" s="839">
        <f t="shared" si="346"/>
        <v>106121.93</v>
      </c>
      <c r="N703" s="824">
        <f t="shared" si="347"/>
        <v>0.35373976666666662</v>
      </c>
      <c r="O703" s="808">
        <f t="shared" si="348"/>
        <v>0.11941169110443622</v>
      </c>
      <c r="P703" s="839" t="b">
        <f t="shared" si="349"/>
        <v>1</v>
      </c>
      <c r="Q703" s="824">
        <f>COUNTIF(P$2:P703, TRUE)/(COUNTIF(P$2:P703,FALSE) + COUNTIF(P$2:P703, TRUE))</f>
        <v>0.49715099715099714</v>
      </c>
      <c r="R703" s="822">
        <v>312205.21999999997</v>
      </c>
      <c r="S703" s="822">
        <f t="shared" si="338"/>
        <v>93916.710000000021</v>
      </c>
      <c r="T703" s="822">
        <v>-31000</v>
      </c>
      <c r="U703" s="822">
        <f t="shared" si="350"/>
        <v>137121.93</v>
      </c>
      <c r="V703" s="824">
        <f>STDEV(D$2:D703)*SQRT(252)</f>
        <v>0.1390816932746255</v>
      </c>
      <c r="W703" s="824">
        <f>STDEV(L$2:L703)*SQRT(252)</f>
        <v>0.2658936052973383</v>
      </c>
      <c r="X703" s="823">
        <f t="shared" si="351"/>
        <v>0.85186893195189872</v>
      </c>
      <c r="Y703" s="823">
        <f t="shared" si="352"/>
        <v>0.44909576133244294</v>
      </c>
      <c r="Z703" s="829">
        <f t="shared" si="353"/>
        <v>2.76185528750722E-3</v>
      </c>
    </row>
    <row r="704" spans="1:26" ht="20.100000000000001" customHeight="1" x14ac:dyDescent="0.2">
      <c r="A704" s="798">
        <f t="shared" si="339"/>
        <v>1085</v>
      </c>
      <c r="B704" s="817">
        <v>43318</v>
      </c>
      <c r="C704" s="842">
        <v>2850.4</v>
      </c>
      <c r="D704" s="814">
        <f t="shared" si="340"/>
        <v>3.5382963367191307E-3</v>
      </c>
      <c r="E704" s="841">
        <f t="shared" si="341"/>
        <v>0.35575807157398071</v>
      </c>
      <c r="F704" s="838">
        <v>7859.67</v>
      </c>
      <c r="G704" s="814">
        <f t="shared" si="342"/>
        <v>6.1008626461051445E-3</v>
      </c>
      <c r="H704" s="819">
        <f t="shared" si="343"/>
        <v>0.5436239369955026</v>
      </c>
      <c r="I704" s="863">
        <v>404173.08</v>
      </c>
      <c r="J704" s="822">
        <v>300000</v>
      </c>
      <c r="K704" s="822">
        <f t="shared" si="344"/>
        <v>-1948.8499999999767</v>
      </c>
      <c r="L704" s="814">
        <f t="shared" si="345"/>
        <v>-4.7986820115820308E-3</v>
      </c>
      <c r="M704" s="839">
        <f t="shared" si="346"/>
        <v>104173.08000000002</v>
      </c>
      <c r="N704" s="824">
        <f t="shared" si="347"/>
        <v>0.34724360000000004</v>
      </c>
      <c r="O704" s="808">
        <f t="shared" si="348"/>
        <v>0.11689467732718894</v>
      </c>
      <c r="P704" s="839" t="b">
        <f t="shared" si="349"/>
        <v>0</v>
      </c>
      <c r="Q704" s="824">
        <f>COUNTIF(P$2:P704, TRUE)/(COUNTIF(P$2:P704,FALSE) + COUNTIF(P$2:P704, TRUE))</f>
        <v>0.49644381223328593</v>
      </c>
      <c r="R704" s="822">
        <v>313010.24</v>
      </c>
      <c r="S704" s="822">
        <f t="shared" si="338"/>
        <v>91162.840000000026</v>
      </c>
      <c r="T704" s="822">
        <v>-32858</v>
      </c>
      <c r="U704" s="822">
        <f t="shared" si="350"/>
        <v>137031.08000000002</v>
      </c>
      <c r="V704" s="824">
        <f>STDEV(D$2:D704)*SQRT(252)</f>
        <v>0.13899463239959842</v>
      </c>
      <c r="W704" s="824">
        <f>STDEV(L$2:L704)*SQRT(252)</f>
        <v>0.26572413352504948</v>
      </c>
      <c r="X704" s="823">
        <f t="shared" si="351"/>
        <v>0.86162287306763052</v>
      </c>
      <c r="Y704" s="823">
        <f t="shared" si="352"/>
        <v>0.43990990120650608</v>
      </c>
      <c r="Z704" s="829">
        <f t="shared" si="353"/>
        <v>-8.5144715739806642E-3</v>
      </c>
    </row>
    <row r="705" spans="1:26" ht="20.100000000000001" customHeight="1" x14ac:dyDescent="0.2">
      <c r="A705" s="798">
        <f t="shared" si="339"/>
        <v>1086</v>
      </c>
      <c r="B705" s="817">
        <v>43319</v>
      </c>
      <c r="C705" s="842">
        <v>2858.45</v>
      </c>
      <c r="D705" s="814">
        <f t="shared" si="340"/>
        <v>2.8241650294694525E-3</v>
      </c>
      <c r="E705" s="841">
        <f t="shared" si="341"/>
        <v>0.3595869561081409</v>
      </c>
      <c r="F705" s="838">
        <v>7883.66</v>
      </c>
      <c r="G705" s="814">
        <f t="shared" si="342"/>
        <v>3.0522909994948619E-3</v>
      </c>
      <c r="H705" s="819">
        <f t="shared" si="343"/>
        <v>0.54833552644499872</v>
      </c>
      <c r="I705" s="863">
        <v>403006.24</v>
      </c>
      <c r="J705" s="822">
        <v>300000</v>
      </c>
      <c r="K705" s="822">
        <f t="shared" si="344"/>
        <v>-1166.8400000000256</v>
      </c>
      <c r="L705" s="814">
        <f t="shared" si="345"/>
        <v>-2.8869809933903209E-3</v>
      </c>
      <c r="M705" s="839">
        <f t="shared" si="346"/>
        <v>103006.23999999999</v>
      </c>
      <c r="N705" s="824">
        <f t="shared" si="347"/>
        <v>0.34335413333333331</v>
      </c>
      <c r="O705" s="808">
        <f t="shared" si="348"/>
        <v>0.11547891086556168</v>
      </c>
      <c r="P705" s="839" t="b">
        <f t="shared" si="349"/>
        <v>0</v>
      </c>
      <c r="Q705" s="824">
        <f>COUNTIF(P$2:P705, TRUE)/(COUNTIF(P$2:P705,FALSE) + COUNTIF(P$2:P705, TRUE))</f>
        <v>0.49573863636363635</v>
      </c>
      <c r="R705" s="822">
        <v>318253</v>
      </c>
      <c r="S705" s="822">
        <f t="shared" si="338"/>
        <v>84753.239999999991</v>
      </c>
      <c r="T705" s="822">
        <v>-33618</v>
      </c>
      <c r="U705" s="822">
        <f t="shared" si="350"/>
        <v>136624.24</v>
      </c>
      <c r="V705" s="824">
        <f>STDEV(D$2:D705)*SQRT(252)</f>
        <v>0.13890273764231756</v>
      </c>
      <c r="W705" s="824">
        <f>STDEV(L$2:L705)*SQRT(252)</f>
        <v>0.26554333708806838</v>
      </c>
      <c r="X705" s="823">
        <f t="shared" si="351"/>
        <v>0.87066988550967461</v>
      </c>
      <c r="Y705" s="823">
        <f t="shared" si="352"/>
        <v>0.43487783249203765</v>
      </c>
      <c r="Z705" s="829">
        <f t="shared" si="353"/>
        <v>-1.6232822774807587E-2</v>
      </c>
    </row>
    <row r="706" spans="1:26" ht="20.100000000000001" customHeight="1" x14ac:dyDescent="0.2">
      <c r="A706" s="798">
        <f t="shared" si="339"/>
        <v>1087</v>
      </c>
      <c r="B706" s="817">
        <v>43320</v>
      </c>
      <c r="C706" s="842">
        <v>2857.7</v>
      </c>
      <c r="D706" s="814">
        <f t="shared" si="340"/>
        <v>-2.6237996116776574E-4</v>
      </c>
      <c r="E706" s="841">
        <f t="shared" si="341"/>
        <v>0.35923022773539304</v>
      </c>
      <c r="F706" s="838">
        <v>7888.32</v>
      </c>
      <c r="G706" s="814">
        <f t="shared" si="342"/>
        <v>5.9109601378038302E-4</v>
      </c>
      <c r="H706" s="819">
        <f t="shared" si="343"/>
        <v>0.54925074140267494</v>
      </c>
      <c r="I706" s="863">
        <v>400744.76</v>
      </c>
      <c r="J706" s="822">
        <v>300000</v>
      </c>
      <c r="K706" s="822">
        <f t="shared" si="344"/>
        <v>-2261.4799999999814</v>
      </c>
      <c r="L706" s="814">
        <f t="shared" si="345"/>
        <v>-5.6115260150810106E-3</v>
      </c>
      <c r="M706" s="839">
        <f t="shared" si="346"/>
        <v>100744.76000000001</v>
      </c>
      <c r="N706" s="824">
        <f t="shared" si="347"/>
        <v>0.33581586666666668</v>
      </c>
      <c r="O706" s="808">
        <f t="shared" si="348"/>
        <v>0.11283969208831647</v>
      </c>
      <c r="P706" s="839" t="b">
        <f t="shared" si="349"/>
        <v>0</v>
      </c>
      <c r="Q706" s="824">
        <f>COUNTIF(P$2:P706, TRUE)/(COUNTIF(P$2:P706,FALSE) + COUNTIF(P$2:P706, TRUE))</f>
        <v>0.49503546099290779</v>
      </c>
      <c r="R706" s="822">
        <v>294990.73</v>
      </c>
      <c r="S706" s="822">
        <f t="shared" si="338"/>
        <v>105754.03000000003</v>
      </c>
      <c r="T706" s="822">
        <v>-34252</v>
      </c>
      <c r="U706" s="822">
        <f t="shared" si="350"/>
        <v>134996.76</v>
      </c>
      <c r="V706" s="824">
        <f>STDEV(D$2:D706)*SQRT(252)</f>
        <v>0.13880461129455129</v>
      </c>
      <c r="W706" s="824">
        <f>STDEV(L$2:L706)*SQRT(252)</f>
        <v>0.2653809631222358</v>
      </c>
      <c r="X706" s="823">
        <f t="shared" si="351"/>
        <v>0.86962028140096148</v>
      </c>
      <c r="Y706" s="823">
        <f t="shared" si="352"/>
        <v>0.42519889430178132</v>
      </c>
      <c r="Z706" s="829">
        <f t="shared" si="353"/>
        <v>-2.3414361068726353E-2</v>
      </c>
    </row>
    <row r="707" spans="1:26" ht="20.100000000000001" customHeight="1" x14ac:dyDescent="0.2">
      <c r="A707" s="798">
        <f t="shared" si="339"/>
        <v>1088</v>
      </c>
      <c r="B707" s="817">
        <v>43321</v>
      </c>
      <c r="C707" s="842">
        <v>2853.58</v>
      </c>
      <c r="D707" s="814">
        <f t="shared" si="340"/>
        <v>-1.4417188648213218E-3</v>
      </c>
      <c r="E707" s="841">
        <f t="shared" si="341"/>
        <v>0.35727059987443155</v>
      </c>
      <c r="F707" s="838">
        <v>7891.78</v>
      </c>
      <c r="G707" s="814">
        <f t="shared" si="342"/>
        <v>4.3862317958703965E-4</v>
      </c>
      <c r="H707" s="819">
        <f t="shared" si="343"/>
        <v>0.54993027868884659</v>
      </c>
      <c r="I707" s="863">
        <v>401364.9</v>
      </c>
      <c r="J707" s="822">
        <v>300000</v>
      </c>
      <c r="K707" s="822">
        <f t="shared" si="344"/>
        <v>620.14000000001397</v>
      </c>
      <c r="L707" s="814">
        <f t="shared" si="345"/>
        <v>1.5474687679010799E-3</v>
      </c>
      <c r="M707" s="839">
        <f t="shared" si="346"/>
        <v>101364.90000000002</v>
      </c>
      <c r="N707" s="824">
        <f t="shared" si="347"/>
        <v>0.3378830000000001</v>
      </c>
      <c r="O707" s="808">
        <f t="shared" si="348"/>
        <v>0.11342993175551473</v>
      </c>
      <c r="P707" s="839" t="b">
        <f t="shared" si="349"/>
        <v>1</v>
      </c>
      <c r="Q707" s="824">
        <f>COUNTIF(P$2:P707, TRUE)/(COUNTIF(P$2:P707,FALSE) + COUNTIF(P$2:P707, TRUE))</f>
        <v>0.49575070821529743</v>
      </c>
      <c r="R707" s="822">
        <v>304574.90999999997</v>
      </c>
      <c r="S707" s="822">
        <f t="shared" si="338"/>
        <v>96789.990000000049</v>
      </c>
      <c r="T707" s="822">
        <v>-34162</v>
      </c>
      <c r="U707" s="822">
        <f t="shared" si="350"/>
        <v>135526.90000000002</v>
      </c>
      <c r="V707" s="824">
        <f>STDEV(D$2:D707)*SQRT(252)</f>
        <v>0.13871072335629728</v>
      </c>
      <c r="W707" s="824">
        <f>STDEV(L$2:L707)*SQRT(252)</f>
        <v>0.26519295255991954</v>
      </c>
      <c r="X707" s="823">
        <f t="shared" si="351"/>
        <v>0.8646663777317245</v>
      </c>
      <c r="Y707" s="823">
        <f t="shared" si="352"/>
        <v>0.42772604121101443</v>
      </c>
      <c r="Z707" s="829">
        <f t="shared" si="353"/>
        <v>-1.9387599874431449E-2</v>
      </c>
    </row>
    <row r="708" spans="1:26" ht="20.100000000000001" customHeight="1" x14ac:dyDescent="0.2">
      <c r="A708" s="798">
        <f t="shared" si="339"/>
        <v>1089</v>
      </c>
      <c r="B708" s="817">
        <v>43322</v>
      </c>
      <c r="C708" s="842">
        <v>2833.28</v>
      </c>
      <c r="D708" s="814">
        <f t="shared" si="340"/>
        <v>-7.1138709971333303E-3</v>
      </c>
      <c r="E708" s="841">
        <f t="shared" si="341"/>
        <v>0.34761515191872305</v>
      </c>
      <c r="F708" s="838">
        <v>7839.11</v>
      </c>
      <c r="G708" s="814">
        <f t="shared" si="342"/>
        <v>-6.6740329811525506E-3</v>
      </c>
      <c r="H708" s="819">
        <f t="shared" si="343"/>
        <v>0.53958599289039022</v>
      </c>
      <c r="I708" s="863">
        <v>400580.36</v>
      </c>
      <c r="J708" s="822">
        <v>300000</v>
      </c>
      <c r="K708" s="822">
        <f t="shared" si="344"/>
        <v>-784.54000000003725</v>
      </c>
      <c r="L708" s="814">
        <f t="shared" si="345"/>
        <v>-1.9546801426832223E-3</v>
      </c>
      <c r="M708" s="839">
        <f t="shared" si="346"/>
        <v>100580.35999999999</v>
      </c>
      <c r="N708" s="824">
        <f t="shared" si="347"/>
        <v>0.33526786666666664</v>
      </c>
      <c r="O708" s="808">
        <f t="shared" si="348"/>
        <v>0.11244865775941229</v>
      </c>
      <c r="P708" s="839" t="b">
        <f t="shared" si="349"/>
        <v>1</v>
      </c>
      <c r="Q708" s="824">
        <f>COUNTIF(P$2:P708, TRUE)/(COUNTIF(P$2:P708,FALSE) + COUNTIF(P$2:P708, TRUE))</f>
        <v>0.49646393210749645</v>
      </c>
      <c r="R708" s="822">
        <v>303790.27</v>
      </c>
      <c r="S708" s="822">
        <f t="shared" si="338"/>
        <v>96790.089999999967</v>
      </c>
      <c r="T708" s="822">
        <v>-34222</v>
      </c>
      <c r="U708" s="822">
        <f t="shared" si="350"/>
        <v>134802.35999999999</v>
      </c>
      <c r="V708" s="824">
        <f>STDEV(D$2:D708)*SQRT(252)</f>
        <v>0.13868637564219252</v>
      </c>
      <c r="W708" s="824">
        <f>STDEV(L$2:L708)*SQRT(252)</f>
        <v>0.26500939544091756</v>
      </c>
      <c r="X708" s="823">
        <f t="shared" si="351"/>
        <v>0.84067328092010429</v>
      </c>
      <c r="Y708" s="823">
        <f t="shared" si="352"/>
        <v>0.42431951354902858</v>
      </c>
      <c r="Z708" s="829">
        <f t="shared" si="353"/>
        <v>-1.2347285252056417E-2</v>
      </c>
    </row>
    <row r="709" spans="1:26" ht="20.100000000000001" customHeight="1" x14ac:dyDescent="0.2">
      <c r="A709" s="798">
        <f t="shared" si="339"/>
        <v>1092</v>
      </c>
      <c r="B709" s="817">
        <v>43325</v>
      </c>
      <c r="C709" s="842">
        <v>2821.93</v>
      </c>
      <c r="D709" s="814">
        <f t="shared" si="340"/>
        <v>-4.0059577592050071E-3</v>
      </c>
      <c r="E709" s="841">
        <f t="shared" si="341"/>
        <v>0.34221666254447203</v>
      </c>
      <c r="F709" s="838">
        <v>7819.7</v>
      </c>
      <c r="G709" s="814">
        <f t="shared" si="342"/>
        <v>-2.4760463879190181E-3</v>
      </c>
      <c r="H709" s="819">
        <f t="shared" si="343"/>
        <v>0.5357739065538033</v>
      </c>
      <c r="I709" s="863">
        <v>398850.59</v>
      </c>
      <c r="J709" s="822">
        <v>300000</v>
      </c>
      <c r="K709" s="822">
        <f t="shared" si="344"/>
        <v>-1729.7699999999604</v>
      </c>
      <c r="L709" s="814">
        <f t="shared" si="345"/>
        <v>-4.3181597819722381E-3</v>
      </c>
      <c r="M709" s="839">
        <f t="shared" si="346"/>
        <v>98850.590000000026</v>
      </c>
      <c r="N709" s="824">
        <f t="shared" si="347"/>
        <v>0.32950196666666676</v>
      </c>
      <c r="O709" s="808">
        <f t="shared" si="348"/>
        <v>0.11021116604853483</v>
      </c>
      <c r="P709" s="839" t="b">
        <f t="shared" si="349"/>
        <v>0</v>
      </c>
      <c r="Q709" s="824">
        <f>COUNTIF(P$2:P709, TRUE)/(COUNTIF(P$2:P709,FALSE) + COUNTIF(P$2:P709, TRUE))</f>
        <v>0.49576271186440679</v>
      </c>
      <c r="R709" s="822">
        <v>330648.52</v>
      </c>
      <c r="S709" s="822">
        <f t="shared" si="338"/>
        <v>68202.070000000007</v>
      </c>
      <c r="T709" s="822">
        <v>-34607</v>
      </c>
      <c r="U709" s="822">
        <f t="shared" si="350"/>
        <v>133457.59000000003</v>
      </c>
      <c r="V709" s="824">
        <f>STDEV(D$2:D709)*SQRT(252)</f>
        <v>0.13861377569377581</v>
      </c>
      <c r="W709" s="824">
        <f>STDEV(L$2:L709)*SQRT(252)</f>
        <v>0.26483827026358581</v>
      </c>
      <c r="X709" s="823">
        <f t="shared" si="351"/>
        <v>0.82577616692779432</v>
      </c>
      <c r="Y709" s="823">
        <f t="shared" si="352"/>
        <v>0.41614516640229099</v>
      </c>
      <c r="Z709" s="829">
        <f t="shared" si="353"/>
        <v>-1.2714695877805271E-2</v>
      </c>
    </row>
    <row r="710" spans="1:26" ht="20.100000000000001" customHeight="1" x14ac:dyDescent="0.2">
      <c r="A710" s="798">
        <f t="shared" si="339"/>
        <v>1093</v>
      </c>
      <c r="B710" s="817">
        <v>43326</v>
      </c>
      <c r="C710" s="842">
        <v>2839.96</v>
      </c>
      <c r="D710" s="814">
        <f t="shared" si="340"/>
        <v>6.3892442406438855E-3</v>
      </c>
      <c r="E710" s="841">
        <f t="shared" si="341"/>
        <v>0.35079241262533056</v>
      </c>
      <c r="F710" s="838">
        <v>7870.89</v>
      </c>
      <c r="G710" s="814">
        <f t="shared" si="342"/>
        <v>6.5462869419543601E-3</v>
      </c>
      <c r="H710" s="819">
        <f t="shared" si="343"/>
        <v>0.54582752322407069</v>
      </c>
      <c r="I710" s="863">
        <v>402192.82</v>
      </c>
      <c r="J710" s="822">
        <v>300000</v>
      </c>
      <c r="K710" s="822">
        <f t="shared" si="344"/>
        <v>3342.2299999999814</v>
      </c>
      <c r="L710" s="814">
        <f t="shared" si="345"/>
        <v>8.3796541456789154E-3</v>
      </c>
      <c r="M710" s="839">
        <f t="shared" si="346"/>
        <v>102192.82</v>
      </c>
      <c r="N710" s="824">
        <f t="shared" si="347"/>
        <v>0.34064273333333334</v>
      </c>
      <c r="O710" s="808">
        <f t="shared" si="348"/>
        <v>0.11383326473010065</v>
      </c>
      <c r="P710" s="839" t="b">
        <f t="shared" si="349"/>
        <v>1</v>
      </c>
      <c r="Q710" s="824">
        <f>COUNTIF(P$2:P710, TRUE)/(COUNTIF(P$2:P710,FALSE) + COUNTIF(P$2:P710, TRUE))</f>
        <v>0.49647390691114246</v>
      </c>
      <c r="R710" s="822">
        <v>322081.89</v>
      </c>
      <c r="S710" s="822">
        <f t="shared" si="338"/>
        <v>80110.929999999993</v>
      </c>
      <c r="T710" s="822">
        <v>-34307</v>
      </c>
      <c r="U710" s="822">
        <f t="shared" si="350"/>
        <v>136499.82</v>
      </c>
      <c r="V710" s="824">
        <f>STDEV(D$2:D710)*SQRT(252)</f>
        <v>0.1385609570709799</v>
      </c>
      <c r="W710" s="824">
        <f>STDEV(L$2:L710)*SQRT(252)</f>
        <v>0.26469113136530925</v>
      </c>
      <c r="X710" s="823">
        <f t="shared" si="351"/>
        <v>0.84601756420865371</v>
      </c>
      <c r="Y710" s="823">
        <f t="shared" si="352"/>
        <v>0.43006074341416251</v>
      </c>
      <c r="Z710" s="829">
        <f t="shared" si="353"/>
        <v>-1.0149679291997227E-2</v>
      </c>
    </row>
    <row r="711" spans="1:26" ht="20.100000000000001" customHeight="1" x14ac:dyDescent="0.2">
      <c r="A711" s="798">
        <f t="shared" si="339"/>
        <v>1094</v>
      </c>
      <c r="B711" s="817">
        <v>43327</v>
      </c>
      <c r="C711" s="842">
        <v>2818.37</v>
      </c>
      <c r="D711" s="814">
        <f t="shared" si="340"/>
        <v>-7.6022197495739892E-3</v>
      </c>
      <c r="E711" s="841">
        <f t="shared" si="341"/>
        <v>0.34052339186849556</v>
      </c>
      <c r="F711" s="838">
        <v>7774.11</v>
      </c>
      <c r="G711" s="814">
        <f t="shared" si="342"/>
        <v>-1.2295941119746388E-2</v>
      </c>
      <c r="H711" s="819">
        <f t="shared" si="343"/>
        <v>0.52682011901722414</v>
      </c>
      <c r="I711" s="863">
        <v>438277.71</v>
      </c>
      <c r="J711" s="822">
        <v>340000</v>
      </c>
      <c r="K711" s="822">
        <f t="shared" si="344"/>
        <v>-3915.109999999986</v>
      </c>
      <c r="L711" s="814">
        <f t="shared" si="345"/>
        <v>-9.7344104750551885E-3</v>
      </c>
      <c r="M711" s="839">
        <f t="shared" si="346"/>
        <v>98277.710000000021</v>
      </c>
      <c r="N711" s="824">
        <f t="shared" si="347"/>
        <v>0.28905208823529416</v>
      </c>
      <c r="O711" s="808">
        <f t="shared" si="348"/>
        <v>9.6504821963383183E-2</v>
      </c>
      <c r="P711" s="839" t="b">
        <f t="shared" si="349"/>
        <v>0</v>
      </c>
      <c r="Q711" s="824">
        <f>COUNTIF(P$2:P711, TRUE)/(COUNTIF(P$2:P711,FALSE) + COUNTIF(P$2:P711, TRUE))</f>
        <v>0.49577464788732395</v>
      </c>
      <c r="R711" s="822">
        <v>355153.09</v>
      </c>
      <c r="S711" s="822">
        <f t="shared" si="338"/>
        <v>83124.62</v>
      </c>
      <c r="T711" s="822">
        <v>-33947</v>
      </c>
      <c r="U711" s="822">
        <f t="shared" si="350"/>
        <v>132224.71000000002</v>
      </c>
      <c r="V711" s="824">
        <f>STDEV(D$2:D711)*SQRT(252)</f>
        <v>0.1385465281537335</v>
      </c>
      <c r="W711" s="824">
        <f>STDEV(L$2:L711)*SQRT(252)</f>
        <v>0.26457666476506175</v>
      </c>
      <c r="X711" s="823">
        <f t="shared" si="351"/>
        <v>0.82058619424279822</v>
      </c>
      <c r="Y711" s="823">
        <f t="shared" si="352"/>
        <v>0.3647518274110732</v>
      </c>
      <c r="Z711" s="829">
        <f t="shared" si="353"/>
        <v>-5.1471303633201404E-2</v>
      </c>
    </row>
    <row r="712" spans="1:26" ht="20.100000000000001" customHeight="1" x14ac:dyDescent="0.2">
      <c r="A712" s="798">
        <f t="shared" si="339"/>
        <v>1095</v>
      </c>
      <c r="B712" s="817">
        <v>43328</v>
      </c>
      <c r="C712" s="842">
        <v>2840.69</v>
      </c>
      <c r="D712" s="814">
        <f t="shared" si="340"/>
        <v>7.9194711836984375E-3</v>
      </c>
      <c r="E712" s="841">
        <f t="shared" ref="E712:E737" si="354">(C712-$C$2)/$C$2</f>
        <v>0.35113962824147182</v>
      </c>
      <c r="F712" s="838">
        <v>7806.52</v>
      </c>
      <c r="G712" s="814">
        <f t="shared" si="342"/>
        <v>4.1689659652359903E-3</v>
      </c>
      <c r="H712" s="819">
        <f t="shared" ref="H712:H737" si="355">(F712-F$2)/F$2</f>
        <v>0.53318538012844452</v>
      </c>
      <c r="I712" s="863">
        <v>442870.6</v>
      </c>
      <c r="J712" s="822">
        <v>340000</v>
      </c>
      <c r="K712" s="822">
        <f t="shared" ref="K712:K737" si="356">I712-I711-J712+J711</f>
        <v>4592.8899999999558</v>
      </c>
      <c r="L712" s="814">
        <f t="shared" ref="L712:L737" si="357">K712/I711</f>
        <v>1.0479405854338236E-2</v>
      </c>
      <c r="M712" s="839">
        <f t="shared" ref="M712:M737" si="358">I712-J712</f>
        <v>102870.59999999998</v>
      </c>
      <c r="N712" s="824">
        <f t="shared" ref="N712:N737" si="359">M712/J712</f>
        <v>0.30256058823529403</v>
      </c>
      <c r="O712" s="808">
        <f t="shared" ref="O712:O737" si="360">N712/(A712/365.25)</f>
        <v>0.10092260717163576</v>
      </c>
      <c r="P712" s="839" t="b">
        <f t="shared" ref="P712:P737" si="361">L712&gt;D712</f>
        <v>1</v>
      </c>
      <c r="Q712" s="824">
        <f>COUNTIF(P$2:P712, TRUE)/(COUNTIF(P$2:P712,FALSE) + COUNTIF(P$2:P712, TRUE))</f>
        <v>0.49648382559774967</v>
      </c>
      <c r="R712" s="822">
        <v>353121.13</v>
      </c>
      <c r="S712" s="822">
        <f t="shared" ref="S712:S737" si="362">I712-R712</f>
        <v>89749.469999999972</v>
      </c>
      <c r="T712" s="822">
        <v>-33317</v>
      </c>
      <c r="U712" s="822">
        <f t="shared" ref="U712:U737" si="363">M712-T712</f>
        <v>136187.59999999998</v>
      </c>
      <c r="V712" s="824">
        <f>STDEV(D$2:D712)*SQRT(252)</f>
        <v>0.13852025737304866</v>
      </c>
      <c r="W712" s="824">
        <f>STDEV(L$2:L712)*SQRT(252)</f>
        <v>0.26445497109682869</v>
      </c>
      <c r="X712" s="823">
        <f t="shared" ref="X712:X737" si="364">E712/(A712/365.25)/V712</f>
        <v>0.84555655492769455</v>
      </c>
      <c r="Y712" s="823">
        <f t="shared" ref="Y712:Y737" si="365">O712/W712</f>
        <v>0.38162491993649655</v>
      </c>
      <c r="Z712" s="829">
        <f t="shared" ref="Z712:Z737" si="366">-(E712-N712)</f>
        <v>-4.8579040006177798E-2</v>
      </c>
    </row>
    <row r="713" spans="1:26" ht="20.100000000000001" customHeight="1" x14ac:dyDescent="0.2">
      <c r="A713" s="798">
        <f t="shared" ref="A713:A737" si="367">B713-$B$2</f>
        <v>1096</v>
      </c>
      <c r="B713" s="817">
        <v>43329</v>
      </c>
      <c r="C713" s="842">
        <v>2850.13</v>
      </c>
      <c r="D713" s="814">
        <f t="shared" ref="D713:D737" si="368">(C713-C712)/C712</f>
        <v>3.3231362802699535E-3</v>
      </c>
      <c r="E713" s="841">
        <f t="shared" si="354"/>
        <v>0.35562964935979152</v>
      </c>
      <c r="F713" s="838">
        <v>7816.33</v>
      </c>
      <c r="G713" s="814">
        <f t="shared" ref="G713:G737" si="369">(F713-F712)/F712</f>
        <v>1.2566418839635959E-3</v>
      </c>
      <c r="H713" s="819">
        <f t="shared" si="355"/>
        <v>0.53511204509299448</v>
      </c>
      <c r="I713" s="863">
        <v>446704.3</v>
      </c>
      <c r="J713" s="822">
        <v>340000</v>
      </c>
      <c r="K713" s="822">
        <f t="shared" si="356"/>
        <v>3833.7000000000116</v>
      </c>
      <c r="L713" s="814">
        <f t="shared" si="357"/>
        <v>8.656478890222136E-3</v>
      </c>
      <c r="M713" s="839">
        <f t="shared" si="358"/>
        <v>106704.29999999999</v>
      </c>
      <c r="N713" s="824">
        <f t="shared" si="359"/>
        <v>0.3138361764705882</v>
      </c>
      <c r="O713" s="808">
        <f t="shared" si="360"/>
        <v>0.10458819658383424</v>
      </c>
      <c r="P713" s="839" t="b">
        <f t="shared" si="361"/>
        <v>1</v>
      </c>
      <c r="Q713" s="824">
        <f>COUNTIF(P$2:P713, TRUE)/(COUNTIF(P$2:P713,FALSE) + COUNTIF(P$2:P713, TRUE))</f>
        <v>0.49719101123595505</v>
      </c>
      <c r="R713" s="822">
        <v>328982.65000000002</v>
      </c>
      <c r="S713" s="822">
        <f t="shared" si="362"/>
        <v>117721.64999999997</v>
      </c>
      <c r="T713" s="822">
        <v>-33012</v>
      </c>
      <c r="U713" s="822">
        <f t="shared" si="363"/>
        <v>139716.29999999999</v>
      </c>
      <c r="V713" s="824">
        <f>STDEV(D$2:D713)*SQRT(252)</f>
        <v>0.13843315342520635</v>
      </c>
      <c r="W713" s="824">
        <f>STDEV(L$2:L713)*SQRT(252)</f>
        <v>0.2643115961929387</v>
      </c>
      <c r="X713" s="823">
        <f t="shared" si="364"/>
        <v>0.85612567187555921</v>
      </c>
      <c r="Y713" s="823">
        <f t="shared" si="365"/>
        <v>0.39570037066208902</v>
      </c>
      <c r="Z713" s="829">
        <f t="shared" si="366"/>
        <v>-4.179347288920332E-2</v>
      </c>
    </row>
    <row r="714" spans="1:26" ht="20.100000000000001" customHeight="1" x14ac:dyDescent="0.2">
      <c r="A714" s="798">
        <f t="shared" si="367"/>
        <v>1099</v>
      </c>
      <c r="B714" s="817">
        <v>43332</v>
      </c>
      <c r="C714" s="842">
        <v>2857.05</v>
      </c>
      <c r="D714" s="814">
        <f t="shared" si="368"/>
        <v>2.4279594264121542E-3</v>
      </c>
      <c r="E714" s="841">
        <f t="shared" si="354"/>
        <v>0.3589210631456784</v>
      </c>
      <c r="F714" s="838">
        <v>7821</v>
      </c>
      <c r="G714" s="814">
        <f t="shared" si="369"/>
        <v>5.9746709773001816E-4</v>
      </c>
      <c r="H714" s="819">
        <f t="shared" si="355"/>
        <v>0.53602922403126663</v>
      </c>
      <c r="I714" s="863">
        <v>448608.02</v>
      </c>
      <c r="J714" s="822">
        <v>340000</v>
      </c>
      <c r="K714" s="822">
        <f t="shared" si="356"/>
        <v>1903.7200000000303</v>
      </c>
      <c r="L714" s="814">
        <f t="shared" si="357"/>
        <v>4.2617006373120436E-3</v>
      </c>
      <c r="M714" s="839">
        <f t="shared" si="358"/>
        <v>108608.02000000002</v>
      </c>
      <c r="N714" s="824">
        <f t="shared" si="359"/>
        <v>0.31943535294117653</v>
      </c>
      <c r="O714" s="808">
        <f t="shared" si="360"/>
        <v>0.1061635693009688</v>
      </c>
      <c r="P714" s="839" t="b">
        <f t="shared" si="361"/>
        <v>1</v>
      </c>
      <c r="Q714" s="824">
        <f>COUNTIF(P$2:P714, TRUE)/(COUNTIF(P$2:P714,FALSE) + COUNTIF(P$2:P714, TRUE))</f>
        <v>0.49789621318373073</v>
      </c>
      <c r="R714" s="822">
        <v>318233.58</v>
      </c>
      <c r="S714" s="822">
        <f t="shared" si="362"/>
        <v>130374.44</v>
      </c>
      <c r="T714" s="822">
        <v>-32687</v>
      </c>
      <c r="U714" s="822">
        <f t="shared" si="363"/>
        <v>141295.02000000002</v>
      </c>
      <c r="V714" s="824">
        <f>STDEV(D$2:D714)*SQRT(252)</f>
        <v>0.13834069219200648</v>
      </c>
      <c r="W714" s="824">
        <f>STDEV(L$2:L714)*SQRT(252)</f>
        <v>0.26413431736495274</v>
      </c>
      <c r="X714" s="823">
        <f t="shared" si="364"/>
        <v>0.86226653912250995</v>
      </c>
      <c r="Y714" s="823">
        <f t="shared" si="365"/>
        <v>0.40193023897869073</v>
      </c>
      <c r="Z714" s="829">
        <f t="shared" si="366"/>
        <v>-3.9485710204501867E-2</v>
      </c>
    </row>
    <row r="715" spans="1:26" ht="20.100000000000001" customHeight="1" x14ac:dyDescent="0.2">
      <c r="A715" s="798">
        <f t="shared" si="367"/>
        <v>1100</v>
      </c>
      <c r="B715" s="817">
        <v>43333</v>
      </c>
      <c r="C715" s="842">
        <v>2862.96</v>
      </c>
      <c r="D715" s="814">
        <f t="shared" si="368"/>
        <v>2.0685672284348729E-3</v>
      </c>
      <c r="E715" s="841">
        <f t="shared" si="354"/>
        <v>0.36173208272293145</v>
      </c>
      <c r="F715" s="838">
        <v>7859.19</v>
      </c>
      <c r="G715" s="814">
        <f t="shared" si="369"/>
        <v>4.8830072880705283E-3</v>
      </c>
      <c r="H715" s="819">
        <f t="shared" si="355"/>
        <v>0.54352966592690066</v>
      </c>
      <c r="I715" s="863">
        <v>450054.3</v>
      </c>
      <c r="J715" s="822">
        <v>340000</v>
      </c>
      <c r="K715" s="822">
        <f t="shared" si="356"/>
        <v>1446.2799999999697</v>
      </c>
      <c r="L715" s="814">
        <f t="shared" si="357"/>
        <v>3.2239280965150148E-3</v>
      </c>
      <c r="M715" s="839">
        <f t="shared" si="358"/>
        <v>110054.29999999999</v>
      </c>
      <c r="N715" s="824">
        <f t="shared" si="359"/>
        <v>0.32368911764705877</v>
      </c>
      <c r="O715" s="808">
        <f t="shared" si="360"/>
        <v>0.10747950020053473</v>
      </c>
      <c r="P715" s="839" t="b">
        <f t="shared" si="361"/>
        <v>1</v>
      </c>
      <c r="Q715" s="824">
        <f>COUNTIF(P$2:P715, TRUE)/(COUNTIF(P$2:P715,FALSE) + COUNTIF(P$2:P715, TRUE))</f>
        <v>0.49859943977591037</v>
      </c>
      <c r="R715" s="822">
        <v>321964.31</v>
      </c>
      <c r="S715" s="822">
        <f t="shared" si="362"/>
        <v>128089.98999999999</v>
      </c>
      <c r="T715" s="822">
        <v>-32637</v>
      </c>
      <c r="U715" s="822">
        <f t="shared" si="363"/>
        <v>142691.29999999999</v>
      </c>
      <c r="V715" s="824">
        <f>STDEV(D$2:D715)*SQRT(252)</f>
        <v>0.13824678029914197</v>
      </c>
      <c r="W715" s="824">
        <f>STDEV(L$2:L715)*SQRT(252)</f>
        <v>0.2639531260054746</v>
      </c>
      <c r="X715" s="823">
        <f t="shared" si="364"/>
        <v>0.86881946596882298</v>
      </c>
      <c r="Y715" s="823">
        <f t="shared" si="365"/>
        <v>0.40719161703849466</v>
      </c>
      <c r="Z715" s="829">
        <f t="shared" si="366"/>
        <v>-3.8042965075872681E-2</v>
      </c>
    </row>
    <row r="716" spans="1:26" ht="20.100000000000001" customHeight="1" x14ac:dyDescent="0.2">
      <c r="A716" s="798">
        <f t="shared" si="367"/>
        <v>1101</v>
      </c>
      <c r="B716" s="817">
        <v>43334</v>
      </c>
      <c r="C716" s="842">
        <v>2861.82</v>
      </c>
      <c r="D716" s="814">
        <f t="shared" si="368"/>
        <v>-3.9818928661241253E-4</v>
      </c>
      <c r="E716" s="841">
        <f t="shared" si="354"/>
        <v>0.36118985559635475</v>
      </c>
      <c r="F716" s="838">
        <v>7889.09</v>
      </c>
      <c r="G716" s="814">
        <f t="shared" si="369"/>
        <v>3.8044633098322533E-3</v>
      </c>
      <c r="H716" s="819">
        <f t="shared" si="355"/>
        <v>0.54940196790855711</v>
      </c>
      <c r="I716" s="863">
        <v>449791.66</v>
      </c>
      <c r="J716" s="822">
        <v>340000</v>
      </c>
      <c r="K716" s="822">
        <f t="shared" si="356"/>
        <v>-262.64000000001397</v>
      </c>
      <c r="L716" s="814">
        <f t="shared" si="357"/>
        <v>-5.8357402651194304E-4</v>
      </c>
      <c r="M716" s="839">
        <f t="shared" si="358"/>
        <v>109791.65999999997</v>
      </c>
      <c r="N716" s="824">
        <f t="shared" si="359"/>
        <v>0.32291664705882345</v>
      </c>
      <c r="O716" s="808">
        <f t="shared" si="360"/>
        <v>0.10712561792755246</v>
      </c>
      <c r="P716" s="839" t="b">
        <f t="shared" si="361"/>
        <v>0</v>
      </c>
      <c r="Q716" s="824">
        <f>COUNTIF(P$2:P716, TRUE)/(COUNTIF(P$2:P716,FALSE) + COUNTIF(P$2:P716, TRUE))</f>
        <v>0.49790209790209788</v>
      </c>
      <c r="R716" s="822">
        <v>304054.08</v>
      </c>
      <c r="S716" s="822">
        <f t="shared" si="362"/>
        <v>145737.57999999996</v>
      </c>
      <c r="T716" s="822">
        <v>-32787</v>
      </c>
      <c r="U716" s="822">
        <f t="shared" si="363"/>
        <v>142578.65999999997</v>
      </c>
      <c r="V716" s="824">
        <f>STDEV(D$2:D716)*SQRT(252)</f>
        <v>0.13815076411124269</v>
      </c>
      <c r="W716" s="824">
        <f>STDEV(L$2:L716)*SQRT(252)</f>
        <v>0.26376902077554487</v>
      </c>
      <c r="X716" s="823">
        <f t="shared" si="364"/>
        <v>0.86733157782886172</v>
      </c>
      <c r="Y716" s="823">
        <f t="shared" si="365"/>
        <v>0.40613419124269096</v>
      </c>
      <c r="Z716" s="829">
        <f t="shared" si="366"/>
        <v>-3.82732085375313E-2</v>
      </c>
    </row>
    <row r="717" spans="1:26" ht="20.100000000000001" customHeight="1" x14ac:dyDescent="0.2">
      <c r="A717" s="798">
        <f t="shared" si="367"/>
        <v>1102</v>
      </c>
      <c r="B717" s="817">
        <v>43335</v>
      </c>
      <c r="C717" s="842">
        <v>2856.98</v>
      </c>
      <c r="D717" s="814">
        <f t="shared" si="368"/>
        <v>-1.6912314541096733E-3</v>
      </c>
      <c r="E717" s="841">
        <f t="shared" si="354"/>
        <v>0.35888776849755522</v>
      </c>
      <c r="F717" s="838">
        <v>7878.45</v>
      </c>
      <c r="G717" s="814">
        <f t="shared" si="369"/>
        <v>-1.3486980120648044E-3</v>
      </c>
      <c r="H717" s="819">
        <f t="shared" si="355"/>
        <v>0.54731229255454961</v>
      </c>
      <c r="I717" s="863">
        <v>448763.14</v>
      </c>
      <c r="J717" s="822">
        <v>340000</v>
      </c>
      <c r="K717" s="822">
        <f t="shared" si="356"/>
        <v>-1028.5199999999604</v>
      </c>
      <c r="L717" s="814">
        <f t="shared" si="357"/>
        <v>-2.2866586721504807E-3</v>
      </c>
      <c r="M717" s="839">
        <f t="shared" si="358"/>
        <v>108763.14000000001</v>
      </c>
      <c r="N717" s="824">
        <f t="shared" si="359"/>
        <v>0.31989158823529418</v>
      </c>
      <c r="O717" s="808">
        <f t="shared" si="360"/>
        <v>0.10602577368687949</v>
      </c>
      <c r="P717" s="839" t="b">
        <f t="shared" si="361"/>
        <v>0</v>
      </c>
      <c r="Q717" s="824">
        <f>COUNTIF(P$2:P717, TRUE)/(COUNTIF(P$2:P717,FALSE) + COUNTIF(P$2:P717, TRUE))</f>
        <v>0.4972067039106145</v>
      </c>
      <c r="R717" s="822">
        <v>302965.34000000003</v>
      </c>
      <c r="S717" s="822">
        <f t="shared" si="362"/>
        <v>145797.79999999999</v>
      </c>
      <c r="T717" s="822">
        <v>-32727</v>
      </c>
      <c r="U717" s="822">
        <f t="shared" si="363"/>
        <v>141490.14000000001</v>
      </c>
      <c r="V717" s="824">
        <f>STDEV(D$2:D717)*SQRT(252)</f>
        <v>0.13805994708907388</v>
      </c>
      <c r="W717" s="824">
        <f>STDEV(L$2:L717)*SQRT(252)</f>
        <v>0.26359010186642334</v>
      </c>
      <c r="X717" s="823">
        <f t="shared" si="364"/>
        <v>0.86158788691166666</v>
      </c>
      <c r="Y717" s="823">
        <f t="shared" si="365"/>
        <v>0.40223731064305673</v>
      </c>
      <c r="Z717" s="829">
        <f t="shared" si="366"/>
        <v>-3.8996180262261038E-2</v>
      </c>
    </row>
    <row r="718" spans="1:26" ht="20.100000000000001" customHeight="1" x14ac:dyDescent="0.2">
      <c r="A718" s="798">
        <f t="shared" si="367"/>
        <v>1103</v>
      </c>
      <c r="B718" s="817">
        <v>43336</v>
      </c>
      <c r="C718" s="842">
        <v>2874.69</v>
      </c>
      <c r="D718" s="814">
        <f t="shared" si="368"/>
        <v>6.1988533346400872E-3</v>
      </c>
      <c r="E718" s="841">
        <f t="shared" si="354"/>
        <v>0.36731131447270787</v>
      </c>
      <c r="F718" s="838">
        <v>7945.97</v>
      </c>
      <c r="G718" s="814">
        <f t="shared" si="369"/>
        <v>8.5702136841638195E-3</v>
      </c>
      <c r="H718" s="819">
        <f t="shared" si="355"/>
        <v>0.56057308953787544</v>
      </c>
      <c r="I718" s="863">
        <v>448975.99</v>
      </c>
      <c r="J718" s="822">
        <v>340000</v>
      </c>
      <c r="K718" s="822">
        <f t="shared" si="356"/>
        <v>212.84999999997672</v>
      </c>
      <c r="L718" s="814">
        <f t="shared" si="357"/>
        <v>4.743036605011203E-4</v>
      </c>
      <c r="M718" s="839">
        <f t="shared" si="358"/>
        <v>108975.98999999999</v>
      </c>
      <c r="N718" s="824">
        <f t="shared" si="359"/>
        <v>0.32051761764705877</v>
      </c>
      <c r="O718" s="808">
        <f t="shared" si="360"/>
        <v>0.10613695362247345</v>
      </c>
      <c r="P718" s="839" t="b">
        <f t="shared" si="361"/>
        <v>0</v>
      </c>
      <c r="Q718" s="824">
        <f>COUNTIF(P$2:P718, TRUE)/(COUNTIF(P$2:P718,FALSE) + COUNTIF(P$2:P718, TRUE))</f>
        <v>0.49651324965132498</v>
      </c>
      <c r="R718" s="822">
        <v>313051.68</v>
      </c>
      <c r="S718" s="822">
        <f t="shared" si="362"/>
        <v>135924.31</v>
      </c>
      <c r="T718" s="822">
        <v>-32757</v>
      </c>
      <c r="U718" s="822">
        <f t="shared" si="363"/>
        <v>141732.99</v>
      </c>
      <c r="V718" s="824">
        <f>STDEV(D$2:D718)*SQRT(252)</f>
        <v>0.13800527156812348</v>
      </c>
      <c r="W718" s="824">
        <f>STDEV(L$2:L718)*SQRT(252)</f>
        <v>0.26340573402898931</v>
      </c>
      <c r="X718" s="823">
        <f t="shared" si="364"/>
        <v>0.88136001227500682</v>
      </c>
      <c r="Y718" s="823">
        <f t="shared" si="365"/>
        <v>0.40294093829708533</v>
      </c>
      <c r="Z718" s="829">
        <f t="shared" si="366"/>
        <v>-4.67936968256491E-2</v>
      </c>
    </row>
    <row r="719" spans="1:26" ht="20.100000000000001" customHeight="1" x14ac:dyDescent="0.2">
      <c r="A719" s="798">
        <f t="shared" si="367"/>
        <v>1106</v>
      </c>
      <c r="B719" s="817">
        <v>43339</v>
      </c>
      <c r="C719" s="842">
        <v>2896.74</v>
      </c>
      <c r="D719" s="814">
        <f t="shared" si="368"/>
        <v>7.6703922857768057E-3</v>
      </c>
      <c r="E719" s="841">
        <f t="shared" si="354"/>
        <v>0.37779912863149467</v>
      </c>
      <c r="F719" s="838">
        <v>8017.89</v>
      </c>
      <c r="G719" s="814">
        <f t="shared" si="369"/>
        <v>9.0511290629086277E-3</v>
      </c>
      <c r="H719" s="819">
        <f t="shared" si="355"/>
        <v>0.57469803798338481</v>
      </c>
      <c r="I719" s="863">
        <v>412623.99</v>
      </c>
      <c r="J719" s="822">
        <v>300000</v>
      </c>
      <c r="K719" s="822">
        <f t="shared" si="356"/>
        <v>3648</v>
      </c>
      <c r="L719" s="814">
        <f t="shared" si="357"/>
        <v>8.125156091309026E-3</v>
      </c>
      <c r="M719" s="839">
        <f t="shared" si="358"/>
        <v>112623.98999999999</v>
      </c>
      <c r="N719" s="824">
        <f t="shared" si="359"/>
        <v>0.37541329999999995</v>
      </c>
      <c r="O719" s="808">
        <f t="shared" si="360"/>
        <v>0.12397803600813742</v>
      </c>
      <c r="P719" s="839" t="b">
        <f t="shared" si="361"/>
        <v>1</v>
      </c>
      <c r="Q719" s="824">
        <f>COUNTIF(P$2:P719, TRUE)/(COUNTIF(P$2:P719,FALSE) + COUNTIF(P$2:P719, TRUE))</f>
        <v>0.49721448467966572</v>
      </c>
      <c r="R719" s="822">
        <v>291432.21000000002</v>
      </c>
      <c r="S719" s="822">
        <f t="shared" si="362"/>
        <v>121191.77999999997</v>
      </c>
      <c r="T719" s="822">
        <v>-32107</v>
      </c>
      <c r="U719" s="822">
        <f t="shared" si="363"/>
        <v>144730.99</v>
      </c>
      <c r="V719" s="824">
        <f>STDEV(D$2:D719)*SQRT(252)</f>
        <v>0.13797482705192232</v>
      </c>
      <c r="W719" s="824">
        <f>STDEV(L$2:L719)*SQRT(252)</f>
        <v>0.26325884026684176</v>
      </c>
      <c r="X719" s="823">
        <f t="shared" si="364"/>
        <v>0.90426597777245354</v>
      </c>
      <c r="Y719" s="823">
        <f t="shared" si="365"/>
        <v>0.4709358891138169</v>
      </c>
      <c r="Z719" s="829">
        <f t="shared" si="366"/>
        <v>-2.3858286314947241E-3</v>
      </c>
    </row>
    <row r="720" spans="1:26" ht="20.100000000000001" customHeight="1" x14ac:dyDescent="0.2">
      <c r="A720" s="798">
        <f t="shared" si="367"/>
        <v>1107</v>
      </c>
      <c r="B720" s="817">
        <v>43340</v>
      </c>
      <c r="C720" s="842">
        <v>2897.52</v>
      </c>
      <c r="D720" s="814">
        <f t="shared" si="368"/>
        <v>2.6926821185201301E-4</v>
      </c>
      <c r="E720" s="841">
        <f t="shared" si="354"/>
        <v>0.37817012613915257</v>
      </c>
      <c r="F720" s="838">
        <v>8030.03</v>
      </c>
      <c r="G720" s="814">
        <f t="shared" si="369"/>
        <v>1.5141140624278229E-3</v>
      </c>
      <c r="H720" s="819">
        <f t="shared" si="355"/>
        <v>0.57708231042677294</v>
      </c>
      <c r="I720" s="863">
        <v>411952.19</v>
      </c>
      <c r="J720" s="822">
        <v>300000</v>
      </c>
      <c r="K720" s="822">
        <f t="shared" si="356"/>
        <v>-671.79999999998836</v>
      </c>
      <c r="L720" s="814">
        <f t="shared" si="357"/>
        <v>-1.6281166783346465E-3</v>
      </c>
      <c r="M720" s="839">
        <f t="shared" si="358"/>
        <v>111952.19</v>
      </c>
      <c r="N720" s="824">
        <f t="shared" si="359"/>
        <v>0.37317396666666669</v>
      </c>
      <c r="O720" s="808">
        <f t="shared" si="360"/>
        <v>0.12312718276874436</v>
      </c>
      <c r="P720" s="839" t="b">
        <f t="shared" si="361"/>
        <v>0</v>
      </c>
      <c r="Q720" s="824">
        <f>COUNTIF(P$2:P720, TRUE)/(COUNTIF(P$2:P720,FALSE) + COUNTIF(P$2:P720, TRUE))</f>
        <v>0.49652294853963841</v>
      </c>
      <c r="R720" s="822">
        <v>295278.77</v>
      </c>
      <c r="S720" s="822">
        <f t="shared" si="362"/>
        <v>116673.41999999998</v>
      </c>
      <c r="T720" s="822">
        <v>-31977</v>
      </c>
      <c r="U720" s="822">
        <f t="shared" si="363"/>
        <v>143929.19</v>
      </c>
      <c r="V720" s="824">
        <f>STDEV(D$2:D720)*SQRT(252)</f>
        <v>0.13787863585854168</v>
      </c>
      <c r="W720" s="824">
        <f>STDEV(L$2:L720)*SQRT(252)</f>
        <v>0.2630787445338289</v>
      </c>
      <c r="X720" s="823">
        <f t="shared" si="364"/>
        <v>0.90496721136789093</v>
      </c>
      <c r="Y720" s="823">
        <f t="shared" si="365"/>
        <v>0.4680240624795578</v>
      </c>
      <c r="Z720" s="829">
        <f t="shared" si="366"/>
        <v>-4.9961594724858838E-3</v>
      </c>
    </row>
    <row r="721" spans="1:26" ht="20.100000000000001" customHeight="1" x14ac:dyDescent="0.2">
      <c r="A721" s="798">
        <f t="shared" si="367"/>
        <v>1108</v>
      </c>
      <c r="B721" s="817">
        <v>43341</v>
      </c>
      <c r="C721" s="842">
        <v>2914.04</v>
      </c>
      <c r="D721" s="814">
        <f t="shared" si="368"/>
        <v>5.7014274275932458E-3</v>
      </c>
      <c r="E721" s="841">
        <f t="shared" si="354"/>
        <v>0.38602766309621195</v>
      </c>
      <c r="F721" s="838">
        <v>8109.68</v>
      </c>
      <c r="G721" s="814">
        <f t="shared" si="369"/>
        <v>9.9190164918438097E-3</v>
      </c>
      <c r="H721" s="819">
        <f t="shared" si="355"/>
        <v>0.59272541587289129</v>
      </c>
      <c r="I721" s="863">
        <v>414525.25</v>
      </c>
      <c r="J721" s="822">
        <v>300000</v>
      </c>
      <c r="K721" s="822">
        <f t="shared" si="356"/>
        <v>2573.0599999999977</v>
      </c>
      <c r="L721" s="814">
        <f t="shared" si="357"/>
        <v>6.2460160728845682E-3</v>
      </c>
      <c r="M721" s="839">
        <f t="shared" si="358"/>
        <v>114525.25</v>
      </c>
      <c r="N721" s="824">
        <f t="shared" si="359"/>
        <v>0.38175083333333332</v>
      </c>
      <c r="O721" s="808">
        <f t="shared" si="360"/>
        <v>0.12584340421931409</v>
      </c>
      <c r="P721" s="839" t="b">
        <f t="shared" si="361"/>
        <v>1</v>
      </c>
      <c r="Q721" s="824">
        <f>COUNTIF(P$2:P721, TRUE)/(COUNTIF(P$2:P721,FALSE) + COUNTIF(P$2:P721, TRUE))</f>
        <v>0.49722222222222223</v>
      </c>
      <c r="R721" s="822">
        <v>300005.48</v>
      </c>
      <c r="S721" s="822">
        <f t="shared" si="362"/>
        <v>114519.77000000002</v>
      </c>
      <c r="T721" s="822">
        <v>-31937</v>
      </c>
      <c r="U721" s="822">
        <f t="shared" si="363"/>
        <v>146462.25</v>
      </c>
      <c r="V721" s="824">
        <f>STDEV(D$2:D721)*SQRT(252)</f>
        <v>0.1378171980906662</v>
      </c>
      <c r="W721" s="824">
        <f>STDEV(L$2:L721)*SQRT(252)</f>
        <v>0.26291615689456543</v>
      </c>
      <c r="X721" s="823">
        <f t="shared" si="364"/>
        <v>0.92334813377231995</v>
      </c>
      <c r="Y721" s="823">
        <f t="shared" si="365"/>
        <v>0.47864462080122283</v>
      </c>
      <c r="Z721" s="829">
        <f t="shared" si="366"/>
        <v>-4.2768297628786311E-3</v>
      </c>
    </row>
    <row r="722" spans="1:26" ht="20.100000000000001" customHeight="1" x14ac:dyDescent="0.2">
      <c r="A722" s="798">
        <f t="shared" si="367"/>
        <v>1109</v>
      </c>
      <c r="B722" s="817">
        <v>43342</v>
      </c>
      <c r="C722" s="842">
        <v>2901.13</v>
      </c>
      <c r="D722" s="814">
        <f t="shared" si="368"/>
        <v>-4.4302754938160957E-3</v>
      </c>
      <c r="E722" s="841">
        <f t="shared" si="354"/>
        <v>0.37988717870664562</v>
      </c>
      <c r="F722" s="838">
        <v>8088.36</v>
      </c>
      <c r="G722" s="814">
        <f t="shared" si="369"/>
        <v>-2.6289569995364328E-3</v>
      </c>
      <c r="H722" s="819">
        <f t="shared" si="355"/>
        <v>0.58853820924249267</v>
      </c>
      <c r="I722" s="863">
        <v>412063.95</v>
      </c>
      <c r="J722" s="822">
        <v>300000</v>
      </c>
      <c r="K722" s="822">
        <f t="shared" si="356"/>
        <v>-2461.2999999999884</v>
      </c>
      <c r="L722" s="814">
        <f t="shared" si="357"/>
        <v>-5.9376358858718213E-3</v>
      </c>
      <c r="M722" s="839">
        <f t="shared" si="358"/>
        <v>112063.95000000001</v>
      </c>
      <c r="N722" s="824">
        <f t="shared" si="359"/>
        <v>0.37354650000000006</v>
      </c>
      <c r="O722" s="808">
        <f t="shared" si="360"/>
        <v>0.12302782608205594</v>
      </c>
      <c r="P722" s="839" t="b">
        <f t="shared" si="361"/>
        <v>0</v>
      </c>
      <c r="Q722" s="824">
        <f>COUNTIF(P$2:P722, TRUE)/(COUNTIF(P$2:P722,FALSE) + COUNTIF(P$2:P722, TRUE))</f>
        <v>0.49653259361997226</v>
      </c>
      <c r="R722" s="822">
        <v>302724.15000000002</v>
      </c>
      <c r="S722" s="822">
        <f t="shared" si="362"/>
        <v>109339.79999999999</v>
      </c>
      <c r="T722" s="822">
        <v>-32577</v>
      </c>
      <c r="U722" s="822">
        <f t="shared" si="363"/>
        <v>144640.95000000001</v>
      </c>
      <c r="V722" s="824">
        <f>STDEV(D$2:D722)*SQRT(252)</f>
        <v>0.13775210603753521</v>
      </c>
      <c r="W722" s="824">
        <f>STDEV(L$2:L722)*SQRT(252)</f>
        <v>0.26276246137940545</v>
      </c>
      <c r="X722" s="823">
        <f t="shared" si="364"/>
        <v>0.90827020415826132</v>
      </c>
      <c r="Y722" s="823">
        <f t="shared" si="365"/>
        <v>0.4682092922870546</v>
      </c>
      <c r="Z722" s="829">
        <f t="shared" si="366"/>
        <v>-6.3406787066455639E-3</v>
      </c>
    </row>
    <row r="723" spans="1:26" ht="20.100000000000001" customHeight="1" x14ac:dyDescent="0.2">
      <c r="A723" s="798">
        <f t="shared" si="367"/>
        <v>1110</v>
      </c>
      <c r="B723" s="817">
        <v>43343</v>
      </c>
      <c r="C723" s="842">
        <v>2901.52</v>
      </c>
      <c r="D723" s="814">
        <f t="shared" si="368"/>
        <v>1.3443037712886796E-4</v>
      </c>
      <c r="E723" s="841">
        <f t="shared" si="354"/>
        <v>0.38007267746047446</v>
      </c>
      <c r="F723" s="838">
        <v>8109.53</v>
      </c>
      <c r="G723" s="814">
        <f t="shared" si="369"/>
        <v>2.6173414635352623E-3</v>
      </c>
      <c r="H723" s="819">
        <f t="shared" si="355"/>
        <v>0.5926959561639531</v>
      </c>
      <c r="I723" s="864">
        <v>412813.75</v>
      </c>
      <c r="J723" s="822">
        <v>300000</v>
      </c>
      <c r="K723" s="822">
        <f t="shared" si="356"/>
        <v>749.79999999998836</v>
      </c>
      <c r="L723" s="814">
        <f t="shared" si="357"/>
        <v>1.819620473957958E-3</v>
      </c>
      <c r="M723" s="844">
        <f t="shared" si="358"/>
        <v>112813.75</v>
      </c>
      <c r="N723" s="824">
        <f t="shared" si="359"/>
        <v>0.37604583333333336</v>
      </c>
      <c r="O723" s="808">
        <f t="shared" si="360"/>
        <v>0.12373940596846847</v>
      </c>
      <c r="P723" s="839" t="b">
        <f t="shared" si="361"/>
        <v>1</v>
      </c>
      <c r="Q723" s="824">
        <f>COUNTIF(P$2:P723, TRUE)/(COUNTIF(P$2:P723,FALSE) + COUNTIF(P$2:P723, TRUE))</f>
        <v>0.49722991689750695</v>
      </c>
      <c r="R723" s="822">
        <v>301872.03000000003</v>
      </c>
      <c r="S723" s="822">
        <f t="shared" si="362"/>
        <v>110941.71999999997</v>
      </c>
      <c r="T723" s="822">
        <v>-32717</v>
      </c>
      <c r="U723" s="822">
        <f t="shared" si="363"/>
        <v>145530.75</v>
      </c>
      <c r="V723" s="824">
        <f>STDEV(D$2:D723)*SQRT(252)</f>
        <v>0.13765656757867564</v>
      </c>
      <c r="W723" s="824">
        <f>STDEV(L$2:L723)*SQRT(252)</f>
        <v>0.26258079637782822</v>
      </c>
      <c r="X723" s="823">
        <f t="shared" si="364"/>
        <v>0.90852516195472632</v>
      </c>
      <c r="Y723" s="823">
        <f t="shared" si="365"/>
        <v>0.4712431665810759</v>
      </c>
      <c r="Z723" s="829">
        <f t="shared" si="366"/>
        <v>-4.0268441271411048E-3</v>
      </c>
    </row>
    <row r="724" spans="1:26" ht="20.100000000000001" customHeight="1" x14ac:dyDescent="0.2">
      <c r="A724" s="798">
        <f t="shared" si="367"/>
        <v>1114</v>
      </c>
      <c r="B724" s="817">
        <v>43347</v>
      </c>
      <c r="C724" s="842">
        <v>2896.72</v>
      </c>
      <c r="D724" s="814">
        <f t="shared" si="368"/>
        <v>-1.6543053296203996E-3</v>
      </c>
      <c r="E724" s="841">
        <f t="shared" si="354"/>
        <v>0.37778961587488807</v>
      </c>
      <c r="F724" s="838">
        <v>8091.24</v>
      </c>
      <c r="G724" s="814">
        <f t="shared" si="369"/>
        <v>-2.255371149746035E-3</v>
      </c>
      <c r="H724" s="819">
        <f t="shared" si="355"/>
        <v>0.58910383565410374</v>
      </c>
      <c r="I724" s="863">
        <v>410071.63</v>
      </c>
      <c r="J724" s="822">
        <v>300000</v>
      </c>
      <c r="K724" s="822">
        <f t="shared" si="356"/>
        <v>-2742.1199999999953</v>
      </c>
      <c r="L724" s="814">
        <f t="shared" si="357"/>
        <v>-6.6425113020096719E-3</v>
      </c>
      <c r="M724" s="839">
        <f t="shared" si="358"/>
        <v>110071.63</v>
      </c>
      <c r="N724" s="824">
        <f t="shared" si="359"/>
        <v>0.36690543333333336</v>
      </c>
      <c r="O724" s="808">
        <f t="shared" si="360"/>
        <v>0.12029821321813286</v>
      </c>
      <c r="P724" s="839" t="b">
        <f t="shared" si="361"/>
        <v>0</v>
      </c>
      <c r="Q724" s="824">
        <f>COUNTIF(P$2:P724, TRUE)/(COUNTIF(P$2:P724,FALSE) + COUNTIF(P$2:P724, TRUE))</f>
        <v>0.49654218533886585</v>
      </c>
      <c r="R724" s="822">
        <v>315748.28000000003</v>
      </c>
      <c r="S724" s="822">
        <f t="shared" si="362"/>
        <v>94323.349999999977</v>
      </c>
      <c r="T724" s="822">
        <v>-33049</v>
      </c>
      <c r="U724" s="822">
        <f t="shared" si="363"/>
        <v>143120.63</v>
      </c>
      <c r="V724" s="824">
        <f>STDEV(D$2:D724)*SQRT(252)</f>
        <v>0.13756687517396576</v>
      </c>
      <c r="W724" s="824">
        <f>STDEV(L$2:L724)*SQRT(252)</f>
        <v>0.26243426115951046</v>
      </c>
      <c r="X724" s="823">
        <f t="shared" si="364"/>
        <v>0.90041180003406041</v>
      </c>
      <c r="Y724" s="823">
        <f t="shared" si="365"/>
        <v>0.45839370471911922</v>
      </c>
      <c r="Z724" s="829">
        <f t="shared" si="366"/>
        <v>-1.088418254155471E-2</v>
      </c>
    </row>
    <row r="725" spans="1:26" ht="20.100000000000001" customHeight="1" x14ac:dyDescent="0.2">
      <c r="A725" s="798">
        <f t="shared" si="367"/>
        <v>1115</v>
      </c>
      <c r="B725" s="817">
        <v>43348</v>
      </c>
      <c r="C725" s="842">
        <v>2888.6</v>
      </c>
      <c r="D725" s="814">
        <f t="shared" si="368"/>
        <v>-2.8031704824766947E-3</v>
      </c>
      <c r="E725" s="841">
        <f t="shared" si="354"/>
        <v>0.3739274366926047</v>
      </c>
      <c r="F725" s="838">
        <v>7995.17</v>
      </c>
      <c r="G725" s="814">
        <f t="shared" si="369"/>
        <v>-1.1873334618673986E-2</v>
      </c>
      <c r="H725" s="819">
        <f t="shared" si="355"/>
        <v>0.57023587406956422</v>
      </c>
      <c r="I725" s="863">
        <v>412285.82</v>
      </c>
      <c r="J725" s="822">
        <v>300000</v>
      </c>
      <c r="K725" s="822">
        <f t="shared" si="356"/>
        <v>2214.1900000000023</v>
      </c>
      <c r="L725" s="814">
        <f t="shared" si="357"/>
        <v>5.3995200789676732E-3</v>
      </c>
      <c r="M725" s="839">
        <f t="shared" si="358"/>
        <v>112285.82</v>
      </c>
      <c r="N725" s="824">
        <f t="shared" si="359"/>
        <v>0.37428606666666669</v>
      </c>
      <c r="O725" s="808">
        <f t="shared" si="360"/>
        <v>0.12260805905829597</v>
      </c>
      <c r="P725" s="839" t="b">
        <f t="shared" si="361"/>
        <v>1</v>
      </c>
      <c r="Q725" s="824">
        <f>COUNTIF(P$2:P725, TRUE)/(COUNTIF(P$2:P725,FALSE) + COUNTIF(P$2:P725, TRUE))</f>
        <v>0.49723756906077349</v>
      </c>
      <c r="R725" s="822">
        <v>315534.5</v>
      </c>
      <c r="S725" s="822">
        <f t="shared" si="362"/>
        <v>96751.32</v>
      </c>
      <c r="T725" s="822">
        <v>-32449</v>
      </c>
      <c r="U725" s="822">
        <f t="shared" si="363"/>
        <v>144734.82</v>
      </c>
      <c r="V725" s="824">
        <f>STDEV(D$2:D725)*SQRT(252)</f>
        <v>0.13748525083439084</v>
      </c>
      <c r="W725" s="824">
        <f>STDEV(L$2:L725)*SQRT(252)</f>
        <v>0.2622673448272777</v>
      </c>
      <c r="X725" s="823">
        <f t="shared" si="364"/>
        <v>0.8909361466396859</v>
      </c>
      <c r="Y725" s="823">
        <f t="shared" si="365"/>
        <v>0.46749266150172974</v>
      </c>
      <c r="Z725" s="829">
        <f t="shared" si="366"/>
        <v>3.5862997406199693E-4</v>
      </c>
    </row>
    <row r="726" spans="1:26" ht="20.100000000000001" customHeight="1" x14ac:dyDescent="0.2">
      <c r="A726" s="798">
        <f t="shared" si="367"/>
        <v>1116</v>
      </c>
      <c r="B726" s="817">
        <v>43349</v>
      </c>
      <c r="C726" s="842">
        <v>2878.05</v>
      </c>
      <c r="D726" s="814">
        <f t="shared" si="368"/>
        <v>-3.652288305753558E-3</v>
      </c>
      <c r="E726" s="841">
        <f t="shared" si="354"/>
        <v>0.36890945758261834</v>
      </c>
      <c r="F726" s="838">
        <v>7922.72</v>
      </c>
      <c r="G726" s="814">
        <f t="shared" si="369"/>
        <v>-9.0617210140622167E-3</v>
      </c>
      <c r="H726" s="819">
        <f t="shared" si="355"/>
        <v>0.55600683465247369</v>
      </c>
      <c r="I726" s="863">
        <v>409892.48</v>
      </c>
      <c r="J726" s="822">
        <v>300000</v>
      </c>
      <c r="K726" s="822">
        <f t="shared" si="356"/>
        <v>-2393.3400000000256</v>
      </c>
      <c r="L726" s="814">
        <f t="shared" si="357"/>
        <v>-5.8050504865775534E-3</v>
      </c>
      <c r="M726" s="839">
        <f t="shared" si="358"/>
        <v>109892.47999999998</v>
      </c>
      <c r="N726" s="824">
        <f t="shared" si="359"/>
        <v>0.3663082666666666</v>
      </c>
      <c r="O726" s="808">
        <f t="shared" si="360"/>
        <v>0.11988718136200714</v>
      </c>
      <c r="P726" s="839" t="b">
        <f t="shared" si="361"/>
        <v>0</v>
      </c>
      <c r="Q726" s="824">
        <f>COUNTIF(P$2:P726, TRUE)/(COUNTIF(P$2:P726,FALSE) + COUNTIF(P$2:P726, TRUE))</f>
        <v>0.49655172413793103</v>
      </c>
      <c r="R726" s="822">
        <v>324213.15999999997</v>
      </c>
      <c r="S726" s="822">
        <f t="shared" si="362"/>
        <v>85679.32</v>
      </c>
      <c r="T726" s="822">
        <v>-33169</v>
      </c>
      <c r="U726" s="822">
        <f t="shared" si="363"/>
        <v>143061.47999999998</v>
      </c>
      <c r="V726" s="824">
        <f>STDEV(D$2:D726)*SQRT(252)</f>
        <v>0.13741173460493136</v>
      </c>
      <c r="W726" s="824">
        <f>STDEV(L$2:L726)*SQRT(252)</f>
        <v>0.26211377023163424</v>
      </c>
      <c r="X726" s="823">
        <f t="shared" si="364"/>
        <v>0.87866230885024021</v>
      </c>
      <c r="Y726" s="823">
        <f t="shared" si="365"/>
        <v>0.45738604750166645</v>
      </c>
      <c r="Z726" s="829">
        <f t="shared" si="366"/>
        <v>-2.6011909159517344E-3</v>
      </c>
    </row>
    <row r="727" spans="1:26" ht="20.100000000000001" customHeight="1" x14ac:dyDescent="0.2">
      <c r="A727" s="798">
        <f t="shared" si="367"/>
        <v>1117</v>
      </c>
      <c r="B727" s="817">
        <v>43350</v>
      </c>
      <c r="C727" s="842">
        <v>2871.68</v>
      </c>
      <c r="D727" s="814">
        <f t="shared" si="368"/>
        <v>-2.2133041469051423E-3</v>
      </c>
      <c r="E727" s="841">
        <f t="shared" si="354"/>
        <v>0.36587964460341305</v>
      </c>
      <c r="F727" s="838">
        <v>7902.54</v>
      </c>
      <c r="G727" s="814">
        <f t="shared" si="369"/>
        <v>-2.5471050346346064E-3</v>
      </c>
      <c r="H727" s="819">
        <f t="shared" si="355"/>
        <v>0.5520435218100046</v>
      </c>
      <c r="I727" s="863">
        <v>409918.35</v>
      </c>
      <c r="J727" s="822">
        <v>300000</v>
      </c>
      <c r="K727" s="822">
        <f t="shared" si="356"/>
        <v>25.869999999995343</v>
      </c>
      <c r="L727" s="814">
        <f t="shared" si="357"/>
        <v>6.3114112266698195E-5</v>
      </c>
      <c r="M727" s="839">
        <f t="shared" si="358"/>
        <v>109918.34999999998</v>
      </c>
      <c r="N727" s="824">
        <f t="shared" si="359"/>
        <v>0.3663944999999999</v>
      </c>
      <c r="O727" s="808">
        <f t="shared" si="360"/>
        <v>0.11980804935093999</v>
      </c>
      <c r="P727" s="839" t="b">
        <f t="shared" si="361"/>
        <v>1</v>
      </c>
      <c r="Q727" s="824">
        <f>COUNTIF(P$2:P727, TRUE)/(COUNTIF(P$2:P727,FALSE) + COUNTIF(P$2:P727, TRUE))</f>
        <v>0.49724517906336091</v>
      </c>
      <c r="R727" s="822">
        <v>312175.2</v>
      </c>
      <c r="S727" s="822">
        <f t="shared" si="362"/>
        <v>97743.149999999965</v>
      </c>
      <c r="T727" s="822">
        <v>-33049</v>
      </c>
      <c r="U727" s="822">
        <f t="shared" si="363"/>
        <v>142967.34999999998</v>
      </c>
      <c r="V727" s="824">
        <f>STDEV(D$2:D727)*SQRT(252)</f>
        <v>0.13732592506285154</v>
      </c>
      <c r="W727" s="824">
        <f>STDEV(L$2:L727)*SQRT(252)</f>
        <v>0.26193292929655376</v>
      </c>
      <c r="X727" s="823">
        <f t="shared" si="364"/>
        <v>0.87120982967958671</v>
      </c>
      <c r="Y727" s="823">
        <f t="shared" si="365"/>
        <v>0.45739972317606686</v>
      </c>
      <c r="Z727" s="829">
        <f t="shared" si="366"/>
        <v>5.148553965868552E-4</v>
      </c>
    </row>
    <row r="728" spans="1:26" ht="20.100000000000001" customHeight="1" x14ac:dyDescent="0.2">
      <c r="A728" s="798">
        <f t="shared" si="367"/>
        <v>1120</v>
      </c>
      <c r="B728" s="817">
        <v>43353</v>
      </c>
      <c r="C728" s="842">
        <v>2877.13</v>
      </c>
      <c r="D728" s="814">
        <f t="shared" si="368"/>
        <v>1.897843770893788E-3</v>
      </c>
      <c r="E728" s="841">
        <f t="shared" si="354"/>
        <v>0.36847187077871429</v>
      </c>
      <c r="F728" s="838">
        <v>7924.16</v>
      </c>
      <c r="G728" s="814">
        <f t="shared" si="369"/>
        <v>2.7358292397127873E-3</v>
      </c>
      <c r="H728" s="819">
        <f t="shared" si="355"/>
        <v>0.55628964785827917</v>
      </c>
      <c r="I728" s="863">
        <v>410285.83</v>
      </c>
      <c r="J728" s="822">
        <v>300000</v>
      </c>
      <c r="K728" s="822">
        <f t="shared" si="356"/>
        <v>367.48000000003958</v>
      </c>
      <c r="L728" s="814">
        <f t="shared" si="357"/>
        <v>8.9647121188900084E-4</v>
      </c>
      <c r="M728" s="839">
        <f t="shared" si="358"/>
        <v>110285.83000000002</v>
      </c>
      <c r="N728" s="824">
        <f t="shared" si="359"/>
        <v>0.36761943333333341</v>
      </c>
      <c r="O728" s="808">
        <f t="shared" si="360"/>
        <v>0.11988660537946431</v>
      </c>
      <c r="P728" s="839" t="b">
        <f t="shared" si="361"/>
        <v>0</v>
      </c>
      <c r="Q728" s="824">
        <f>COUNTIF(P$2:P728, TRUE)/(COUNTIF(P$2:P728,FALSE) + COUNTIF(P$2:P728, TRUE))</f>
        <v>0.49656121045392021</v>
      </c>
      <c r="R728" s="822">
        <v>325406.15999999997</v>
      </c>
      <c r="S728" s="822">
        <f t="shared" si="362"/>
        <v>84879.670000000042</v>
      </c>
      <c r="T728" s="822">
        <v>-32761</v>
      </c>
      <c r="U728" s="822">
        <f t="shared" si="363"/>
        <v>143046.83000000002</v>
      </c>
      <c r="V728" s="824">
        <f>STDEV(D$2:D728)*SQRT(252)</f>
        <v>0.13723377207884299</v>
      </c>
      <c r="W728" s="824">
        <f>STDEV(L$2:L728)*SQRT(252)</f>
        <v>0.26175225971231963</v>
      </c>
      <c r="X728" s="823">
        <f t="shared" si="364"/>
        <v>0.87561973346658473</v>
      </c>
      <c r="Y728" s="823">
        <f t="shared" si="365"/>
        <v>0.45801555070136318</v>
      </c>
      <c r="Z728" s="829">
        <f t="shared" si="366"/>
        <v>-8.5243744538088251E-4</v>
      </c>
    </row>
    <row r="729" spans="1:26" ht="20.100000000000001" customHeight="1" x14ac:dyDescent="0.2">
      <c r="A729" s="798">
        <f t="shared" si="367"/>
        <v>1121</v>
      </c>
      <c r="B729" s="817">
        <v>43354</v>
      </c>
      <c r="C729" s="842">
        <v>2887.89</v>
      </c>
      <c r="D729" s="814">
        <f t="shared" si="368"/>
        <v>3.7398379635260703E-3</v>
      </c>
      <c r="E729" s="841">
        <f t="shared" si="354"/>
        <v>0.37358973383307004</v>
      </c>
      <c r="F729" s="838">
        <v>7972.47</v>
      </c>
      <c r="G729" s="814">
        <f t="shared" si="369"/>
        <v>6.0965452489601928E-3</v>
      </c>
      <c r="H729" s="819">
        <f t="shared" si="355"/>
        <v>0.56577763811693549</v>
      </c>
      <c r="I729" s="863">
        <v>411136.15</v>
      </c>
      <c r="J729" s="822">
        <v>300000</v>
      </c>
      <c r="K729" s="822">
        <f t="shared" si="356"/>
        <v>850.32000000000698</v>
      </c>
      <c r="L729" s="814">
        <f t="shared" si="357"/>
        <v>2.072506379272243E-3</v>
      </c>
      <c r="M729" s="839">
        <f t="shared" si="358"/>
        <v>111136.15000000002</v>
      </c>
      <c r="N729" s="824">
        <f t="shared" si="359"/>
        <v>0.37045383333333343</v>
      </c>
      <c r="O729" s="808">
        <f t="shared" si="360"/>
        <v>0.12070317807760932</v>
      </c>
      <c r="P729" s="839" t="b">
        <f t="shared" si="361"/>
        <v>0</v>
      </c>
      <c r="Q729" s="824">
        <f>COUNTIF(P$2:P729, TRUE)/(COUNTIF(P$2:P729,FALSE) + COUNTIF(P$2:P729, TRUE))</f>
        <v>0.49587912087912089</v>
      </c>
      <c r="R729" s="822">
        <v>330490.48</v>
      </c>
      <c r="S729" s="822">
        <f t="shared" si="362"/>
        <v>80645.670000000042</v>
      </c>
      <c r="T729" s="822">
        <v>-32941</v>
      </c>
      <c r="U729" s="822">
        <f t="shared" si="363"/>
        <v>144077.15000000002</v>
      </c>
      <c r="V729" s="824">
        <f>STDEV(D$2:D729)*SQRT(252)</f>
        <v>0.13715274152410675</v>
      </c>
      <c r="W729" s="824">
        <f>STDEV(L$2:L729)*SQRT(252)</f>
        <v>0.26157324325497439</v>
      </c>
      <c r="X729" s="823">
        <f t="shared" si="364"/>
        <v>0.88751367267484249</v>
      </c>
      <c r="Y729" s="823">
        <f t="shared" si="365"/>
        <v>0.46145078363367303</v>
      </c>
      <c r="Z729" s="829">
        <f t="shared" si="366"/>
        <v>-3.1359004997366102E-3</v>
      </c>
    </row>
    <row r="730" spans="1:26" ht="20.100000000000001" customHeight="1" x14ac:dyDescent="0.2">
      <c r="A730" s="798">
        <f t="shared" si="367"/>
        <v>1122</v>
      </c>
      <c r="B730" s="817">
        <v>43355</v>
      </c>
      <c r="C730" s="842">
        <v>2888.92</v>
      </c>
      <c r="D730" s="814">
        <f t="shared" si="368"/>
        <v>3.5666178420930164E-4</v>
      </c>
      <c r="E730" s="841">
        <f t="shared" si="354"/>
        <v>0.37407964079831052</v>
      </c>
      <c r="F730" s="838">
        <v>7954.22</v>
      </c>
      <c r="G730" s="814">
        <f t="shared" si="369"/>
        <v>-2.2891274598712819E-3</v>
      </c>
      <c r="H730" s="819">
        <f t="shared" si="355"/>
        <v>0.56219337352946963</v>
      </c>
      <c r="I730" s="863">
        <v>415391.37</v>
      </c>
      <c r="J730" s="822">
        <v>300000</v>
      </c>
      <c r="K730" s="822">
        <f t="shared" si="356"/>
        <v>4255.2199999999721</v>
      </c>
      <c r="L730" s="814">
        <f t="shared" si="357"/>
        <v>1.0349904769989144E-2</v>
      </c>
      <c r="M730" s="839">
        <f t="shared" si="358"/>
        <v>115391.37</v>
      </c>
      <c r="N730" s="824">
        <f t="shared" si="359"/>
        <v>0.38463789999999998</v>
      </c>
      <c r="O730" s="808">
        <f t="shared" si="360"/>
        <v>0.12521300621657755</v>
      </c>
      <c r="P730" s="839" t="b">
        <f t="shared" si="361"/>
        <v>1</v>
      </c>
      <c r="Q730" s="824">
        <f>COUNTIF(P$2:P730, TRUE)/(COUNTIF(P$2:P730,FALSE) + COUNTIF(P$2:P730, TRUE))</f>
        <v>0.49657064471879286</v>
      </c>
      <c r="R730" s="822">
        <v>291962.92</v>
      </c>
      <c r="S730" s="822">
        <f t="shared" si="362"/>
        <v>123428.45000000001</v>
      </c>
      <c r="T730" s="822">
        <v>-32617</v>
      </c>
      <c r="U730" s="822">
        <f t="shared" si="363"/>
        <v>148008.37</v>
      </c>
      <c r="V730" s="824">
        <f>STDEV(D$2:D730)*SQRT(252)</f>
        <v>0.13705839856990906</v>
      </c>
      <c r="W730" s="824">
        <f>STDEV(L$2:L730)*SQRT(252)</f>
        <v>0.26145537814371811</v>
      </c>
      <c r="X730" s="823">
        <f t="shared" si="364"/>
        <v>0.88849663441820503</v>
      </c>
      <c r="Y730" s="823">
        <f t="shared" si="365"/>
        <v>0.47890774749238407</v>
      </c>
      <c r="Z730" s="829">
        <f t="shared" si="366"/>
        <v>1.0558259201689457E-2</v>
      </c>
    </row>
    <row r="731" spans="1:26" ht="20.100000000000001" customHeight="1" x14ac:dyDescent="0.2">
      <c r="A731" s="798">
        <f t="shared" si="367"/>
        <v>1123</v>
      </c>
      <c r="B731" s="817">
        <v>43356</v>
      </c>
      <c r="C731" s="842">
        <v>2904.18</v>
      </c>
      <c r="D731" s="814">
        <f t="shared" si="368"/>
        <v>5.2822508065296942E-3</v>
      </c>
      <c r="E731" s="841">
        <f t="shared" si="354"/>
        <v>0.38133787408915343</v>
      </c>
      <c r="F731" s="838">
        <v>8013.71</v>
      </c>
      <c r="G731" s="814">
        <f t="shared" si="369"/>
        <v>7.4790488570846397E-3</v>
      </c>
      <c r="H731" s="819">
        <f t="shared" si="355"/>
        <v>0.57387709409431042</v>
      </c>
      <c r="I731" s="863">
        <v>415289.92</v>
      </c>
      <c r="J731" s="822">
        <v>300000</v>
      </c>
      <c r="K731" s="822">
        <f t="shared" si="356"/>
        <v>-101.45000000001164</v>
      </c>
      <c r="L731" s="814">
        <f t="shared" si="357"/>
        <v>-2.4422751007083184E-4</v>
      </c>
      <c r="M731" s="839">
        <f t="shared" si="358"/>
        <v>115289.91999999998</v>
      </c>
      <c r="N731" s="824">
        <f t="shared" si="359"/>
        <v>0.38429973333333328</v>
      </c>
      <c r="O731" s="808">
        <f t="shared" si="360"/>
        <v>0.12499152056990202</v>
      </c>
      <c r="P731" s="839" t="b">
        <f t="shared" si="361"/>
        <v>0</v>
      </c>
      <c r="Q731" s="824">
        <f>COUNTIF(P$2:P731, TRUE)/(COUNTIF(P$2:P731,FALSE) + COUNTIF(P$2:P731, TRUE))</f>
        <v>0.49589041095890413</v>
      </c>
      <c r="R731" s="822">
        <v>297561.46999999997</v>
      </c>
      <c r="S731" s="822">
        <f t="shared" si="362"/>
        <v>117728.45000000001</v>
      </c>
      <c r="T731" s="822">
        <v>-32317</v>
      </c>
      <c r="U731" s="822">
        <f t="shared" si="363"/>
        <v>147606.91999999998</v>
      </c>
      <c r="V731" s="824">
        <f>STDEV(D$2:D731)*SQRT(252)</f>
        <v>0.13699340643062369</v>
      </c>
      <c r="W731" s="824">
        <f>STDEV(L$2:L731)*SQRT(252)</f>
        <v>0.26127630871836671</v>
      </c>
      <c r="X731" s="823">
        <f t="shared" si="364"/>
        <v>0.90535883622176583</v>
      </c>
      <c r="Y731" s="823">
        <f t="shared" si="365"/>
        <v>0.47838826712999871</v>
      </c>
      <c r="Z731" s="829">
        <f t="shared" si="366"/>
        <v>2.9618592441798541E-3</v>
      </c>
    </row>
    <row r="732" spans="1:26" ht="20.100000000000001" customHeight="1" x14ac:dyDescent="0.2">
      <c r="A732" s="798">
        <f t="shared" si="367"/>
        <v>1124</v>
      </c>
      <c r="B732" s="817">
        <v>43357</v>
      </c>
      <c r="C732" s="842">
        <v>2904.98</v>
      </c>
      <c r="D732" s="814">
        <f t="shared" si="368"/>
        <v>2.7546501938591341E-4</v>
      </c>
      <c r="E732" s="841">
        <f t="shared" si="354"/>
        <v>0.38171838435341793</v>
      </c>
      <c r="F732" s="838">
        <v>8010.04</v>
      </c>
      <c r="G732" s="814">
        <f t="shared" si="369"/>
        <v>-4.579651622032832E-4</v>
      </c>
      <c r="H732" s="819">
        <f t="shared" si="355"/>
        <v>0.57315631321562543</v>
      </c>
      <c r="I732" s="863">
        <v>415230.06</v>
      </c>
      <c r="J732" s="822">
        <v>300000</v>
      </c>
      <c r="K732" s="822">
        <f t="shared" si="356"/>
        <v>-59.85999999998603</v>
      </c>
      <c r="L732" s="814">
        <f t="shared" si="357"/>
        <v>-1.4414026711745382E-4</v>
      </c>
      <c r="M732" s="839">
        <f t="shared" si="358"/>
        <v>115230.06</v>
      </c>
      <c r="N732" s="824">
        <f t="shared" si="359"/>
        <v>0.3841002</v>
      </c>
      <c r="O732" s="808">
        <f t="shared" si="360"/>
        <v>0.12481547869217081</v>
      </c>
      <c r="P732" s="839" t="b">
        <f t="shared" si="361"/>
        <v>0</v>
      </c>
      <c r="Q732" s="824">
        <f>COUNTIF(P$2:P732, TRUE)/(COUNTIF(P$2:P732,FALSE) + COUNTIF(P$2:P732, TRUE))</f>
        <v>0.49521203830369359</v>
      </c>
      <c r="R732" s="822">
        <v>299931.61</v>
      </c>
      <c r="S732" s="822">
        <f t="shared" si="362"/>
        <v>115298.45000000001</v>
      </c>
      <c r="T732" s="822">
        <v>-32423</v>
      </c>
      <c r="U732" s="822">
        <f t="shared" si="363"/>
        <v>147653.06</v>
      </c>
      <c r="V732" s="824">
        <f>STDEV(D$2:D732)*SQRT(252)</f>
        <v>0.13689946734645103</v>
      </c>
      <c r="W732" s="824">
        <f>STDEV(L$2:L732)*SQRT(252)</f>
        <v>0.2610974913994204</v>
      </c>
      <c r="X732" s="823">
        <f t="shared" si="364"/>
        <v>0.90607726212530504</v>
      </c>
      <c r="Y732" s="823">
        <f t="shared" si="365"/>
        <v>0.47804166184511987</v>
      </c>
      <c r="Z732" s="829">
        <f t="shared" si="366"/>
        <v>2.381815646582075E-3</v>
      </c>
    </row>
    <row r="733" spans="1:26" ht="20.100000000000001" customHeight="1" x14ac:dyDescent="0.2">
      <c r="A733" s="798">
        <f t="shared" si="367"/>
        <v>1127</v>
      </c>
      <c r="B733" s="817">
        <v>43360</v>
      </c>
      <c r="C733" s="842">
        <v>2888.8</v>
      </c>
      <c r="D733" s="814">
        <f t="shared" si="368"/>
        <v>-5.5697457469586148E-3</v>
      </c>
      <c r="E733" s="841">
        <f t="shared" si="354"/>
        <v>0.37402256425867092</v>
      </c>
      <c r="F733" s="838">
        <v>7895.79</v>
      </c>
      <c r="G733" s="814">
        <f t="shared" si="369"/>
        <v>-1.4263349496382041E-2</v>
      </c>
      <c r="H733" s="819">
        <f t="shared" si="355"/>
        <v>0.55071783490779114</v>
      </c>
      <c r="I733" s="863">
        <v>416438.79</v>
      </c>
      <c r="J733" s="822">
        <v>300000</v>
      </c>
      <c r="K733" s="822">
        <f t="shared" si="356"/>
        <v>1208.7299999999814</v>
      </c>
      <c r="L733" s="814">
        <f t="shared" si="357"/>
        <v>2.9109886697508878E-3</v>
      </c>
      <c r="M733" s="839">
        <f t="shared" si="358"/>
        <v>116438.78999999998</v>
      </c>
      <c r="N733" s="824">
        <f t="shared" si="359"/>
        <v>0.38812929999999995</v>
      </c>
      <c r="O733" s="808">
        <f t="shared" si="360"/>
        <v>0.12578902114019519</v>
      </c>
      <c r="P733" s="839" t="b">
        <f t="shared" si="361"/>
        <v>1</v>
      </c>
      <c r="Q733" s="824">
        <f>COUNTIF(P$2:P733, TRUE)/(COUNTIF(P$2:P733,FALSE) + COUNTIF(P$2:P733, TRUE))</f>
        <v>0.49590163934426229</v>
      </c>
      <c r="R733" s="822">
        <v>295230.53999999998</v>
      </c>
      <c r="S733" s="822">
        <f t="shared" si="362"/>
        <v>121208.25</v>
      </c>
      <c r="T733" s="822">
        <v>-32591</v>
      </c>
      <c r="U733" s="822">
        <f t="shared" si="363"/>
        <v>149029.78999999998</v>
      </c>
      <c r="V733" s="824">
        <f>STDEV(D$2:D733)*SQRT(252)</f>
        <v>0.13685177611451066</v>
      </c>
      <c r="W733" s="824">
        <f>STDEV(L$2:L733)*SQRT(252)</f>
        <v>0.26092189563988533</v>
      </c>
      <c r="X733" s="823">
        <f t="shared" si="364"/>
        <v>0.88575512470974904</v>
      </c>
      <c r="Y733" s="823">
        <f t="shared" si="365"/>
        <v>0.48209453956215503</v>
      </c>
      <c r="Z733" s="829">
        <f t="shared" si="366"/>
        <v>1.4106735741329035E-2</v>
      </c>
    </row>
    <row r="734" spans="1:26" ht="20.100000000000001" customHeight="1" x14ac:dyDescent="0.2">
      <c r="A734" s="798">
        <f t="shared" si="367"/>
        <v>1128</v>
      </c>
      <c r="B734" s="817">
        <v>43361</v>
      </c>
      <c r="C734" s="842">
        <v>2904.31</v>
      </c>
      <c r="D734" s="814">
        <f t="shared" si="368"/>
        <v>5.3690113541954316E-3</v>
      </c>
      <c r="E734" s="841">
        <f t="shared" si="354"/>
        <v>0.38139970700709647</v>
      </c>
      <c r="F734" s="838">
        <v>7956.1</v>
      </c>
      <c r="G734" s="814">
        <f t="shared" si="369"/>
        <v>7.6382477244202798E-3</v>
      </c>
      <c r="H734" s="819">
        <f t="shared" si="355"/>
        <v>0.56256260188149354</v>
      </c>
      <c r="I734" s="863">
        <v>418074.92</v>
      </c>
      <c r="J734" s="822">
        <v>300000</v>
      </c>
      <c r="K734" s="822">
        <f t="shared" si="356"/>
        <v>1636.1300000000047</v>
      </c>
      <c r="L734" s="814">
        <f t="shared" si="357"/>
        <v>3.9288607096375546E-3</v>
      </c>
      <c r="M734" s="839">
        <f t="shared" si="358"/>
        <v>118074.91999999998</v>
      </c>
      <c r="N734" s="824">
        <f t="shared" si="359"/>
        <v>0.39358306666666659</v>
      </c>
      <c r="O734" s="808">
        <f t="shared" si="360"/>
        <v>0.12744345310283686</v>
      </c>
      <c r="P734" s="839" t="b">
        <f t="shared" si="361"/>
        <v>0</v>
      </c>
      <c r="Q734" s="824">
        <f>COUNTIF(P$2:P734, TRUE)/(COUNTIF(P$2:P734,FALSE) + COUNTIF(P$2:P734, TRUE))</f>
        <v>0.495225102319236</v>
      </c>
      <c r="R734" s="822">
        <v>288104.34000000003</v>
      </c>
      <c r="S734" s="822">
        <f t="shared" si="362"/>
        <v>129970.57999999996</v>
      </c>
      <c r="T734" s="822">
        <v>-32639</v>
      </c>
      <c r="U734" s="822">
        <f t="shared" si="363"/>
        <v>150713.91999999998</v>
      </c>
      <c r="V734" s="824">
        <f>STDEV(D$2:D734)*SQRT(252)</f>
        <v>0.13678831974223632</v>
      </c>
      <c r="W734" s="824">
        <f>STDEV(L$2:L734)*SQRT(252)</f>
        <v>0.2607503367308307</v>
      </c>
      <c r="X734" s="823">
        <f t="shared" si="364"/>
        <v>0.90284347811805543</v>
      </c>
      <c r="Y734" s="823">
        <f t="shared" si="365"/>
        <v>0.48875661945700627</v>
      </c>
      <c r="Z734" s="829">
        <f t="shared" si="366"/>
        <v>1.2183359659570125E-2</v>
      </c>
    </row>
    <row r="735" spans="1:26" ht="20.100000000000001" customHeight="1" x14ac:dyDescent="0.2">
      <c r="A735" s="798">
        <f t="shared" si="367"/>
        <v>1129</v>
      </c>
      <c r="B735" s="817">
        <v>43362</v>
      </c>
      <c r="C735" s="842">
        <v>2907.95</v>
      </c>
      <c r="D735" s="814">
        <f t="shared" si="368"/>
        <v>1.2533097362195746E-3</v>
      </c>
      <c r="E735" s="841">
        <f t="shared" si="354"/>
        <v>0.38313102870949933</v>
      </c>
      <c r="F735" s="838">
        <v>7950.03</v>
      </c>
      <c r="G735" s="814">
        <f t="shared" si="369"/>
        <v>-7.6293661467309593E-4</v>
      </c>
      <c r="H735" s="819">
        <f t="shared" si="355"/>
        <v>0.56137046565979931</v>
      </c>
      <c r="I735" s="863">
        <v>419431.72</v>
      </c>
      <c r="J735" s="822">
        <v>300000</v>
      </c>
      <c r="K735" s="822">
        <f t="shared" si="356"/>
        <v>1356.7999999999884</v>
      </c>
      <c r="L735" s="814">
        <f t="shared" si="357"/>
        <v>3.2453513355931237E-3</v>
      </c>
      <c r="M735" s="839">
        <f t="shared" si="358"/>
        <v>119431.71999999997</v>
      </c>
      <c r="N735" s="824">
        <f t="shared" si="359"/>
        <v>0.39810573333333327</v>
      </c>
      <c r="O735" s="808">
        <f t="shared" si="360"/>
        <v>0.12879372816651902</v>
      </c>
      <c r="P735" s="839" t="b">
        <f t="shared" si="361"/>
        <v>1</v>
      </c>
      <c r="Q735" s="824">
        <f>COUNTIF(P$2:P735, TRUE)/(COUNTIF(P$2:P735,FALSE) + COUNTIF(P$2:P735, TRUE))</f>
        <v>0.49591280653950953</v>
      </c>
      <c r="R735" s="822">
        <v>277922.09000000003</v>
      </c>
      <c r="S735" s="822">
        <f t="shared" si="362"/>
        <v>141509.62999999995</v>
      </c>
      <c r="T735" s="822">
        <v>-32495</v>
      </c>
      <c r="U735" s="822">
        <f t="shared" si="363"/>
        <v>151926.71999999997</v>
      </c>
      <c r="V735" s="824">
        <f>STDEV(D$2:D735)*SQRT(252)</f>
        <v>0.13669560794570593</v>
      </c>
      <c r="W735" s="824">
        <f>STDEV(L$2:L735)*SQRT(252)</f>
        <v>0.2605764967656935</v>
      </c>
      <c r="X735" s="823">
        <f t="shared" si="364"/>
        <v>0.90675309693708506</v>
      </c>
      <c r="Y735" s="823">
        <f t="shared" si="365"/>
        <v>0.49426456248020101</v>
      </c>
      <c r="Z735" s="829">
        <f t="shared" si="366"/>
        <v>1.4974704623833934E-2</v>
      </c>
    </row>
    <row r="736" spans="1:26" ht="20.100000000000001" customHeight="1" x14ac:dyDescent="0.2">
      <c r="A736" s="798">
        <f t="shared" si="367"/>
        <v>1130</v>
      </c>
      <c r="B736" s="817">
        <v>43363</v>
      </c>
      <c r="C736" s="842">
        <v>2930.75</v>
      </c>
      <c r="D736" s="814">
        <f t="shared" si="368"/>
        <v>7.8405749754982667E-3</v>
      </c>
      <c r="E736" s="841">
        <f t="shared" si="354"/>
        <v>0.39397557124103422</v>
      </c>
      <c r="F736" s="838">
        <v>8028.23</v>
      </c>
      <c r="G736" s="814">
        <f t="shared" si="369"/>
        <v>9.8364408687765734E-3</v>
      </c>
      <c r="H736" s="819">
        <f t="shared" si="355"/>
        <v>0.57672879391951604</v>
      </c>
      <c r="I736" s="863">
        <v>420883.98</v>
      </c>
      <c r="J736" s="822">
        <v>300000</v>
      </c>
      <c r="K736" s="822">
        <f t="shared" si="356"/>
        <v>1452.2600000000093</v>
      </c>
      <c r="L736" s="814">
        <f t="shared" si="357"/>
        <v>3.4624467601067689E-3</v>
      </c>
      <c r="M736" s="839">
        <f t="shared" si="358"/>
        <v>120883.97999999998</v>
      </c>
      <c r="N736" s="824">
        <f t="shared" si="359"/>
        <v>0.40294659999999993</v>
      </c>
      <c r="O736" s="808">
        <f t="shared" si="360"/>
        <v>0.13024446517699112</v>
      </c>
      <c r="P736" s="839" t="b">
        <f t="shared" si="361"/>
        <v>0</v>
      </c>
      <c r="Q736" s="824">
        <f>COUNTIF(P$2:P736, TRUE)/(COUNTIF(P$2:P736,FALSE) + COUNTIF(P$2:P736, TRUE))</f>
        <v>0.49523809523809526</v>
      </c>
      <c r="R736" s="822">
        <v>267594.75</v>
      </c>
      <c r="S736" s="822">
        <f t="shared" si="362"/>
        <v>153289.22999999998</v>
      </c>
      <c r="T736" s="822">
        <v>-32007</v>
      </c>
      <c r="U736" s="822">
        <f t="shared" si="363"/>
        <v>152890.97999999998</v>
      </c>
      <c r="V736" s="824">
        <f>STDEV(D$2:D736)*SQRT(252)</f>
        <v>0.13667040524290835</v>
      </c>
      <c r="W736" s="824">
        <f>STDEV(L$2:L736)*SQRT(252)</f>
        <v>0.26040376705486901</v>
      </c>
      <c r="X736" s="823">
        <f t="shared" si="364"/>
        <v>0.93176542888711478</v>
      </c>
      <c r="Y736" s="823">
        <f t="shared" si="365"/>
        <v>0.50016352163426137</v>
      </c>
      <c r="Z736" s="829">
        <f t="shared" si="366"/>
        <v>8.9710287589657156E-3</v>
      </c>
    </row>
    <row r="737" spans="1:26" ht="20.100000000000001" customHeight="1" x14ac:dyDescent="0.2">
      <c r="A737" s="798">
        <f t="shared" si="367"/>
        <v>1131</v>
      </c>
      <c r="B737" s="817">
        <v>43364</v>
      </c>
      <c r="C737" s="842">
        <v>2929.67</v>
      </c>
      <c r="D737" s="814">
        <f t="shared" si="368"/>
        <v>-3.6850635502855148E-4</v>
      </c>
      <c r="E737" s="841">
        <f t="shared" si="354"/>
        <v>0.39346188238427732</v>
      </c>
      <c r="F737" s="838">
        <v>7986.95</v>
      </c>
      <c r="G737" s="814">
        <f t="shared" si="369"/>
        <v>-5.1418556767805291E-3</v>
      </c>
      <c r="H737" s="819">
        <f t="shared" si="355"/>
        <v>0.56862148201975771</v>
      </c>
      <c r="I737" s="863">
        <v>421490.01</v>
      </c>
      <c r="J737" s="822">
        <v>300000</v>
      </c>
      <c r="K737" s="822">
        <f t="shared" si="356"/>
        <v>606.03000000002794</v>
      </c>
      <c r="L737" s="814">
        <f t="shared" si="357"/>
        <v>1.4398979975432373E-3</v>
      </c>
      <c r="M737" s="839">
        <f t="shared" si="358"/>
        <v>121490.01000000001</v>
      </c>
      <c r="N737" s="824">
        <f t="shared" si="359"/>
        <v>0.40496670000000001</v>
      </c>
      <c r="O737" s="808">
        <f t="shared" si="360"/>
        <v>0.13078168627320955</v>
      </c>
      <c r="P737" s="839" t="b">
        <f t="shared" si="361"/>
        <v>1</v>
      </c>
      <c r="Q737" s="824">
        <f>COUNTIF(P$2:P737, TRUE)/(COUNTIF(P$2:P737,FALSE) + COUNTIF(P$2:P737, TRUE))</f>
        <v>0.49592391304347827</v>
      </c>
      <c r="R737" s="822">
        <v>265208.83</v>
      </c>
      <c r="S737" s="822">
        <f t="shared" si="362"/>
        <v>156281.18</v>
      </c>
      <c r="T737" s="822">
        <v>-32167</v>
      </c>
      <c r="U737" s="822">
        <f t="shared" si="363"/>
        <v>153657.01</v>
      </c>
      <c r="V737" s="824">
        <f>STDEV(D$2:D737)*SQRT(252)</f>
        <v>0.13657819814952279</v>
      </c>
      <c r="W737" s="824">
        <f>STDEV(L$2:L737)*SQRT(252)</f>
        <v>0.26022668937948867</v>
      </c>
      <c r="X737" s="823">
        <f t="shared" si="364"/>
        <v>0.93035545026103961</v>
      </c>
      <c r="Y737" s="823">
        <f t="shared" si="365"/>
        <v>0.50256830529204699</v>
      </c>
      <c r="Z737" s="829">
        <f t="shared" si="366"/>
        <v>1.1504817615722696E-2</v>
      </c>
    </row>
    <row r="738" spans="1:26" ht="20.100000000000001" customHeight="1" x14ac:dyDescent="0.2">
      <c r="A738" s="798">
        <f t="shared" ref="A738:A771" si="370">B738-$B$2</f>
        <v>1134</v>
      </c>
      <c r="B738" s="817">
        <v>43367</v>
      </c>
      <c r="C738" s="842">
        <v>2919.37</v>
      </c>
      <c r="D738" s="814">
        <f t="shared" ref="D738:D771" si="371">(C738-C737)/C737</f>
        <v>-3.5157543341059511E-3</v>
      </c>
      <c r="E738" s="841">
        <f t="shared" ref="E738:E770" si="372">(C738-$C$2)/$C$2</f>
        <v>0.38856281273187337</v>
      </c>
      <c r="F738" s="838">
        <v>7993.24</v>
      </c>
      <c r="G738" s="814">
        <f t="shared" ref="G738:G771" si="373">(F738-F737)/F737</f>
        <v>7.8753466592378367E-4</v>
      </c>
      <c r="H738" s="819">
        <f t="shared" ref="H738:H770" si="374">(F738-F$2)/F$2</f>
        <v>0.56985682581456099</v>
      </c>
      <c r="I738" s="863">
        <v>418954.22</v>
      </c>
      <c r="J738" s="822">
        <v>300000</v>
      </c>
      <c r="K738" s="822">
        <f t="shared" ref="K738:K770" si="375">I738-I737-J738+J737</f>
        <v>-2535.7900000000373</v>
      </c>
      <c r="L738" s="814">
        <f t="shared" ref="L738:L770" si="376">K738/I737</f>
        <v>-6.0162517256341077E-3</v>
      </c>
      <c r="M738" s="839">
        <f t="shared" ref="M738:M770" si="377">I738-J738</f>
        <v>118954.21999999997</v>
      </c>
      <c r="N738" s="824">
        <f t="shared" ref="N738:N770" si="378">M738/J738</f>
        <v>0.39651406666666655</v>
      </c>
      <c r="O738" s="808">
        <f t="shared" ref="O738:O745" si="379">N738/(A738/365.25)</f>
        <v>0.1277131947530864</v>
      </c>
      <c r="P738" s="839" t="b">
        <f t="shared" ref="P738:P770" si="380">L738&gt;D738</f>
        <v>0</v>
      </c>
      <c r="Q738" s="824">
        <f>COUNTIF(P$2:P738, TRUE)/(COUNTIF(P$2:P738,FALSE) + COUNTIF(P$2:P738, TRUE))</f>
        <v>0.49525101763907736</v>
      </c>
      <c r="R738" s="822">
        <v>264787.38</v>
      </c>
      <c r="S738" s="822">
        <f>I738-R738</f>
        <v>154166.83999999997</v>
      </c>
      <c r="T738" s="822">
        <v>-33650</v>
      </c>
      <c r="U738" s="822">
        <f t="shared" ref="U738:U770" si="381">M738-T738</f>
        <v>152604.21999999997</v>
      </c>
      <c r="V738" s="824">
        <f>STDEV(D$2:D738)*SQRT(252)</f>
        <v>0.13650536639100233</v>
      </c>
      <c r="W738" s="824">
        <f>STDEV(L$2:L738)*SQRT(252)</f>
        <v>0.26007922673864475</v>
      </c>
      <c r="X738" s="823">
        <f t="shared" ref="X738:X770" si="382">E738/(A738/365.25)/V738</f>
        <v>0.91682971228726329</v>
      </c>
      <c r="Y738" s="823">
        <f t="shared" ref="Y738:Y770" si="383">O738/W738</f>
        <v>0.49105496180756564</v>
      </c>
      <c r="Z738" s="829">
        <f t="shared" ref="Z738:Z770" si="384">-(E738-N738)</f>
        <v>7.9512539347931788E-3</v>
      </c>
    </row>
    <row r="739" spans="1:26" ht="20.100000000000001" customHeight="1" x14ac:dyDescent="0.2">
      <c r="A739" s="798">
        <f t="shared" si="370"/>
        <v>1135</v>
      </c>
      <c r="B739" s="817">
        <v>43368</v>
      </c>
      <c r="C739" s="842">
        <v>2915.56</v>
      </c>
      <c r="D739" s="814">
        <f t="shared" si="371"/>
        <v>-1.3050760951849015E-3</v>
      </c>
      <c r="E739" s="841">
        <f t="shared" si="372"/>
        <v>0.38675063259831427</v>
      </c>
      <c r="F739" s="838">
        <v>8007.47</v>
      </c>
      <c r="G739" s="814">
        <f t="shared" si="373"/>
        <v>1.7802543148961465E-3</v>
      </c>
      <c r="H739" s="819">
        <f t="shared" si="374"/>
        <v>0.57265157020248647</v>
      </c>
      <c r="I739" s="863">
        <v>417620.33</v>
      </c>
      <c r="J739" s="822">
        <v>300000</v>
      </c>
      <c r="K739" s="822">
        <f t="shared" si="375"/>
        <v>-1333.8899999999558</v>
      </c>
      <c r="L739" s="814">
        <f t="shared" si="376"/>
        <v>-3.1838562218085686E-3</v>
      </c>
      <c r="M739" s="839">
        <f t="shared" si="377"/>
        <v>117620.33000000002</v>
      </c>
      <c r="N739" s="824">
        <f t="shared" si="378"/>
        <v>0.39206776666666671</v>
      </c>
      <c r="O739" s="808">
        <f t="shared" si="379"/>
        <v>0.12616982535242294</v>
      </c>
      <c r="P739" s="839" t="b">
        <f t="shared" si="380"/>
        <v>0</v>
      </c>
      <c r="Q739" s="824">
        <f>COUNTIF(P$2:P739, TRUE)/(COUNTIF(P$2:P739,FALSE) + COUNTIF(P$2:P739, TRUE))</f>
        <v>0.49457994579945802</v>
      </c>
      <c r="R739" s="822">
        <v>271578.69</v>
      </c>
      <c r="S739" s="822">
        <f>I739-R739</f>
        <v>146041.64000000001</v>
      </c>
      <c r="T739" s="822">
        <v>-33481</v>
      </c>
      <c r="U739" s="822">
        <f t="shared" si="381"/>
        <v>151101.33000000002</v>
      </c>
      <c r="V739" s="824">
        <f>STDEV(D$2:D739)*SQRT(252)</f>
        <v>0.13641660742721073</v>
      </c>
      <c r="W739" s="824">
        <f>STDEV(L$2:L739)*SQRT(252)</f>
        <v>0.25991231713034102</v>
      </c>
      <c r="X739" s="823">
        <f t="shared" si="382"/>
        <v>0.91234301426780873</v>
      </c>
      <c r="Y739" s="823">
        <f t="shared" si="383"/>
        <v>0.48543226710241361</v>
      </c>
      <c r="Z739" s="829">
        <f t="shared" si="384"/>
        <v>5.317134068352436E-3</v>
      </c>
    </row>
    <row r="740" spans="1:26" ht="20.100000000000001" customHeight="1" x14ac:dyDescent="0.2">
      <c r="A740" s="798">
        <f t="shared" si="370"/>
        <v>1136</v>
      </c>
      <c r="B740" s="817">
        <v>43369</v>
      </c>
      <c r="C740" s="842">
        <v>2905.97</v>
      </c>
      <c r="D740" s="814">
        <f t="shared" si="371"/>
        <v>-3.2892480346829239E-3</v>
      </c>
      <c r="E740" s="841">
        <f t="shared" si="372"/>
        <v>0.38218926580544499</v>
      </c>
      <c r="F740" s="838">
        <v>7990.36</v>
      </c>
      <c r="G740" s="814">
        <f t="shared" si="373"/>
        <v>-2.1367548052007167E-3</v>
      </c>
      <c r="H740" s="819">
        <f t="shared" si="374"/>
        <v>0.56929119940294992</v>
      </c>
      <c r="I740" s="863">
        <v>416840.38</v>
      </c>
      <c r="J740" s="822">
        <v>300000</v>
      </c>
      <c r="K740" s="822">
        <f t="shared" si="375"/>
        <v>-779.95000000001164</v>
      </c>
      <c r="L740" s="814">
        <f t="shared" si="376"/>
        <v>-1.8676054396106903E-3</v>
      </c>
      <c r="M740" s="839">
        <f t="shared" si="377"/>
        <v>116840.38</v>
      </c>
      <c r="N740" s="824">
        <f t="shared" si="378"/>
        <v>0.38946793333333335</v>
      </c>
      <c r="O740" s="808">
        <f t="shared" si="379"/>
        <v>0.12522285444542253</v>
      </c>
      <c r="P740" s="839" t="b">
        <f t="shared" si="380"/>
        <v>1</v>
      </c>
      <c r="Q740" s="824">
        <f>COUNTIF(P$2:P740, TRUE)/(COUNTIF(P$2:P740,FALSE) + COUNTIF(P$2:P740, TRUE))</f>
        <v>0.49526387009472261</v>
      </c>
      <c r="R740" s="822">
        <v>272989.78999999998</v>
      </c>
      <c r="S740" s="822">
        <f>I740-R740</f>
        <v>143850.59000000003</v>
      </c>
      <c r="T740" s="822">
        <v>-33533</v>
      </c>
      <c r="U740" s="822">
        <f t="shared" si="381"/>
        <v>150373.38</v>
      </c>
      <c r="V740" s="824">
        <f>STDEV(D$2:D740)*SQRT(252)</f>
        <v>0.1363418252525197</v>
      </c>
      <c r="W740" s="824">
        <f>STDEV(L$2:L740)*SQRT(252)</f>
        <v>0.25974018410209759</v>
      </c>
      <c r="X740" s="823">
        <f t="shared" si="382"/>
        <v>0.90128319771569054</v>
      </c>
      <c r="Y740" s="823">
        <f t="shared" si="383"/>
        <v>0.48210813000810243</v>
      </c>
      <c r="Z740" s="829">
        <f t="shared" si="384"/>
        <v>7.2786675278883606E-3</v>
      </c>
    </row>
    <row r="741" spans="1:26" ht="20.100000000000001" customHeight="1" x14ac:dyDescent="0.2">
      <c r="A741" s="798">
        <f t="shared" si="370"/>
        <v>1137</v>
      </c>
      <c r="B741" s="817">
        <v>43370</v>
      </c>
      <c r="C741" s="842">
        <v>2914</v>
      </c>
      <c r="D741" s="814">
        <f t="shared" si="371"/>
        <v>2.7632769780831187E-3</v>
      </c>
      <c r="E741" s="841">
        <f t="shared" si="372"/>
        <v>0.38600863758299875</v>
      </c>
      <c r="F741" s="838">
        <v>8041.96</v>
      </c>
      <c r="G741" s="814">
        <f t="shared" si="373"/>
        <v>6.4577816268604126E-3</v>
      </c>
      <c r="H741" s="819">
        <f t="shared" si="374"/>
        <v>0.57942533927764805</v>
      </c>
      <c r="I741" s="863">
        <v>416479.53</v>
      </c>
      <c r="J741" s="822">
        <v>300000</v>
      </c>
      <c r="K741" s="822">
        <f t="shared" si="375"/>
        <v>-360.84999999997672</v>
      </c>
      <c r="L741" s="814">
        <f t="shared" si="376"/>
        <v>-8.6567908800000784E-4</v>
      </c>
      <c r="M741" s="839">
        <f t="shared" si="377"/>
        <v>116479.53000000003</v>
      </c>
      <c r="N741" s="824">
        <f t="shared" si="378"/>
        <v>0.38826510000000009</v>
      </c>
      <c r="O741" s="808">
        <f t="shared" si="379"/>
        <v>0.12472632170184698</v>
      </c>
      <c r="P741" s="839" t="b">
        <f t="shared" si="380"/>
        <v>0</v>
      </c>
      <c r="Q741" s="824">
        <f>COUNTIF(P$2:P741, TRUE)/(COUNTIF(P$2:P741,FALSE) + COUNTIF(P$2:P741, TRUE))</f>
        <v>0.49459459459459459</v>
      </c>
      <c r="R741" s="822">
        <v>272628.99</v>
      </c>
      <c r="S741" s="822">
        <f>I741-R741</f>
        <v>143850.54000000004</v>
      </c>
      <c r="T741" s="822">
        <v>-33650</v>
      </c>
      <c r="U741" s="822">
        <f t="shared" si="381"/>
        <v>150129.53000000003</v>
      </c>
      <c r="V741" s="824">
        <f>STDEV(D$2:D741)*SQRT(252)</f>
        <v>0.13625597083804902</v>
      </c>
      <c r="W741" s="824">
        <f>STDEV(L$2:L741)*SQRT(252)</f>
        <v>0.25956570616493319</v>
      </c>
      <c r="X741" s="823">
        <f t="shared" si="382"/>
        <v>0.91006254415262233</v>
      </c>
      <c r="Y741" s="823">
        <f t="shared" si="383"/>
        <v>0.48051926251996252</v>
      </c>
      <c r="Z741" s="829">
        <f t="shared" si="384"/>
        <v>2.256462417001337E-3</v>
      </c>
    </row>
    <row r="742" spans="1:26" ht="20.100000000000001" customHeight="1" x14ac:dyDescent="0.2">
      <c r="A742" s="798">
        <f t="shared" si="370"/>
        <v>1138</v>
      </c>
      <c r="B742" s="817">
        <v>43371</v>
      </c>
      <c r="C742" s="842">
        <v>2913.98</v>
      </c>
      <c r="D742" s="814">
        <f t="shared" si="371"/>
        <v>-6.8634179821488707E-6</v>
      </c>
      <c r="E742" s="841">
        <f t="shared" si="372"/>
        <v>0.38599912482639215</v>
      </c>
      <c r="F742" s="838">
        <v>8046.35</v>
      </c>
      <c r="G742" s="814">
        <f t="shared" si="373"/>
        <v>5.4588682361020541E-4</v>
      </c>
      <c r="H742" s="819">
        <f t="shared" si="374"/>
        <v>0.58028752675923578</v>
      </c>
      <c r="I742" s="865">
        <v>416216.28</v>
      </c>
      <c r="J742" s="822">
        <v>300000</v>
      </c>
      <c r="K742" s="822">
        <f t="shared" si="375"/>
        <v>-263.25</v>
      </c>
      <c r="L742" s="814">
        <f t="shared" si="376"/>
        <v>-6.3208388657180813E-4</v>
      </c>
      <c r="M742" s="844">
        <f t="shared" si="377"/>
        <v>116216.28000000003</v>
      </c>
      <c r="N742" s="824">
        <f t="shared" si="378"/>
        <v>0.38738760000000011</v>
      </c>
      <c r="O742" s="808">
        <f t="shared" si="379"/>
        <v>0.12433507987697719</v>
      </c>
      <c r="P742" s="839" t="b">
        <f t="shared" si="380"/>
        <v>0</v>
      </c>
      <c r="Q742" s="824">
        <f>COUNTIF(P$2:P742, TRUE)/(COUNTIF(P$2:P742,FALSE) + COUNTIF(P$2:P742, TRUE))</f>
        <v>0.49392712550607287</v>
      </c>
      <c r="R742" s="822">
        <v>267675.40000000002</v>
      </c>
      <c r="S742" s="822">
        <f t="shared" ref="S742:S747" si="385">I742-R742</f>
        <v>148540.88</v>
      </c>
      <c r="T742" s="822">
        <v>-33845</v>
      </c>
      <c r="U742" s="822">
        <f t="shared" si="381"/>
        <v>150061.28000000003</v>
      </c>
      <c r="V742" s="824">
        <f>STDEV(D$2:D742)*SQRT(252)</f>
        <v>0.1361640449257997</v>
      </c>
      <c r="W742" s="824">
        <f>STDEV(L$2:L742)*SQRT(252)</f>
        <v>0.25939114357403653</v>
      </c>
      <c r="X742" s="823">
        <f t="shared" si="382"/>
        <v>0.90985427157821597</v>
      </c>
      <c r="Y742" s="823">
        <f t="shared" si="383"/>
        <v>0.47933432947562815</v>
      </c>
      <c r="Z742" s="829">
        <f t="shared" si="384"/>
        <v>1.3884751736079615E-3</v>
      </c>
    </row>
    <row r="743" spans="1:26" ht="20.100000000000001" customHeight="1" x14ac:dyDescent="0.2">
      <c r="A743" s="798">
        <f t="shared" si="370"/>
        <v>1141</v>
      </c>
      <c r="B743" s="817">
        <v>43374</v>
      </c>
      <c r="C743" s="842">
        <v>2924.59</v>
      </c>
      <c r="D743" s="814">
        <f t="shared" si="371"/>
        <v>3.6410682297064933E-3</v>
      </c>
      <c r="E743" s="841">
        <f t="shared" si="372"/>
        <v>0.39104564220619853</v>
      </c>
      <c r="F743" s="838">
        <v>8037.3</v>
      </c>
      <c r="G743" s="814">
        <f t="shared" si="373"/>
        <v>-1.1247335748507312E-3</v>
      </c>
      <c r="H743" s="819">
        <f t="shared" si="374"/>
        <v>0.57851012431997184</v>
      </c>
      <c r="I743" s="863">
        <v>417593.36</v>
      </c>
      <c r="J743" s="822">
        <v>300000</v>
      </c>
      <c r="K743" s="822">
        <f t="shared" si="375"/>
        <v>1377.0799999999581</v>
      </c>
      <c r="L743" s="814">
        <f t="shared" si="376"/>
        <v>3.3085683241413765E-3</v>
      </c>
      <c r="M743" s="839">
        <f t="shared" si="377"/>
        <v>117593.35999999999</v>
      </c>
      <c r="N743" s="824">
        <f t="shared" si="378"/>
        <v>0.39197786666666662</v>
      </c>
      <c r="O743" s="808">
        <f t="shared" si="379"/>
        <v>0.12547757738825591</v>
      </c>
      <c r="P743" s="839" t="b">
        <f t="shared" si="380"/>
        <v>0</v>
      </c>
      <c r="Q743" s="824">
        <f>COUNTIF(P$2:P743, TRUE)/(COUNTIF(P$2:P743,FALSE) + COUNTIF(P$2:P743, TRUE))</f>
        <v>0.49326145552560646</v>
      </c>
      <c r="R743" s="822">
        <v>262455.67999999999</v>
      </c>
      <c r="S743" s="822">
        <f t="shared" si="385"/>
        <v>155137.68</v>
      </c>
      <c r="T743" s="822">
        <v>-33676</v>
      </c>
      <c r="U743" s="822">
        <f t="shared" si="381"/>
        <v>151269.35999999999</v>
      </c>
      <c r="V743" s="824">
        <f>STDEV(D$2:D743)*SQRT(252)</f>
        <v>0.13608451347021563</v>
      </c>
      <c r="W743" s="824">
        <f>STDEV(L$2:L743)*SQRT(252)</f>
        <v>0.2592203859750481</v>
      </c>
      <c r="X743" s="823">
        <f t="shared" si="382"/>
        <v>0.91986337133927398</v>
      </c>
      <c r="Y743" s="823">
        <f t="shared" si="383"/>
        <v>0.48405752084766229</v>
      </c>
      <c r="Z743" s="829">
        <f t="shared" si="384"/>
        <v>9.322244604680896E-4</v>
      </c>
    </row>
    <row r="744" spans="1:26" ht="20.100000000000001" customHeight="1" x14ac:dyDescent="0.2">
      <c r="A744" s="798">
        <f t="shared" si="370"/>
        <v>1142</v>
      </c>
      <c r="B744" s="817">
        <v>43375</v>
      </c>
      <c r="C744" s="842">
        <v>2923.43</v>
      </c>
      <c r="D744" s="814">
        <f t="shared" si="371"/>
        <v>-3.9663679353355827E-4</v>
      </c>
      <c r="E744" s="841">
        <f t="shared" si="372"/>
        <v>0.39049390232301506</v>
      </c>
      <c r="F744" s="838">
        <v>7999.54</v>
      </c>
      <c r="G744" s="814">
        <f t="shared" si="373"/>
        <v>-4.6980951314496431E-3</v>
      </c>
      <c r="H744" s="819">
        <f t="shared" si="374"/>
        <v>0.5710941335899602</v>
      </c>
      <c r="I744" s="863">
        <v>417774.27</v>
      </c>
      <c r="J744" s="822">
        <v>300000</v>
      </c>
      <c r="K744" s="822">
        <f t="shared" si="375"/>
        <v>180.9100000000326</v>
      </c>
      <c r="L744" s="814">
        <f t="shared" si="376"/>
        <v>4.3322048990441944E-4</v>
      </c>
      <c r="M744" s="839">
        <f t="shared" si="377"/>
        <v>117774.27000000002</v>
      </c>
      <c r="N744" s="824">
        <f t="shared" si="378"/>
        <v>0.39258090000000007</v>
      </c>
      <c r="O744" s="808">
        <f t="shared" si="379"/>
        <v>0.12556057243870405</v>
      </c>
      <c r="P744" s="839" t="b">
        <f t="shared" si="380"/>
        <v>1</v>
      </c>
      <c r="Q744" s="824">
        <f>COUNTIF(P$2:P744, TRUE)/(COUNTIF(P$2:P744,FALSE) + COUNTIF(P$2:P744, TRUE))</f>
        <v>0.4939434724091521</v>
      </c>
      <c r="R744" s="822">
        <v>262636.63</v>
      </c>
      <c r="S744" s="822">
        <f t="shared" si="385"/>
        <v>155137.64000000001</v>
      </c>
      <c r="T744" s="822">
        <v>-33702</v>
      </c>
      <c r="U744" s="822">
        <f t="shared" si="381"/>
        <v>151476.27000000002</v>
      </c>
      <c r="V744" s="824">
        <f>STDEV(D$2:D744)*SQRT(252)</f>
        <v>0.13599362203592741</v>
      </c>
      <c r="W744" s="824">
        <f>STDEV(L$2:L744)*SQRT(252)</f>
        <v>0.25904545233684084</v>
      </c>
      <c r="X744" s="823">
        <f t="shared" si="382"/>
        <v>0.9183745423947578</v>
      </c>
      <c r="Y744" s="823">
        <f t="shared" si="383"/>
        <v>0.48470479333269934</v>
      </c>
      <c r="Z744" s="829">
        <f t="shared" si="384"/>
        <v>2.0869976769850029E-3</v>
      </c>
    </row>
    <row r="745" spans="1:26" ht="20.100000000000001" customHeight="1" x14ac:dyDescent="0.2">
      <c r="A745" s="798">
        <f t="shared" si="370"/>
        <v>1143</v>
      </c>
      <c r="B745" s="817">
        <v>43376</v>
      </c>
      <c r="C745" s="842">
        <v>2925.51</v>
      </c>
      <c r="D745" s="814">
        <f t="shared" si="371"/>
        <v>7.1149300650276632E-4</v>
      </c>
      <c r="E745" s="841">
        <f t="shared" si="372"/>
        <v>0.39148322901010263</v>
      </c>
      <c r="F745" s="838">
        <v>8025.08</v>
      </c>
      <c r="G745" s="814">
        <f t="shared" si="373"/>
        <v>3.1926835793058056E-3</v>
      </c>
      <c r="H745" s="819">
        <f t="shared" si="374"/>
        <v>0.57611014003181649</v>
      </c>
      <c r="I745" s="863">
        <v>417130.14</v>
      </c>
      <c r="J745" s="822">
        <v>300000</v>
      </c>
      <c r="K745" s="822">
        <f t="shared" si="375"/>
        <v>-644.13000000000466</v>
      </c>
      <c r="L745" s="814">
        <f t="shared" si="376"/>
        <v>-1.54181347740732E-3</v>
      </c>
      <c r="M745" s="839">
        <f t="shared" si="377"/>
        <v>117130.14000000001</v>
      </c>
      <c r="N745" s="824">
        <f t="shared" si="378"/>
        <v>0.39043380000000005</v>
      </c>
      <c r="O745" s="808">
        <f t="shared" si="379"/>
        <v>0.12476460669291341</v>
      </c>
      <c r="P745" s="839" t="b">
        <f t="shared" si="380"/>
        <v>0</v>
      </c>
      <c r="Q745" s="824">
        <f>COUNTIF(P$2:P745, TRUE)/(COUNTIF(P$2:P745,FALSE) + COUNTIF(P$2:P745, TRUE))</f>
        <v>0.49327956989247312</v>
      </c>
      <c r="R745" s="822">
        <v>261985.21</v>
      </c>
      <c r="S745" s="822">
        <f t="shared" si="385"/>
        <v>155144.93000000002</v>
      </c>
      <c r="T745" s="822">
        <v>-33690</v>
      </c>
      <c r="U745" s="822">
        <f t="shared" si="381"/>
        <v>150820.14000000001</v>
      </c>
      <c r="V745" s="824">
        <f>STDEV(D$2:D745)*SQRT(252)</f>
        <v>0.13590201750235897</v>
      </c>
      <c r="W745" s="824">
        <f>STDEV(L$2:L745)*SQRT(252)</f>
        <v>0.25887404950468873</v>
      </c>
      <c r="X745" s="823">
        <f t="shared" si="382"/>
        <v>0.9205158100379941</v>
      </c>
      <c r="Y745" s="823">
        <f t="shared" si="383"/>
        <v>0.48195099868692581</v>
      </c>
      <c r="Z745" s="829">
        <f t="shared" si="384"/>
        <v>-1.0494290101025761E-3</v>
      </c>
    </row>
    <row r="746" spans="1:26" ht="20.100000000000001" customHeight="1" x14ac:dyDescent="0.2">
      <c r="A746" s="798">
        <f t="shared" si="370"/>
        <v>1144</v>
      </c>
      <c r="B746" s="817">
        <v>43377</v>
      </c>
      <c r="C746" s="842">
        <v>2901.61</v>
      </c>
      <c r="D746" s="814">
        <f t="shared" si="371"/>
        <v>-8.1695157425543206E-3</v>
      </c>
      <c r="E746" s="841">
        <f t="shared" si="372"/>
        <v>0.38011548486520425</v>
      </c>
      <c r="F746" s="838">
        <v>7879.51</v>
      </c>
      <c r="G746" s="814">
        <f t="shared" si="373"/>
        <v>-1.8139383034187787E-2</v>
      </c>
      <c r="H746" s="819">
        <f t="shared" si="374"/>
        <v>0.54752047449771202</v>
      </c>
      <c r="I746" s="863">
        <v>415878.56</v>
      </c>
      <c r="J746" s="822">
        <v>300000</v>
      </c>
      <c r="K746" s="822">
        <f t="shared" si="375"/>
        <v>-1251.5800000000163</v>
      </c>
      <c r="L746" s="814">
        <f t="shared" si="376"/>
        <v>-3.0004544864583897E-3</v>
      </c>
      <c r="M746" s="839">
        <f t="shared" si="377"/>
        <v>115878.56</v>
      </c>
      <c r="N746" s="824">
        <f t="shared" si="378"/>
        <v>0.38626186666666668</v>
      </c>
      <c r="O746" s="808">
        <f t="shared" ref="O746:O751" si="386">N746/(A746/365.25)</f>
        <v>0.12332355489510489</v>
      </c>
      <c r="P746" s="839" t="b">
        <f t="shared" si="380"/>
        <v>1</v>
      </c>
      <c r="Q746" s="824">
        <f>COUNTIF(P$2:P746, TRUE)/(COUNTIF(P$2:P746,FALSE) + COUNTIF(P$2:P746, TRUE))</f>
        <v>0.49395973154362416</v>
      </c>
      <c r="R746" s="822">
        <v>272527.87</v>
      </c>
      <c r="S746" s="822">
        <f t="shared" si="385"/>
        <v>143350.69</v>
      </c>
      <c r="T746" s="822">
        <v>-34275</v>
      </c>
      <c r="U746" s="822">
        <f t="shared" si="381"/>
        <v>150153.56</v>
      </c>
      <c r="V746" s="824">
        <f>STDEV(D$2:D746)*SQRT(252)</f>
        <v>0.13590382160138992</v>
      </c>
      <c r="W746" s="824">
        <f>STDEV(L$2:L746)*SQRT(252)</f>
        <v>0.25870860408644841</v>
      </c>
      <c r="X746" s="823">
        <f t="shared" si="382"/>
        <v>0.89299307877467815</v>
      </c>
      <c r="Y746" s="823">
        <f t="shared" si="383"/>
        <v>0.47668903525874184</v>
      </c>
      <c r="Z746" s="829">
        <f t="shared" si="384"/>
        <v>6.1463818014624305E-3</v>
      </c>
    </row>
    <row r="747" spans="1:26" ht="20.100000000000001" customHeight="1" x14ac:dyDescent="0.2">
      <c r="A747" s="798">
        <f t="shared" si="370"/>
        <v>1145</v>
      </c>
      <c r="B747" s="817">
        <v>43378</v>
      </c>
      <c r="C747" s="842">
        <v>2885.57</v>
      </c>
      <c r="D747" s="814">
        <f t="shared" si="371"/>
        <v>-5.5279655088037206E-3</v>
      </c>
      <c r="E747" s="841">
        <f t="shared" si="372"/>
        <v>0.37248625406670349</v>
      </c>
      <c r="F747" s="838">
        <v>7788.44</v>
      </c>
      <c r="G747" s="814">
        <f t="shared" si="373"/>
        <v>-1.1557825296243119E-2</v>
      </c>
      <c r="H747" s="819">
        <f t="shared" si="374"/>
        <v>0.52963450321110828</v>
      </c>
      <c r="I747" s="863">
        <v>413387.15</v>
      </c>
      <c r="J747" s="822">
        <v>300000</v>
      </c>
      <c r="K747" s="822">
        <f t="shared" si="375"/>
        <v>-2491.4099999999744</v>
      </c>
      <c r="L747" s="814">
        <f t="shared" si="376"/>
        <v>-5.9907151741603951E-3</v>
      </c>
      <c r="M747" s="839">
        <f t="shared" si="377"/>
        <v>113387.15000000002</v>
      </c>
      <c r="N747" s="824">
        <f t="shared" si="378"/>
        <v>0.37795716666666673</v>
      </c>
      <c r="O747" s="808">
        <f t="shared" si="386"/>
        <v>0.12056668569868999</v>
      </c>
      <c r="P747" s="839" t="b">
        <f t="shared" si="380"/>
        <v>0</v>
      </c>
      <c r="Q747" s="824">
        <f>COUNTIF(P$2:P747, TRUE)/(COUNTIF(P$2:P747,FALSE) + COUNTIF(P$2:P747, TRUE))</f>
        <v>0.49329758713136729</v>
      </c>
      <c r="R747" s="866">
        <v>282588.67</v>
      </c>
      <c r="S747" s="822">
        <f t="shared" si="385"/>
        <v>130798.48000000004</v>
      </c>
      <c r="T747" s="822">
        <v>-35819</v>
      </c>
      <c r="U747" s="822">
        <f t="shared" si="381"/>
        <v>149206.15000000002</v>
      </c>
      <c r="V747" s="824">
        <f>STDEV(D$2:D747)*SQRT(252)</f>
        <v>0.1358572466290649</v>
      </c>
      <c r="W747" s="824">
        <f>STDEV(L$2:L747)*SQRT(252)</f>
        <v>0.25856366506134476</v>
      </c>
      <c r="X747" s="823">
        <f t="shared" si="382"/>
        <v>0.87460545107447674</v>
      </c>
      <c r="Y747" s="823">
        <f t="shared" si="383"/>
        <v>0.46629400024201118</v>
      </c>
      <c r="Z747" s="829">
        <f t="shared" si="384"/>
        <v>5.4709125999632402E-3</v>
      </c>
    </row>
    <row r="748" spans="1:26" ht="20.100000000000001" customHeight="1" x14ac:dyDescent="0.2">
      <c r="A748" s="798">
        <f t="shared" si="370"/>
        <v>1148</v>
      </c>
      <c r="B748" s="817">
        <v>43381</v>
      </c>
      <c r="C748" s="842">
        <v>2884.43</v>
      </c>
      <c r="D748" s="814">
        <f t="shared" si="371"/>
        <v>-3.9506925841352919E-4</v>
      </c>
      <c r="E748" s="841">
        <f t="shared" si="372"/>
        <v>0.37194402694012657</v>
      </c>
      <c r="F748" s="838">
        <v>7735.94</v>
      </c>
      <c r="G748" s="814">
        <f t="shared" si="373"/>
        <v>-6.7407593818531054E-3</v>
      </c>
      <c r="H748" s="819">
        <f t="shared" si="374"/>
        <v>0.51932360508278175</v>
      </c>
      <c r="I748" s="863">
        <v>415077.53</v>
      </c>
      <c r="J748" s="822">
        <v>300000</v>
      </c>
      <c r="K748" s="822">
        <f t="shared" si="375"/>
        <v>1690.3800000000047</v>
      </c>
      <c r="L748" s="814">
        <f t="shared" si="376"/>
        <v>4.0890966252821468E-3</v>
      </c>
      <c r="M748" s="839">
        <f t="shared" si="377"/>
        <v>115077.53000000003</v>
      </c>
      <c r="N748" s="824">
        <f t="shared" si="378"/>
        <v>0.38359176666666678</v>
      </c>
      <c r="O748" s="808">
        <f t="shared" si="386"/>
        <v>0.12204433168554012</v>
      </c>
      <c r="P748" s="839" t="b">
        <f t="shared" si="380"/>
        <v>1</v>
      </c>
      <c r="Q748" s="824">
        <f>COUNTIF(P$2:P748, TRUE)/(COUNTIF(P$2:P748,FALSE) + COUNTIF(P$2:P748, TRUE))</f>
        <v>0.49397590361445781</v>
      </c>
      <c r="R748" s="866">
        <v>283178.14</v>
      </c>
      <c r="S748" s="822">
        <f t="shared" ref="S748:S770" si="387">I748-R748</f>
        <v>131899.39000000001</v>
      </c>
      <c r="T748" s="822">
        <v>-35084</v>
      </c>
      <c r="U748" s="822">
        <f t="shared" si="381"/>
        <v>150161.53000000003</v>
      </c>
      <c r="V748" s="824">
        <f>STDEV(D$2:D748)*SQRT(252)</f>
        <v>0.13576694979485771</v>
      </c>
      <c r="W748" s="824">
        <f>STDEV(L$2:L748)*SQRT(252)</f>
        <v>0.25839777521285073</v>
      </c>
      <c r="X748" s="823">
        <f t="shared" si="382"/>
        <v>0.87162938737274376</v>
      </c>
      <c r="Y748" s="823">
        <f t="shared" si="383"/>
        <v>0.47231185169844514</v>
      </c>
      <c r="Z748" s="829">
        <f t="shared" si="384"/>
        <v>1.1647739726540207E-2</v>
      </c>
    </row>
    <row r="749" spans="1:26" ht="20.100000000000001" customHeight="1" x14ac:dyDescent="0.2">
      <c r="A749" s="798">
        <f t="shared" si="370"/>
        <v>1149</v>
      </c>
      <c r="B749" s="817">
        <v>43382</v>
      </c>
      <c r="C749" s="842">
        <v>2880.34</v>
      </c>
      <c r="D749" s="814">
        <f t="shared" si="371"/>
        <v>-1.4179577940874595E-3</v>
      </c>
      <c r="E749" s="841">
        <f t="shared" si="372"/>
        <v>0.36999866821407512</v>
      </c>
      <c r="F749" s="838">
        <v>7738.01</v>
      </c>
      <c r="G749" s="814">
        <f t="shared" si="373"/>
        <v>2.6758222013105308E-4</v>
      </c>
      <c r="H749" s="819">
        <f t="shared" si="374"/>
        <v>0.51973014906612736</v>
      </c>
      <c r="I749" s="863">
        <v>410358.85</v>
      </c>
      <c r="J749" s="822">
        <v>300000</v>
      </c>
      <c r="K749" s="822">
        <f t="shared" si="375"/>
        <v>-4718.6800000000512</v>
      </c>
      <c r="L749" s="814">
        <f t="shared" si="376"/>
        <v>-1.1368189456075956E-2</v>
      </c>
      <c r="M749" s="839">
        <f t="shared" si="377"/>
        <v>110358.84999999998</v>
      </c>
      <c r="N749" s="824">
        <f t="shared" si="378"/>
        <v>0.36786283333333325</v>
      </c>
      <c r="O749" s="808">
        <f t="shared" si="386"/>
        <v>0.11693811999564835</v>
      </c>
      <c r="P749" s="839" t="b">
        <f t="shared" si="380"/>
        <v>0</v>
      </c>
      <c r="Q749" s="824">
        <f>COUNTIF(P$2:P749, TRUE)/(COUNTIF(P$2:P749,FALSE) + COUNTIF(P$2:P749, TRUE))</f>
        <v>0.49331550802139035</v>
      </c>
      <c r="R749" s="866">
        <v>279861.53999999998</v>
      </c>
      <c r="S749" s="822">
        <f t="shared" si="387"/>
        <v>130497.31</v>
      </c>
      <c r="T749" s="822">
        <v>-35969</v>
      </c>
      <c r="U749" s="822">
        <f t="shared" si="381"/>
        <v>146327.84999999998</v>
      </c>
      <c r="V749" s="824">
        <f>STDEV(D$2:D749)*SQRT(252)</f>
        <v>0.13568030952855945</v>
      </c>
      <c r="W749" s="824">
        <f>STDEV(L$2:L749)*SQRT(252)</f>
        <v>0.25831903556755864</v>
      </c>
      <c r="X749" s="823">
        <f t="shared" si="382"/>
        <v>0.86686911701732472</v>
      </c>
      <c r="Y749" s="823">
        <f t="shared" si="383"/>
        <v>0.4526887449030651</v>
      </c>
      <c r="Z749" s="829">
        <f t="shared" si="384"/>
        <v>-2.1358348807418714E-3</v>
      </c>
    </row>
    <row r="750" spans="1:26" ht="20.100000000000001" customHeight="1" x14ac:dyDescent="0.2">
      <c r="A750" s="798">
        <f t="shared" si="370"/>
        <v>1150</v>
      </c>
      <c r="B750" s="817">
        <v>43383</v>
      </c>
      <c r="C750" s="842">
        <v>2785.68</v>
      </c>
      <c r="D750" s="814">
        <f t="shared" si="371"/>
        <v>-3.2864175757028789E-2</v>
      </c>
      <c r="E750" s="841">
        <f t="shared" si="372"/>
        <v>0.3249747911949924</v>
      </c>
      <c r="F750" s="838">
        <v>7422.05</v>
      </c>
      <c r="G750" s="814">
        <f t="shared" si="373"/>
        <v>-4.0832203628581511E-2</v>
      </c>
      <c r="H750" s="819">
        <f t="shared" si="374"/>
        <v>0.4576762181589647</v>
      </c>
      <c r="I750" s="863">
        <v>403954.59</v>
      </c>
      <c r="J750" s="822">
        <v>300000</v>
      </c>
      <c r="K750" s="822">
        <f t="shared" si="375"/>
        <v>-6404.2599999999511</v>
      </c>
      <c r="L750" s="814">
        <f t="shared" si="376"/>
        <v>-1.5606486859001461E-2</v>
      </c>
      <c r="M750" s="839">
        <f t="shared" si="377"/>
        <v>103954.59000000003</v>
      </c>
      <c r="N750" s="824">
        <f t="shared" si="378"/>
        <v>0.34651530000000008</v>
      </c>
      <c r="O750" s="808">
        <f t="shared" si="386"/>
        <v>0.11005627245652176</v>
      </c>
      <c r="P750" s="839" t="b">
        <f t="shared" si="380"/>
        <v>1</v>
      </c>
      <c r="Q750" s="824">
        <f>COUNTIF(P$2:P750, TRUE)/(COUNTIF(P$2:P750,FALSE) + COUNTIF(P$2:P750, TRUE))</f>
        <v>0.49399198931909211</v>
      </c>
      <c r="R750" s="866">
        <v>338467.68</v>
      </c>
      <c r="S750" s="822">
        <f t="shared" si="387"/>
        <v>65486.910000000033</v>
      </c>
      <c r="T750" s="822">
        <v>-36944</v>
      </c>
      <c r="U750" s="822">
        <f t="shared" si="381"/>
        <v>140898.59000000003</v>
      </c>
      <c r="V750" s="824">
        <f>STDEV(D$2:D750)*SQRT(252)</f>
        <v>0.13696197828439696</v>
      </c>
      <c r="W750" s="824">
        <f>STDEV(L$2:L750)*SQRT(252)</f>
        <v>0.25831836082290399</v>
      </c>
      <c r="X750" s="823">
        <f t="shared" si="382"/>
        <v>0.7536019911815014</v>
      </c>
      <c r="Y750" s="823">
        <f t="shared" si="383"/>
        <v>0.42604897346795001</v>
      </c>
      <c r="Z750" s="829">
        <f t="shared" si="384"/>
        <v>2.1540508805007685E-2</v>
      </c>
    </row>
    <row r="751" spans="1:26" ht="20.100000000000001" customHeight="1" x14ac:dyDescent="0.2">
      <c r="A751" s="798">
        <f t="shared" si="370"/>
        <v>1151</v>
      </c>
      <c r="B751" s="817">
        <v>43384</v>
      </c>
      <c r="C751" s="842">
        <v>2728.37</v>
      </c>
      <c r="D751" s="814">
        <f t="shared" si="371"/>
        <v>-2.0573073719881662E-2</v>
      </c>
      <c r="E751" s="841">
        <f t="shared" si="372"/>
        <v>0.29771598713875297</v>
      </c>
      <c r="F751" s="838">
        <v>7329.06</v>
      </c>
      <c r="G751" s="814">
        <f t="shared" si="373"/>
        <v>-1.2528883529483064E-2</v>
      </c>
      <c r="H751" s="819">
        <f t="shared" si="374"/>
        <v>0.43941316259795365</v>
      </c>
      <c r="I751" s="863">
        <v>394351.69</v>
      </c>
      <c r="J751" s="822">
        <v>300000</v>
      </c>
      <c r="K751" s="822">
        <f t="shared" si="375"/>
        <v>-9602.9000000000233</v>
      </c>
      <c r="L751" s="814">
        <f t="shared" si="376"/>
        <v>-2.3772226477238499E-2</v>
      </c>
      <c r="M751" s="839">
        <f t="shared" si="377"/>
        <v>94351.69</v>
      </c>
      <c r="N751" s="824">
        <f t="shared" si="378"/>
        <v>0.31450563333333337</v>
      </c>
      <c r="O751" s="808">
        <f t="shared" si="386"/>
        <v>9.9802938814074718E-2</v>
      </c>
      <c r="P751" s="839" t="b">
        <f t="shared" si="380"/>
        <v>0</v>
      </c>
      <c r="Q751" s="824">
        <f>COUNTIF(P$2:P751, TRUE)/(COUNTIF(P$2:P751,FALSE) + COUNTIF(P$2:P751, TRUE))</f>
        <v>0.49333333333333335</v>
      </c>
      <c r="R751" s="866">
        <v>363372.5</v>
      </c>
      <c r="S751" s="822">
        <f t="shared" si="387"/>
        <v>30979.190000000002</v>
      </c>
      <c r="T751" s="822">
        <v>-37544</v>
      </c>
      <c r="U751" s="822">
        <f t="shared" si="381"/>
        <v>131895.69</v>
      </c>
      <c r="V751" s="824">
        <f>STDEV(D$2:D751)*SQRT(252)</f>
        <v>0.13741065749556494</v>
      </c>
      <c r="W751" s="824">
        <f>STDEV(L$2:L751)*SQRT(252)</f>
        <v>0.25853317657038244</v>
      </c>
      <c r="X751" s="823">
        <f t="shared" si="382"/>
        <v>0.68753789457256964</v>
      </c>
      <c r="Y751" s="823">
        <f t="shared" si="383"/>
        <v>0.38603532489728493</v>
      </c>
      <c r="Z751" s="829">
        <f t="shared" si="384"/>
        <v>1.6789646194580399E-2</v>
      </c>
    </row>
    <row r="752" spans="1:26" ht="20.100000000000001" customHeight="1" x14ac:dyDescent="0.2">
      <c r="A752" s="798">
        <f t="shared" si="370"/>
        <v>1152</v>
      </c>
      <c r="B752" s="817">
        <v>43385</v>
      </c>
      <c r="C752" s="842">
        <v>2767.13</v>
      </c>
      <c r="D752" s="814">
        <f t="shared" si="371"/>
        <v>1.4206284338267984E-2</v>
      </c>
      <c r="E752" s="841">
        <f t="shared" si="372"/>
        <v>0.31615170944236221</v>
      </c>
      <c r="F752" s="838">
        <v>7496.89</v>
      </c>
      <c r="G752" s="814">
        <f t="shared" si="373"/>
        <v>2.289925311022149E-2</v>
      </c>
      <c r="H752" s="819">
        <f t="shared" si="374"/>
        <v>0.47237464893846859</v>
      </c>
      <c r="I752" s="863">
        <v>399150.6</v>
      </c>
      <c r="J752" s="822">
        <v>300000</v>
      </c>
      <c r="K752" s="822">
        <f t="shared" si="375"/>
        <v>4798.9099999999744</v>
      </c>
      <c r="L752" s="814">
        <f t="shared" si="376"/>
        <v>1.2169112296691246E-2</v>
      </c>
      <c r="M752" s="839">
        <f t="shared" si="377"/>
        <v>99150.599999999977</v>
      </c>
      <c r="N752" s="824">
        <f t="shared" si="378"/>
        <v>0.33050199999999991</v>
      </c>
      <c r="O752" s="808">
        <f t="shared" ref="O752:O770" si="388">N752/(A752/365.25)</f>
        <v>0.10478806901041664</v>
      </c>
      <c r="P752" s="839" t="b">
        <f t="shared" si="380"/>
        <v>0</v>
      </c>
      <c r="Q752" s="824">
        <f>COUNTIF(P$2:P752, TRUE)/(COUNTIF(P$2:P752,FALSE) + COUNTIF(P$2:P752, TRUE))</f>
        <v>0.49267643142476697</v>
      </c>
      <c r="R752" s="866">
        <v>363373.5</v>
      </c>
      <c r="S752" s="822">
        <f t="shared" si="387"/>
        <v>35777.099999999977</v>
      </c>
      <c r="T752" s="822">
        <v>-37543</v>
      </c>
      <c r="U752" s="822">
        <f t="shared" si="381"/>
        <v>136693.59999999998</v>
      </c>
      <c r="V752" s="824">
        <f>STDEV(D$2:D752)*SQRT(252)</f>
        <v>0.13755239317681453</v>
      </c>
      <c r="W752" s="824">
        <f>STDEV(L$2:L752)*SQRT(252)</f>
        <v>0.25844768892939957</v>
      </c>
      <c r="X752" s="823">
        <f t="shared" si="382"/>
        <v>0.72872745022133256</v>
      </c>
      <c r="Y752" s="823">
        <f t="shared" si="383"/>
        <v>0.40545175483864243</v>
      </c>
      <c r="Z752" s="829">
        <f t="shared" si="384"/>
        <v>1.4350290557637702E-2</v>
      </c>
    </row>
    <row r="753" spans="1:26" ht="20.100000000000001" customHeight="1" x14ac:dyDescent="0.2">
      <c r="A753" s="798">
        <f t="shared" si="370"/>
        <v>1155</v>
      </c>
      <c r="B753" s="817">
        <v>43388</v>
      </c>
      <c r="C753" s="842">
        <v>2750.79</v>
      </c>
      <c r="D753" s="814">
        <f t="shared" si="371"/>
        <v>-5.9050351808553067E-3</v>
      </c>
      <c r="E753" s="841">
        <f t="shared" si="372"/>
        <v>0.30837978729476223</v>
      </c>
      <c r="F753" s="838">
        <v>7430.74</v>
      </c>
      <c r="G753" s="814">
        <f t="shared" si="373"/>
        <v>-8.8236588772144901E-3</v>
      </c>
      <c r="H753" s="819">
        <f t="shared" si="374"/>
        <v>0.4593829172967771</v>
      </c>
      <c r="I753" s="863">
        <v>400317.06</v>
      </c>
      <c r="J753" s="822">
        <v>300000</v>
      </c>
      <c r="K753" s="822">
        <f t="shared" si="375"/>
        <v>1166.460000000021</v>
      </c>
      <c r="L753" s="814">
        <f t="shared" si="376"/>
        <v>2.9223556221637174E-3</v>
      </c>
      <c r="M753" s="839">
        <f t="shared" si="377"/>
        <v>100317.06</v>
      </c>
      <c r="N753" s="824">
        <f t="shared" si="378"/>
        <v>0.33439019999999997</v>
      </c>
      <c r="O753" s="808">
        <f t="shared" si="388"/>
        <v>0.10574547233766232</v>
      </c>
      <c r="P753" s="839" t="b">
        <f t="shared" si="380"/>
        <v>1</v>
      </c>
      <c r="Q753" s="824">
        <f>COUNTIF(P$2:P753, TRUE)/(COUNTIF(P$2:P753,FALSE) + COUNTIF(P$2:P753, TRUE))</f>
        <v>0.49335106382978722</v>
      </c>
      <c r="R753" s="866">
        <v>357352.57</v>
      </c>
      <c r="S753" s="822">
        <f t="shared" si="387"/>
        <v>42964.489999999991</v>
      </c>
      <c r="T753" s="822">
        <v>-37904</v>
      </c>
      <c r="U753" s="822">
        <f t="shared" si="381"/>
        <v>138221.06</v>
      </c>
      <c r="V753" s="824">
        <f>STDEV(D$2:D753)*SQRT(252)</f>
        <v>0.13750923270259074</v>
      </c>
      <c r="W753" s="824">
        <f>STDEV(L$2:L753)*SQRT(252)</f>
        <v>0.25827881749426812</v>
      </c>
      <c r="X753" s="823">
        <f t="shared" si="382"/>
        <v>0.70918948240740975</v>
      </c>
      <c r="Y753" s="823">
        <f t="shared" si="383"/>
        <v>0.40942371257375409</v>
      </c>
      <c r="Z753" s="829">
        <f t="shared" si="384"/>
        <v>2.601041270523774E-2</v>
      </c>
    </row>
    <row r="754" spans="1:26" ht="20.100000000000001" customHeight="1" x14ac:dyDescent="0.2">
      <c r="A754" s="798">
        <f t="shared" si="370"/>
        <v>1156</v>
      </c>
      <c r="B754" s="817">
        <v>43389</v>
      </c>
      <c r="C754" s="842">
        <v>2809.92</v>
      </c>
      <c r="D754" s="814">
        <f t="shared" si="371"/>
        <v>2.1495643069809077E-2</v>
      </c>
      <c r="E754" s="841">
        <f t="shared" si="372"/>
        <v>0.33650425220220315</v>
      </c>
      <c r="F754" s="838">
        <v>7645.48</v>
      </c>
      <c r="G754" s="814">
        <f t="shared" si="373"/>
        <v>2.8898871444835883E-2</v>
      </c>
      <c r="H754" s="819">
        <f t="shared" si="374"/>
        <v>0.50155743661252628</v>
      </c>
      <c r="I754" s="863">
        <v>406323.52</v>
      </c>
      <c r="J754" s="822">
        <v>300000</v>
      </c>
      <c r="K754" s="822">
        <f t="shared" si="375"/>
        <v>6006.460000000021</v>
      </c>
      <c r="L754" s="814">
        <f t="shared" si="376"/>
        <v>1.5004256875787459E-2</v>
      </c>
      <c r="M754" s="839">
        <f t="shared" si="377"/>
        <v>106323.52000000002</v>
      </c>
      <c r="N754" s="824">
        <f t="shared" si="378"/>
        <v>0.35441173333333342</v>
      </c>
      <c r="O754" s="808">
        <f t="shared" si="388"/>
        <v>0.11198000484429069</v>
      </c>
      <c r="P754" s="839" t="b">
        <f t="shared" si="380"/>
        <v>0</v>
      </c>
      <c r="Q754" s="824">
        <f>COUNTIF(P$2:P754, TRUE)/(COUNTIF(P$2:P754,FALSE) + COUNTIF(P$2:P754, TRUE))</f>
        <v>0.49269588313413015</v>
      </c>
      <c r="R754" s="866">
        <v>360682.34</v>
      </c>
      <c r="S754" s="822">
        <f t="shared" si="387"/>
        <v>45641.179999999993</v>
      </c>
      <c r="T754" s="822">
        <v>-37049</v>
      </c>
      <c r="U754" s="822">
        <f t="shared" si="381"/>
        <v>143372.52000000002</v>
      </c>
      <c r="V754" s="824">
        <f>STDEV(D$2:D754)*SQRT(252)</f>
        <v>0.13795943645893607</v>
      </c>
      <c r="W754" s="824">
        <f>STDEV(L$2:L754)*SQRT(252)</f>
        <v>0.25824128288061354</v>
      </c>
      <c r="X754" s="823">
        <f t="shared" si="382"/>
        <v>0.77067546894430505</v>
      </c>
      <c r="Y754" s="823">
        <f t="shared" si="383"/>
        <v>0.43362549781035475</v>
      </c>
      <c r="Z754" s="829">
        <f t="shared" si="384"/>
        <v>1.7907481131130276E-2</v>
      </c>
    </row>
    <row r="755" spans="1:26" ht="20.100000000000001" customHeight="1" x14ac:dyDescent="0.2">
      <c r="A755" s="798">
        <f t="shared" si="370"/>
        <v>1157</v>
      </c>
      <c r="B755" s="817">
        <v>43390</v>
      </c>
      <c r="C755" s="842">
        <v>2809.21</v>
      </c>
      <c r="D755" s="814">
        <f t="shared" si="371"/>
        <v>-2.5267623277532329E-4</v>
      </c>
      <c r="E755" s="841">
        <f t="shared" si="372"/>
        <v>0.33616654934266849</v>
      </c>
      <c r="F755" s="838">
        <v>7642.7</v>
      </c>
      <c r="G755" s="814">
        <f t="shared" si="373"/>
        <v>-3.6361353374801133E-4</v>
      </c>
      <c r="H755" s="819">
        <f t="shared" si="374"/>
        <v>0.50101145000687397</v>
      </c>
      <c r="I755" s="863">
        <v>404984.75</v>
      </c>
      <c r="J755" s="822">
        <v>300000</v>
      </c>
      <c r="K755" s="822">
        <f t="shared" si="375"/>
        <v>-1338.7700000000186</v>
      </c>
      <c r="L755" s="814">
        <f t="shared" si="376"/>
        <v>-3.2948375717950528E-3</v>
      </c>
      <c r="M755" s="839">
        <f t="shared" si="377"/>
        <v>104984.75</v>
      </c>
      <c r="N755" s="824">
        <f t="shared" si="378"/>
        <v>0.34994916666666664</v>
      </c>
      <c r="O755" s="808">
        <f t="shared" si="388"/>
        <v>0.1104744452247191</v>
      </c>
      <c r="P755" s="839" t="b">
        <f t="shared" si="380"/>
        <v>0</v>
      </c>
      <c r="Q755" s="824">
        <f>COUNTIF(P$2:P755, TRUE)/(COUNTIF(P$2:P755,FALSE) + COUNTIF(P$2:P755, TRUE))</f>
        <v>0.49204244031830241</v>
      </c>
      <c r="R755" s="866">
        <v>359343.5</v>
      </c>
      <c r="S755" s="822">
        <f t="shared" si="387"/>
        <v>45641.25</v>
      </c>
      <c r="T755" s="822">
        <v>-37299</v>
      </c>
      <c r="U755" s="822">
        <f t="shared" si="381"/>
        <v>142283.75</v>
      </c>
      <c r="V755" s="824">
        <f>STDEV(D$2:D755)*SQRT(252)</f>
        <v>0.13786823256243061</v>
      </c>
      <c r="W755" s="824">
        <f>STDEV(L$2:L755)*SQRT(252)</f>
        <v>0.25807950320983214</v>
      </c>
      <c r="X755" s="823">
        <f t="shared" si="382"/>
        <v>0.76974549145581883</v>
      </c>
      <c r="Y755" s="823">
        <f t="shared" si="383"/>
        <v>0.42806361547781496</v>
      </c>
      <c r="Z755" s="829">
        <f t="shared" si="384"/>
        <v>1.3782617323998159E-2</v>
      </c>
    </row>
    <row r="756" spans="1:26" ht="20.100000000000001" customHeight="1" x14ac:dyDescent="0.2">
      <c r="A756" s="798">
        <f t="shared" si="370"/>
        <v>1158</v>
      </c>
      <c r="B756" s="817">
        <v>43391</v>
      </c>
      <c r="C756" s="842">
        <v>2768.78</v>
      </c>
      <c r="D756" s="814">
        <f t="shared" si="371"/>
        <v>-1.4391946490294365E-2</v>
      </c>
      <c r="E756" s="841">
        <f t="shared" si="372"/>
        <v>0.31693651186240757</v>
      </c>
      <c r="F756" s="838">
        <v>7485.13</v>
      </c>
      <c r="G756" s="814">
        <f t="shared" si="373"/>
        <v>-2.0617059416174876E-2</v>
      </c>
      <c r="H756" s="819">
        <f t="shared" si="374"/>
        <v>0.47006500775772342</v>
      </c>
      <c r="I756" s="863">
        <v>398417.9</v>
      </c>
      <c r="J756" s="822">
        <v>300000</v>
      </c>
      <c r="K756" s="822">
        <f t="shared" si="375"/>
        <v>-6566.8499999999767</v>
      </c>
      <c r="L756" s="814">
        <f t="shared" si="376"/>
        <v>-1.6215055011330616E-2</v>
      </c>
      <c r="M756" s="839">
        <f t="shared" si="377"/>
        <v>98417.900000000023</v>
      </c>
      <c r="N756" s="824">
        <f t="shared" si="378"/>
        <v>0.32805966666666675</v>
      </c>
      <c r="O756" s="808">
        <f t="shared" si="388"/>
        <v>0.10347477828151989</v>
      </c>
      <c r="P756" s="839" t="b">
        <f t="shared" si="380"/>
        <v>0</v>
      </c>
      <c r="Q756" s="824">
        <f>COUNTIF(P$2:P756, TRUE)/(COUNTIF(P$2:P756,FALSE) + COUNTIF(P$2:P756, TRUE))</f>
        <v>0.49139072847682119</v>
      </c>
      <c r="R756" s="866">
        <v>360606.71999999997</v>
      </c>
      <c r="S756" s="822">
        <f t="shared" si="387"/>
        <v>37811.180000000051</v>
      </c>
      <c r="T756" s="822">
        <v>-39134</v>
      </c>
      <c r="U756" s="822">
        <f t="shared" si="381"/>
        <v>137551.90000000002</v>
      </c>
      <c r="V756" s="824">
        <f>STDEV(D$2:D756)*SQRT(252)</f>
        <v>0.13804259581395359</v>
      </c>
      <c r="W756" s="824">
        <f>STDEV(L$2:L756)*SQRT(252)</f>
        <v>0.25809172420010795</v>
      </c>
      <c r="X756" s="823">
        <f t="shared" si="382"/>
        <v>0.72417048733850098</v>
      </c>
      <c r="Y756" s="823">
        <f t="shared" si="383"/>
        <v>0.40092249607078495</v>
      </c>
      <c r="Z756" s="829">
        <f t="shared" si="384"/>
        <v>1.1123154804259183E-2</v>
      </c>
    </row>
    <row r="757" spans="1:26" ht="20.100000000000001" customHeight="1" x14ac:dyDescent="0.2">
      <c r="A757" s="798">
        <f t="shared" si="370"/>
        <v>1159</v>
      </c>
      <c r="B757" s="817">
        <v>43392</v>
      </c>
      <c r="C757" s="842">
        <v>2767.78</v>
      </c>
      <c r="D757" s="814">
        <f t="shared" si="371"/>
        <v>-3.6116990154508479E-4</v>
      </c>
      <c r="E757" s="841">
        <f t="shared" si="372"/>
        <v>0.31646087403207707</v>
      </c>
      <c r="F757" s="838">
        <v>7449.02</v>
      </c>
      <c r="G757" s="814">
        <f t="shared" si="373"/>
        <v>-4.8242315096731353E-3</v>
      </c>
      <c r="H757" s="819">
        <f t="shared" si="374"/>
        <v>0.46297307382603076</v>
      </c>
      <c r="I757" s="863">
        <v>401358.47</v>
      </c>
      <c r="J757" s="822">
        <v>300000</v>
      </c>
      <c r="K757" s="822">
        <f t="shared" si="375"/>
        <v>2940.5699999999488</v>
      </c>
      <c r="L757" s="814">
        <f t="shared" si="376"/>
        <v>7.3806171861252939E-3</v>
      </c>
      <c r="M757" s="839">
        <f t="shared" si="377"/>
        <v>101358.46999999997</v>
      </c>
      <c r="N757" s="824">
        <f t="shared" si="378"/>
        <v>0.33786156666666656</v>
      </c>
      <c r="O757" s="808">
        <f t="shared" si="388"/>
        <v>0.1064744928602243</v>
      </c>
      <c r="P757" s="839" t="b">
        <f t="shared" si="380"/>
        <v>1</v>
      </c>
      <c r="Q757" s="824">
        <f>COUNTIF(P$2:P757, TRUE)/(COUNTIF(P$2:P757,FALSE) + COUNTIF(P$2:P757, TRUE))</f>
        <v>0.49206349206349204</v>
      </c>
      <c r="R757" s="866">
        <v>363547.23</v>
      </c>
      <c r="S757" s="822">
        <f t="shared" si="387"/>
        <v>37811.239999999991</v>
      </c>
      <c r="T757" s="822">
        <v>-38624</v>
      </c>
      <c r="U757" s="822">
        <f t="shared" si="381"/>
        <v>139982.46999999997</v>
      </c>
      <c r="V757" s="824">
        <f>STDEV(D$2:D757)*SQRT(252)</f>
        <v>0.13795173166869251</v>
      </c>
      <c r="W757" s="824">
        <f>STDEV(L$2:L757)*SQRT(252)</f>
        <v>0.2579502579046023</v>
      </c>
      <c r="X757" s="823">
        <f t="shared" si="382"/>
        <v>0.72293567310446494</v>
      </c>
      <c r="Y757" s="823">
        <f t="shared" si="383"/>
        <v>0.41277141463297834</v>
      </c>
      <c r="Z757" s="829">
        <f t="shared" si="384"/>
        <v>2.1400692634589491E-2</v>
      </c>
    </row>
    <row r="758" spans="1:26" ht="20.100000000000001" customHeight="1" x14ac:dyDescent="0.2">
      <c r="A758" s="798">
        <f t="shared" si="370"/>
        <v>1162</v>
      </c>
      <c r="B758" s="817">
        <v>43395</v>
      </c>
      <c r="C758" s="842">
        <v>2755.88</v>
      </c>
      <c r="D758" s="814">
        <f t="shared" si="371"/>
        <v>-4.2994746692295235E-3</v>
      </c>
      <c r="E758" s="841">
        <f t="shared" si="372"/>
        <v>0.3108007838511444</v>
      </c>
      <c r="F758" s="838">
        <v>7468.62</v>
      </c>
      <c r="G758" s="814">
        <f t="shared" si="373"/>
        <v>2.6312186032524348E-3</v>
      </c>
      <c r="H758" s="819">
        <f t="shared" si="374"/>
        <v>0.46682247579393921</v>
      </c>
      <c r="I758" s="863">
        <v>397031.87</v>
      </c>
      <c r="J758" s="822">
        <v>300000</v>
      </c>
      <c r="K758" s="822">
        <f t="shared" si="375"/>
        <v>-4326.5999999999767</v>
      </c>
      <c r="L758" s="814">
        <f t="shared" si="376"/>
        <v>-1.0779889608409103E-2</v>
      </c>
      <c r="M758" s="839">
        <f t="shared" si="377"/>
        <v>97031.87</v>
      </c>
      <c r="N758" s="824">
        <f t="shared" si="378"/>
        <v>0.32343956666666668</v>
      </c>
      <c r="O758" s="808">
        <f t="shared" si="388"/>
        <v>0.10166635260327024</v>
      </c>
      <c r="P758" s="839" t="b">
        <f t="shared" si="380"/>
        <v>0</v>
      </c>
      <c r="Q758" s="824">
        <f>COUNTIF(P$2:P758, TRUE)/(COUNTIF(P$2:P758,FALSE) + COUNTIF(P$2:P758, TRUE))</f>
        <v>0.4914134742404227</v>
      </c>
      <c r="R758" s="866">
        <v>359220.63</v>
      </c>
      <c r="S758" s="822">
        <f t="shared" si="387"/>
        <v>37811.239999999991</v>
      </c>
      <c r="T758" s="822">
        <v>-39569</v>
      </c>
      <c r="U758" s="822">
        <f t="shared" si="381"/>
        <v>136600.87</v>
      </c>
      <c r="V758" s="824">
        <f>STDEV(D$2:D758)*SQRT(252)</f>
        <v>0.13788706222905875</v>
      </c>
      <c r="W758" s="824">
        <f>STDEV(L$2:L758)*SQRT(252)</f>
        <v>0.25786323561379038</v>
      </c>
      <c r="X758" s="823">
        <f t="shared" si="382"/>
        <v>0.70850461458546476</v>
      </c>
      <c r="Y758" s="823">
        <f t="shared" si="383"/>
        <v>0.3942646277639168</v>
      </c>
      <c r="Z758" s="829">
        <f t="shared" si="384"/>
        <v>1.2638782815522276E-2</v>
      </c>
    </row>
    <row r="759" spans="1:26" ht="20.100000000000001" customHeight="1" x14ac:dyDescent="0.2">
      <c r="A759" s="798">
        <f t="shared" si="370"/>
        <v>1163</v>
      </c>
      <c r="B759" s="817">
        <v>43396</v>
      </c>
      <c r="C759" s="842">
        <v>2740.69</v>
      </c>
      <c r="D759" s="814">
        <f t="shared" si="371"/>
        <v>-5.5118510239923557E-3</v>
      </c>
      <c r="E759" s="841">
        <f t="shared" si="372"/>
        <v>0.30357584520842451</v>
      </c>
      <c r="F759" s="838">
        <v>7437.53</v>
      </c>
      <c r="G759" s="814">
        <f t="shared" si="373"/>
        <v>-4.1627502805069942E-3</v>
      </c>
      <c r="H759" s="819">
        <f t="shared" si="374"/>
        <v>0.46071646012137402</v>
      </c>
      <c r="I759" s="863">
        <v>395838.43</v>
      </c>
      <c r="J759" s="822">
        <v>300000</v>
      </c>
      <c r="K759" s="822">
        <f t="shared" si="375"/>
        <v>-1193.4400000000023</v>
      </c>
      <c r="L759" s="814">
        <f t="shared" si="376"/>
        <v>-3.0059047904643079E-3</v>
      </c>
      <c r="M759" s="839">
        <f t="shared" si="377"/>
        <v>95838.43</v>
      </c>
      <c r="N759" s="824">
        <f t="shared" si="378"/>
        <v>0.31946143333333332</v>
      </c>
      <c r="O759" s="808">
        <f t="shared" si="388"/>
        <v>0.10032956880911435</v>
      </c>
      <c r="P759" s="839" t="b">
        <f t="shared" si="380"/>
        <v>1</v>
      </c>
      <c r="Q759" s="824">
        <f>COUNTIF(P$2:P759, TRUE)/(COUNTIF(P$2:P759,FALSE) + COUNTIF(P$2:P759, TRUE))</f>
        <v>0.4920844327176781</v>
      </c>
      <c r="R759" s="866">
        <v>373075.01</v>
      </c>
      <c r="S759" s="822">
        <f t="shared" si="387"/>
        <v>22763.419999999984</v>
      </c>
      <c r="T759" s="822">
        <v>-39404</v>
      </c>
      <c r="U759" s="822">
        <f t="shared" si="381"/>
        <v>135242.43</v>
      </c>
      <c r="V759" s="824">
        <f>STDEV(D$2:D759)*SQRT(252)</f>
        <v>0.13783798661094573</v>
      </c>
      <c r="W759" s="824">
        <f>STDEV(L$2:L759)*SQRT(252)</f>
        <v>0.25770100934758433</v>
      </c>
      <c r="X759" s="823">
        <f t="shared" si="382"/>
        <v>0.6916857076923989</v>
      </c>
      <c r="Y759" s="823">
        <f t="shared" si="383"/>
        <v>0.38932547863555672</v>
      </c>
      <c r="Z759" s="829">
        <f t="shared" si="384"/>
        <v>1.5885588124908812E-2</v>
      </c>
    </row>
    <row r="760" spans="1:26" ht="20.100000000000001" customHeight="1" x14ac:dyDescent="0.2">
      <c r="A760" s="798">
        <f t="shared" si="370"/>
        <v>1164</v>
      </c>
      <c r="B760" s="817">
        <v>43397</v>
      </c>
      <c r="C760" s="842">
        <v>2656.1</v>
      </c>
      <c r="D760" s="814">
        <f t="shared" si="371"/>
        <v>-3.0864490329077766E-2</v>
      </c>
      <c r="E760" s="841">
        <f t="shared" si="372"/>
        <v>0.26334164114076969</v>
      </c>
      <c r="F760" s="838">
        <v>7108.4</v>
      </c>
      <c r="G760" s="814">
        <f t="shared" si="373"/>
        <v>-4.4252594611383096E-2</v>
      </c>
      <c r="H760" s="819">
        <f t="shared" si="374"/>
        <v>0.39607596676944828</v>
      </c>
      <c r="I760" s="863">
        <v>381951.73</v>
      </c>
      <c r="J760" s="822">
        <v>300000</v>
      </c>
      <c r="K760" s="822">
        <f t="shared" si="375"/>
        <v>-13886.700000000012</v>
      </c>
      <c r="L760" s="814">
        <f t="shared" si="376"/>
        <v>-3.5081737768614361E-2</v>
      </c>
      <c r="M760" s="839">
        <f t="shared" si="377"/>
        <v>81951.729999999981</v>
      </c>
      <c r="N760" s="824">
        <f t="shared" si="378"/>
        <v>0.2731724333333333</v>
      </c>
      <c r="O760" s="808">
        <f t="shared" si="388"/>
        <v>8.5718411748281778E-2</v>
      </c>
      <c r="P760" s="839" t="b">
        <f t="shared" si="380"/>
        <v>0</v>
      </c>
      <c r="Q760" s="824">
        <f>COUNTIF(P$2:P760, TRUE)/(COUNTIF(P$2:P760,FALSE) + COUNTIF(P$2:P760, TRUE))</f>
        <v>0.49143610013175232</v>
      </c>
      <c r="R760" s="866">
        <v>369043.4</v>
      </c>
      <c r="S760" s="822">
        <f t="shared" si="387"/>
        <v>12908.329999999958</v>
      </c>
      <c r="T760" s="822">
        <v>-40139</v>
      </c>
      <c r="U760" s="822">
        <f t="shared" si="381"/>
        <v>122090.72999999998</v>
      </c>
      <c r="V760" s="824">
        <f>STDEV(D$2:D760)*SQRT(252)</f>
        <v>0.13892057070548908</v>
      </c>
      <c r="W760" s="824">
        <f>STDEV(L$2:L760)*SQRT(252)</f>
        <v>0.25835077818336272</v>
      </c>
      <c r="X760" s="823">
        <f t="shared" si="382"/>
        <v>0.59482638331977933</v>
      </c>
      <c r="Y760" s="823">
        <f t="shared" si="383"/>
        <v>0.33179080144842343</v>
      </c>
      <c r="Z760" s="829">
        <f t="shared" si="384"/>
        <v>9.8307921925636088E-3</v>
      </c>
    </row>
    <row r="761" spans="1:26" ht="20.100000000000001" customHeight="1" x14ac:dyDescent="0.2">
      <c r="A761" s="798">
        <f t="shared" si="370"/>
        <v>1165</v>
      </c>
      <c r="B761" s="817">
        <v>43398</v>
      </c>
      <c r="C761" s="842">
        <v>2705.57</v>
      </c>
      <c r="D761" s="814">
        <f t="shared" si="371"/>
        <v>1.8625051767629328E-2</v>
      </c>
      <c r="E761" s="841">
        <f t="shared" si="372"/>
        <v>0.28687144460721831</v>
      </c>
      <c r="F761" s="838">
        <v>7318.33</v>
      </c>
      <c r="G761" s="814">
        <f t="shared" si="373"/>
        <v>2.9532665578751942E-2</v>
      </c>
      <c r="H761" s="819">
        <f t="shared" si="374"/>
        <v>0.43730581141858321</v>
      </c>
      <c r="I761" s="863">
        <v>387671.37</v>
      </c>
      <c r="J761" s="822">
        <v>300000</v>
      </c>
      <c r="K761" s="822">
        <f t="shared" si="375"/>
        <v>5719.640000000014</v>
      </c>
      <c r="L761" s="814">
        <f t="shared" si="376"/>
        <v>1.4974771812134519E-2</v>
      </c>
      <c r="M761" s="839">
        <f t="shared" si="377"/>
        <v>87671.37</v>
      </c>
      <c r="N761" s="824">
        <f t="shared" si="378"/>
        <v>0.29223789999999999</v>
      </c>
      <c r="O761" s="808">
        <f t="shared" si="388"/>
        <v>9.1622225729613732E-2</v>
      </c>
      <c r="P761" s="839" t="b">
        <f t="shared" si="380"/>
        <v>0</v>
      </c>
      <c r="Q761" s="824">
        <f>COUNTIF(P$2:P761, TRUE)/(COUNTIF(P$2:P761,FALSE) + COUNTIF(P$2:P761, TRUE))</f>
        <v>0.49078947368421055</v>
      </c>
      <c r="R761" s="866">
        <v>374715.12</v>
      </c>
      <c r="S761" s="822">
        <f t="shared" si="387"/>
        <v>12956.25</v>
      </c>
      <c r="T761" s="822">
        <v>-39449</v>
      </c>
      <c r="U761" s="822">
        <f t="shared" si="381"/>
        <v>127120.37</v>
      </c>
      <c r="V761" s="824">
        <f>STDEV(D$2:D761)*SQRT(252)</f>
        <v>0.13922783596607022</v>
      </c>
      <c r="W761" s="824">
        <f>STDEV(L$2:L761)*SQRT(252)</f>
        <v>0.25831418937183692</v>
      </c>
      <c r="X761" s="823">
        <f t="shared" si="382"/>
        <v>0.64598963056429815</v>
      </c>
      <c r="Y761" s="823">
        <f t="shared" si="383"/>
        <v>0.35469296499901443</v>
      </c>
      <c r="Z761" s="829">
        <f t="shared" si="384"/>
        <v>5.3664553927816883E-3</v>
      </c>
    </row>
    <row r="762" spans="1:26" ht="20.100000000000001" customHeight="1" x14ac:dyDescent="0.2">
      <c r="A762" s="798">
        <f t="shared" si="370"/>
        <v>1166</v>
      </c>
      <c r="B762" s="817">
        <v>43399</v>
      </c>
      <c r="C762" s="842">
        <v>2658.69</v>
      </c>
      <c r="D762" s="814">
        <f t="shared" si="371"/>
        <v>-1.7327217554896052E-2</v>
      </c>
      <c r="E762" s="841">
        <f t="shared" si="372"/>
        <v>0.26457354312132569</v>
      </c>
      <c r="F762" s="838">
        <v>7167.21</v>
      </c>
      <c r="G762" s="814">
        <f t="shared" si="373"/>
        <v>-2.0649519767487922E-2</v>
      </c>
      <c r="H762" s="819">
        <f t="shared" si="374"/>
        <v>0.4076261366537699</v>
      </c>
      <c r="I762" s="863">
        <v>386488.67</v>
      </c>
      <c r="J762" s="822">
        <v>305000</v>
      </c>
      <c r="K762" s="822">
        <f t="shared" si="375"/>
        <v>-6182.7000000000116</v>
      </c>
      <c r="L762" s="814">
        <f t="shared" si="376"/>
        <v>-1.5948301779416963E-2</v>
      </c>
      <c r="M762" s="839">
        <f t="shared" si="377"/>
        <v>81488.669999999984</v>
      </c>
      <c r="N762" s="824">
        <f t="shared" si="378"/>
        <v>0.26717596721311471</v>
      </c>
      <c r="O762" s="808">
        <f t="shared" si="388"/>
        <v>8.3692986298962393E-2</v>
      </c>
      <c r="P762" s="839" t="b">
        <f t="shared" si="380"/>
        <v>1</v>
      </c>
      <c r="Q762" s="824">
        <f>COUNTIF(P$2:P762, TRUE)/(COUNTIF(P$2:P762,FALSE) + COUNTIF(P$2:P762, TRUE))</f>
        <v>0.49145860709592643</v>
      </c>
      <c r="R762" s="866">
        <v>368443.97</v>
      </c>
      <c r="S762" s="822">
        <f t="shared" si="387"/>
        <v>18044.700000000012</v>
      </c>
      <c r="T762" s="822">
        <v>-40604</v>
      </c>
      <c r="U762" s="822">
        <f t="shared" si="381"/>
        <v>122092.66999999998</v>
      </c>
      <c r="V762" s="824">
        <f>STDEV(D$2:D762)*SQRT(252)</f>
        <v>0.13950880979423808</v>
      </c>
      <c r="W762" s="824">
        <f>STDEV(L$2:L762)*SQRT(252)</f>
        <v>0.25831897595423781</v>
      </c>
      <c r="X762" s="823">
        <f t="shared" si="382"/>
        <v>0.59406840298102914</v>
      </c>
      <c r="Y762" s="823">
        <f t="shared" si="383"/>
        <v>0.32399085661360366</v>
      </c>
      <c r="Z762" s="829">
        <f t="shared" si="384"/>
        <v>2.6024240917890129E-3</v>
      </c>
    </row>
    <row r="763" spans="1:26" ht="20.100000000000001" customHeight="1" x14ac:dyDescent="0.2">
      <c r="A763" s="798">
        <f t="shared" si="370"/>
        <v>1167</v>
      </c>
      <c r="B763" s="817">
        <v>43400</v>
      </c>
      <c r="C763" s="842">
        <v>2641.25</v>
      </c>
      <c r="D763" s="814">
        <f t="shared" si="371"/>
        <v>-6.5596214677153238E-3</v>
      </c>
      <c r="E763" s="841">
        <f t="shared" si="372"/>
        <v>0.25627841936036222</v>
      </c>
      <c r="F763" s="838">
        <v>7050.09</v>
      </c>
      <c r="G763" s="814">
        <f t="shared" si="373"/>
        <v>-1.6341086699008387E-2</v>
      </c>
      <c r="H763" s="819">
        <f t="shared" si="374"/>
        <v>0.38462399591492041</v>
      </c>
      <c r="I763" s="863">
        <v>380872.48</v>
      </c>
      <c r="J763" s="822">
        <v>300000</v>
      </c>
      <c r="K763" s="822">
        <f t="shared" si="375"/>
        <v>-616.19000000000233</v>
      </c>
      <c r="L763" s="814">
        <f t="shared" si="376"/>
        <v>-1.5943287548377612E-3</v>
      </c>
      <c r="M763" s="839">
        <f t="shared" si="377"/>
        <v>80872.479999999981</v>
      </c>
      <c r="N763" s="824">
        <f t="shared" si="378"/>
        <v>0.26957493333333327</v>
      </c>
      <c r="O763" s="808">
        <f t="shared" si="388"/>
        <v>8.4372103170522683E-2</v>
      </c>
      <c r="P763" s="839" t="b">
        <f t="shared" si="380"/>
        <v>1</v>
      </c>
      <c r="Q763" s="824">
        <f>COUNTIF(P$2:P763, TRUE)/(COUNTIF(P$2:P763,FALSE) + COUNTIF(P$2:P763, TRUE))</f>
        <v>0.49212598425196852</v>
      </c>
      <c r="R763" s="866">
        <v>352706.52</v>
      </c>
      <c r="S763" s="822">
        <f t="shared" si="387"/>
        <v>28165.959999999963</v>
      </c>
      <c r="T763" s="822">
        <v>-40949</v>
      </c>
      <c r="U763" s="822">
        <f t="shared" si="381"/>
        <v>121821.47999999998</v>
      </c>
      <c r="V763" s="824">
        <f>STDEV(D$2:D763)*SQRT(252)</f>
        <v>0.13947364456120845</v>
      </c>
      <c r="W763" s="824">
        <f>STDEV(L$2:L763)*SQRT(252)</f>
        <v>0.2581518960532464</v>
      </c>
      <c r="X763" s="823">
        <f t="shared" si="382"/>
        <v>0.57509455509116691</v>
      </c>
      <c r="Y763" s="823">
        <f t="shared" si="383"/>
        <v>0.32683123564244554</v>
      </c>
      <c r="Z763" s="829">
        <f t="shared" si="384"/>
        <v>1.3296513972971047E-2</v>
      </c>
    </row>
    <row r="764" spans="1:26" ht="20.100000000000001" customHeight="1" x14ac:dyDescent="0.2">
      <c r="A764" s="798">
        <f t="shared" si="370"/>
        <v>1170</v>
      </c>
      <c r="B764" s="817">
        <v>43403</v>
      </c>
      <c r="C764" s="842">
        <v>2682.63</v>
      </c>
      <c r="D764" s="814">
        <f t="shared" si="371"/>
        <v>1.56668244202556E-2</v>
      </c>
      <c r="E764" s="841">
        <f t="shared" si="372"/>
        <v>0.27596031277943722</v>
      </c>
      <c r="F764" s="838">
        <v>7161.65</v>
      </c>
      <c r="G764" s="814">
        <f t="shared" si="373"/>
        <v>1.5823911467796794E-2</v>
      </c>
      <c r="H764" s="819">
        <f t="shared" si="374"/>
        <v>0.40653416344246518</v>
      </c>
      <c r="I764" s="863">
        <v>390321.89</v>
      </c>
      <c r="J764" s="822">
        <v>300000</v>
      </c>
      <c r="K764" s="822">
        <f t="shared" si="375"/>
        <v>9449.4100000000326</v>
      </c>
      <c r="L764" s="814">
        <f t="shared" si="376"/>
        <v>2.4809904879449503E-2</v>
      </c>
      <c r="M764" s="839">
        <f t="shared" si="377"/>
        <v>90321.890000000014</v>
      </c>
      <c r="N764" s="824">
        <f t="shared" si="378"/>
        <v>0.30107296666666672</v>
      </c>
      <c r="O764" s="808">
        <f t="shared" si="388"/>
        <v>9.3988804337606854E-2</v>
      </c>
      <c r="P764" s="839" t="b">
        <f t="shared" si="380"/>
        <v>1</v>
      </c>
      <c r="Q764" s="824">
        <f>COUNTIF(P$2:P764, TRUE)/(COUNTIF(P$2:P764,FALSE) + COUNTIF(P$2:P764, TRUE))</f>
        <v>0.49279161205766708</v>
      </c>
      <c r="R764" s="866">
        <v>356114.53</v>
      </c>
      <c r="S764" s="822">
        <f t="shared" si="387"/>
        <v>34207.359999999986</v>
      </c>
      <c r="T764" s="822">
        <v>-40109</v>
      </c>
      <c r="U764" s="822">
        <f t="shared" si="381"/>
        <v>130430.89000000001</v>
      </c>
      <c r="V764" s="824">
        <f>STDEV(D$2:D764)*SQRT(252)</f>
        <v>0.13966043960093341</v>
      </c>
      <c r="W764" s="824">
        <f>STDEV(L$2:L764)*SQRT(252)</f>
        <v>0.25835956536901572</v>
      </c>
      <c r="X764" s="823">
        <f t="shared" si="382"/>
        <v>0.61684718429598739</v>
      </c>
      <c r="Y764" s="823">
        <f t="shared" si="383"/>
        <v>0.36379068916361729</v>
      </c>
      <c r="Z764" s="829">
        <f t="shared" si="384"/>
        <v>2.5112653887229497E-2</v>
      </c>
    </row>
    <row r="765" spans="1:26" ht="20.100000000000001" customHeight="1" x14ac:dyDescent="0.2">
      <c r="A765" s="798">
        <f t="shared" si="370"/>
        <v>1171</v>
      </c>
      <c r="B765" s="817">
        <v>43404</v>
      </c>
      <c r="C765" s="842">
        <v>2711.74</v>
      </c>
      <c r="D765" s="814">
        <f t="shared" si="371"/>
        <v>1.0851291456518294E-2</v>
      </c>
      <c r="E765" s="841">
        <f t="shared" si="372"/>
        <v>0.28980613002035716</v>
      </c>
      <c r="F765" s="838">
        <v>7305.89</v>
      </c>
      <c r="G765" s="814">
        <f t="shared" si="373"/>
        <v>2.0140610054945537E-2</v>
      </c>
      <c r="H765" s="819">
        <f t="shared" si="374"/>
        <v>0.43486261955731886</v>
      </c>
      <c r="I765" s="867">
        <v>392394.69</v>
      </c>
      <c r="J765" s="822">
        <v>300000</v>
      </c>
      <c r="K765" s="822">
        <f t="shared" si="375"/>
        <v>2072.7999999999884</v>
      </c>
      <c r="L765" s="814">
        <f t="shared" si="376"/>
        <v>5.310488735335823E-3</v>
      </c>
      <c r="M765" s="845">
        <f t="shared" si="377"/>
        <v>92394.69</v>
      </c>
      <c r="N765" s="824">
        <f t="shared" si="378"/>
        <v>0.30798229999999999</v>
      </c>
      <c r="O765" s="808">
        <f t="shared" si="388"/>
        <v>9.6063650789923141E-2</v>
      </c>
      <c r="P765" s="839" t="b">
        <f t="shared" si="380"/>
        <v>0</v>
      </c>
      <c r="Q765" s="824">
        <f>COUNTIF(P$2:P765, TRUE)/(COUNTIF(P$2:P765,FALSE) + COUNTIF(P$2:P765, TRUE))</f>
        <v>0.49214659685863876</v>
      </c>
      <c r="R765" s="866">
        <v>352107.55</v>
      </c>
      <c r="S765" s="868">
        <f t="shared" si="387"/>
        <v>40287.140000000014</v>
      </c>
      <c r="T765" s="822">
        <v>-40229</v>
      </c>
      <c r="U765" s="822">
        <f t="shared" si="381"/>
        <v>132623.69</v>
      </c>
      <c r="V765" s="824">
        <f>STDEV(D$2:D765)*SQRT(252)</f>
        <v>0.13969897542483761</v>
      </c>
      <c r="W765" s="824">
        <f>STDEV(L$2:L765)*SQRT(252)</f>
        <v>0.25820435870061342</v>
      </c>
      <c r="X765" s="823">
        <f t="shared" si="382"/>
        <v>0.64706465253135703</v>
      </c>
      <c r="Y765" s="823">
        <f t="shared" si="383"/>
        <v>0.37204503933765282</v>
      </c>
      <c r="Z765" s="829">
        <f t="shared" si="384"/>
        <v>1.8176169979642831E-2</v>
      </c>
    </row>
    <row r="766" spans="1:26" ht="20.100000000000001" customHeight="1" x14ac:dyDescent="0.2">
      <c r="A766" s="798">
        <f t="shared" si="370"/>
        <v>1172</v>
      </c>
      <c r="B766" s="817">
        <v>43405</v>
      </c>
      <c r="C766" s="842">
        <v>2740.37</v>
      </c>
      <c r="D766" s="814">
        <f t="shared" si="371"/>
        <v>1.0557796838930027E-2</v>
      </c>
      <c r="E766" s="841">
        <f t="shared" si="372"/>
        <v>0.30342364110271863</v>
      </c>
      <c r="F766" s="838">
        <v>7434.05</v>
      </c>
      <c r="G766" s="814">
        <f t="shared" si="373"/>
        <v>1.754201062430448E-2</v>
      </c>
      <c r="H766" s="819">
        <f t="shared" si="374"/>
        <v>0.46003299487401073</v>
      </c>
      <c r="I766" s="863">
        <v>401445.79</v>
      </c>
      <c r="J766" s="822">
        <v>300000</v>
      </c>
      <c r="K766" s="822">
        <f t="shared" si="375"/>
        <v>9051.0999999999767</v>
      </c>
      <c r="L766" s="814">
        <f t="shared" si="376"/>
        <v>2.306631621340232E-2</v>
      </c>
      <c r="M766" s="839">
        <f t="shared" si="377"/>
        <v>101445.78999999998</v>
      </c>
      <c r="N766" s="824">
        <f t="shared" si="378"/>
        <v>0.33815263333333329</v>
      </c>
      <c r="O766" s="808">
        <f t="shared" si="388"/>
        <v>0.10538417177901023</v>
      </c>
      <c r="P766" s="839" t="b">
        <f t="shared" si="380"/>
        <v>1</v>
      </c>
      <c r="Q766" s="824">
        <f>COUNTIF(P$2:P766, TRUE)/(COUNTIF(P$2:P766,FALSE) + COUNTIF(P$2:P766, TRUE))</f>
        <v>0.49281045751633989</v>
      </c>
      <c r="R766" s="866">
        <v>351624.4</v>
      </c>
      <c r="S766" s="868">
        <f t="shared" si="387"/>
        <v>49821.389999999956</v>
      </c>
      <c r="T766" s="822">
        <v>-39224</v>
      </c>
      <c r="U766" s="822">
        <f t="shared" si="381"/>
        <v>140669.78999999998</v>
      </c>
      <c r="V766" s="824">
        <f>STDEV(D$2:D766)*SQRT(252)</f>
        <v>0.13972990133605417</v>
      </c>
      <c r="W766" s="824">
        <f>STDEV(L$2:L766)*SQRT(252)</f>
        <v>0.2583581958790987</v>
      </c>
      <c r="X766" s="823">
        <f t="shared" si="382"/>
        <v>0.67674129194045574</v>
      </c>
      <c r="Y766" s="823">
        <f t="shared" si="383"/>
        <v>0.40789947236017166</v>
      </c>
      <c r="Z766" s="829">
        <f t="shared" si="384"/>
        <v>3.4728992230614653E-2</v>
      </c>
    </row>
    <row r="767" spans="1:26" ht="20.100000000000001" customHeight="1" x14ac:dyDescent="0.2">
      <c r="A767" s="798">
        <f t="shared" si="370"/>
        <v>1173</v>
      </c>
      <c r="B767" s="817">
        <v>43406</v>
      </c>
      <c r="C767" s="842">
        <v>2723.06</v>
      </c>
      <c r="D767" s="814">
        <f t="shared" si="371"/>
        <v>-6.3166652678287773E-3</v>
      </c>
      <c r="E767" s="841">
        <f t="shared" si="372"/>
        <v>0.2951903502596982</v>
      </c>
      <c r="F767" s="838">
        <v>7356.99</v>
      </c>
      <c r="G767" s="814">
        <f t="shared" si="373"/>
        <v>-1.0365816748609492E-2</v>
      </c>
      <c r="H767" s="819">
        <f t="shared" si="374"/>
        <v>0.44489856040222325</v>
      </c>
      <c r="I767" s="863">
        <v>400476</v>
      </c>
      <c r="J767" s="822">
        <v>300000</v>
      </c>
      <c r="K767" s="822">
        <f t="shared" si="375"/>
        <v>-969.78999999997905</v>
      </c>
      <c r="L767" s="814">
        <f t="shared" si="376"/>
        <v>-2.4157433560331497E-3</v>
      </c>
      <c r="M767" s="839">
        <f t="shared" si="377"/>
        <v>100476</v>
      </c>
      <c r="N767" s="824">
        <f t="shared" si="378"/>
        <v>0.33492</v>
      </c>
      <c r="O767" s="808">
        <f t="shared" si="388"/>
        <v>0.10428774936061382</v>
      </c>
      <c r="P767" s="839" t="b">
        <f t="shared" si="380"/>
        <v>1</v>
      </c>
      <c r="Q767" s="824">
        <f>COUNTIF(P$2:P767, TRUE)/(COUNTIF(P$2:P767,FALSE) + COUNTIF(P$2:P767, TRUE))</f>
        <v>0.49347258485639689</v>
      </c>
      <c r="R767" s="866">
        <v>350654.6</v>
      </c>
      <c r="S767" s="868">
        <f t="shared" si="387"/>
        <v>49821.400000000023</v>
      </c>
      <c r="T767" s="822">
        <v>-35564</v>
      </c>
      <c r="U767" s="822">
        <f t="shared" si="381"/>
        <v>136040</v>
      </c>
      <c r="V767" s="824">
        <f>STDEV(D$2:D767)*SQRT(252)</f>
        <v>0.13969139995219287</v>
      </c>
      <c r="W767" s="824">
        <f>STDEV(L$2:L767)*SQRT(252)</f>
        <v>0.25819487917742606</v>
      </c>
      <c r="X767" s="823">
        <f t="shared" si="382"/>
        <v>0.65799819015047123</v>
      </c>
      <c r="Y767" s="823">
        <f t="shared" si="383"/>
        <v>0.40391099038393197</v>
      </c>
      <c r="Z767" s="829">
        <f t="shared" si="384"/>
        <v>3.9729649740301798E-2</v>
      </c>
    </row>
    <row r="768" spans="1:26" ht="20.100000000000001" customHeight="1" x14ac:dyDescent="0.2">
      <c r="A768" s="798">
        <f t="shared" si="370"/>
        <v>1176</v>
      </c>
      <c r="B768" s="817">
        <v>43409</v>
      </c>
      <c r="C768" s="842">
        <v>2738.31</v>
      </c>
      <c r="D768" s="814">
        <f t="shared" si="371"/>
        <v>5.6003172901074524E-3</v>
      </c>
      <c r="E768" s="841">
        <f t="shared" si="372"/>
        <v>0.30244382717223789</v>
      </c>
      <c r="F768" s="838">
        <v>7328.85</v>
      </c>
      <c r="G768" s="814">
        <f t="shared" si="373"/>
        <v>-3.824933838431127E-3</v>
      </c>
      <c r="H768" s="819">
        <f t="shared" si="374"/>
        <v>0.43937191900544037</v>
      </c>
      <c r="I768" s="863">
        <v>405572.13</v>
      </c>
      <c r="J768" s="822">
        <v>300000</v>
      </c>
      <c r="K768" s="822">
        <f t="shared" si="375"/>
        <v>5096.1300000000047</v>
      </c>
      <c r="L768" s="814">
        <f t="shared" si="376"/>
        <v>1.272518203338029E-2</v>
      </c>
      <c r="M768" s="839">
        <f t="shared" si="377"/>
        <v>105572.13</v>
      </c>
      <c r="N768" s="824">
        <f t="shared" si="378"/>
        <v>0.35190710000000003</v>
      </c>
      <c r="O768" s="808">
        <f t="shared" si="388"/>
        <v>0.10929767710459184</v>
      </c>
      <c r="P768" s="839" t="b">
        <f t="shared" si="380"/>
        <v>1</v>
      </c>
      <c r="Q768" s="824">
        <f>COUNTIF(P$2:P768, TRUE)/(COUNTIF(P$2:P768,FALSE) + COUNTIF(P$2:P768, TRUE))</f>
        <v>0.49413298565840941</v>
      </c>
      <c r="R768" s="866">
        <v>348434.83</v>
      </c>
      <c r="S768" s="868">
        <f t="shared" si="387"/>
        <v>57137.299999999988</v>
      </c>
      <c r="T768" s="822">
        <v>-34094</v>
      </c>
      <c r="U768" s="822">
        <f t="shared" si="381"/>
        <v>139666.13</v>
      </c>
      <c r="V768" s="824">
        <f>STDEV(D$2:D768)*SQRT(252)</f>
        <v>0.13963221400780843</v>
      </c>
      <c r="W768" s="824">
        <f>STDEV(L$2:L768)*SQRT(252)</f>
        <v>0.25811975955253785</v>
      </c>
      <c r="X768" s="823">
        <f t="shared" si="382"/>
        <v>0.67273187191955452</v>
      </c>
      <c r="Y768" s="823">
        <f t="shared" si="383"/>
        <v>0.42343785417305618</v>
      </c>
      <c r="Z768" s="829">
        <f t="shared" si="384"/>
        <v>4.9463272827762139E-2</v>
      </c>
    </row>
    <row r="769" spans="1:26" ht="20.100000000000001" customHeight="1" x14ac:dyDescent="0.2">
      <c r="A769" s="798">
        <f t="shared" si="370"/>
        <v>1177</v>
      </c>
      <c r="B769" s="817">
        <v>43410</v>
      </c>
      <c r="C769" s="842">
        <v>2755.45</v>
      </c>
      <c r="D769" s="814">
        <f t="shared" si="371"/>
        <v>6.2593351373657008E-3</v>
      </c>
      <c r="E769" s="841">
        <f t="shared" si="372"/>
        <v>0.31059625958410214</v>
      </c>
      <c r="F769" s="838">
        <v>7375.96</v>
      </c>
      <c r="G769" s="814">
        <f t="shared" si="373"/>
        <v>6.4280207672417463E-3</v>
      </c>
      <c r="H769" s="819">
        <f t="shared" si="374"/>
        <v>0.4486242315925919</v>
      </c>
      <c r="I769" s="863">
        <v>410029.68</v>
      </c>
      <c r="J769" s="822">
        <v>300000</v>
      </c>
      <c r="K769" s="822">
        <f t="shared" si="375"/>
        <v>4457.5499999999884</v>
      </c>
      <c r="L769" s="814">
        <f t="shared" si="376"/>
        <v>1.0990770001873621E-2</v>
      </c>
      <c r="M769" s="839">
        <f t="shared" si="377"/>
        <v>110029.68</v>
      </c>
      <c r="N769" s="824">
        <f t="shared" si="378"/>
        <v>0.36676559999999997</v>
      </c>
      <c r="O769" s="808">
        <f t="shared" si="388"/>
        <v>0.11381574800339846</v>
      </c>
      <c r="P769" s="839" t="b">
        <f t="shared" si="380"/>
        <v>1</v>
      </c>
      <c r="Q769" s="824">
        <f>COUNTIF(P$2:P769, TRUE)/(COUNTIF(P$2:P769,FALSE) + COUNTIF(P$2:P769, TRUE))</f>
        <v>0.49479166666666669</v>
      </c>
      <c r="R769" s="866">
        <v>349807.43</v>
      </c>
      <c r="S769" s="868">
        <f t="shared" si="387"/>
        <v>60222.25</v>
      </c>
      <c r="T769" s="822">
        <v>-34178</v>
      </c>
      <c r="U769" s="822">
        <f t="shared" si="381"/>
        <v>144207.67999999999</v>
      </c>
      <c r="V769" s="824">
        <f>STDEV(D$2:D769)*SQRT(252)</f>
        <v>0.13958167740728689</v>
      </c>
      <c r="W769" s="824">
        <f>STDEV(L$2:L769)*SQRT(252)</f>
        <v>0.25801974526519544</v>
      </c>
      <c r="X769" s="823">
        <f t="shared" si="382"/>
        <v>0.69052843989554591</v>
      </c>
      <c r="Y769" s="823">
        <f t="shared" si="383"/>
        <v>0.44111255084922829</v>
      </c>
      <c r="Z769" s="829">
        <f t="shared" si="384"/>
        <v>5.6169340415897828E-2</v>
      </c>
    </row>
    <row r="770" spans="1:26" ht="20.100000000000001" customHeight="1" x14ac:dyDescent="0.2">
      <c r="A770" s="798">
        <f t="shared" si="370"/>
        <v>1178</v>
      </c>
      <c r="B770" s="817">
        <v>43411</v>
      </c>
      <c r="C770" s="842">
        <v>2813.89</v>
      </c>
      <c r="D770" s="814">
        <f t="shared" si="371"/>
        <v>2.1208876952947816E-2</v>
      </c>
      <c r="E770" s="841">
        <f t="shared" si="372"/>
        <v>0.33839253438861505</v>
      </c>
      <c r="F770" s="838">
        <v>7570.75</v>
      </c>
      <c r="G770" s="814">
        <f t="shared" si="373"/>
        <v>2.6408765774217861E-2</v>
      </c>
      <c r="H770" s="819">
        <f t="shared" si="374"/>
        <v>0.48688060961957702</v>
      </c>
      <c r="I770" s="863">
        <v>413975.81</v>
      </c>
      <c r="J770" s="822">
        <v>300000</v>
      </c>
      <c r="K770" s="822">
        <f t="shared" si="375"/>
        <v>3946.1300000000047</v>
      </c>
      <c r="L770" s="814">
        <f t="shared" si="376"/>
        <v>9.6240106325961687E-3</v>
      </c>
      <c r="M770" s="839">
        <f t="shared" si="377"/>
        <v>113975.81</v>
      </c>
      <c r="N770" s="824">
        <f t="shared" si="378"/>
        <v>0.37991936666666665</v>
      </c>
      <c r="O770" s="808">
        <f t="shared" si="388"/>
        <v>0.11779757952037351</v>
      </c>
      <c r="P770" s="839" t="b">
        <f t="shared" si="380"/>
        <v>0</v>
      </c>
      <c r="Q770" s="824">
        <f>COUNTIF(P$2:P770, TRUE)/(COUNTIF(P$2:P770,FALSE) + COUNTIF(P$2:P770, TRUE))</f>
        <v>0.49414824447334199</v>
      </c>
      <c r="R770" s="866">
        <v>343603.51</v>
      </c>
      <c r="S770" s="868">
        <f t="shared" si="387"/>
        <v>70372.299999999988</v>
      </c>
      <c r="T770" s="822">
        <v>-33892</v>
      </c>
      <c r="U770" s="822">
        <f t="shared" si="381"/>
        <v>147867.81</v>
      </c>
      <c r="V770" s="824">
        <f>STDEV(D$2:D770)*SQRT(252)</f>
        <v>0.13999943692669356</v>
      </c>
      <c r="W770" s="824">
        <f>STDEV(L$2:L770)*SQRT(252)</f>
        <v>0.25790294822831933</v>
      </c>
      <c r="X770" s="823">
        <f t="shared" si="382"/>
        <v>0.74944439905516358</v>
      </c>
      <c r="Y770" s="823">
        <f t="shared" si="383"/>
        <v>0.4567515816689629</v>
      </c>
      <c r="Z770" s="829">
        <f t="shared" si="384"/>
        <v>4.1526832278051595E-2</v>
      </c>
    </row>
    <row r="771" spans="1:26" ht="20.100000000000001" customHeight="1" x14ac:dyDescent="0.2">
      <c r="A771" s="798">
        <f t="shared" si="370"/>
        <v>1180</v>
      </c>
      <c r="B771" s="817">
        <v>43413</v>
      </c>
      <c r="C771" s="842">
        <v>2781.01</v>
      </c>
      <c r="D771" s="814">
        <f t="shared" si="371"/>
        <v>-1.1684891733507584E-2</v>
      </c>
      <c r="E771" s="841">
        <f t="shared" ref="E771:E785" si="389">(C771-$C$2)/$C$2</f>
        <v>0.32275356252734927</v>
      </c>
      <c r="F771" s="838">
        <v>7406.9</v>
      </c>
      <c r="G771" s="814">
        <f t="shared" si="373"/>
        <v>-2.1642505696265281E-2</v>
      </c>
      <c r="H771" s="819">
        <f t="shared" ref="H771:H785" si="390">(F771-F$2)/F$2</f>
        <v>0.4547007875562189</v>
      </c>
      <c r="I771" s="863">
        <v>409057.68</v>
      </c>
      <c r="J771" s="822">
        <v>300000</v>
      </c>
      <c r="K771" s="822">
        <f t="shared" ref="K771:K785" si="391">I771-I770-J771+J770</f>
        <v>-4918.1300000000047</v>
      </c>
      <c r="L771" s="814">
        <f t="shared" ref="L771:L785" si="392">K771/I770</f>
        <v>-1.188023522437218E-2</v>
      </c>
      <c r="M771" s="839">
        <f t="shared" ref="M771:M785" si="393">I771-J771</f>
        <v>109057.68</v>
      </c>
      <c r="N771" s="824">
        <f t="shared" ref="N771:N785" si="394">M771/J771</f>
        <v>0.3635256</v>
      </c>
      <c r="O771" s="808">
        <f t="shared" ref="O771:O785" si="395">N771/(A771/365.25)</f>
        <v>0.11252349610169492</v>
      </c>
      <c r="P771" s="839" t="b">
        <f t="shared" ref="P771:P785" si="396">L771&gt;D771</f>
        <v>0</v>
      </c>
      <c r="Q771" s="824">
        <f>COUNTIF(P$2:P771, TRUE)/(COUNTIF(P$2:P771,FALSE) + COUNTIF(P$2:P771, TRUE))</f>
        <v>0.4935064935064935</v>
      </c>
      <c r="R771" s="866">
        <v>332951.45</v>
      </c>
      <c r="S771" s="868">
        <f t="shared" ref="S771:S785" si="397">I771-R771</f>
        <v>76106.229999999981</v>
      </c>
      <c r="T771" s="822">
        <v>-34243</v>
      </c>
      <c r="U771" s="822">
        <f t="shared" ref="U771:U785" si="398">M771-T771</f>
        <v>143300.68</v>
      </c>
      <c r="V771" s="824">
        <f>STDEV(D$2:D771)*SQRT(252)</f>
        <v>0.14007971517341553</v>
      </c>
      <c r="W771" s="824">
        <f>STDEV(L$2:L771)*SQRT(252)</f>
        <v>0.25783465784296999</v>
      </c>
      <c r="X771" s="823">
        <f t="shared" ref="X771:X785" si="399">E771/(A771/365.25)/V771</f>
        <v>0.71318797498457553</v>
      </c>
      <c r="Y771" s="823">
        <f t="shared" ref="Y771:Y785" si="400">O771/W771</f>
        <v>0.4364172646263309</v>
      </c>
      <c r="Z771" s="829">
        <f t="shared" ref="Z771:Z777" si="401">-(E771-N771)</f>
        <v>4.0772037472650735E-2</v>
      </c>
    </row>
    <row r="772" spans="1:26" ht="20.100000000000001" customHeight="1" x14ac:dyDescent="0.2">
      <c r="A772" s="798">
        <f t="shared" ref="A772:A785" si="402">B772-$B$2</f>
        <v>1183</v>
      </c>
      <c r="B772" s="817">
        <v>43416</v>
      </c>
      <c r="C772" s="842">
        <v>2726.22</v>
      </c>
      <c r="D772" s="814">
        <f t="shared" ref="D772:D785" si="403">(C772-C771)/C771</f>
        <v>-1.970147536326745E-2</v>
      </c>
      <c r="E772" s="841">
        <f t="shared" si="389"/>
        <v>0.29669336580354244</v>
      </c>
      <c r="F772" s="838">
        <v>7200.86</v>
      </c>
      <c r="G772" s="814">
        <f t="shared" ref="G772:G785" si="404">(F772-F771)/F771</f>
        <v>-2.7817305485425749E-2</v>
      </c>
      <c r="H772" s="819">
        <f t="shared" si="390"/>
        <v>0.41423493135887818</v>
      </c>
      <c r="I772" s="863">
        <v>406425.49</v>
      </c>
      <c r="J772" s="822">
        <v>300000</v>
      </c>
      <c r="K772" s="822">
        <f t="shared" si="391"/>
        <v>-2632.1900000000023</v>
      </c>
      <c r="L772" s="814">
        <f t="shared" si="392"/>
        <v>-6.4347648967255731E-3</v>
      </c>
      <c r="M772" s="839">
        <f t="shared" si="393"/>
        <v>106425.48999999999</v>
      </c>
      <c r="N772" s="824">
        <f t="shared" si="394"/>
        <v>0.35475163333333332</v>
      </c>
      <c r="O772" s="808">
        <f t="shared" si="395"/>
        <v>0.10952919194843617</v>
      </c>
      <c r="P772" s="839" t="b">
        <f t="shared" si="396"/>
        <v>1</v>
      </c>
      <c r="Q772" s="824">
        <f>COUNTIF(P$2:P772, TRUE)/(COUNTIF(P$2:P772,FALSE) + COUNTIF(P$2:P772, TRUE))</f>
        <v>0.49416342412451364</v>
      </c>
      <c r="R772" s="866">
        <v>343162.34</v>
      </c>
      <c r="S772" s="868">
        <f t="shared" si="397"/>
        <v>63263.149999999965</v>
      </c>
      <c r="T772" s="822">
        <v>-33801</v>
      </c>
      <c r="U772" s="822">
        <f t="shared" si="398"/>
        <v>140226.49</v>
      </c>
      <c r="V772" s="824">
        <f>STDEV(D$2:D772)*SQRT(252)</f>
        <v>0.14046026693746491</v>
      </c>
      <c r="W772" s="824">
        <f>STDEV(L$2:L772)*SQRT(252)</f>
        <v>0.25769861871465011</v>
      </c>
      <c r="X772" s="823">
        <f t="shared" si="399"/>
        <v>0.65216851136865051</v>
      </c>
      <c r="Y772" s="823">
        <f t="shared" si="400"/>
        <v>0.42502824615337942</v>
      </c>
      <c r="Z772" s="829">
        <f t="shared" si="401"/>
        <v>5.8058267529790875E-2</v>
      </c>
    </row>
    <row r="773" spans="1:26" ht="20.100000000000001" customHeight="1" x14ac:dyDescent="0.2">
      <c r="A773" s="798">
        <f t="shared" si="402"/>
        <v>1184</v>
      </c>
      <c r="B773" s="817">
        <v>43417</v>
      </c>
      <c r="C773" s="842">
        <v>2722.18</v>
      </c>
      <c r="D773" s="814">
        <f t="shared" si="403"/>
        <v>-1.4819053487979562E-3</v>
      </c>
      <c r="E773" s="841">
        <f t="shared" si="389"/>
        <v>0.29477178896900735</v>
      </c>
      <c r="F773" s="838">
        <v>7200.87</v>
      </c>
      <c r="G773" s="814">
        <f t="shared" si="404"/>
        <v>1.3887230136703504E-6</v>
      </c>
      <c r="H773" s="819">
        <f t="shared" si="390"/>
        <v>0.41423689533947405</v>
      </c>
      <c r="I773" s="863">
        <v>406411.58</v>
      </c>
      <c r="J773" s="822">
        <v>300000</v>
      </c>
      <c r="K773" s="822">
        <f t="shared" si="391"/>
        <v>-13.909999999974389</v>
      </c>
      <c r="L773" s="814">
        <f t="shared" si="392"/>
        <v>-3.4225215549286507E-5</v>
      </c>
      <c r="M773" s="839">
        <f t="shared" si="393"/>
        <v>106411.58000000002</v>
      </c>
      <c r="N773" s="824">
        <f t="shared" si="394"/>
        <v>0.35470526666666674</v>
      </c>
      <c r="O773" s="808">
        <f t="shared" si="395"/>
        <v>0.10942238061655409</v>
      </c>
      <c r="P773" s="839" t="b">
        <f t="shared" si="396"/>
        <v>1</v>
      </c>
      <c r="Q773" s="824">
        <f>COUNTIF(P$2:P773, TRUE)/(COUNTIF(P$2:P773,FALSE) + COUNTIF(P$2:P773, TRUE))</f>
        <v>0.49481865284974091</v>
      </c>
      <c r="R773" s="866">
        <v>337244.45</v>
      </c>
      <c r="S773" s="868">
        <f t="shared" si="397"/>
        <v>69167.13</v>
      </c>
      <c r="T773" s="822">
        <v>-33424</v>
      </c>
      <c r="U773" s="822">
        <f t="shared" si="398"/>
        <v>139835.58000000002</v>
      </c>
      <c r="V773" s="824">
        <f>STDEV(D$2:D773)*SQRT(252)</f>
        <v>0.14037305068685352</v>
      </c>
      <c r="W773" s="824">
        <f>STDEV(L$2:L773)*SQRT(252)</f>
        <v>0.25753149648917045</v>
      </c>
      <c r="X773" s="823">
        <f t="shared" si="399"/>
        <v>0.64779963799861073</v>
      </c>
      <c r="Y773" s="823">
        <f t="shared" si="400"/>
        <v>0.42488931298993732</v>
      </c>
      <c r="Z773" s="829">
        <f t="shared" si="401"/>
        <v>5.9933477697659387E-2</v>
      </c>
    </row>
    <row r="774" spans="1:26" ht="20.100000000000001" customHeight="1" x14ac:dyDescent="0.2">
      <c r="A774" s="798">
        <f t="shared" si="402"/>
        <v>1185</v>
      </c>
      <c r="B774" s="817">
        <v>43418</v>
      </c>
      <c r="C774" s="842">
        <v>2701.58</v>
      </c>
      <c r="D774" s="814">
        <f t="shared" si="403"/>
        <v>-7.5674643116913319E-3</v>
      </c>
      <c r="E774" s="841">
        <f t="shared" si="389"/>
        <v>0.28497364966419964</v>
      </c>
      <c r="F774" s="838">
        <v>7136.39</v>
      </c>
      <c r="G774" s="814">
        <f t="shared" si="404"/>
        <v>-8.9544735566673972E-3</v>
      </c>
      <c r="H774" s="819">
        <f t="shared" si="390"/>
        <v>0.40157314845729336</v>
      </c>
      <c r="I774" s="863">
        <v>407328.9</v>
      </c>
      <c r="J774" s="822">
        <v>300000</v>
      </c>
      <c r="K774" s="822">
        <f t="shared" si="391"/>
        <v>917.32000000000698</v>
      </c>
      <c r="L774" s="814">
        <f t="shared" si="392"/>
        <v>2.2571207247588931E-3</v>
      </c>
      <c r="M774" s="839">
        <f t="shared" si="393"/>
        <v>107328.90000000002</v>
      </c>
      <c r="N774" s="824">
        <f t="shared" si="394"/>
        <v>0.35776300000000005</v>
      </c>
      <c r="O774" s="808">
        <f t="shared" si="395"/>
        <v>0.11027251962025318</v>
      </c>
      <c r="P774" s="839" t="b">
        <f t="shared" si="396"/>
        <v>1</v>
      </c>
      <c r="Q774" s="824">
        <f>COUNTIF(P$2:P774, TRUE)/(COUNTIF(P$2:P774,FALSE) + COUNTIF(P$2:P774, TRUE))</f>
        <v>0.49547218628719275</v>
      </c>
      <c r="R774" s="866">
        <v>323932.96000000002</v>
      </c>
      <c r="S774" s="868">
        <f t="shared" si="397"/>
        <v>83395.94</v>
      </c>
      <c r="T774" s="822">
        <v>-33320</v>
      </c>
      <c r="U774" s="822">
        <f t="shared" si="398"/>
        <v>140648.90000000002</v>
      </c>
      <c r="V774" s="824">
        <f>STDEV(D$2:D774)*SQRT(252)</f>
        <v>0.14035534831421267</v>
      </c>
      <c r="W774" s="824">
        <f>STDEV(L$2:L774)*SQRT(252)</f>
        <v>0.25736613915990925</v>
      </c>
      <c r="X774" s="823">
        <f t="shared" si="399"/>
        <v>0.62581736896067919</v>
      </c>
      <c r="Y774" s="823">
        <f t="shared" si="400"/>
        <v>0.4284655315582816</v>
      </c>
      <c r="Z774" s="829">
        <f t="shared" si="401"/>
        <v>7.2789350335800418E-2</v>
      </c>
    </row>
    <row r="775" spans="1:26" ht="20.100000000000001" customHeight="1" x14ac:dyDescent="0.2">
      <c r="A775" s="798">
        <f t="shared" si="402"/>
        <v>1186</v>
      </c>
      <c r="B775" s="817">
        <v>43419</v>
      </c>
      <c r="C775" s="842">
        <v>2730.2</v>
      </c>
      <c r="D775" s="814">
        <f t="shared" si="403"/>
        <v>1.0593800664796116E-2</v>
      </c>
      <c r="E775" s="841">
        <f t="shared" si="389"/>
        <v>0.29858640436825773</v>
      </c>
      <c r="F775" s="838">
        <v>7259.03</v>
      </c>
      <c r="G775" s="814">
        <f t="shared" si="404"/>
        <v>1.7185159443359938E-2</v>
      </c>
      <c r="H775" s="819">
        <f t="shared" si="390"/>
        <v>0.42565940648506395</v>
      </c>
      <c r="I775" s="863">
        <v>410478.11</v>
      </c>
      <c r="J775" s="822">
        <v>300000</v>
      </c>
      <c r="K775" s="822">
        <f t="shared" si="391"/>
        <v>3149.2099999999627</v>
      </c>
      <c r="L775" s="814">
        <f t="shared" si="392"/>
        <v>7.7313689257009818E-3</v>
      </c>
      <c r="M775" s="839">
        <f t="shared" si="393"/>
        <v>110478.10999999999</v>
      </c>
      <c r="N775" s="824">
        <f t="shared" si="394"/>
        <v>0.36826036666666662</v>
      </c>
      <c r="O775" s="808">
        <f t="shared" si="395"/>
        <v>0.11341239369730184</v>
      </c>
      <c r="P775" s="839" t="b">
        <f t="shared" si="396"/>
        <v>0</v>
      </c>
      <c r="Q775" s="824">
        <f>COUNTIF(P$2:P775, TRUE)/(COUNTIF(P$2:P775,FALSE) + COUNTIF(P$2:P775, TRUE))</f>
        <v>0.49483204134366926</v>
      </c>
      <c r="R775" s="866">
        <v>316375.09000000003</v>
      </c>
      <c r="S775" s="868">
        <f t="shared" si="397"/>
        <v>94103.01999999996</v>
      </c>
      <c r="T775" s="822">
        <v>-33321</v>
      </c>
      <c r="U775" s="822">
        <f t="shared" si="398"/>
        <v>143799.10999999999</v>
      </c>
      <c r="V775" s="824">
        <f>STDEV(D$2:D775)*SQRT(252)</f>
        <v>0.14038597691913626</v>
      </c>
      <c r="W775" s="824">
        <f>STDEV(L$2:L775)*SQRT(252)</f>
        <v>0.25723146304485106</v>
      </c>
      <c r="X775" s="823">
        <f t="shared" si="399"/>
        <v>0.65501589057580378</v>
      </c>
      <c r="Y775" s="823">
        <f t="shared" si="400"/>
        <v>0.4408962743314459</v>
      </c>
      <c r="Z775" s="829">
        <f t="shared" si="401"/>
        <v>6.9673962298408887E-2</v>
      </c>
    </row>
    <row r="776" spans="1:26" ht="20.100000000000001" customHeight="1" x14ac:dyDescent="0.2">
      <c r="A776" s="798">
        <f t="shared" si="402"/>
        <v>1187</v>
      </c>
      <c r="B776" s="817">
        <v>43420</v>
      </c>
      <c r="C776" s="842">
        <v>2736.27</v>
      </c>
      <c r="D776" s="814">
        <f t="shared" si="403"/>
        <v>2.2232803457622754E-3</v>
      </c>
      <c r="E776" s="841">
        <f t="shared" si="389"/>
        <v>0.30147352599836374</v>
      </c>
      <c r="F776" s="838">
        <v>7247.87</v>
      </c>
      <c r="G776" s="814">
        <f t="shared" si="404"/>
        <v>-1.5373954922351684E-3</v>
      </c>
      <c r="H776" s="819">
        <f t="shared" si="390"/>
        <v>0.42346760414007112</v>
      </c>
      <c r="I776" s="863">
        <v>411834.34</v>
      </c>
      <c r="J776" s="822">
        <v>300000</v>
      </c>
      <c r="K776" s="822">
        <f t="shared" si="391"/>
        <v>1356.2300000000396</v>
      </c>
      <c r="L776" s="814">
        <f t="shared" si="392"/>
        <v>3.3040251525228463E-3</v>
      </c>
      <c r="M776" s="839">
        <f t="shared" si="393"/>
        <v>111834.34000000003</v>
      </c>
      <c r="N776" s="824">
        <f t="shared" si="394"/>
        <v>0.3727811333333334</v>
      </c>
      <c r="O776" s="808">
        <f t="shared" si="395"/>
        <v>0.1147079266638585</v>
      </c>
      <c r="P776" s="839" t="b">
        <f t="shared" si="396"/>
        <v>1</v>
      </c>
      <c r="Q776" s="824">
        <f>COUNTIF(P$2:P776, TRUE)/(COUNTIF(P$2:P776,FALSE) + COUNTIF(P$2:P776, TRUE))</f>
        <v>0.49548387096774194</v>
      </c>
      <c r="R776" s="866">
        <v>306960.53999999998</v>
      </c>
      <c r="S776" s="868">
        <f t="shared" si="397"/>
        <v>104873.80000000005</v>
      </c>
      <c r="T776" s="822">
        <v>-32054</v>
      </c>
      <c r="U776" s="822">
        <f t="shared" si="398"/>
        <v>143888.34000000003</v>
      </c>
      <c r="V776" s="824">
        <f>STDEV(D$2:D776)*SQRT(252)</f>
        <v>0.14029909623346137</v>
      </c>
      <c r="W776" s="824">
        <f>STDEV(L$2:L776)*SQRT(252)</f>
        <v>0.25706956152341037</v>
      </c>
      <c r="X776" s="823">
        <f t="shared" si="399"/>
        <v>0.66120147336577295</v>
      </c>
      <c r="Y776" s="823">
        <f t="shared" si="400"/>
        <v>0.44621356952605401</v>
      </c>
      <c r="Z776" s="829">
        <f t="shared" si="401"/>
        <v>7.1307607334969658E-2</v>
      </c>
    </row>
    <row r="777" spans="1:26" ht="20.100000000000001" customHeight="1" x14ac:dyDescent="0.2">
      <c r="A777" s="798">
        <f t="shared" si="402"/>
        <v>1190</v>
      </c>
      <c r="B777" s="817">
        <v>43423</v>
      </c>
      <c r="C777" s="842">
        <v>2690.73</v>
      </c>
      <c r="D777" s="814">
        <f t="shared" si="403"/>
        <v>-1.6643094431470565E-2</v>
      </c>
      <c r="E777" s="841">
        <f t="shared" si="389"/>
        <v>0.27981297920511405</v>
      </c>
      <c r="F777" s="838">
        <v>7028.47</v>
      </c>
      <c r="G777" s="814">
        <f t="shared" si="404"/>
        <v>-3.0270962365494918E-2</v>
      </c>
      <c r="H777" s="819">
        <f t="shared" si="390"/>
        <v>0.38037786986664579</v>
      </c>
      <c r="I777" s="863">
        <v>409587.48</v>
      </c>
      <c r="J777" s="822">
        <v>300000</v>
      </c>
      <c r="K777" s="822">
        <f t="shared" si="391"/>
        <v>-2246.8600000000442</v>
      </c>
      <c r="L777" s="814">
        <f t="shared" si="392"/>
        <v>-5.4557373724591404E-3</v>
      </c>
      <c r="M777" s="839">
        <f t="shared" si="393"/>
        <v>109587.47999999998</v>
      </c>
      <c r="N777" s="824">
        <f t="shared" si="394"/>
        <v>0.36529159999999994</v>
      </c>
      <c r="O777" s="808">
        <f t="shared" si="395"/>
        <v>0.11211996378151258</v>
      </c>
      <c r="P777" s="839" t="b">
        <f t="shared" si="396"/>
        <v>1</v>
      </c>
      <c r="Q777" s="824">
        <f>COUNTIF(P$2:P777, TRUE)/(COUNTIF(P$2:P777,FALSE) + COUNTIF(P$2:P777, TRUE))</f>
        <v>0.49613402061855671</v>
      </c>
      <c r="R777" s="866">
        <v>317672.28000000003</v>
      </c>
      <c r="S777" s="868">
        <f t="shared" si="397"/>
        <v>91915.199999999953</v>
      </c>
      <c r="T777" s="822">
        <v>-32184</v>
      </c>
      <c r="U777" s="822">
        <f t="shared" si="398"/>
        <v>141771.47999999998</v>
      </c>
      <c r="V777" s="824">
        <f>STDEV(D$2:D777)*SQRT(252)</f>
        <v>0.14054403945239702</v>
      </c>
      <c r="W777" s="824">
        <f>STDEV(L$2:L777)*SQRT(252)</f>
        <v>0.25692688467355634</v>
      </c>
      <c r="X777" s="823">
        <f t="shared" si="399"/>
        <v>0.6110808682745601</v>
      </c>
      <c r="Y777" s="823">
        <f t="shared" si="400"/>
        <v>0.43638860107601768</v>
      </c>
      <c r="Z777" s="829">
        <f t="shared" si="401"/>
        <v>8.5478620794885884E-2</v>
      </c>
    </row>
    <row r="778" spans="1:26" ht="20.100000000000001" customHeight="1" x14ac:dyDescent="0.2">
      <c r="A778" s="798">
        <f t="shared" si="402"/>
        <v>1191</v>
      </c>
      <c r="B778" s="817">
        <v>43424</v>
      </c>
      <c r="C778" s="842">
        <v>2641.89</v>
      </c>
      <c r="D778" s="814">
        <f t="shared" si="403"/>
        <v>-1.8151208036480862E-2</v>
      </c>
      <c r="E778" s="841">
        <f t="shared" si="389"/>
        <v>0.25658282757177364</v>
      </c>
      <c r="F778" s="838">
        <v>6908.82</v>
      </c>
      <c r="G778" s="814">
        <f t="shared" si="404"/>
        <v>-1.7023619649795835E-2</v>
      </c>
      <c r="H778" s="819">
        <f t="shared" si="390"/>
        <v>0.35687884203704068</v>
      </c>
      <c r="I778" s="863">
        <v>402621.49</v>
      </c>
      <c r="J778" s="822">
        <v>300000</v>
      </c>
      <c r="K778" s="822">
        <f t="shared" si="391"/>
        <v>-6965.9899999999907</v>
      </c>
      <c r="L778" s="814">
        <f t="shared" si="392"/>
        <v>-1.7007331376437559E-2</v>
      </c>
      <c r="M778" s="839">
        <f t="shared" si="393"/>
        <v>102621.48999999999</v>
      </c>
      <c r="N778" s="824">
        <f t="shared" si="394"/>
        <v>0.34207163333333329</v>
      </c>
      <c r="O778" s="808">
        <f t="shared" si="395"/>
        <v>0.10490483969353483</v>
      </c>
      <c r="P778" s="839" t="b">
        <f t="shared" si="396"/>
        <v>1</v>
      </c>
      <c r="Q778" s="824">
        <f>COUNTIF(P$2:P778, TRUE)/(COUNTIF(P$2:P778,FALSE) + COUNTIF(P$2:P778, TRUE))</f>
        <v>0.49678249678249681</v>
      </c>
      <c r="R778" s="866">
        <v>335553.9</v>
      </c>
      <c r="S778" s="868">
        <f t="shared" si="397"/>
        <v>67067.589999999967</v>
      </c>
      <c r="T778" s="822">
        <v>-32094</v>
      </c>
      <c r="U778" s="822">
        <f t="shared" si="398"/>
        <v>134715.49</v>
      </c>
      <c r="V778" s="824">
        <f>STDEV(D$2:D778)*SQRT(252)</f>
        <v>0.14084881356005374</v>
      </c>
      <c r="W778" s="824">
        <f>STDEV(L$2:L778)*SQRT(252)</f>
        <v>0.25695755532405573</v>
      </c>
      <c r="X778" s="823">
        <f t="shared" si="399"/>
        <v>0.55866679181953094</v>
      </c>
      <c r="Y778" s="823">
        <f t="shared" si="400"/>
        <v>0.40825746322670547</v>
      </c>
      <c r="Z778" s="829">
        <f t="shared" ref="Z778:Z783" si="405">-(E778-N778)</f>
        <v>8.548880576155965E-2</v>
      </c>
    </row>
    <row r="779" spans="1:26" ht="20.100000000000001" customHeight="1" x14ac:dyDescent="0.2">
      <c r="A779" s="798">
        <f t="shared" si="402"/>
        <v>1192</v>
      </c>
      <c r="B779" s="817">
        <v>43425</v>
      </c>
      <c r="C779" s="842">
        <v>2649.93</v>
      </c>
      <c r="D779" s="814">
        <f t="shared" si="403"/>
        <v>3.0432758366169539E-3</v>
      </c>
      <c r="E779" s="841">
        <f t="shared" si="389"/>
        <v>0.26040695572763062</v>
      </c>
      <c r="F779" s="838">
        <v>6972.25</v>
      </c>
      <c r="G779" s="814">
        <f t="shared" si="404"/>
        <v>9.1810178872803599E-3</v>
      </c>
      <c r="H779" s="819">
        <f t="shared" si="390"/>
        <v>0.369336370956655</v>
      </c>
      <c r="I779" s="863">
        <v>406305.97</v>
      </c>
      <c r="J779" s="822">
        <v>300000</v>
      </c>
      <c r="K779" s="822">
        <f t="shared" si="391"/>
        <v>3684.4799999999814</v>
      </c>
      <c r="L779" s="814">
        <f t="shared" si="392"/>
        <v>9.1512253854109521E-3</v>
      </c>
      <c r="M779" s="839">
        <f t="shared" si="393"/>
        <v>106305.96999999997</v>
      </c>
      <c r="N779" s="824">
        <f t="shared" si="394"/>
        <v>0.35435323333333324</v>
      </c>
      <c r="O779" s="808">
        <f t="shared" si="395"/>
        <v>0.10858013294882547</v>
      </c>
      <c r="P779" s="839" t="b">
        <f t="shared" si="396"/>
        <v>1</v>
      </c>
      <c r="Q779" s="824">
        <f>COUNTIF(P$2:P779, TRUE)/(COUNTIF(P$2:P779,FALSE) + COUNTIF(P$2:P779, TRUE))</f>
        <v>0.49742930591259638</v>
      </c>
      <c r="R779" s="866">
        <v>339238.40000000002</v>
      </c>
      <c r="S779" s="868">
        <f t="shared" si="397"/>
        <v>67067.569999999949</v>
      </c>
      <c r="T779" s="822">
        <v>-32009</v>
      </c>
      <c r="U779" s="822">
        <f t="shared" si="398"/>
        <v>138314.96999999997</v>
      </c>
      <c r="V779" s="824">
        <f>STDEV(D$2:D779)*SQRT(252)</f>
        <v>0.14076648906391917</v>
      </c>
      <c r="W779" s="824">
        <f>STDEV(L$2:L779)*SQRT(252)</f>
        <v>0.25683810810658303</v>
      </c>
      <c r="X779" s="823">
        <f t="shared" si="399"/>
        <v>0.56684885134551122</v>
      </c>
      <c r="Y779" s="823">
        <f t="shared" si="400"/>
        <v>0.42275709687040186</v>
      </c>
      <c r="Z779" s="829">
        <f t="shared" si="405"/>
        <v>9.3946277605702622E-2</v>
      </c>
    </row>
    <row r="780" spans="1:26" ht="20.100000000000001" customHeight="1" x14ac:dyDescent="0.2">
      <c r="A780" s="798">
        <f t="shared" si="402"/>
        <v>1194</v>
      </c>
      <c r="B780" s="817">
        <v>43427</v>
      </c>
      <c r="C780" s="842">
        <v>2632.56</v>
      </c>
      <c r="D780" s="814">
        <f t="shared" si="403"/>
        <v>-6.5548901291731824E-3</v>
      </c>
      <c r="E780" s="841">
        <f t="shared" si="389"/>
        <v>0.25214512661479038</v>
      </c>
      <c r="F780" s="838">
        <v>6938.98</v>
      </c>
      <c r="G780" s="814">
        <f t="shared" si="404"/>
        <v>-4.7717738176342554E-3</v>
      </c>
      <c r="H780" s="819">
        <f t="shared" si="390"/>
        <v>0.36280220751418973</v>
      </c>
      <c r="I780" s="863">
        <v>403083.15</v>
      </c>
      <c r="J780" s="822">
        <v>300000</v>
      </c>
      <c r="K780" s="822">
        <f t="shared" si="391"/>
        <v>-3222.8199999999488</v>
      </c>
      <c r="L780" s="814">
        <f t="shared" si="392"/>
        <v>-7.9320025743159737E-3</v>
      </c>
      <c r="M780" s="839">
        <f t="shared" si="393"/>
        <v>103083.15000000002</v>
      </c>
      <c r="N780" s="824">
        <f t="shared" si="394"/>
        <v>0.3436105000000001</v>
      </c>
      <c r="O780" s="808">
        <f t="shared" si="395"/>
        <v>0.10511200596733671</v>
      </c>
      <c r="P780" s="839" t="b">
        <f t="shared" si="396"/>
        <v>0</v>
      </c>
      <c r="Q780" s="824">
        <f>COUNTIF(P$2:P780, TRUE)/(COUNTIF(P$2:P780,FALSE) + COUNTIF(P$2:P780, TRUE))</f>
        <v>0.496790757381258</v>
      </c>
      <c r="R780" s="866">
        <v>340042.77</v>
      </c>
      <c r="S780" s="868">
        <f t="shared" si="397"/>
        <v>63040.380000000005</v>
      </c>
      <c r="T780" s="822">
        <v>-32024</v>
      </c>
      <c r="U780" s="822">
        <f t="shared" si="398"/>
        <v>135107.15000000002</v>
      </c>
      <c r="V780" s="824">
        <f>STDEV(D$2:D780)*SQRT(252)</f>
        <v>0.14073055163912401</v>
      </c>
      <c r="W780" s="824">
        <f>STDEV(L$2:L780)*SQRT(252)</f>
        <v>0.25671882677048874</v>
      </c>
      <c r="X780" s="823">
        <f t="shared" si="399"/>
        <v>0.5480852145318037</v>
      </c>
      <c r="Y780" s="823">
        <f t="shared" si="400"/>
        <v>0.4094440882643513</v>
      </c>
      <c r="Z780" s="829">
        <f t="shared" si="405"/>
        <v>9.1465373385209714E-2</v>
      </c>
    </row>
    <row r="781" spans="1:26" ht="20.100000000000001" customHeight="1" x14ac:dyDescent="0.2">
      <c r="A781" s="798">
        <f t="shared" si="402"/>
        <v>1197</v>
      </c>
      <c r="B781" s="817">
        <v>43430</v>
      </c>
      <c r="C781" s="842">
        <v>2673.45</v>
      </c>
      <c r="D781" s="814">
        <f t="shared" si="403"/>
        <v>1.5532409517731742E-2</v>
      </c>
      <c r="E781" s="841">
        <f t="shared" si="389"/>
        <v>0.27159395749700338</v>
      </c>
      <c r="F781" s="838">
        <v>7081.85</v>
      </c>
      <c r="G781" s="814">
        <f t="shared" si="404"/>
        <v>2.0589481451164408E-2</v>
      </c>
      <c r="H781" s="819">
        <f t="shared" si="390"/>
        <v>0.39086159828740902</v>
      </c>
      <c r="I781" s="863">
        <v>409353.88</v>
      </c>
      <c r="J781" s="822">
        <v>300000</v>
      </c>
      <c r="K781" s="822">
        <f t="shared" si="391"/>
        <v>6270.7299999999814</v>
      </c>
      <c r="L781" s="814">
        <f t="shared" si="392"/>
        <v>1.5556914249578483E-2</v>
      </c>
      <c r="M781" s="839">
        <f t="shared" si="393"/>
        <v>109353.88</v>
      </c>
      <c r="N781" s="824">
        <f t="shared" si="394"/>
        <v>0.36451293333333334</v>
      </c>
      <c r="O781" s="808">
        <f t="shared" si="395"/>
        <v>0.11122669081035924</v>
      </c>
      <c r="P781" s="839" t="b">
        <f t="shared" si="396"/>
        <v>1</v>
      </c>
      <c r="Q781" s="824">
        <f>COUNTIF(P$2:P781, TRUE)/(COUNTIF(P$2:P781,FALSE) + COUNTIF(P$2:P781, TRUE))</f>
        <v>0.49743589743589745</v>
      </c>
      <c r="R781" s="866">
        <v>322254.05</v>
      </c>
      <c r="S781" s="868">
        <f t="shared" si="397"/>
        <v>87099.830000000016</v>
      </c>
      <c r="T781" s="822">
        <v>-31333</v>
      </c>
      <c r="U781" s="822">
        <f t="shared" si="398"/>
        <v>140686.88</v>
      </c>
      <c r="V781" s="824">
        <f>STDEV(D$2:D781)*SQRT(252)</f>
        <v>0.14090568207330634</v>
      </c>
      <c r="W781" s="824">
        <f>STDEV(L$2:L781)*SQRT(252)</f>
        <v>0.25669478490584341</v>
      </c>
      <c r="X781" s="823">
        <f t="shared" si="399"/>
        <v>0.58814941726080083</v>
      </c>
      <c r="Y781" s="823">
        <f t="shared" si="400"/>
        <v>0.43330327435813548</v>
      </c>
      <c r="Z781" s="829">
        <f t="shared" si="405"/>
        <v>9.2918975836329964E-2</v>
      </c>
    </row>
    <row r="782" spans="1:26" ht="20.100000000000001" customHeight="1" x14ac:dyDescent="0.2">
      <c r="A782" s="798">
        <f t="shared" si="402"/>
        <v>1198</v>
      </c>
      <c r="B782" s="817">
        <v>43431</v>
      </c>
      <c r="C782" s="842">
        <v>2682.17</v>
      </c>
      <c r="D782" s="814">
        <f t="shared" si="403"/>
        <v>3.2617030428847577E-3</v>
      </c>
      <c r="E782" s="841">
        <f t="shared" si="389"/>
        <v>0.2757415193774852</v>
      </c>
      <c r="F782" s="838">
        <v>7082.7</v>
      </c>
      <c r="G782" s="814">
        <f t="shared" si="404"/>
        <v>1.2002513467518435E-4</v>
      </c>
      <c r="H782" s="819">
        <f t="shared" si="390"/>
        <v>0.39102853663805803</v>
      </c>
      <c r="I782" s="863">
        <v>410089.31</v>
      </c>
      <c r="J782" s="822">
        <v>300000</v>
      </c>
      <c r="K782" s="822">
        <f t="shared" si="391"/>
        <v>735.42999999999302</v>
      </c>
      <c r="L782" s="814">
        <f t="shared" si="392"/>
        <v>1.7965629151969757E-3</v>
      </c>
      <c r="M782" s="839">
        <f t="shared" si="393"/>
        <v>110089.31</v>
      </c>
      <c r="N782" s="824">
        <f t="shared" si="394"/>
        <v>0.36696436666666665</v>
      </c>
      <c r="O782" s="808">
        <f t="shared" si="395"/>
        <v>0.1118812478505843</v>
      </c>
      <c r="P782" s="839" t="b">
        <f t="shared" si="396"/>
        <v>0</v>
      </c>
      <c r="Q782" s="824">
        <f>COUNTIF(P$2:P782, TRUE)/(COUNTIF(P$2:P782,FALSE) + COUNTIF(P$2:P782, TRUE))</f>
        <v>0.49679897567221509</v>
      </c>
      <c r="R782" s="866">
        <v>312321.01</v>
      </c>
      <c r="S782" s="868">
        <f t="shared" si="397"/>
        <v>97768.299999999988</v>
      </c>
      <c r="T782" s="822">
        <v>-31315</v>
      </c>
      <c r="U782" s="822">
        <f t="shared" si="398"/>
        <v>141404.31</v>
      </c>
      <c r="V782" s="824">
        <f>STDEV(D$2:D782)*SQRT(252)</f>
        <v>0.14082495256612623</v>
      </c>
      <c r="W782" s="824">
        <f>STDEV(L$2:L782)*SQRT(252)</f>
        <v>0.25653084551820676</v>
      </c>
      <c r="X782" s="823">
        <f t="shared" si="399"/>
        <v>0.5969747429583796</v>
      </c>
      <c r="Y782" s="823">
        <f t="shared" si="400"/>
        <v>0.43613175493410111</v>
      </c>
      <c r="Z782" s="829">
        <f t="shared" si="405"/>
        <v>9.1222847289181452E-2</v>
      </c>
    </row>
    <row r="783" spans="1:26" ht="20.100000000000001" customHeight="1" x14ac:dyDescent="0.2">
      <c r="A783" s="798">
        <f t="shared" si="402"/>
        <v>1199</v>
      </c>
      <c r="B783" s="817">
        <v>43432</v>
      </c>
      <c r="C783" s="842">
        <v>2743.79</v>
      </c>
      <c r="D783" s="814">
        <f t="shared" si="403"/>
        <v>2.2973935283744092E-2</v>
      </c>
      <c r="E783" s="841">
        <f t="shared" si="389"/>
        <v>0.3050503224824489</v>
      </c>
      <c r="F783" s="838">
        <v>7291.59</v>
      </c>
      <c r="G783" s="814">
        <f t="shared" si="404"/>
        <v>2.9492989961455423E-2</v>
      </c>
      <c r="H783" s="819">
        <f t="shared" si="390"/>
        <v>0.4320541273052223</v>
      </c>
      <c r="I783" s="863">
        <v>414246.66</v>
      </c>
      <c r="J783" s="822">
        <v>300000</v>
      </c>
      <c r="K783" s="822">
        <f t="shared" si="391"/>
        <v>4157.3499999999767</v>
      </c>
      <c r="L783" s="814">
        <f t="shared" si="392"/>
        <v>1.0137669767592764E-2</v>
      </c>
      <c r="M783" s="839">
        <f t="shared" si="393"/>
        <v>114246.65999999997</v>
      </c>
      <c r="N783" s="824">
        <f t="shared" si="394"/>
        <v>0.38082219999999989</v>
      </c>
      <c r="O783" s="808">
        <f t="shared" si="395"/>
        <v>0.11600943165137612</v>
      </c>
      <c r="P783" s="839" t="b">
        <f t="shared" si="396"/>
        <v>0</v>
      </c>
      <c r="Q783" s="824">
        <f>COUNTIF(P$2:P783, TRUE)/(COUNTIF(P$2:P783,FALSE) + COUNTIF(P$2:P783, TRUE))</f>
        <v>0.49616368286445012</v>
      </c>
      <c r="R783" s="866">
        <v>299603.09000000003</v>
      </c>
      <c r="S783" s="868">
        <f t="shared" si="397"/>
        <v>114643.56999999995</v>
      </c>
      <c r="T783" s="822">
        <v>-31283</v>
      </c>
      <c r="U783" s="822">
        <f t="shared" si="398"/>
        <v>145529.65999999997</v>
      </c>
      <c r="V783" s="824">
        <f>STDEV(D$2:D783)*SQRT(252)</f>
        <v>0.14132010283971275</v>
      </c>
      <c r="W783" s="824">
        <f>STDEV(L$2:L783)*SQRT(252)</f>
        <v>0.25642333940628448</v>
      </c>
      <c r="X783" s="823">
        <f t="shared" si="399"/>
        <v>0.65756484261109904</v>
      </c>
      <c r="Y783" s="823">
        <f t="shared" si="400"/>
        <v>0.45241369962648936</v>
      </c>
      <c r="Z783" s="829">
        <f t="shared" si="405"/>
        <v>7.577187751755099E-2</v>
      </c>
    </row>
    <row r="784" spans="1:26" ht="20.100000000000001" customHeight="1" x14ac:dyDescent="0.2">
      <c r="A784" s="798">
        <f t="shared" si="402"/>
        <v>1200</v>
      </c>
      <c r="B784" s="817">
        <v>43433</v>
      </c>
      <c r="C784" s="842">
        <v>2737.76</v>
      </c>
      <c r="D784" s="814">
        <f t="shared" si="403"/>
        <v>-2.1976900564546651E-3</v>
      </c>
      <c r="E784" s="841">
        <f t="shared" si="389"/>
        <v>0.30218222636555631</v>
      </c>
      <c r="F784" s="838">
        <v>7273.08</v>
      </c>
      <c r="G784" s="814">
        <f t="shared" si="404"/>
        <v>-2.5385409766594414E-3</v>
      </c>
      <c r="H784" s="819">
        <f t="shared" si="390"/>
        <v>0.42841879922226372</v>
      </c>
      <c r="I784" s="863">
        <v>414192.78</v>
      </c>
      <c r="J784" s="822">
        <v>300000</v>
      </c>
      <c r="K784" s="822">
        <f t="shared" si="391"/>
        <v>-53.879999999946449</v>
      </c>
      <c r="L784" s="814">
        <f t="shared" si="392"/>
        <v>-1.3006743373608965E-4</v>
      </c>
      <c r="M784" s="839">
        <f t="shared" si="393"/>
        <v>114192.78000000003</v>
      </c>
      <c r="N784" s="824">
        <f t="shared" si="394"/>
        <v>0.38064260000000011</v>
      </c>
      <c r="O784" s="808">
        <f t="shared" si="395"/>
        <v>0.11585809137500004</v>
      </c>
      <c r="P784" s="839" t="b">
        <f t="shared" si="396"/>
        <v>1</v>
      </c>
      <c r="Q784" s="824">
        <f>COUNTIF(P$2:P784, TRUE)/(COUNTIF(P$2:P784,FALSE) + COUNTIF(P$2:P784, TRUE))</f>
        <v>0.49680715197956576</v>
      </c>
      <c r="R784" s="866">
        <v>308537.21000000002</v>
      </c>
      <c r="S784" s="868">
        <f t="shared" si="397"/>
        <v>105655.57</v>
      </c>
      <c r="T784" s="822">
        <v>-31278</v>
      </c>
      <c r="U784" s="822">
        <f t="shared" si="398"/>
        <v>145470.78000000003</v>
      </c>
      <c r="V784" s="824">
        <f>STDEV(D$2:D784)*SQRT(252)</f>
        <v>0.14123718368532329</v>
      </c>
      <c r="W784" s="824">
        <f>STDEV(L$2:L784)*SQRT(252)</f>
        <v>0.25625948948857508</v>
      </c>
      <c r="X784" s="823">
        <f t="shared" si="399"/>
        <v>0.65122167371264283</v>
      </c>
      <c r="Y784" s="823">
        <f t="shared" si="400"/>
        <v>0.45211239437892264</v>
      </c>
      <c r="Z784" s="829">
        <f t="shared" ref="Z784:Z789" si="406">-(E784-N784)</f>
        <v>7.8460373634443803E-2</v>
      </c>
    </row>
    <row r="785" spans="1:26" ht="20.100000000000001" customHeight="1" x14ac:dyDescent="0.2">
      <c r="A785" s="798">
        <f t="shared" si="402"/>
        <v>1201</v>
      </c>
      <c r="B785" s="817">
        <v>43434</v>
      </c>
      <c r="C785" s="842">
        <v>2760.17</v>
      </c>
      <c r="D785" s="814">
        <f t="shared" si="403"/>
        <v>8.1855239319735297E-3</v>
      </c>
      <c r="E785" s="841">
        <f t="shared" si="389"/>
        <v>0.31284127014326213</v>
      </c>
      <c r="F785" s="838">
        <v>7330.53</v>
      </c>
      <c r="G785" s="814">
        <f t="shared" si="404"/>
        <v>7.8989918988928796E-3</v>
      </c>
      <c r="H785" s="819">
        <f t="shared" si="390"/>
        <v>0.43970186774554665</v>
      </c>
      <c r="I785" s="864">
        <v>414816.13</v>
      </c>
      <c r="J785" s="822">
        <v>300000</v>
      </c>
      <c r="K785" s="822">
        <f t="shared" si="391"/>
        <v>623.34999999997672</v>
      </c>
      <c r="L785" s="814">
        <f t="shared" si="392"/>
        <v>1.5049755333735578E-3</v>
      </c>
      <c r="M785" s="844">
        <f t="shared" si="393"/>
        <v>114816.13</v>
      </c>
      <c r="N785" s="824">
        <f t="shared" si="394"/>
        <v>0.38272043333333333</v>
      </c>
      <c r="O785" s="808">
        <f t="shared" si="395"/>
        <v>0.11639353728143215</v>
      </c>
      <c r="P785" s="839" t="b">
        <f t="shared" si="396"/>
        <v>0</v>
      </c>
      <c r="Q785" s="824">
        <f>COUNTIF(P$2:P785, TRUE)/(COUNTIF(P$2:P785,FALSE) + COUNTIF(P$2:P785, TRUE))</f>
        <v>0.49617346938775508</v>
      </c>
      <c r="R785" s="866">
        <v>324403.93</v>
      </c>
      <c r="S785" s="868">
        <f t="shared" si="397"/>
        <v>90412.200000000012</v>
      </c>
      <c r="T785" s="822">
        <v>-31318</v>
      </c>
      <c r="U785" s="822">
        <f t="shared" si="398"/>
        <v>146134.13</v>
      </c>
      <c r="V785" s="824">
        <f>STDEV(D$2:D785)*SQRT(252)</f>
        <v>0.14121634234290364</v>
      </c>
      <c r="W785" s="824">
        <f>STDEV(L$2:L785)*SQRT(252)</f>
        <v>0.25609606710112842</v>
      </c>
      <c r="X785" s="823">
        <f t="shared" si="399"/>
        <v>0.67373064057163079</v>
      </c>
      <c r="Y785" s="823">
        <f t="shared" si="400"/>
        <v>0.45449170148899676</v>
      </c>
      <c r="Z785" s="829">
        <f t="shared" si="406"/>
        <v>6.9879163190071203E-2</v>
      </c>
    </row>
    <row r="786" spans="1:26" ht="20.100000000000001" customHeight="1" x14ac:dyDescent="0.2">
      <c r="A786" s="798">
        <f t="shared" ref="A786:A817" si="407">B786-$B$2</f>
        <v>1204</v>
      </c>
      <c r="B786" s="817">
        <v>43437</v>
      </c>
      <c r="C786" s="842">
        <v>2790.37</v>
      </c>
      <c r="D786" s="814">
        <f t="shared" ref="D786:D817" si="408">(C786-C785)/C785</f>
        <v>1.0941355061463539E-2</v>
      </c>
      <c r="E786" s="841">
        <f t="shared" ref="E786:E817" si="409">(C786-$C$2)/$C$2</f>
        <v>0.32720553261924235</v>
      </c>
      <c r="F786" s="838">
        <v>7441.51</v>
      </c>
      <c r="G786" s="814">
        <f t="shared" ref="G786:G817" si="410">(F786-F785)/F785</f>
        <v>1.5139423752443613E-2</v>
      </c>
      <c r="H786" s="819">
        <f t="shared" ref="H786:H817" si="411">(F786-F$2)/F$2</f>
        <v>0.46149812439853105</v>
      </c>
      <c r="I786" s="863">
        <v>421570.64</v>
      </c>
      <c r="J786" s="822">
        <v>300000</v>
      </c>
      <c r="K786" s="822">
        <f t="shared" ref="K786:K817" si="412">I786-I785-J786+J785</f>
        <v>6754.5100000000093</v>
      </c>
      <c r="L786" s="814">
        <f t="shared" ref="L786:L817" si="413">K786/I785</f>
        <v>1.6283142123716378E-2</v>
      </c>
      <c r="M786" s="839">
        <f t="shared" ref="M786:M817" si="414">I786-J786</f>
        <v>121570.64000000001</v>
      </c>
      <c r="N786" s="824">
        <f t="shared" ref="N786:N817" si="415">M786/J786</f>
        <v>0.40523546666666671</v>
      </c>
      <c r="O786" s="808">
        <f t="shared" ref="O786:O793" si="416">N786/(A786/365.25)</f>
        <v>0.12293376594684387</v>
      </c>
      <c r="P786" s="839" t="b">
        <f t="shared" ref="P786:P817" si="417">L786&gt;D786</f>
        <v>1</v>
      </c>
      <c r="Q786" s="824">
        <f>COUNTIF(P$2:P786, TRUE)/(COUNTIF(P$2:P786,FALSE) + COUNTIF(P$2:P786, TRUE))</f>
        <v>0.49681528662420382</v>
      </c>
      <c r="R786" s="866">
        <v>335205</v>
      </c>
      <c r="S786" s="868">
        <f t="shared" ref="S786:S817" si="418">I786-R786</f>
        <v>86365.640000000014</v>
      </c>
      <c r="T786" s="822">
        <v>-31163</v>
      </c>
      <c r="U786" s="822">
        <f t="shared" ref="U786:U791" si="419">M786-T786</f>
        <v>152733.64000000001</v>
      </c>
      <c r="V786" s="824">
        <f>STDEV(D$2:D786)*SQRT(252)</f>
        <v>0.14125293018736088</v>
      </c>
      <c r="W786" s="824">
        <f>STDEV(L$2:L786)*SQRT(252)</f>
        <v>0.25608623353884191</v>
      </c>
      <c r="X786" s="823">
        <f t="shared" ref="X786:X817" si="420">E786/(A786/365.25)/V786</f>
        <v>0.70272743718590269</v>
      </c>
      <c r="Y786" s="823">
        <f t="shared" ref="Y786:Y817" si="421">O786/W786</f>
        <v>0.48004831906826367</v>
      </c>
      <c r="Z786" s="829">
        <f t="shared" si="406"/>
        <v>7.8029934047424365E-2</v>
      </c>
    </row>
    <row r="787" spans="1:26" ht="20.100000000000001" customHeight="1" x14ac:dyDescent="0.2">
      <c r="A787" s="798">
        <f t="shared" si="407"/>
        <v>1205</v>
      </c>
      <c r="B787" s="817">
        <v>43438</v>
      </c>
      <c r="C787" s="842">
        <v>2700.06</v>
      </c>
      <c r="D787" s="814">
        <f t="shared" si="408"/>
        <v>-3.236488351007212E-2</v>
      </c>
      <c r="E787" s="841">
        <f t="shared" si="409"/>
        <v>0.28425068016209731</v>
      </c>
      <c r="F787" s="838">
        <v>7158.42</v>
      </c>
      <c r="G787" s="814">
        <f t="shared" si="410"/>
        <v>-3.8042010290922156E-2</v>
      </c>
      <c r="H787" s="819">
        <f t="shared" si="411"/>
        <v>0.40589979770999868</v>
      </c>
      <c r="I787" s="863">
        <v>410018.82</v>
      </c>
      <c r="J787" s="822">
        <v>300000</v>
      </c>
      <c r="K787" s="822">
        <f t="shared" si="412"/>
        <v>-11551.820000000007</v>
      </c>
      <c r="L787" s="814">
        <f t="shared" si="413"/>
        <v>-2.7401860812697978E-2</v>
      </c>
      <c r="M787" s="839">
        <f t="shared" si="414"/>
        <v>110018.82</v>
      </c>
      <c r="N787" s="824">
        <f t="shared" si="415"/>
        <v>0.36672940000000004</v>
      </c>
      <c r="O787" s="808">
        <f t="shared" si="416"/>
        <v>0.11116009406639005</v>
      </c>
      <c r="P787" s="839" t="b">
        <f t="shared" si="417"/>
        <v>1</v>
      </c>
      <c r="Q787" s="824">
        <f>COUNTIF(P$2:P787, TRUE)/(COUNTIF(P$2:P787,FALSE) + COUNTIF(P$2:P787, TRUE))</f>
        <v>0.49745547073791346</v>
      </c>
      <c r="R787" s="866">
        <v>330837.59000000003</v>
      </c>
      <c r="S787" s="868">
        <f t="shared" si="418"/>
        <v>79181.229999999981</v>
      </c>
      <c r="T787" s="822">
        <v>-31883</v>
      </c>
      <c r="U787" s="822">
        <f t="shared" si="419"/>
        <v>141901.82</v>
      </c>
      <c r="V787" s="824">
        <f>STDEV(D$2:D787)*SQRT(252)</f>
        <v>0.14237830466833196</v>
      </c>
      <c r="W787" s="824">
        <f>STDEV(L$2:L787)*SQRT(252)</f>
        <v>0.25641602783691181</v>
      </c>
      <c r="X787" s="823">
        <f t="shared" si="420"/>
        <v>0.60514698360616659</v>
      </c>
      <c r="Y787" s="823">
        <f t="shared" si="421"/>
        <v>0.43351460906761713</v>
      </c>
      <c r="Z787" s="829">
        <f t="shared" si="406"/>
        <v>8.2478719837902725E-2</v>
      </c>
    </row>
    <row r="788" spans="1:26" ht="20.100000000000001" customHeight="1" x14ac:dyDescent="0.2">
      <c r="A788" s="798">
        <f t="shared" si="407"/>
        <v>1207</v>
      </c>
      <c r="B788" s="817">
        <v>43440</v>
      </c>
      <c r="C788" s="842">
        <v>2695.95</v>
      </c>
      <c r="D788" s="814">
        <f t="shared" si="408"/>
        <v>-1.5221883958134736E-3</v>
      </c>
      <c r="E788" s="841">
        <f t="shared" si="409"/>
        <v>0.28229580867943899</v>
      </c>
      <c r="F788" s="838">
        <v>7188.25</v>
      </c>
      <c r="G788" s="814">
        <f t="shared" si="410"/>
        <v>4.1671206774679228E-3</v>
      </c>
      <c r="H788" s="819">
        <f t="shared" si="411"/>
        <v>0.41175835182748399</v>
      </c>
      <c r="I788" s="863">
        <v>407546.45</v>
      </c>
      <c r="J788" s="822">
        <v>300000</v>
      </c>
      <c r="K788" s="822">
        <f t="shared" si="412"/>
        <v>-2472.3699999999953</v>
      </c>
      <c r="L788" s="814">
        <f t="shared" si="413"/>
        <v>-6.0298939448681773E-3</v>
      </c>
      <c r="M788" s="839">
        <f t="shared" si="414"/>
        <v>107546.45000000001</v>
      </c>
      <c r="N788" s="824">
        <f t="shared" si="415"/>
        <v>0.35848816666666672</v>
      </c>
      <c r="O788" s="808">
        <f t="shared" si="416"/>
        <v>0.10848202392294948</v>
      </c>
      <c r="P788" s="839" t="b">
        <f t="shared" si="417"/>
        <v>0</v>
      </c>
      <c r="Q788" s="824">
        <f>COUNTIF(P$2:P788, TRUE)/(COUNTIF(P$2:P788,FALSE) + COUNTIF(P$2:P788, TRUE))</f>
        <v>0.49682337992376113</v>
      </c>
      <c r="R788" s="866">
        <v>373437.24</v>
      </c>
      <c r="S788" s="868">
        <f t="shared" si="418"/>
        <v>34109.210000000021</v>
      </c>
      <c r="T788" s="822">
        <v>-32113</v>
      </c>
      <c r="U788" s="822">
        <f t="shared" si="419"/>
        <v>139659.45000000001</v>
      </c>
      <c r="V788" s="824">
        <f>STDEV(D$2:D788)*SQRT(252)</f>
        <v>0.14229157572570017</v>
      </c>
      <c r="W788" s="824">
        <f>STDEV(L$2:L788)*SQRT(252)</f>
        <v>0.25628029389269719</v>
      </c>
      <c r="X788" s="823">
        <f t="shared" si="420"/>
        <v>0.60035508835020446</v>
      </c>
      <c r="Y788" s="823">
        <f t="shared" si="421"/>
        <v>0.42329444170362224</v>
      </c>
      <c r="Z788" s="829">
        <f t="shared" si="406"/>
        <v>7.6192357987227732E-2</v>
      </c>
    </row>
    <row r="789" spans="1:26" ht="20.100000000000001" customHeight="1" x14ac:dyDescent="0.2">
      <c r="A789" s="798">
        <f t="shared" si="407"/>
        <v>1208</v>
      </c>
      <c r="B789" s="817">
        <v>43441</v>
      </c>
      <c r="C789" s="842">
        <v>2633.08</v>
      </c>
      <c r="D789" s="814">
        <f t="shared" si="408"/>
        <v>-2.3320165433335149E-2</v>
      </c>
      <c r="E789" s="841">
        <f t="shared" si="409"/>
        <v>0.2523924582865622</v>
      </c>
      <c r="F789" s="838">
        <v>6969.25</v>
      </c>
      <c r="G789" s="814">
        <f t="shared" si="410"/>
        <v>-3.0466386116231349E-2</v>
      </c>
      <c r="H789" s="819">
        <f t="shared" si="411"/>
        <v>0.36874717677789348</v>
      </c>
      <c r="I789" s="863">
        <v>400207.22</v>
      </c>
      <c r="J789" s="822">
        <v>300000</v>
      </c>
      <c r="K789" s="822">
        <f t="shared" si="412"/>
        <v>-7339.2300000000396</v>
      </c>
      <c r="L789" s="814">
        <f t="shared" si="413"/>
        <v>-1.8008327639708405E-2</v>
      </c>
      <c r="M789" s="839">
        <f t="shared" si="414"/>
        <v>100207.21999999997</v>
      </c>
      <c r="N789" s="824">
        <f t="shared" si="415"/>
        <v>0.33402406666666656</v>
      </c>
      <c r="O789" s="808">
        <f t="shared" si="416"/>
        <v>0.10099527346854302</v>
      </c>
      <c r="P789" s="839" t="b">
        <f t="shared" si="417"/>
        <v>1</v>
      </c>
      <c r="Q789" s="824">
        <f>COUNTIF(P$2:P789, TRUE)/(COUNTIF(P$2:P789,FALSE) + COUNTIF(P$2:P789, TRUE))</f>
        <v>0.49746192893401014</v>
      </c>
      <c r="R789" s="866">
        <v>376330.48</v>
      </c>
      <c r="S789" s="868">
        <f t="shared" si="418"/>
        <v>23876.739999999991</v>
      </c>
      <c r="T789" s="822">
        <v>-32518</v>
      </c>
      <c r="U789" s="822">
        <f t="shared" si="419"/>
        <v>132725.21999999997</v>
      </c>
      <c r="V789" s="824">
        <f>STDEV(D$2:D789)*SQRT(252)</f>
        <v>0.14283079204781629</v>
      </c>
      <c r="W789" s="824">
        <f>STDEV(L$2:L789)*SQRT(252)</f>
        <v>0.25633378715539085</v>
      </c>
      <c r="X789" s="823">
        <f t="shared" si="420"/>
        <v>0.53429095177124997</v>
      </c>
      <c r="Y789" s="823">
        <f t="shared" si="421"/>
        <v>0.39399906890666414</v>
      </c>
      <c r="Z789" s="829">
        <f t="shared" si="406"/>
        <v>8.1631608380104359E-2</v>
      </c>
    </row>
    <row r="790" spans="1:26" ht="20.100000000000001" customHeight="1" x14ac:dyDescent="0.2">
      <c r="A790" s="798">
        <f t="shared" si="407"/>
        <v>1211</v>
      </c>
      <c r="B790" s="817">
        <v>43444</v>
      </c>
      <c r="C790" s="842">
        <v>2637.72</v>
      </c>
      <c r="D790" s="814">
        <f t="shared" si="408"/>
        <v>1.7621948440608994E-3</v>
      </c>
      <c r="E790" s="841">
        <f t="shared" si="409"/>
        <v>0.25459941781929557</v>
      </c>
      <c r="F790" s="838">
        <v>7020.52</v>
      </c>
      <c r="G790" s="814">
        <f t="shared" si="410"/>
        <v>7.356602216881363E-3</v>
      </c>
      <c r="H790" s="819">
        <f t="shared" si="411"/>
        <v>0.37881650529292782</v>
      </c>
      <c r="I790" s="863">
        <v>394920</v>
      </c>
      <c r="J790" s="822">
        <v>300000</v>
      </c>
      <c r="K790" s="822">
        <f t="shared" si="412"/>
        <v>-5287.2199999999721</v>
      </c>
      <c r="L790" s="814">
        <f t="shared" si="413"/>
        <v>-1.3211205934765427E-2</v>
      </c>
      <c r="M790" s="839">
        <f t="shared" si="414"/>
        <v>94920</v>
      </c>
      <c r="N790" s="824">
        <f t="shared" si="415"/>
        <v>0.31640000000000001</v>
      </c>
      <c r="O790" s="808">
        <f t="shared" si="416"/>
        <v>9.542947976878613E-2</v>
      </c>
      <c r="P790" s="839" t="b">
        <f t="shared" si="417"/>
        <v>0</v>
      </c>
      <c r="Q790" s="824">
        <f>COUNTIF(P$2:P790, TRUE)/(COUNTIF(P$2:P790,FALSE) + COUNTIF(P$2:P790, TRUE))</f>
        <v>0.49683143219264891</v>
      </c>
      <c r="R790" s="866">
        <v>380977.24</v>
      </c>
      <c r="S790" s="868">
        <f t="shared" si="418"/>
        <v>13942.760000000009</v>
      </c>
      <c r="T790" s="822">
        <v>-32738</v>
      </c>
      <c r="U790" s="822">
        <f t="shared" si="419"/>
        <v>127658</v>
      </c>
      <c r="V790" s="824">
        <f>STDEV(D$2:D790)*SQRT(252)</f>
        <v>0.14274232840004178</v>
      </c>
      <c r="W790" s="824">
        <f>STDEV(L$2:L790)*SQRT(252)</f>
        <v>0.25628966236844403</v>
      </c>
      <c r="X790" s="823">
        <f t="shared" si="420"/>
        <v>0.53796089946479109</v>
      </c>
      <c r="Y790" s="823">
        <f t="shared" si="421"/>
        <v>0.37235009358901089</v>
      </c>
      <c r="Z790" s="829">
        <f t="shared" ref="Z790:Z810" si="422">-(E790-N790)</f>
        <v>6.1800582180704444E-2</v>
      </c>
    </row>
    <row r="791" spans="1:26" ht="20.100000000000001" customHeight="1" x14ac:dyDescent="0.2">
      <c r="A791" s="798">
        <f t="shared" si="407"/>
        <v>1212</v>
      </c>
      <c r="B791" s="817">
        <v>43445</v>
      </c>
      <c r="C791" s="842">
        <v>2636.78</v>
      </c>
      <c r="D791" s="814">
        <f t="shared" si="408"/>
        <v>-3.5636837875119417E-4</v>
      </c>
      <c r="E791" s="841">
        <f t="shared" si="409"/>
        <v>0.25415231825878509</v>
      </c>
      <c r="F791" s="838">
        <v>7031.83</v>
      </c>
      <c r="G791" s="814">
        <f t="shared" si="410"/>
        <v>1.6109917783867136E-3</v>
      </c>
      <c r="H791" s="819">
        <f t="shared" si="411"/>
        <v>0.38103776734685862</v>
      </c>
      <c r="I791" s="863">
        <v>394934.34</v>
      </c>
      <c r="J791" s="822">
        <v>300000</v>
      </c>
      <c r="K791" s="822">
        <f t="shared" si="412"/>
        <v>14.340000000025611</v>
      </c>
      <c r="L791" s="814">
        <f t="shared" si="413"/>
        <v>3.6311151625710555E-5</v>
      </c>
      <c r="M791" s="839">
        <f t="shared" si="414"/>
        <v>94934.340000000026</v>
      </c>
      <c r="N791" s="824">
        <f t="shared" si="415"/>
        <v>0.31644780000000011</v>
      </c>
      <c r="O791" s="808">
        <f t="shared" si="416"/>
        <v>9.5365147648514892E-2</v>
      </c>
      <c r="P791" s="839" t="b">
        <f t="shared" si="417"/>
        <v>1</v>
      </c>
      <c r="Q791" s="824">
        <f>COUNTIF(P$2:P791, TRUE)/(COUNTIF(P$2:P791,FALSE) + COUNTIF(P$2:P791, TRUE))</f>
        <v>0.49746835443037973</v>
      </c>
      <c r="R791" s="866">
        <v>371237.75</v>
      </c>
      <c r="S791" s="868">
        <f t="shared" si="418"/>
        <v>23696.590000000026</v>
      </c>
      <c r="T791" s="822">
        <v>-32863</v>
      </c>
      <c r="U791" s="822">
        <f t="shared" si="419"/>
        <v>127797.34000000003</v>
      </c>
      <c r="V791" s="824">
        <f>STDEV(D$2:D791)*SQRT(252)</f>
        <v>0.14265225189057229</v>
      </c>
      <c r="W791" s="824">
        <f>STDEV(L$2:L791)*SQRT(252)</f>
        <v>0.25612716650451428</v>
      </c>
      <c r="X791" s="823">
        <f t="shared" si="420"/>
        <v>0.53691192326611614</v>
      </c>
      <c r="Y791" s="823">
        <f t="shared" si="421"/>
        <v>0.37233515268999812</v>
      </c>
      <c r="Z791" s="829">
        <f t="shared" si="422"/>
        <v>6.229548174121502E-2</v>
      </c>
    </row>
    <row r="792" spans="1:26" ht="20.100000000000001" customHeight="1" x14ac:dyDescent="0.2">
      <c r="A792" s="798">
        <f t="shared" si="407"/>
        <v>1213</v>
      </c>
      <c r="B792" s="817">
        <v>43446</v>
      </c>
      <c r="C792" s="842">
        <v>2651.07</v>
      </c>
      <c r="D792" s="814">
        <f t="shared" si="408"/>
        <v>5.4194889220943584E-3</v>
      </c>
      <c r="E792" s="841">
        <f t="shared" si="409"/>
        <v>0.26094918285420754</v>
      </c>
      <c r="F792" s="838">
        <v>7098.33</v>
      </c>
      <c r="G792" s="814">
        <f t="shared" si="410"/>
        <v>9.4569976805468844E-3</v>
      </c>
      <c r="H792" s="819">
        <f t="shared" si="411"/>
        <v>0.39409823830940555</v>
      </c>
      <c r="I792" s="863">
        <v>397418.44</v>
      </c>
      <c r="J792" s="822">
        <v>300000</v>
      </c>
      <c r="K792" s="822">
        <f t="shared" si="412"/>
        <v>2484.0999999999767</v>
      </c>
      <c r="L792" s="814">
        <f t="shared" si="413"/>
        <v>6.2899063170854591E-3</v>
      </c>
      <c r="M792" s="839">
        <f t="shared" si="414"/>
        <v>97418.44</v>
      </c>
      <c r="N792" s="824">
        <f t="shared" si="415"/>
        <v>0.32472813333333334</v>
      </c>
      <c r="O792" s="808">
        <f t="shared" si="416"/>
        <v>9.7779843940643041E-2</v>
      </c>
      <c r="P792" s="839" t="b">
        <f t="shared" si="417"/>
        <v>1</v>
      </c>
      <c r="Q792" s="824">
        <f>COUNTIF(P$2:P792, TRUE)/(COUNTIF(P$2:P792,FALSE) + COUNTIF(P$2:P792, TRUE))</f>
        <v>0.49810366624525915</v>
      </c>
      <c r="R792" s="866">
        <v>372992.36</v>
      </c>
      <c r="S792" s="868">
        <f t="shared" si="418"/>
        <v>24426.080000000016</v>
      </c>
      <c r="T792" s="822"/>
      <c r="U792" s="822"/>
      <c r="V792" s="824">
        <f>STDEV(D$2:D792)*SQRT(252)</f>
        <v>0.14259082814261542</v>
      </c>
      <c r="W792" s="824">
        <f>STDEV(L$2:L792)*SQRT(252)</f>
        <v>0.25598521011278219</v>
      </c>
      <c r="X792" s="823">
        <f t="shared" si="420"/>
        <v>0.55105351077994846</v>
      </c>
      <c r="Y792" s="823">
        <f t="shared" si="421"/>
        <v>0.38197458320956557</v>
      </c>
      <c r="Z792" s="829">
        <f t="shared" si="422"/>
        <v>6.3778950479125796E-2</v>
      </c>
    </row>
    <row r="793" spans="1:26" ht="20.100000000000001" customHeight="1" x14ac:dyDescent="0.2">
      <c r="A793" s="798">
        <f t="shared" si="407"/>
        <v>1214</v>
      </c>
      <c r="B793" s="817">
        <v>43447</v>
      </c>
      <c r="C793" s="842">
        <v>2650.54</v>
      </c>
      <c r="D793" s="814">
        <f t="shared" si="408"/>
        <v>-1.9991927787655551E-4</v>
      </c>
      <c r="E793" s="841">
        <f t="shared" si="409"/>
        <v>0.26069709480413228</v>
      </c>
      <c r="F793" s="838">
        <v>7070.33</v>
      </c>
      <c r="G793" s="814">
        <f t="shared" si="410"/>
        <v>-3.9445897837942162E-3</v>
      </c>
      <c r="H793" s="819">
        <f t="shared" si="411"/>
        <v>0.38859909264096476</v>
      </c>
      <c r="I793" s="863">
        <v>395222.97</v>
      </c>
      <c r="J793" s="822">
        <v>300000</v>
      </c>
      <c r="K793" s="822">
        <f t="shared" si="412"/>
        <v>-2195.4700000000303</v>
      </c>
      <c r="L793" s="814">
        <f t="shared" si="413"/>
        <v>-5.524328463470468E-3</v>
      </c>
      <c r="M793" s="839">
        <f t="shared" si="414"/>
        <v>95222.969999999972</v>
      </c>
      <c r="N793" s="824">
        <f t="shared" si="415"/>
        <v>0.31740989999999991</v>
      </c>
      <c r="O793" s="808">
        <f t="shared" si="416"/>
        <v>9.5497500803130131E-2</v>
      </c>
      <c r="P793" s="839" t="b">
        <f t="shared" si="417"/>
        <v>0</v>
      </c>
      <c r="Q793" s="824">
        <f>COUNTIF(P$2:P793, TRUE)/(COUNTIF(P$2:P793,FALSE) + COUNTIF(P$2:P793, TRUE))</f>
        <v>0.49747474747474746</v>
      </c>
      <c r="R793" s="866">
        <v>374886.39</v>
      </c>
      <c r="S793" s="868">
        <f t="shared" si="418"/>
        <v>20336.579999999958</v>
      </c>
      <c r="T793" s="822">
        <v>-32638</v>
      </c>
      <c r="U793" s="822">
        <f t="shared" ref="U793:U824" si="423">M793-T793</f>
        <v>127860.96999999997</v>
      </c>
      <c r="V793" s="824">
        <f>STDEV(D$2:D793)*SQRT(252)</f>
        <v>0.14250087072688253</v>
      </c>
      <c r="W793" s="824">
        <f>STDEV(L$2:L793)*SQRT(252)</f>
        <v>0.25584630103004341</v>
      </c>
      <c r="X793" s="823">
        <f t="shared" si="420"/>
        <v>0.55041493716150969</v>
      </c>
      <c r="Y793" s="823">
        <f t="shared" si="421"/>
        <v>0.37326121354365838</v>
      </c>
      <c r="Z793" s="829">
        <f t="shared" si="422"/>
        <v>5.6712805195867633E-2</v>
      </c>
    </row>
    <row r="794" spans="1:26" ht="20.100000000000001" customHeight="1" x14ac:dyDescent="0.2">
      <c r="A794" s="798">
        <f t="shared" si="407"/>
        <v>1215</v>
      </c>
      <c r="B794" s="817">
        <v>43448</v>
      </c>
      <c r="C794" s="842">
        <v>2599.9499999999998</v>
      </c>
      <c r="D794" s="814">
        <f t="shared" si="408"/>
        <v>-1.9086676677205455E-2</v>
      </c>
      <c r="E794" s="841">
        <f t="shared" si="409"/>
        <v>0.23663457696771359</v>
      </c>
      <c r="F794" s="838">
        <v>6910.66</v>
      </c>
      <c r="G794" s="814">
        <f t="shared" si="410"/>
        <v>-2.2583104324692068E-2</v>
      </c>
      <c r="H794" s="819">
        <f t="shared" si="411"/>
        <v>0.35724021446668108</v>
      </c>
      <c r="I794" s="863">
        <v>390251.59</v>
      </c>
      <c r="J794" s="822">
        <v>300000</v>
      </c>
      <c r="K794" s="822">
        <f t="shared" si="412"/>
        <v>-4971.3799999999464</v>
      </c>
      <c r="L794" s="814">
        <f t="shared" si="413"/>
        <v>-1.2578671730542248E-2</v>
      </c>
      <c r="M794" s="839">
        <f t="shared" si="414"/>
        <v>90251.590000000026</v>
      </c>
      <c r="N794" s="824">
        <f t="shared" si="415"/>
        <v>0.30083863333333344</v>
      </c>
      <c r="O794" s="808">
        <f t="shared" ref="O794:O799" si="424">N794/(A794/365.25)</f>
        <v>9.0437292860082341E-2</v>
      </c>
      <c r="P794" s="839" t="b">
        <f t="shared" si="417"/>
        <v>1</v>
      </c>
      <c r="Q794" s="824">
        <f>COUNTIF(P$2:P794, TRUE)/(COUNTIF(P$2:P794,FALSE) + COUNTIF(P$2:P794, TRUE))</f>
        <v>0.49810844892812106</v>
      </c>
      <c r="R794" s="866">
        <v>381932.95</v>
      </c>
      <c r="S794" s="868">
        <f t="shared" si="418"/>
        <v>8318.640000000014</v>
      </c>
      <c r="T794" s="822">
        <v>-32893</v>
      </c>
      <c r="U794" s="822">
        <f t="shared" si="423"/>
        <v>123144.59000000003</v>
      </c>
      <c r="V794" s="824">
        <f>STDEV(D$2:D794)*SQRT(252)</f>
        <v>0.14283144875016193</v>
      </c>
      <c r="W794" s="824">
        <f>STDEV(L$2:L794)*SQRT(252)</f>
        <v>0.25579202214238894</v>
      </c>
      <c r="X794" s="823">
        <f t="shared" si="420"/>
        <v>0.49804468441167937</v>
      </c>
      <c r="Y794" s="823">
        <f t="shared" si="421"/>
        <v>0.35355791045640822</v>
      </c>
      <c r="Z794" s="829">
        <f t="shared" si="422"/>
        <v>6.4204056365619849E-2</v>
      </c>
    </row>
    <row r="795" spans="1:26" ht="20.100000000000001" customHeight="1" x14ac:dyDescent="0.2">
      <c r="A795" s="798">
        <f t="shared" si="407"/>
        <v>1218</v>
      </c>
      <c r="B795" s="817">
        <v>43451</v>
      </c>
      <c r="C795" s="842">
        <v>2545.94</v>
      </c>
      <c r="D795" s="814">
        <f t="shared" si="408"/>
        <v>-2.0773476413007853E-2</v>
      </c>
      <c r="E795" s="841">
        <f t="shared" si="409"/>
        <v>0.21094537775156486</v>
      </c>
      <c r="F795" s="838">
        <v>6753.73</v>
      </c>
      <c r="G795" s="814">
        <f t="shared" si="410"/>
        <v>-2.2708395435457728E-2</v>
      </c>
      <c r="H795" s="819">
        <f t="shared" si="411"/>
        <v>0.32641946697566626</v>
      </c>
      <c r="I795" s="863">
        <v>403520.73</v>
      </c>
      <c r="J795" s="822">
        <v>320000</v>
      </c>
      <c r="K795" s="822">
        <f t="shared" si="412"/>
        <v>-6730.8600000000442</v>
      </c>
      <c r="L795" s="814">
        <f t="shared" si="413"/>
        <v>-1.7247488985246782E-2</v>
      </c>
      <c r="M795" s="839">
        <f t="shared" si="414"/>
        <v>83520.729999999981</v>
      </c>
      <c r="N795" s="824">
        <f t="shared" si="415"/>
        <v>0.26100228124999997</v>
      </c>
      <c r="O795" s="808">
        <f t="shared" si="424"/>
        <v>7.8268541236915012E-2</v>
      </c>
      <c r="P795" s="839" t="b">
        <f t="shared" si="417"/>
        <v>1</v>
      </c>
      <c r="Q795" s="824">
        <f>COUNTIF(P$2:P795, TRUE)/(COUNTIF(P$2:P795,FALSE) + COUNTIF(P$2:P795, TRUE))</f>
        <v>0.4987405541561713</v>
      </c>
      <c r="R795" s="866">
        <v>384343.14</v>
      </c>
      <c r="S795" s="868">
        <f t="shared" si="418"/>
        <v>19177.589999999967</v>
      </c>
      <c r="T795" s="822">
        <v>-33213</v>
      </c>
      <c r="U795" s="822">
        <f t="shared" si="423"/>
        <v>116733.72999999998</v>
      </c>
      <c r="V795" s="824">
        <f>STDEV(D$2:D795)*SQRT(252)</f>
        <v>0.14323513589501158</v>
      </c>
      <c r="W795" s="824">
        <f>STDEV(L$2:L795)*SQRT(252)</f>
        <v>0.25582729145072775</v>
      </c>
      <c r="X795" s="823">
        <f t="shared" si="420"/>
        <v>0.4416348993939519</v>
      </c>
      <c r="Y795" s="823">
        <f t="shared" si="421"/>
        <v>0.3059428913665746</v>
      </c>
      <c r="Z795" s="829">
        <f t="shared" si="422"/>
        <v>5.0056903498435112E-2</v>
      </c>
    </row>
    <row r="796" spans="1:26" ht="20.100000000000001" customHeight="1" x14ac:dyDescent="0.2">
      <c r="A796" s="798">
        <f t="shared" si="407"/>
        <v>1219</v>
      </c>
      <c r="B796" s="817">
        <v>43452</v>
      </c>
      <c r="C796" s="842">
        <v>2546.16</v>
      </c>
      <c r="D796" s="814">
        <f t="shared" si="408"/>
        <v>8.6412091408202824E-5</v>
      </c>
      <c r="E796" s="841">
        <f t="shared" si="409"/>
        <v>0.21105001807423746</v>
      </c>
      <c r="F796" s="838">
        <v>6783.91</v>
      </c>
      <c r="G796" s="814">
        <f t="shared" si="410"/>
        <v>4.4686417727685728E-3</v>
      </c>
      <c r="H796" s="819">
        <f t="shared" si="411"/>
        <v>0.33234676041400713</v>
      </c>
      <c r="I796" s="863">
        <v>400572.75</v>
      </c>
      <c r="J796" s="822">
        <v>320000</v>
      </c>
      <c r="K796" s="822">
        <f t="shared" si="412"/>
        <v>-2947.9799999999814</v>
      </c>
      <c r="L796" s="814">
        <f t="shared" si="413"/>
        <v>-7.3056469738245703E-3</v>
      </c>
      <c r="M796" s="839">
        <f t="shared" si="414"/>
        <v>80572.75</v>
      </c>
      <c r="N796" s="824">
        <f t="shared" si="415"/>
        <v>0.25178984375000002</v>
      </c>
      <c r="O796" s="808">
        <f t="shared" si="424"/>
        <v>7.544400363386998E-2</v>
      </c>
      <c r="P796" s="839" t="b">
        <f t="shared" si="417"/>
        <v>0</v>
      </c>
      <c r="Q796" s="824">
        <f>COUNTIF(P$2:P796, TRUE)/(COUNTIF(P$2:P796,FALSE) + COUNTIF(P$2:P796, TRUE))</f>
        <v>0.49811320754716981</v>
      </c>
      <c r="R796" s="866">
        <v>387695.17</v>
      </c>
      <c r="S796" s="868">
        <f t="shared" si="418"/>
        <v>12877.580000000016</v>
      </c>
      <c r="T796" s="822">
        <v>-33548</v>
      </c>
      <c r="U796" s="822">
        <f t="shared" si="423"/>
        <v>114120.75</v>
      </c>
      <c r="V796" s="824">
        <f>STDEV(D$2:D796)*SQRT(252)</f>
        <v>0.14314483766750083</v>
      </c>
      <c r="W796" s="824">
        <f>STDEV(L$2:L796)*SQRT(252)</f>
        <v>0.25570401974375362</v>
      </c>
      <c r="X796" s="823">
        <f t="shared" si="420"/>
        <v>0.44177000214436546</v>
      </c>
      <c r="Y796" s="823">
        <f t="shared" si="421"/>
        <v>0.29504426136700551</v>
      </c>
      <c r="Z796" s="829">
        <f t="shared" si="422"/>
        <v>4.0739825675762564E-2</v>
      </c>
    </row>
    <row r="797" spans="1:26" ht="20.100000000000001" customHeight="1" x14ac:dyDescent="0.2">
      <c r="A797" s="798">
        <f t="shared" si="407"/>
        <v>1220</v>
      </c>
      <c r="B797" s="817">
        <v>43453</v>
      </c>
      <c r="C797" s="842">
        <v>2506.96</v>
      </c>
      <c r="D797" s="814">
        <f t="shared" si="408"/>
        <v>-1.5395733182517917E-2</v>
      </c>
      <c r="E797" s="841">
        <f t="shared" si="409"/>
        <v>0.19240501512528299</v>
      </c>
      <c r="F797" s="838">
        <v>6636.82</v>
      </c>
      <c r="G797" s="814">
        <f t="shared" si="410"/>
        <v>-2.1682186231833874E-2</v>
      </c>
      <c r="H797" s="819">
        <f t="shared" si="411"/>
        <v>0.30345856982933006</v>
      </c>
      <c r="I797" s="863">
        <v>393811.15</v>
      </c>
      <c r="J797" s="822">
        <v>320000</v>
      </c>
      <c r="K797" s="822">
        <f t="shared" si="412"/>
        <v>-6761.5999999999767</v>
      </c>
      <c r="L797" s="814">
        <f t="shared" si="413"/>
        <v>-1.6879830193142136E-2</v>
      </c>
      <c r="M797" s="839">
        <f t="shared" si="414"/>
        <v>73811.150000000023</v>
      </c>
      <c r="N797" s="824">
        <f t="shared" si="415"/>
        <v>0.23065984375000007</v>
      </c>
      <c r="O797" s="808">
        <f t="shared" si="424"/>
        <v>6.9056154040727472E-2</v>
      </c>
      <c r="P797" s="839" t="b">
        <f t="shared" si="417"/>
        <v>0</v>
      </c>
      <c r="Q797" s="824">
        <f>COUNTIF(P$2:P797, TRUE)/(COUNTIF(P$2:P797,FALSE) + COUNTIF(P$2:P797, TRUE))</f>
        <v>0.49748743718592964</v>
      </c>
      <c r="R797" s="866">
        <v>388696.71</v>
      </c>
      <c r="S797" s="868">
        <f t="shared" si="418"/>
        <v>5114.4400000000023</v>
      </c>
      <c r="T797" s="822">
        <v>-34078</v>
      </c>
      <c r="U797" s="822">
        <f t="shared" si="423"/>
        <v>107889.15000000002</v>
      </c>
      <c r="V797" s="824">
        <f>STDEV(D$2:D797)*SQRT(252)</f>
        <v>0.14332671673748226</v>
      </c>
      <c r="W797" s="824">
        <f>STDEV(L$2:L797)*SQRT(252)</f>
        <v>0.2557305996993815</v>
      </c>
      <c r="X797" s="823">
        <f t="shared" si="420"/>
        <v>0.40190150222653709</v>
      </c>
      <c r="Y797" s="823">
        <f t="shared" si="421"/>
        <v>0.27003477144270149</v>
      </c>
      <c r="Z797" s="829">
        <f t="shared" si="422"/>
        <v>3.8254828624717074E-2</v>
      </c>
    </row>
    <row r="798" spans="1:26" ht="20.100000000000001" customHeight="1" x14ac:dyDescent="0.2">
      <c r="A798" s="798">
        <f t="shared" si="407"/>
        <v>1221</v>
      </c>
      <c r="B798" s="817">
        <v>43454</v>
      </c>
      <c r="C798" s="842">
        <v>2467.42</v>
      </c>
      <c r="D798" s="814">
        <f t="shared" si="408"/>
        <v>-1.5772090500047853E-2</v>
      </c>
      <c r="E798" s="841">
        <f t="shared" si="409"/>
        <v>0.1735982953140161</v>
      </c>
      <c r="F798" s="838">
        <v>6528.4</v>
      </c>
      <c r="G798" s="814">
        <f t="shared" si="410"/>
        <v>-1.6336136884833413E-2</v>
      </c>
      <c r="H798" s="819">
        <f t="shared" si="411"/>
        <v>0.28216509220888897</v>
      </c>
      <c r="I798" s="863">
        <v>391645.45</v>
      </c>
      <c r="J798" s="822">
        <v>324000</v>
      </c>
      <c r="K798" s="822">
        <f t="shared" si="412"/>
        <v>-6165.7000000000116</v>
      </c>
      <c r="L798" s="814">
        <f t="shared" si="413"/>
        <v>-1.5656489157302965E-2</v>
      </c>
      <c r="M798" s="839">
        <f t="shared" si="414"/>
        <v>67645.450000000012</v>
      </c>
      <c r="N798" s="824">
        <f t="shared" si="415"/>
        <v>0.20878225308641979</v>
      </c>
      <c r="O798" s="808">
        <f t="shared" si="424"/>
        <v>6.2455133447841794E-2</v>
      </c>
      <c r="P798" s="839" t="b">
        <f t="shared" si="417"/>
        <v>1</v>
      </c>
      <c r="Q798" s="824">
        <f>COUNTIF(P$2:P798, TRUE)/(COUNTIF(P$2:P798,FALSE) + COUNTIF(P$2:P798, TRUE))</f>
        <v>0.49811794228356338</v>
      </c>
      <c r="R798" s="866">
        <v>381731.15</v>
      </c>
      <c r="S798" s="868">
        <f t="shared" si="418"/>
        <v>9914.2999999999884</v>
      </c>
      <c r="T798" s="822">
        <v>-34198</v>
      </c>
      <c r="U798" s="822">
        <f t="shared" si="423"/>
        <v>101843.45000000001</v>
      </c>
      <c r="V798" s="824">
        <f>STDEV(D$2:D798)*SQRT(252)</f>
        <v>0.1435203831717361</v>
      </c>
      <c r="W798" s="824">
        <f>STDEV(L$2:L798)*SQRT(252)</f>
        <v>0.25573125260044621</v>
      </c>
      <c r="X798" s="823">
        <f t="shared" si="420"/>
        <v>0.36183154924220068</v>
      </c>
      <c r="Y798" s="823">
        <f t="shared" si="421"/>
        <v>0.24422174768533872</v>
      </c>
      <c r="Z798" s="829">
        <f t="shared" si="422"/>
        <v>3.5183957772403684E-2</v>
      </c>
    </row>
    <row r="799" spans="1:26" ht="20.100000000000001" customHeight="1" x14ac:dyDescent="0.2">
      <c r="A799" s="798">
        <f t="shared" si="407"/>
        <v>1222</v>
      </c>
      <c r="B799" s="817">
        <v>43455</v>
      </c>
      <c r="C799" s="842">
        <v>2416.62</v>
      </c>
      <c r="D799" s="814">
        <f t="shared" si="408"/>
        <v>-2.0588306814405405E-2</v>
      </c>
      <c r="E799" s="841">
        <f t="shared" si="409"/>
        <v>0.14943589353322798</v>
      </c>
      <c r="F799" s="838">
        <v>6332.99</v>
      </c>
      <c r="G799" s="814">
        <f t="shared" si="410"/>
        <v>-2.9932295815207382E-2</v>
      </c>
      <c r="H799" s="819">
        <f t="shared" si="411"/>
        <v>0.24378694738495985</v>
      </c>
      <c r="I799" s="863">
        <v>379670.04</v>
      </c>
      <c r="J799" s="822">
        <v>320000</v>
      </c>
      <c r="K799" s="822">
        <f t="shared" si="412"/>
        <v>-7975.4100000000326</v>
      </c>
      <c r="L799" s="814">
        <f t="shared" si="413"/>
        <v>-2.03638520503686E-2</v>
      </c>
      <c r="M799" s="839">
        <f t="shared" si="414"/>
        <v>59670.039999999979</v>
      </c>
      <c r="N799" s="824">
        <f t="shared" si="415"/>
        <v>0.18646887499999992</v>
      </c>
      <c r="O799" s="808">
        <f t="shared" si="424"/>
        <v>5.573466169701307E-2</v>
      </c>
      <c r="P799" s="839" t="b">
        <f t="shared" si="417"/>
        <v>1</v>
      </c>
      <c r="Q799" s="824">
        <f>COUNTIF(P$2:P799, TRUE)/(COUNTIF(P$2:P799,FALSE) + COUNTIF(P$2:P799, TRUE))</f>
        <v>0.49874686716791977</v>
      </c>
      <c r="R799" s="866">
        <v>373594.77</v>
      </c>
      <c r="S799" s="868">
        <f t="shared" si="418"/>
        <v>6075.2699999999604</v>
      </c>
      <c r="T799" s="822">
        <v>-34598</v>
      </c>
      <c r="U799" s="822">
        <f t="shared" si="423"/>
        <v>94268.039999999979</v>
      </c>
      <c r="V799" s="824">
        <f>STDEV(D$2:D799)*SQRT(252)</f>
        <v>0.14390766757524359</v>
      </c>
      <c r="W799" s="824">
        <f>STDEV(L$2:L799)*SQRT(252)</f>
        <v>0.25583906651797655</v>
      </c>
      <c r="X799" s="823">
        <f t="shared" si="420"/>
        <v>0.31037734166269837</v>
      </c>
      <c r="Y799" s="823">
        <f t="shared" si="421"/>
        <v>0.21785047317273912</v>
      </c>
      <c r="Z799" s="829">
        <f t="shared" si="422"/>
        <v>3.7032981466771947E-2</v>
      </c>
    </row>
    <row r="800" spans="1:26" ht="20.100000000000001" customHeight="1" x14ac:dyDescent="0.2">
      <c r="A800" s="798">
        <f t="shared" si="407"/>
        <v>1225</v>
      </c>
      <c r="B800" s="817">
        <v>43458</v>
      </c>
      <c r="C800" s="842">
        <v>2351.1</v>
      </c>
      <c r="D800" s="814">
        <f t="shared" si="408"/>
        <v>-2.7112247684782872E-2</v>
      </c>
      <c r="E800" s="841">
        <f t="shared" si="409"/>
        <v>0.11827210288997539</v>
      </c>
      <c r="F800" s="838">
        <v>6192.91</v>
      </c>
      <c r="G800" s="814">
        <f t="shared" si="410"/>
        <v>-2.2119093824559951E-2</v>
      </c>
      <c r="H800" s="819">
        <f t="shared" si="411"/>
        <v>0.21627550719798891</v>
      </c>
      <c r="I800" s="863">
        <v>369856.13</v>
      </c>
      <c r="J800" s="822">
        <v>320000</v>
      </c>
      <c r="K800" s="822">
        <f t="shared" si="412"/>
        <v>-9813.9099999999744</v>
      </c>
      <c r="L800" s="814">
        <f t="shared" si="413"/>
        <v>-2.5848523628569625E-2</v>
      </c>
      <c r="M800" s="839">
        <f t="shared" si="414"/>
        <v>49856.130000000005</v>
      </c>
      <c r="N800" s="824">
        <f t="shared" si="415"/>
        <v>0.15580040625000002</v>
      </c>
      <c r="O800" s="808">
        <f t="shared" ref="O800:O811" si="425">N800/(A800/365.25)</f>
        <v>4.6453957863520419E-2</v>
      </c>
      <c r="P800" s="839" t="b">
        <f t="shared" si="417"/>
        <v>1</v>
      </c>
      <c r="Q800" s="824">
        <f>COUNTIF(P$2:P800, TRUE)/(COUNTIF(P$2:P800,FALSE) + COUNTIF(P$2:P800, TRUE))</f>
        <v>0.49937421777221525</v>
      </c>
      <c r="R800" s="866">
        <v>365993.41</v>
      </c>
      <c r="S800" s="868">
        <f t="shared" si="418"/>
        <v>3862.7200000000303</v>
      </c>
      <c r="T800" s="822">
        <v>-35353</v>
      </c>
      <c r="U800" s="822">
        <f t="shared" si="423"/>
        <v>85209.13</v>
      </c>
      <c r="V800" s="824">
        <f>STDEV(D$2:D800)*SQRT(252)</f>
        <v>0.14463496169790896</v>
      </c>
      <c r="W800" s="824">
        <f>STDEV(L$2:L800)*SQRT(252)</f>
        <v>0.25610524568081611</v>
      </c>
      <c r="X800" s="823">
        <f t="shared" si="420"/>
        <v>0.24381654323628571</v>
      </c>
      <c r="Y800" s="823">
        <f t="shared" si="421"/>
        <v>0.18138620214525389</v>
      </c>
      <c r="Z800" s="829">
        <f t="shared" si="422"/>
        <v>3.7528303360024634E-2</v>
      </c>
    </row>
    <row r="801" spans="1:26" ht="20.100000000000001" customHeight="1" x14ac:dyDescent="0.2">
      <c r="A801" s="798">
        <f t="shared" si="407"/>
        <v>1226</v>
      </c>
      <c r="B801" s="817">
        <v>43459</v>
      </c>
      <c r="C801" s="842">
        <v>2467.6999999999998</v>
      </c>
      <c r="D801" s="814">
        <f t="shared" si="408"/>
        <v>4.9593807154098044E-2</v>
      </c>
      <c r="E801" s="841">
        <f t="shared" si="409"/>
        <v>0.1737314739065085</v>
      </c>
      <c r="F801" s="838">
        <v>6554.35</v>
      </c>
      <c r="G801" s="814">
        <f t="shared" si="410"/>
        <v>5.8363515697789976E-2</v>
      </c>
      <c r="H801" s="819">
        <f t="shared" si="411"/>
        <v>0.28726162185517617</v>
      </c>
      <c r="I801" s="863">
        <v>397720.93</v>
      </c>
      <c r="J801" s="822">
        <v>330000</v>
      </c>
      <c r="K801" s="822">
        <f t="shared" si="412"/>
        <v>17864.799999999988</v>
      </c>
      <c r="L801" s="814">
        <f t="shared" si="413"/>
        <v>4.8302024898167803E-2</v>
      </c>
      <c r="M801" s="839">
        <f t="shared" si="414"/>
        <v>67720.929999999993</v>
      </c>
      <c r="N801" s="824">
        <f t="shared" si="415"/>
        <v>0.20521493939393937</v>
      </c>
      <c r="O801" s="808">
        <f t="shared" si="425"/>
        <v>6.1137648135103063E-2</v>
      </c>
      <c r="P801" s="839" t="b">
        <f t="shared" si="417"/>
        <v>0</v>
      </c>
      <c r="Q801" s="824">
        <f>COUNTIF(P$2:P801, TRUE)/(COUNTIF(P$2:P801,FALSE) + COUNTIF(P$2:P801, TRUE))</f>
        <v>0.49875000000000003</v>
      </c>
      <c r="R801" s="866">
        <v>381222.18</v>
      </c>
      <c r="S801" s="868">
        <f t="shared" si="418"/>
        <v>16498.75</v>
      </c>
      <c r="T801" s="822">
        <v>-34978</v>
      </c>
      <c r="U801" s="822">
        <f t="shared" si="423"/>
        <v>102698.93</v>
      </c>
      <c r="V801" s="824">
        <f>STDEV(D$2:D801)*SQRT(252)</f>
        <v>0.1471839430636058</v>
      </c>
      <c r="W801" s="824">
        <f>STDEV(L$2:L801)*SQRT(252)</f>
        <v>0.25735367126463243</v>
      </c>
      <c r="X801" s="823">
        <f t="shared" si="420"/>
        <v>0.35165583259536887</v>
      </c>
      <c r="Y801" s="823">
        <f t="shared" si="421"/>
        <v>0.23756275880842692</v>
      </c>
      <c r="Z801" s="829">
        <f t="shared" si="422"/>
        <v>3.1483465487430862E-2</v>
      </c>
    </row>
    <row r="802" spans="1:26" ht="20.100000000000001" customHeight="1" x14ac:dyDescent="0.2">
      <c r="A802" s="798">
        <f t="shared" si="407"/>
        <v>1227</v>
      </c>
      <c r="B802" s="817">
        <v>43460</v>
      </c>
      <c r="C802" s="842">
        <v>2488.83</v>
      </c>
      <c r="D802" s="814">
        <f t="shared" si="408"/>
        <v>8.5626291688617375E-3</v>
      </c>
      <c r="E802" s="841">
        <f t="shared" si="409"/>
        <v>0.18378170126139146</v>
      </c>
      <c r="F802" s="838">
        <v>6579.49</v>
      </c>
      <c r="G802" s="814">
        <f t="shared" si="410"/>
        <v>3.8356206183678652E-3</v>
      </c>
      <c r="H802" s="819">
        <f t="shared" si="411"/>
        <v>0.29219906907319754</v>
      </c>
      <c r="I802" s="863">
        <v>400089.72</v>
      </c>
      <c r="J802" s="822">
        <v>330000</v>
      </c>
      <c r="K802" s="822">
        <f t="shared" si="412"/>
        <v>2368.789999999979</v>
      </c>
      <c r="L802" s="814">
        <f t="shared" si="413"/>
        <v>5.9559098385895334E-3</v>
      </c>
      <c r="M802" s="839">
        <f t="shared" si="414"/>
        <v>70089.719999999972</v>
      </c>
      <c r="N802" s="824">
        <f t="shared" si="415"/>
        <v>0.21239309090909084</v>
      </c>
      <c r="O802" s="808">
        <f t="shared" si="425"/>
        <v>6.3224593687486091E-2</v>
      </c>
      <c r="P802" s="839" t="b">
        <f t="shared" si="417"/>
        <v>0</v>
      </c>
      <c r="Q802" s="824">
        <f>COUNTIF(P$2:P802, TRUE)/(COUNTIF(P$2:P802,FALSE) + COUNTIF(P$2:P802, TRUE))</f>
        <v>0.49812734082397003</v>
      </c>
      <c r="R802" s="866">
        <v>381319.2</v>
      </c>
      <c r="S802" s="868">
        <f t="shared" si="418"/>
        <v>18770.51999999996</v>
      </c>
      <c r="T802" s="822">
        <v>-34743</v>
      </c>
      <c r="U802" s="822">
        <f t="shared" si="423"/>
        <v>104832.71999999997</v>
      </c>
      <c r="V802" s="824">
        <f>STDEV(D$2:D802)*SQRT(252)</f>
        <v>0.14716589634566396</v>
      </c>
      <c r="W802" s="824">
        <f>STDEV(L$2:L802)*SQRT(252)</f>
        <v>0.25721095976864045</v>
      </c>
      <c r="X802" s="823">
        <f t="shared" si="420"/>
        <v>0.37174124525222235</v>
      </c>
      <c r="Y802" s="823">
        <f t="shared" si="421"/>
        <v>0.24580831914921586</v>
      </c>
      <c r="Z802" s="829">
        <f t="shared" si="422"/>
        <v>2.8611389647699381E-2</v>
      </c>
    </row>
    <row r="803" spans="1:26" ht="20.100000000000001" customHeight="1" x14ac:dyDescent="0.2">
      <c r="A803" s="798">
        <f t="shared" si="407"/>
        <v>1228</v>
      </c>
      <c r="B803" s="817">
        <v>43461</v>
      </c>
      <c r="C803" s="842">
        <v>2485.7399999999998</v>
      </c>
      <c r="D803" s="814">
        <f t="shared" si="408"/>
        <v>-1.2415472330372687E-3</v>
      </c>
      <c r="E803" s="841">
        <f t="shared" si="409"/>
        <v>0.18231198036567023</v>
      </c>
      <c r="F803" s="838">
        <v>6584.52</v>
      </c>
      <c r="G803" s="814">
        <f t="shared" si="410"/>
        <v>7.6449694429213432E-4</v>
      </c>
      <c r="H803" s="819">
        <f t="shared" si="411"/>
        <v>0.29318695131292116</v>
      </c>
      <c r="I803" s="863">
        <v>399683.68</v>
      </c>
      <c r="J803" s="822">
        <v>330000</v>
      </c>
      <c r="K803" s="822">
        <f t="shared" si="412"/>
        <v>-406.03999999997905</v>
      </c>
      <c r="L803" s="814">
        <f t="shared" si="413"/>
        <v>-1.0148723641286736E-3</v>
      </c>
      <c r="M803" s="839">
        <f t="shared" si="414"/>
        <v>69683.679999999993</v>
      </c>
      <c r="N803" s="824">
        <f t="shared" si="415"/>
        <v>0.21116266666666664</v>
      </c>
      <c r="O803" s="808">
        <f t="shared" si="425"/>
        <v>6.280713680781759E-2</v>
      </c>
      <c r="P803" s="839" t="b">
        <f t="shared" si="417"/>
        <v>1</v>
      </c>
      <c r="Q803" s="824">
        <f>COUNTIF(P$2:P803, TRUE)/(COUNTIF(P$2:P803,FALSE) + COUNTIF(P$2:P803, TRUE))</f>
        <v>0.49875311720698257</v>
      </c>
      <c r="R803" s="866">
        <v>377532.65</v>
      </c>
      <c r="S803" s="868">
        <f t="shared" si="418"/>
        <v>22151.02999999997</v>
      </c>
      <c r="T803" s="822">
        <v>-34838</v>
      </c>
      <c r="U803" s="822">
        <f t="shared" si="423"/>
        <v>104521.68</v>
      </c>
      <c r="V803" s="824">
        <f>STDEV(D$2:D803)*SQRT(252)</f>
        <v>0.14707628063753114</v>
      </c>
      <c r="W803" s="824">
        <f>STDEV(L$2:L803)*SQRT(252)</f>
        <v>0.25705152605780235</v>
      </c>
      <c r="X803" s="823">
        <f t="shared" si="420"/>
        <v>0.36869260578086188</v>
      </c>
      <c r="Y803" s="823">
        <f t="shared" si="421"/>
        <v>0.2443367591355764</v>
      </c>
      <c r="Z803" s="829">
        <f t="shared" si="422"/>
        <v>2.8850686300996409E-2</v>
      </c>
    </row>
    <row r="804" spans="1:26" ht="20.100000000000001" customHeight="1" x14ac:dyDescent="0.2">
      <c r="A804" s="798">
        <f t="shared" si="407"/>
        <v>1232</v>
      </c>
      <c r="B804" s="817">
        <v>43465</v>
      </c>
      <c r="C804" s="842">
        <v>2506.85</v>
      </c>
      <c r="D804" s="814">
        <f t="shared" si="408"/>
        <v>8.4924408827955176E-3</v>
      </c>
      <c r="E804" s="841">
        <f t="shared" si="409"/>
        <v>0.19235269496394658</v>
      </c>
      <c r="F804" s="838">
        <v>6635.27</v>
      </c>
      <c r="G804" s="814">
        <f t="shared" si="410"/>
        <v>7.7074714633716653E-3</v>
      </c>
      <c r="H804" s="819">
        <f t="shared" si="411"/>
        <v>0.30315415283697011</v>
      </c>
      <c r="I804" s="867">
        <v>401403.32</v>
      </c>
      <c r="J804" s="822">
        <v>330000</v>
      </c>
      <c r="K804" s="822">
        <f t="shared" si="412"/>
        <v>1719.640000000014</v>
      </c>
      <c r="L804" s="814">
        <f t="shared" si="413"/>
        <v>4.302502418912911E-3</v>
      </c>
      <c r="M804" s="845">
        <f t="shared" si="414"/>
        <v>71403.320000000007</v>
      </c>
      <c r="N804" s="824">
        <f t="shared" si="415"/>
        <v>0.21637369696969699</v>
      </c>
      <c r="O804" s="808">
        <f t="shared" si="425"/>
        <v>6.4148127287485243E-2</v>
      </c>
      <c r="P804" s="839" t="b">
        <f t="shared" si="417"/>
        <v>0</v>
      </c>
      <c r="Q804" s="824">
        <f>COUNTIF(P$2:P804, TRUE)/(COUNTIF(P$2:P804,FALSE) + COUNTIF(P$2:P804, TRUE))</f>
        <v>0.49813200498132004</v>
      </c>
      <c r="R804" s="866">
        <v>379185.39</v>
      </c>
      <c r="S804" s="868">
        <f t="shared" si="418"/>
        <v>22217.929999999993</v>
      </c>
      <c r="T804" s="822">
        <v>-35103</v>
      </c>
      <c r="U804" s="822">
        <f t="shared" si="423"/>
        <v>106506.32</v>
      </c>
      <c r="V804" s="824">
        <f>STDEV(D$2:D804)*SQRT(252)</f>
        <v>0.14705700784721867</v>
      </c>
      <c r="W804" s="824">
        <f>STDEV(L$2:L804)*SQRT(252)</f>
        <v>0.25689994881657369</v>
      </c>
      <c r="X804" s="823">
        <f t="shared" si="420"/>
        <v>0.38778594733517285</v>
      </c>
      <c r="Y804" s="823">
        <f t="shared" si="421"/>
        <v>0.24970081770349803</v>
      </c>
      <c r="Z804" s="829">
        <f t="shared" si="422"/>
        <v>2.4021002005750414E-2</v>
      </c>
    </row>
    <row r="805" spans="1:26" ht="20.100000000000001" customHeight="1" x14ac:dyDescent="0.2">
      <c r="A805" s="798">
        <f t="shared" si="407"/>
        <v>1234</v>
      </c>
      <c r="B805" s="817">
        <v>43467</v>
      </c>
      <c r="C805" s="842">
        <v>2510.0300000000002</v>
      </c>
      <c r="D805" s="814">
        <f t="shared" si="408"/>
        <v>1.2685242435727271E-3</v>
      </c>
      <c r="E805" s="841">
        <f t="shared" si="409"/>
        <v>0.19386522326439762</v>
      </c>
      <c r="F805" s="838">
        <v>6665.93</v>
      </c>
      <c r="G805" s="814">
        <f t="shared" si="410"/>
        <v>4.6207614761720099E-3</v>
      </c>
      <c r="H805" s="819">
        <f t="shared" si="411"/>
        <v>0.30917571734391275</v>
      </c>
      <c r="I805" s="863">
        <v>406235.48</v>
      </c>
      <c r="J805" s="822">
        <v>330000</v>
      </c>
      <c r="K805" s="822">
        <f t="shared" si="412"/>
        <v>4832.1599999999744</v>
      </c>
      <c r="L805" s="814">
        <f t="shared" si="413"/>
        <v>1.203816650046635E-2</v>
      </c>
      <c r="M805" s="839">
        <f t="shared" si="414"/>
        <v>76235.479999999981</v>
      </c>
      <c r="N805" s="824">
        <f t="shared" si="415"/>
        <v>0.23101660606060601</v>
      </c>
      <c r="O805" s="808">
        <f t="shared" si="425"/>
        <v>6.8378294459997033E-2</v>
      </c>
      <c r="P805" s="839" t="b">
        <f t="shared" si="417"/>
        <v>1</v>
      </c>
      <c r="Q805" s="824">
        <f>COUNTIF(P$2:P805, TRUE)/(COUNTIF(P$2:P805,FALSE) + COUNTIF(P$2:P805, TRUE))</f>
        <v>0.49875621890547261</v>
      </c>
      <c r="R805" s="866">
        <v>374861.96</v>
      </c>
      <c r="S805" s="868">
        <f t="shared" si="418"/>
        <v>31373.51999999996</v>
      </c>
      <c r="T805" s="822">
        <v>-34953</v>
      </c>
      <c r="U805" s="822">
        <f t="shared" si="423"/>
        <v>111188.47999999998</v>
      </c>
      <c r="V805" s="824">
        <f>STDEV(D$2:D805)*SQRT(252)</f>
        <v>0.14696637891454736</v>
      </c>
      <c r="W805" s="824">
        <f>STDEV(L$2:L805)*SQRT(252)</f>
        <v>0.25682128433122575</v>
      </c>
      <c r="X805" s="823">
        <f t="shared" si="420"/>
        <v>0.39044240639724992</v>
      </c>
      <c r="Y805" s="823">
        <f t="shared" si="421"/>
        <v>0.26624854960155347</v>
      </c>
      <c r="Z805" s="829">
        <f t="shared" si="422"/>
        <v>3.7151382796208388E-2</v>
      </c>
    </row>
    <row r="806" spans="1:26" ht="20.100000000000001" customHeight="1" x14ac:dyDescent="0.2">
      <c r="A806" s="798">
        <f t="shared" si="407"/>
        <v>1235</v>
      </c>
      <c r="B806" s="817">
        <v>43468</v>
      </c>
      <c r="C806" s="842">
        <v>2447.89</v>
      </c>
      <c r="D806" s="814">
        <f t="shared" si="408"/>
        <v>-2.4756676215025447E-2</v>
      </c>
      <c r="E806" s="841">
        <f t="shared" si="409"/>
        <v>0.16430908848766188</v>
      </c>
      <c r="F806" s="838">
        <v>6463.6</v>
      </c>
      <c r="G806" s="814">
        <f t="shared" si="410"/>
        <v>-3.0352853990365924E-2</v>
      </c>
      <c r="H806" s="819">
        <f t="shared" si="411"/>
        <v>0.26943849794764041</v>
      </c>
      <c r="I806" s="863">
        <v>401859.19</v>
      </c>
      <c r="J806" s="822">
        <v>330000</v>
      </c>
      <c r="K806" s="822">
        <f t="shared" si="412"/>
        <v>-4376.289999999979</v>
      </c>
      <c r="L806" s="814">
        <f t="shared" si="413"/>
        <v>-1.0772791189976757E-2</v>
      </c>
      <c r="M806" s="839">
        <f t="shared" si="414"/>
        <v>71859.19</v>
      </c>
      <c r="N806" s="824">
        <f t="shared" si="415"/>
        <v>0.21775512121212121</v>
      </c>
      <c r="O806" s="808">
        <f t="shared" si="425"/>
        <v>6.4400856698564587E-2</v>
      </c>
      <c r="P806" s="839" t="b">
        <f t="shared" si="417"/>
        <v>1</v>
      </c>
      <c r="Q806" s="824">
        <f>COUNTIF(P$2:P806, TRUE)/(COUNTIF(P$2:P806,FALSE) + COUNTIF(P$2:P806, TRUE))</f>
        <v>0.49937888198757763</v>
      </c>
      <c r="R806" s="866">
        <v>375753.79</v>
      </c>
      <c r="S806" s="868">
        <f t="shared" si="418"/>
        <v>26105.400000000023</v>
      </c>
      <c r="T806" s="822">
        <v>-34968</v>
      </c>
      <c r="U806" s="822">
        <f t="shared" si="423"/>
        <v>106827.19</v>
      </c>
      <c r="V806" s="824">
        <f>STDEV(D$2:D806)*SQRT(252)</f>
        <v>0.14754128427348881</v>
      </c>
      <c r="W806" s="824">
        <f>STDEV(L$2:L806)*SQRT(252)</f>
        <v>0.25673890812985084</v>
      </c>
      <c r="X806" s="823">
        <f t="shared" si="420"/>
        <v>0.32936033365010031</v>
      </c>
      <c r="Y806" s="823">
        <f t="shared" si="421"/>
        <v>0.25084182669341482</v>
      </c>
      <c r="Z806" s="829">
        <f t="shared" si="422"/>
        <v>5.344603272445933E-2</v>
      </c>
    </row>
    <row r="807" spans="1:26" ht="20.100000000000001" customHeight="1" x14ac:dyDescent="0.2">
      <c r="A807" s="798">
        <f t="shared" si="407"/>
        <v>1236</v>
      </c>
      <c r="B807" s="817">
        <v>43469</v>
      </c>
      <c r="C807" s="842">
        <v>2531.94</v>
      </c>
      <c r="D807" s="814">
        <f t="shared" si="408"/>
        <v>3.4335693188828002E-2</v>
      </c>
      <c r="E807" s="841">
        <f t="shared" si="409"/>
        <v>0.20428644812693822</v>
      </c>
      <c r="F807" s="838">
        <v>6738.85</v>
      </c>
      <c r="G807" s="814">
        <f t="shared" si="410"/>
        <v>4.2584627761618907E-2</v>
      </c>
      <c r="H807" s="819">
        <f t="shared" si="411"/>
        <v>0.32349706384900928</v>
      </c>
      <c r="I807" s="863">
        <v>405483.08</v>
      </c>
      <c r="J807" s="822">
        <v>320000</v>
      </c>
      <c r="K807" s="822">
        <f t="shared" si="412"/>
        <v>13623.890000000014</v>
      </c>
      <c r="L807" s="814">
        <f t="shared" si="413"/>
        <v>3.3902148660579376E-2</v>
      </c>
      <c r="M807" s="839">
        <f t="shared" si="414"/>
        <v>85483.080000000016</v>
      </c>
      <c r="N807" s="824">
        <f t="shared" si="415"/>
        <v>0.26713462500000007</v>
      </c>
      <c r="O807" s="808">
        <f t="shared" si="425"/>
        <v>7.8940875227548571E-2</v>
      </c>
      <c r="P807" s="839" t="b">
        <f t="shared" si="417"/>
        <v>0</v>
      </c>
      <c r="Q807" s="824">
        <f>COUNTIF(P$2:P807, TRUE)/(COUNTIF(P$2:P807,FALSE) + COUNTIF(P$2:P807, TRUE))</f>
        <v>0.4987593052109181</v>
      </c>
      <c r="R807" s="866">
        <v>377879.33</v>
      </c>
      <c r="S807" s="868">
        <f t="shared" si="418"/>
        <v>27603.75</v>
      </c>
      <c r="T807" s="822">
        <v>-34378</v>
      </c>
      <c r="U807" s="822">
        <f t="shared" si="423"/>
        <v>119861.08000000002</v>
      </c>
      <c r="V807" s="824">
        <f>STDEV(D$2:D807)*SQRT(252)</f>
        <v>0.14867896934148553</v>
      </c>
      <c r="W807" s="824">
        <f>STDEV(L$2:L807)*SQRT(252)</f>
        <v>0.25725945989975946</v>
      </c>
      <c r="X807" s="823">
        <f t="shared" si="420"/>
        <v>0.40603340911268865</v>
      </c>
      <c r="Y807" s="823">
        <f t="shared" si="421"/>
        <v>0.30685314840631206</v>
      </c>
      <c r="Z807" s="829">
        <f t="shared" si="422"/>
        <v>6.2848176873061851E-2</v>
      </c>
    </row>
    <row r="808" spans="1:26" ht="20.100000000000001" customHeight="1" x14ac:dyDescent="0.2">
      <c r="A808" s="798">
        <f t="shared" si="407"/>
        <v>1239</v>
      </c>
      <c r="B808" s="817">
        <v>43472</v>
      </c>
      <c r="C808" s="842">
        <v>2549.69</v>
      </c>
      <c r="D808" s="814">
        <f t="shared" si="408"/>
        <v>7.0104346864459663E-3</v>
      </c>
      <c r="E808" s="841">
        <f t="shared" si="409"/>
        <v>0.2127290196153041</v>
      </c>
      <c r="F808" s="838">
        <v>6823.47</v>
      </c>
      <c r="G808" s="814">
        <f t="shared" si="410"/>
        <v>1.2557038663866963E-2</v>
      </c>
      <c r="H808" s="819">
        <f t="shared" si="411"/>
        <v>0.34011626765127573</v>
      </c>
      <c r="I808" s="863">
        <v>390817.23</v>
      </c>
      <c r="J808" s="822">
        <v>300000</v>
      </c>
      <c r="K808" s="822">
        <f t="shared" si="412"/>
        <v>5334.1499999999651</v>
      </c>
      <c r="L808" s="814">
        <f t="shared" si="413"/>
        <v>1.3155049527590558E-2</v>
      </c>
      <c r="M808" s="839">
        <f t="shared" si="414"/>
        <v>90817.229999999981</v>
      </c>
      <c r="N808" s="824">
        <f t="shared" si="415"/>
        <v>0.30272409999999994</v>
      </c>
      <c r="O808" s="808">
        <f t="shared" si="425"/>
        <v>8.9241305508474561E-2</v>
      </c>
      <c r="P808" s="839" t="b">
        <f t="shared" si="417"/>
        <v>1</v>
      </c>
      <c r="Q808" s="824">
        <f>COUNTIF(P$2:P808, TRUE)/(COUNTIF(P$2:P808,FALSE) + COUNTIF(P$2:P808, TRUE))</f>
        <v>0.49938042131350679</v>
      </c>
      <c r="R808" s="866">
        <v>366904.7</v>
      </c>
      <c r="S808" s="868">
        <f t="shared" si="418"/>
        <v>23912.52999999997</v>
      </c>
      <c r="T808" s="822">
        <v>-33958</v>
      </c>
      <c r="U808" s="822">
        <f t="shared" si="423"/>
        <v>124775.22999999998</v>
      </c>
      <c r="V808" s="824">
        <f>STDEV(D$2:D808)*SQRT(252)</f>
        <v>0.14863431874319047</v>
      </c>
      <c r="W808" s="824">
        <f>STDEV(L$2:L808)*SQRT(252)</f>
        <v>0.25719655134931968</v>
      </c>
      <c r="X808" s="823">
        <f t="shared" si="420"/>
        <v>0.42191654871612233</v>
      </c>
      <c r="Y808" s="823">
        <f t="shared" si="421"/>
        <v>0.34697706886150526</v>
      </c>
      <c r="Z808" s="829">
        <f t="shared" si="422"/>
        <v>8.9995080384695836E-2</v>
      </c>
    </row>
    <row r="809" spans="1:26" ht="20.100000000000001" customHeight="1" x14ac:dyDescent="0.2">
      <c r="A809" s="798">
        <f t="shared" si="407"/>
        <v>1240</v>
      </c>
      <c r="B809" s="817">
        <v>43473</v>
      </c>
      <c r="C809" s="842">
        <v>2574.41</v>
      </c>
      <c r="D809" s="814">
        <f t="shared" si="408"/>
        <v>9.695296290921562E-3</v>
      </c>
      <c r="E809" s="841">
        <f t="shared" si="409"/>
        <v>0.22448678678107331</v>
      </c>
      <c r="F809" s="838">
        <v>6896.99</v>
      </c>
      <c r="G809" s="814">
        <f t="shared" si="410"/>
        <v>1.0774576571744219E-2</v>
      </c>
      <c r="H809" s="819">
        <f t="shared" si="411"/>
        <v>0.35455545299212443</v>
      </c>
      <c r="I809" s="863">
        <v>393176.44</v>
      </c>
      <c r="J809" s="822">
        <v>300000</v>
      </c>
      <c r="K809" s="822">
        <f t="shared" si="412"/>
        <v>2359.210000000021</v>
      </c>
      <c r="L809" s="814">
        <f t="shared" si="413"/>
        <v>6.0366069326063775E-3</v>
      </c>
      <c r="M809" s="839">
        <f t="shared" si="414"/>
        <v>93176.44</v>
      </c>
      <c r="N809" s="824">
        <f t="shared" si="415"/>
        <v>0.31058813333333335</v>
      </c>
      <c r="O809" s="808">
        <f t="shared" si="425"/>
        <v>9.1485738467741939E-2</v>
      </c>
      <c r="P809" s="839" t="b">
        <f t="shared" si="417"/>
        <v>0</v>
      </c>
      <c r="Q809" s="824">
        <f>COUNTIF(P$2:P809, TRUE)/(COUNTIF(P$2:P809,FALSE) + COUNTIF(P$2:P809, TRUE))</f>
        <v>0.49876237623762376</v>
      </c>
      <c r="R809" s="866">
        <v>359151.44</v>
      </c>
      <c r="S809" s="868">
        <f t="shared" si="418"/>
        <v>34025</v>
      </c>
      <c r="T809" s="822">
        <v>-33938</v>
      </c>
      <c r="U809" s="822">
        <f t="shared" si="423"/>
        <v>127114.44</v>
      </c>
      <c r="V809" s="824">
        <f>STDEV(D$2:D809)*SQRT(252)</f>
        <v>0.14863517283995908</v>
      </c>
      <c r="W809" s="824">
        <f>STDEV(L$2:L809)*SQRT(252)</f>
        <v>0.25705527784328136</v>
      </c>
      <c r="X809" s="823">
        <f t="shared" si="420"/>
        <v>0.44487472302005865</v>
      </c>
      <c r="Y809" s="823">
        <f t="shared" si="421"/>
        <v>0.35589908612387239</v>
      </c>
      <c r="Z809" s="829">
        <f t="shared" si="422"/>
        <v>8.6101346552260039E-2</v>
      </c>
    </row>
    <row r="810" spans="1:26" ht="20.100000000000001" customHeight="1" x14ac:dyDescent="0.2">
      <c r="A810" s="798">
        <f t="shared" si="407"/>
        <v>1241</v>
      </c>
      <c r="B810" s="817">
        <v>43474</v>
      </c>
      <c r="C810" s="842">
        <v>2584.96</v>
      </c>
      <c r="D810" s="814">
        <f t="shared" si="408"/>
        <v>4.0980263439002263E-3</v>
      </c>
      <c r="E810" s="841">
        <f t="shared" si="409"/>
        <v>0.22950476589105989</v>
      </c>
      <c r="F810" s="838">
        <v>6957.07</v>
      </c>
      <c r="G810" s="814">
        <f t="shared" si="410"/>
        <v>8.7110464130004429E-3</v>
      </c>
      <c r="H810" s="819">
        <f t="shared" si="411"/>
        <v>0.36635504841212169</v>
      </c>
      <c r="I810" s="863">
        <v>395249.1</v>
      </c>
      <c r="J810" s="822">
        <v>300000</v>
      </c>
      <c r="K810" s="822">
        <f t="shared" si="412"/>
        <v>2072.6599999999744</v>
      </c>
      <c r="L810" s="814">
        <f t="shared" si="413"/>
        <v>5.2715773101765055E-3</v>
      </c>
      <c r="M810" s="839">
        <f t="shared" si="414"/>
        <v>95249.099999999977</v>
      </c>
      <c r="N810" s="824">
        <f t="shared" si="415"/>
        <v>0.31749699999999992</v>
      </c>
      <c r="O810" s="808">
        <f t="shared" si="425"/>
        <v>9.3445430499597082E-2</v>
      </c>
      <c r="P810" s="839" t="b">
        <f t="shared" si="417"/>
        <v>1</v>
      </c>
      <c r="Q810" s="824">
        <f>COUNTIF(P$2:P810, TRUE)/(COUNTIF(P$2:P810,FALSE) + COUNTIF(P$2:P810, TRUE))</f>
        <v>0.49938195302843014</v>
      </c>
      <c r="R810" s="866">
        <v>362133.57</v>
      </c>
      <c r="S810" s="868">
        <f t="shared" si="418"/>
        <v>33115.52999999997</v>
      </c>
      <c r="T810" s="822">
        <v>-34058</v>
      </c>
      <c r="U810" s="822">
        <f t="shared" si="423"/>
        <v>129307.09999999998</v>
      </c>
      <c r="V810" s="824">
        <f>STDEV(D$2:D810)*SQRT(252)</f>
        <v>0.14855823737622129</v>
      </c>
      <c r="W810" s="824">
        <f>STDEV(L$2:L810)*SQRT(252)</f>
        <v>0.25690949190835705</v>
      </c>
      <c r="X810" s="823">
        <f t="shared" si="420"/>
        <v>0.45468791742866871</v>
      </c>
      <c r="Y810" s="823">
        <f t="shared" si="421"/>
        <v>0.36372899189310715</v>
      </c>
      <c r="Z810" s="829">
        <f t="shared" si="422"/>
        <v>8.7992234108940026E-2</v>
      </c>
    </row>
    <row r="811" spans="1:26" ht="20.100000000000001" customHeight="1" x14ac:dyDescent="0.2">
      <c r="A811" s="798">
        <f t="shared" si="407"/>
        <v>1242</v>
      </c>
      <c r="B811" s="817">
        <v>43475</v>
      </c>
      <c r="C811" s="842">
        <v>2596.64</v>
      </c>
      <c r="D811" s="814">
        <f t="shared" si="408"/>
        <v>4.5184451596929302E-3</v>
      </c>
      <c r="E811" s="841">
        <f t="shared" si="409"/>
        <v>0.23506021574931973</v>
      </c>
      <c r="F811" s="838">
        <v>6989.06</v>
      </c>
      <c r="G811" s="814">
        <f t="shared" si="410"/>
        <v>4.5982001043543752E-3</v>
      </c>
      <c r="H811" s="819">
        <f t="shared" si="411"/>
        <v>0.37263782233831544</v>
      </c>
      <c r="I811" s="863">
        <v>398388.83</v>
      </c>
      <c r="J811" s="822">
        <v>300000</v>
      </c>
      <c r="K811" s="822">
        <f t="shared" si="412"/>
        <v>3139.7300000000396</v>
      </c>
      <c r="L811" s="814">
        <f t="shared" si="413"/>
        <v>7.9436740020408392E-3</v>
      </c>
      <c r="M811" s="839">
        <f t="shared" si="414"/>
        <v>98388.830000000016</v>
      </c>
      <c r="N811" s="824">
        <f t="shared" si="415"/>
        <v>0.32796276666666674</v>
      </c>
      <c r="O811" s="808">
        <f t="shared" si="425"/>
        <v>9.6447987540257671E-2</v>
      </c>
      <c r="P811" s="839" t="b">
        <f t="shared" si="417"/>
        <v>1</v>
      </c>
      <c r="Q811" s="824">
        <f>COUNTIF(P$2:P811, TRUE)/(COUNTIF(P$2:P811,FALSE) + COUNTIF(P$2:P811, TRUE))</f>
        <v>0.5</v>
      </c>
      <c r="R811" s="866">
        <v>361794.34</v>
      </c>
      <c r="S811" s="868">
        <f t="shared" si="418"/>
        <v>36594.489999999991</v>
      </c>
      <c r="T811" s="822">
        <v>-33823</v>
      </c>
      <c r="U811" s="822">
        <f t="shared" si="423"/>
        <v>132211.83000000002</v>
      </c>
      <c r="V811" s="824">
        <f>STDEV(D$2:D811)*SQRT(252)</f>
        <v>0.14848495074372062</v>
      </c>
      <c r="W811" s="824">
        <f>STDEV(L$2:L811)*SQRT(252)</f>
        <v>0.25678356661731394</v>
      </c>
      <c r="X811" s="823">
        <f t="shared" si="420"/>
        <v>0.46554891621153965</v>
      </c>
      <c r="Y811" s="823">
        <f t="shared" si="421"/>
        <v>0.37560031123017568</v>
      </c>
      <c r="Z811" s="829">
        <f t="shared" ref="Z811:Z816" si="426">-(E811-N811)</f>
        <v>9.2902550917347004E-2</v>
      </c>
    </row>
    <row r="812" spans="1:26" ht="20.100000000000001" customHeight="1" x14ac:dyDescent="0.2">
      <c r="A812" s="798">
        <f t="shared" si="407"/>
        <v>1243</v>
      </c>
      <c r="B812" s="817">
        <v>43476</v>
      </c>
      <c r="C812" s="842">
        <v>2596.2600000000002</v>
      </c>
      <c r="D812" s="814">
        <f t="shared" si="408"/>
        <v>-1.463429662947711E-4</v>
      </c>
      <c r="E812" s="841">
        <f t="shared" si="409"/>
        <v>0.23487947337379433</v>
      </c>
      <c r="F812" s="838">
        <v>6971.47</v>
      </c>
      <c r="G812" s="814">
        <f t="shared" si="410"/>
        <v>-2.5167905269092186E-3</v>
      </c>
      <c r="H812" s="819">
        <f t="shared" si="411"/>
        <v>0.36918318047017706</v>
      </c>
      <c r="I812" s="863">
        <v>398679.45</v>
      </c>
      <c r="J812" s="822">
        <v>300000</v>
      </c>
      <c r="K812" s="822">
        <f t="shared" si="412"/>
        <v>290.61999999999534</v>
      </c>
      <c r="L812" s="814">
        <f t="shared" si="413"/>
        <v>7.294883242584772E-4</v>
      </c>
      <c r="M812" s="839">
        <f t="shared" si="414"/>
        <v>98679.450000000012</v>
      </c>
      <c r="N812" s="824">
        <f t="shared" si="415"/>
        <v>0.32893150000000004</v>
      </c>
      <c r="O812" s="808">
        <f t="shared" ref="O812:O817" si="427">N812/(A812/365.25)</f>
        <v>9.6655052594529375E-2</v>
      </c>
      <c r="P812" s="839" t="b">
        <f t="shared" si="417"/>
        <v>1</v>
      </c>
      <c r="Q812" s="824">
        <f>COUNTIF(P$2:P812, TRUE)/(COUNTIF(P$2:P812,FALSE) + COUNTIF(P$2:P812, TRUE))</f>
        <v>0.50061652281134406</v>
      </c>
      <c r="R812" s="866">
        <v>353344.44</v>
      </c>
      <c r="S812" s="868">
        <f t="shared" si="418"/>
        <v>45335.010000000009</v>
      </c>
      <c r="T812" s="822">
        <v>-33818</v>
      </c>
      <c r="U812" s="822">
        <f t="shared" si="423"/>
        <v>132497.45000000001</v>
      </c>
      <c r="V812" s="824">
        <f>STDEV(D$2:D812)*SQRT(252)</f>
        <v>0.14839336495231253</v>
      </c>
      <c r="W812" s="824">
        <f>STDEV(L$2:L812)*SQRT(252)</f>
        <v>0.25662482955047305</v>
      </c>
      <c r="X812" s="823">
        <f t="shared" si="420"/>
        <v>0.46510357478095904</v>
      </c>
      <c r="Y812" s="823">
        <f t="shared" si="421"/>
        <v>0.37663951989306332</v>
      </c>
      <c r="Z812" s="829">
        <f t="shared" si="426"/>
        <v>9.4052026626205709E-2</v>
      </c>
    </row>
    <row r="813" spans="1:26" ht="20.100000000000001" customHeight="1" x14ac:dyDescent="0.2">
      <c r="A813" s="798">
        <f t="shared" si="407"/>
        <v>1246</v>
      </c>
      <c r="B813" s="817">
        <v>43479</v>
      </c>
      <c r="C813" s="842">
        <v>2582.61</v>
      </c>
      <c r="D813" s="814">
        <f t="shared" si="408"/>
        <v>-5.2575628018765802E-3</v>
      </c>
      <c r="E813" s="841">
        <f t="shared" si="409"/>
        <v>0.22838701698978334</v>
      </c>
      <c r="F813" s="838">
        <v>6905.91</v>
      </c>
      <c r="G813" s="814">
        <f t="shared" si="410"/>
        <v>-9.4040424759771462E-3</v>
      </c>
      <c r="H813" s="819">
        <f t="shared" si="411"/>
        <v>0.35630732368364204</v>
      </c>
      <c r="I813" s="863">
        <v>396928.57</v>
      </c>
      <c r="J813" s="822">
        <v>300000</v>
      </c>
      <c r="K813" s="822">
        <f t="shared" si="412"/>
        <v>-1750.8800000000047</v>
      </c>
      <c r="L813" s="814">
        <f t="shared" si="413"/>
        <v>-4.3916986441112143E-3</v>
      </c>
      <c r="M813" s="839">
        <f t="shared" si="414"/>
        <v>96928.57</v>
      </c>
      <c r="N813" s="824">
        <f t="shared" si="415"/>
        <v>0.32309523333333334</v>
      </c>
      <c r="O813" s="808">
        <f t="shared" si="427"/>
        <v>9.4711503992776891E-2</v>
      </c>
      <c r="P813" s="839" t="b">
        <f t="shared" si="417"/>
        <v>1</v>
      </c>
      <c r="Q813" s="824">
        <f>COUNTIF(P$2:P813, TRUE)/(COUNTIF(P$2:P813,FALSE) + COUNTIF(P$2:P813, TRUE))</f>
        <v>0.50123152709359609</v>
      </c>
      <c r="R813" s="866">
        <v>354753.56</v>
      </c>
      <c r="S813" s="868">
        <f t="shared" si="418"/>
        <v>42175.010000000009</v>
      </c>
      <c r="T813" s="822">
        <v>-33498</v>
      </c>
      <c r="U813" s="822">
        <f t="shared" si="423"/>
        <v>130426.57</v>
      </c>
      <c r="V813" s="824">
        <f>STDEV(D$2:D813)*SQRT(252)</f>
        <v>0.14833413784678093</v>
      </c>
      <c r="W813" s="824">
        <f>STDEV(L$2:L813)*SQRT(252)</f>
        <v>0.2564812571496366</v>
      </c>
      <c r="X813" s="823">
        <f t="shared" si="420"/>
        <v>0.45133860545915044</v>
      </c>
      <c r="Y813" s="823">
        <f t="shared" si="421"/>
        <v>0.36927261292048408</v>
      </c>
      <c r="Z813" s="829">
        <f t="shared" si="426"/>
        <v>9.4708216343550006E-2</v>
      </c>
    </row>
    <row r="814" spans="1:26" ht="20.100000000000001" customHeight="1" x14ac:dyDescent="0.2">
      <c r="A814" s="798">
        <f t="shared" si="407"/>
        <v>1247</v>
      </c>
      <c r="B814" s="817">
        <v>43480</v>
      </c>
      <c r="C814" s="842">
        <v>2610.3000000000002</v>
      </c>
      <c r="D814" s="814">
        <f t="shared" si="408"/>
        <v>1.0721711756711255E-2</v>
      </c>
      <c r="E814" s="841">
        <f t="shared" si="409"/>
        <v>0.24155742851163414</v>
      </c>
      <c r="F814" s="838">
        <v>7023.83</v>
      </c>
      <c r="G814" s="814">
        <f t="shared" si="410"/>
        <v>1.7075229766967723E-2</v>
      </c>
      <c r="H814" s="819">
        <f t="shared" si="411"/>
        <v>0.37946658287016127</v>
      </c>
      <c r="I814" s="863">
        <v>398718.09</v>
      </c>
      <c r="J814" s="822">
        <v>300000</v>
      </c>
      <c r="K814" s="822">
        <f t="shared" si="412"/>
        <v>1789.5200000000186</v>
      </c>
      <c r="L814" s="814">
        <f t="shared" si="413"/>
        <v>4.5084182274912048E-3</v>
      </c>
      <c r="M814" s="839">
        <f t="shared" si="414"/>
        <v>98718.090000000026</v>
      </c>
      <c r="N814" s="824">
        <f t="shared" si="415"/>
        <v>0.32906030000000008</v>
      </c>
      <c r="O814" s="808">
        <f t="shared" si="427"/>
        <v>9.6382738231756235E-2</v>
      </c>
      <c r="P814" s="839" t="b">
        <f t="shared" si="417"/>
        <v>0</v>
      </c>
      <c r="Q814" s="824">
        <f>COUNTIF(P$2:P814, TRUE)/(COUNTIF(P$2:P814,FALSE) + COUNTIF(P$2:P814, TRUE))</f>
        <v>0.50061500615006149</v>
      </c>
      <c r="R814" s="866">
        <v>359669.45</v>
      </c>
      <c r="S814" s="868">
        <f t="shared" si="418"/>
        <v>39048.640000000014</v>
      </c>
      <c r="T814" s="822">
        <v>-33168</v>
      </c>
      <c r="U814" s="822">
        <f t="shared" si="423"/>
        <v>131886.09000000003</v>
      </c>
      <c r="V814" s="824">
        <f>STDEV(D$2:D814)*SQRT(252)</f>
        <v>0.14835636313212094</v>
      </c>
      <c r="W814" s="824">
        <f>STDEV(L$2:L814)*SQRT(252)</f>
        <v>0.25633252174594051</v>
      </c>
      <c r="X814" s="823">
        <f t="shared" si="420"/>
        <v>0.47691171478899325</v>
      </c>
      <c r="Y814" s="823">
        <f t="shared" si="421"/>
        <v>0.37600667123808934</v>
      </c>
      <c r="Z814" s="829">
        <f t="shared" si="426"/>
        <v>8.7502871488365941E-2</v>
      </c>
    </row>
    <row r="815" spans="1:26" ht="20.100000000000001" customHeight="1" x14ac:dyDescent="0.2">
      <c r="A815" s="798">
        <f t="shared" si="407"/>
        <v>1248</v>
      </c>
      <c r="B815" s="817">
        <v>43481</v>
      </c>
      <c r="C815" s="842">
        <v>2616.1</v>
      </c>
      <c r="D815" s="814">
        <f t="shared" si="408"/>
        <v>2.2219668237366307E-3</v>
      </c>
      <c r="E815" s="841">
        <f t="shared" si="409"/>
        <v>0.24431612792755078</v>
      </c>
      <c r="F815" s="838">
        <v>7034.69</v>
      </c>
      <c r="G815" s="814">
        <f t="shared" si="410"/>
        <v>1.5461649840613559E-3</v>
      </c>
      <c r="H815" s="819">
        <f t="shared" si="411"/>
        <v>0.38159946579727788</v>
      </c>
      <c r="I815" s="863">
        <v>398368.72</v>
      </c>
      <c r="J815" s="822">
        <v>300000</v>
      </c>
      <c r="K815" s="822">
        <f t="shared" si="412"/>
        <v>-349.37000000005355</v>
      </c>
      <c r="L815" s="814">
        <f t="shared" si="413"/>
        <v>-8.7623313002942389E-4</v>
      </c>
      <c r="M815" s="839">
        <f t="shared" si="414"/>
        <v>98368.719999999972</v>
      </c>
      <c r="N815" s="824">
        <f t="shared" si="415"/>
        <v>0.32789573333333322</v>
      </c>
      <c r="O815" s="808">
        <f t="shared" si="427"/>
        <v>9.5964676762820472E-2</v>
      </c>
      <c r="P815" s="839" t="b">
        <f t="shared" si="417"/>
        <v>0</v>
      </c>
      <c r="Q815" s="824">
        <f>COUNTIF(P$2:P815, TRUE)/(COUNTIF(P$2:P815,FALSE) + COUNTIF(P$2:P815, TRUE))</f>
        <v>0.5</v>
      </c>
      <c r="R815" s="866">
        <v>359320.08</v>
      </c>
      <c r="S815" s="868">
        <f t="shared" si="418"/>
        <v>39048.639999999956</v>
      </c>
      <c r="T815" s="822">
        <v>-33203</v>
      </c>
      <c r="U815" s="822">
        <f t="shared" si="423"/>
        <v>131571.71999999997</v>
      </c>
      <c r="V815" s="824">
        <f>STDEV(D$2:D815)*SQRT(252)</f>
        <v>0.14826880322458727</v>
      </c>
      <c r="W815" s="824">
        <f>STDEV(L$2:L815)*SQRT(252)</f>
        <v>0.25617588848295436</v>
      </c>
      <c r="X815" s="823">
        <f t="shared" si="420"/>
        <v>0.48225639345999738</v>
      </c>
      <c r="Y815" s="823">
        <f t="shared" si="421"/>
        <v>0.37460464109683705</v>
      </c>
      <c r="Z815" s="829">
        <f t="shared" si="426"/>
        <v>8.3579605405782437E-2</v>
      </c>
    </row>
    <row r="816" spans="1:26" ht="20.100000000000001" customHeight="1" x14ac:dyDescent="0.2">
      <c r="A816" s="798">
        <f t="shared" si="407"/>
        <v>1249</v>
      </c>
      <c r="B816" s="817">
        <v>43482</v>
      </c>
      <c r="C816" s="842">
        <v>2635.96</v>
      </c>
      <c r="D816" s="814">
        <f t="shared" si="408"/>
        <v>7.5914529261114361E-3</v>
      </c>
      <c r="E816" s="841">
        <f t="shared" si="409"/>
        <v>0.25376229523791405</v>
      </c>
      <c r="F816" s="838">
        <v>7084.46</v>
      </c>
      <c r="G816" s="814">
        <f t="shared" si="410"/>
        <v>7.0749386255827109E-3</v>
      </c>
      <c r="H816" s="819">
        <f t="shared" si="411"/>
        <v>0.39137419722293149</v>
      </c>
      <c r="I816" s="863">
        <v>401047.52</v>
      </c>
      <c r="J816" s="822">
        <v>300000</v>
      </c>
      <c r="K816" s="822">
        <f t="shared" si="412"/>
        <v>2678.8000000000466</v>
      </c>
      <c r="L816" s="814">
        <f t="shared" si="413"/>
        <v>6.724423544097656E-3</v>
      </c>
      <c r="M816" s="839">
        <f t="shared" si="414"/>
        <v>101047.52000000002</v>
      </c>
      <c r="N816" s="824">
        <f t="shared" si="415"/>
        <v>0.33682506666666673</v>
      </c>
      <c r="O816" s="808">
        <f t="shared" si="427"/>
        <v>9.8499083746997618E-2</v>
      </c>
      <c r="P816" s="839" t="b">
        <f t="shared" si="417"/>
        <v>0</v>
      </c>
      <c r="Q816" s="824">
        <f>COUNTIF(P$2:P816, TRUE)/(COUNTIF(P$2:P816,FALSE) + COUNTIF(P$2:P816, TRUE))</f>
        <v>0.49938650306748467</v>
      </c>
      <c r="R816" s="866">
        <v>354476.17</v>
      </c>
      <c r="S816" s="868">
        <f t="shared" si="418"/>
        <v>46571.350000000035</v>
      </c>
      <c r="T816" s="822">
        <v>-33083</v>
      </c>
      <c r="U816" s="822">
        <f t="shared" si="423"/>
        <v>134130.52000000002</v>
      </c>
      <c r="V816" s="824">
        <f>STDEV(D$2:D816)*SQRT(252)</f>
        <v>0.1482329269169857</v>
      </c>
      <c r="W816" s="824">
        <f>STDEV(L$2:L816)*SQRT(252)</f>
        <v>0.25604124492596109</v>
      </c>
      <c r="X816" s="823">
        <f t="shared" si="420"/>
        <v>0.50062230558117682</v>
      </c>
      <c r="Y816" s="823">
        <f t="shared" si="421"/>
        <v>0.38470006570808696</v>
      </c>
      <c r="Z816" s="829">
        <f t="shared" si="426"/>
        <v>8.306277142875268E-2</v>
      </c>
    </row>
    <row r="817" spans="1:26" ht="20.100000000000001" customHeight="1" x14ac:dyDescent="0.2">
      <c r="A817" s="798">
        <f t="shared" si="407"/>
        <v>1250</v>
      </c>
      <c r="B817" s="817">
        <v>43483</v>
      </c>
      <c r="C817" s="842">
        <v>2670.71</v>
      </c>
      <c r="D817" s="814">
        <f t="shared" si="408"/>
        <v>1.3183052853609311E-2</v>
      </c>
      <c r="E817" s="841">
        <f t="shared" si="409"/>
        <v>0.27029070984189796</v>
      </c>
      <c r="F817" s="838">
        <v>7157.22</v>
      </c>
      <c r="G817" s="814">
        <f t="shared" si="410"/>
        <v>1.0270366407602021E-2</v>
      </c>
      <c r="H817" s="819">
        <f t="shared" si="411"/>
        <v>0.40566412003849411</v>
      </c>
      <c r="I817" s="863">
        <v>406382.95</v>
      </c>
      <c r="J817" s="822">
        <v>300000</v>
      </c>
      <c r="K817" s="822">
        <f t="shared" si="412"/>
        <v>5335.429999999993</v>
      </c>
      <c r="L817" s="814">
        <f t="shared" si="413"/>
        <v>1.3303735178315011E-2</v>
      </c>
      <c r="M817" s="839">
        <f t="shared" si="414"/>
        <v>106382.95000000001</v>
      </c>
      <c r="N817" s="824">
        <f t="shared" si="415"/>
        <v>0.35460983333333335</v>
      </c>
      <c r="O817" s="808">
        <f t="shared" si="427"/>
        <v>0.1036169933</v>
      </c>
      <c r="P817" s="839" t="b">
        <f t="shared" si="417"/>
        <v>1</v>
      </c>
      <c r="Q817" s="824">
        <f>COUNTIF(P$2:P817, TRUE)/(COUNTIF(P$2:P817,FALSE) + COUNTIF(P$2:P817, TRUE))</f>
        <v>0.5</v>
      </c>
      <c r="R817" s="866">
        <v>331407.74</v>
      </c>
      <c r="S817" s="868">
        <f t="shared" si="418"/>
        <v>74975.210000000021</v>
      </c>
      <c r="T817" s="822">
        <v>-32858</v>
      </c>
      <c r="U817" s="822">
        <f t="shared" si="423"/>
        <v>139240.95000000001</v>
      </c>
      <c r="V817" s="824">
        <f>STDEV(D$2:D817)*SQRT(252)</f>
        <v>0.14831438078037773</v>
      </c>
      <c r="W817" s="824">
        <f>STDEV(L$2:L817)*SQRT(252)</f>
        <v>0.25598186879007967</v>
      </c>
      <c r="X817" s="823">
        <f t="shared" si="420"/>
        <v>0.5325103675061269</v>
      </c>
      <c r="Y817" s="823">
        <f t="shared" si="421"/>
        <v>0.40478254881783088</v>
      </c>
      <c r="Z817" s="829">
        <f t="shared" ref="Z817:Z845" si="428">-(E817-N817)</f>
        <v>8.4319123491435388E-2</v>
      </c>
    </row>
    <row r="818" spans="1:26" ht="20.100000000000001" customHeight="1" x14ac:dyDescent="0.2">
      <c r="A818" s="798">
        <f t="shared" ref="A818:A845" si="429">B818-$B$2</f>
        <v>1254</v>
      </c>
      <c r="B818" s="817">
        <v>43487</v>
      </c>
      <c r="C818" s="842">
        <v>2632.9</v>
      </c>
      <c r="D818" s="814">
        <f t="shared" ref="D818:D845" si="430">(C818-C817)/C817</f>
        <v>-1.4157284018107523E-2</v>
      </c>
      <c r="E818" s="841">
        <f t="shared" ref="E818:E845" si="431">(C818-$C$2)/$C$2</f>
        <v>0.2523068434771028</v>
      </c>
      <c r="F818" s="838">
        <v>7020.35</v>
      </c>
      <c r="G818" s="814">
        <f t="shared" ref="G818:G845" si="432">(F818-F817)/F817</f>
        <v>-1.9123346774306209E-2</v>
      </c>
      <c r="H818" s="819">
        <f t="shared" ref="H818:H845" si="433">(F818-F$2)/F$2</f>
        <v>0.37878311762279798</v>
      </c>
      <c r="I818" s="863">
        <v>400544.64</v>
      </c>
      <c r="J818" s="822">
        <v>300000</v>
      </c>
      <c r="K818" s="822">
        <f t="shared" ref="K818:K845" si="434">I818-I817-J818+J817</f>
        <v>-5838.3099999999977</v>
      </c>
      <c r="L818" s="814">
        <f t="shared" ref="L818:L845" si="435">K818/I817</f>
        <v>-1.4366523004963662E-2</v>
      </c>
      <c r="M818" s="839">
        <f t="shared" ref="M818:M845" si="436">I818-J818</f>
        <v>100544.64000000001</v>
      </c>
      <c r="N818" s="824">
        <f t="shared" ref="N818:N845" si="437">M818/J818</f>
        <v>0.33514880000000002</v>
      </c>
      <c r="O818" s="808">
        <f t="shared" ref="O818:O845" si="438">N818/(A818/365.25)</f>
        <v>9.7618101435406709E-2</v>
      </c>
      <c r="P818" s="839" t="b">
        <f t="shared" ref="P818:P845" si="439">L818&gt;D818</f>
        <v>0</v>
      </c>
      <c r="Q818" s="824">
        <f>COUNTIF(P$2:P818, TRUE)/(COUNTIF(P$2:P818,FALSE) + COUNTIF(P$2:P818, TRUE))</f>
        <v>0.49938800489596086</v>
      </c>
      <c r="R818" s="866">
        <v>331033.45</v>
      </c>
      <c r="S818" s="868">
        <f t="shared" ref="S818:S845" si="440">I818-R818</f>
        <v>69511.19</v>
      </c>
      <c r="T818" s="822">
        <v>-32983</v>
      </c>
      <c r="U818" s="822">
        <f t="shared" si="423"/>
        <v>133527.64000000001</v>
      </c>
      <c r="V818" s="824">
        <f>STDEV(D$2:D818)*SQRT(252)</f>
        <v>0.14844206249511938</v>
      </c>
      <c r="W818" s="824">
        <f>STDEV(L$2:L818)*SQRT(252)</f>
        <v>0.2559596857009227</v>
      </c>
      <c r="X818" s="823">
        <f t="shared" ref="X818:X845" si="441">E818/(A818/365.25)/V818</f>
        <v>0.49506786664182661</v>
      </c>
      <c r="Y818" s="823">
        <f t="shared" ref="Y818:Y845" si="442">O818/W818</f>
        <v>0.38138076770991602</v>
      </c>
      <c r="Z818" s="829">
        <f t="shared" si="428"/>
        <v>8.284195652289722E-2</v>
      </c>
    </row>
    <row r="819" spans="1:26" ht="20.100000000000001" customHeight="1" x14ac:dyDescent="0.2">
      <c r="A819" s="798">
        <f t="shared" si="429"/>
        <v>1255</v>
      </c>
      <c r="B819" s="817">
        <v>43488</v>
      </c>
      <c r="C819" s="842">
        <v>2638.7</v>
      </c>
      <c r="D819" s="814">
        <f t="shared" si="430"/>
        <v>2.202894147138033E-3</v>
      </c>
      <c r="E819" s="841">
        <f t="shared" si="431"/>
        <v>0.25506554289301941</v>
      </c>
      <c r="F819" s="838">
        <v>7025.76</v>
      </c>
      <c r="G819" s="814">
        <f t="shared" si="432"/>
        <v>7.706168495872505E-4</v>
      </c>
      <c r="H819" s="819">
        <f t="shared" si="433"/>
        <v>0.37984563112516456</v>
      </c>
      <c r="I819" s="863">
        <v>400803.81</v>
      </c>
      <c r="J819" s="822">
        <v>300000</v>
      </c>
      <c r="K819" s="822">
        <f t="shared" si="434"/>
        <v>259.1699999999837</v>
      </c>
      <c r="L819" s="814">
        <f t="shared" si="435"/>
        <v>6.4704398491010565E-4</v>
      </c>
      <c r="M819" s="839">
        <f t="shared" si="436"/>
        <v>100803.81</v>
      </c>
      <c r="N819" s="824">
        <f t="shared" si="437"/>
        <v>0.3360127</v>
      </c>
      <c r="O819" s="808">
        <f t="shared" si="438"/>
        <v>9.7791743964143432E-2</v>
      </c>
      <c r="P819" s="839" t="b">
        <f t="shared" si="439"/>
        <v>0</v>
      </c>
      <c r="Q819" s="824">
        <f>COUNTIF(P$2:P819, TRUE)/(COUNTIF(P$2:P819,FALSE) + COUNTIF(P$2:P819, TRUE))</f>
        <v>0.49877750611246946</v>
      </c>
      <c r="R819" s="866">
        <v>329213.62</v>
      </c>
      <c r="S819" s="868">
        <f t="shared" si="440"/>
        <v>71590.19</v>
      </c>
      <c r="T819" s="822">
        <v>-33093</v>
      </c>
      <c r="U819" s="822">
        <f t="shared" si="423"/>
        <v>133896.81</v>
      </c>
      <c r="V819" s="824">
        <f>STDEV(D$2:D819)*SQRT(252)</f>
        <v>0.14835476523907773</v>
      </c>
      <c r="W819" s="824">
        <f>STDEV(L$2:L819)*SQRT(252)</f>
        <v>0.25580280339327321</v>
      </c>
      <c r="X819" s="823">
        <f t="shared" si="441"/>
        <v>0.50037636902783811</v>
      </c>
      <c r="Y819" s="823">
        <f t="shared" si="442"/>
        <v>0.38229348023914206</v>
      </c>
      <c r="Z819" s="829">
        <f t="shared" si="428"/>
        <v>8.0947157106980583E-2</v>
      </c>
    </row>
    <row r="820" spans="1:26" ht="20.100000000000001" customHeight="1" x14ac:dyDescent="0.2">
      <c r="A820" s="798">
        <f t="shared" si="429"/>
        <v>1256</v>
      </c>
      <c r="B820" s="817">
        <v>43489</v>
      </c>
      <c r="C820" s="842">
        <v>2642.33</v>
      </c>
      <c r="D820" s="814">
        <f t="shared" si="430"/>
        <v>1.3756774169098834E-3</v>
      </c>
      <c r="E820" s="841">
        <f t="shared" si="431"/>
        <v>0.25679210821711906</v>
      </c>
      <c r="F820" s="838">
        <v>7073.46</v>
      </c>
      <c r="G820" s="814">
        <f t="shared" si="432"/>
        <v>6.7893010862881478E-3</v>
      </c>
      <c r="H820" s="819">
        <f t="shared" si="433"/>
        <v>0.38921381856747261</v>
      </c>
      <c r="I820" s="863">
        <v>391425.07</v>
      </c>
      <c r="J820" s="822">
        <v>290000</v>
      </c>
      <c r="K820" s="822">
        <f t="shared" si="434"/>
        <v>621.26000000000931</v>
      </c>
      <c r="L820" s="814">
        <f t="shared" si="435"/>
        <v>1.5500351655839033E-3</v>
      </c>
      <c r="M820" s="839">
        <f t="shared" si="436"/>
        <v>101425.07</v>
      </c>
      <c r="N820" s="824">
        <f t="shared" si="437"/>
        <v>0.3497416206896552</v>
      </c>
      <c r="O820" s="808">
        <f t="shared" si="438"/>
        <v>0.10170631127141445</v>
      </c>
      <c r="P820" s="839" t="b">
        <f t="shared" si="439"/>
        <v>1</v>
      </c>
      <c r="Q820" s="824">
        <f>COUNTIF(P$2:P820, TRUE)/(COUNTIF(P$2:P820,FALSE) + COUNTIF(P$2:P820, TRUE))</f>
        <v>0.49938949938949939</v>
      </c>
      <c r="R820" s="866">
        <v>334182.92</v>
      </c>
      <c r="S820" s="868">
        <f t="shared" si="440"/>
        <v>57242.150000000023</v>
      </c>
      <c r="T820" s="822">
        <v>-33353</v>
      </c>
      <c r="U820" s="822">
        <f t="shared" si="423"/>
        <v>134778.07</v>
      </c>
      <c r="V820" s="824">
        <f>STDEV(D$2:D820)*SQRT(252)</f>
        <v>0.14826509905690491</v>
      </c>
      <c r="W820" s="824">
        <f>STDEV(L$2:L820)*SQRT(252)</f>
        <v>0.2556467869561983</v>
      </c>
      <c r="X820" s="823">
        <f t="shared" si="441"/>
        <v>0.50366680153714061</v>
      </c>
      <c r="Y820" s="823">
        <f t="shared" si="442"/>
        <v>0.39783919243561816</v>
      </c>
      <c r="Z820" s="829">
        <f t="shared" si="428"/>
        <v>9.2949512472536133E-2</v>
      </c>
    </row>
    <row r="821" spans="1:26" ht="20.100000000000001" customHeight="1" x14ac:dyDescent="0.2">
      <c r="A821" s="798">
        <f t="shared" si="429"/>
        <v>1257</v>
      </c>
      <c r="B821" s="817">
        <v>43490</v>
      </c>
      <c r="C821" s="842">
        <v>2664.76</v>
      </c>
      <c r="D821" s="814">
        <f t="shared" si="430"/>
        <v>8.4887201825662555E-3</v>
      </c>
      <c r="E821" s="841">
        <f t="shared" si="431"/>
        <v>0.26746066475143176</v>
      </c>
      <c r="F821" s="838">
        <v>7164.86</v>
      </c>
      <c r="G821" s="814">
        <f t="shared" si="432"/>
        <v>1.2921540519066996E-2</v>
      </c>
      <c r="H821" s="819">
        <f t="shared" si="433"/>
        <v>0.40716460121373999</v>
      </c>
      <c r="I821" s="863">
        <v>395488.83</v>
      </c>
      <c r="J821" s="822">
        <v>290000</v>
      </c>
      <c r="K821" s="822">
        <f t="shared" si="434"/>
        <v>4063.7600000000093</v>
      </c>
      <c r="L821" s="814">
        <f t="shared" si="435"/>
        <v>1.0381961482436496E-2</v>
      </c>
      <c r="M821" s="839">
        <f t="shared" si="436"/>
        <v>105488.83000000002</v>
      </c>
      <c r="N821" s="824">
        <f t="shared" si="437"/>
        <v>0.3637545862068966</v>
      </c>
      <c r="O821" s="808">
        <f t="shared" si="438"/>
        <v>0.10569718584890134</v>
      </c>
      <c r="P821" s="839" t="b">
        <f t="shared" si="439"/>
        <v>1</v>
      </c>
      <c r="Q821" s="824">
        <f>COUNTIF(P$2:P821, TRUE)/(COUNTIF(P$2:P821,FALSE) + COUNTIF(P$2:P821, TRUE))</f>
        <v>0.5</v>
      </c>
      <c r="R821" s="866">
        <v>326832.83</v>
      </c>
      <c r="S821" s="868">
        <f t="shared" si="440"/>
        <v>68656</v>
      </c>
      <c r="T821" s="822">
        <v>-33248</v>
      </c>
      <c r="U821" s="822">
        <f t="shared" si="423"/>
        <v>138736.83000000002</v>
      </c>
      <c r="V821" s="824">
        <f>STDEV(D$2:D821)*SQRT(252)</f>
        <v>0.14824365935565442</v>
      </c>
      <c r="W821" s="824">
        <f>STDEV(L$2:L821)*SQRT(252)</f>
        <v>0.25554845627068484</v>
      </c>
      <c r="X821" s="823">
        <f t="shared" si="441"/>
        <v>0.52425036282714699</v>
      </c>
      <c r="Y821" s="823">
        <f t="shared" si="442"/>
        <v>0.41360917374098166</v>
      </c>
      <c r="Z821" s="829">
        <f t="shared" si="428"/>
        <v>9.6293921455464837E-2</v>
      </c>
    </row>
    <row r="822" spans="1:26" ht="20.100000000000001" customHeight="1" x14ac:dyDescent="0.2">
      <c r="A822" s="798">
        <f t="shared" si="429"/>
        <v>1260</v>
      </c>
      <c r="B822" s="817">
        <v>43493</v>
      </c>
      <c r="C822" s="842">
        <v>2643.85</v>
      </c>
      <c r="D822" s="814">
        <f t="shared" si="430"/>
        <v>-7.8468605052613768E-3</v>
      </c>
      <c r="E822" s="841">
        <f t="shared" si="431"/>
        <v>0.25751507771922139</v>
      </c>
      <c r="F822" s="838">
        <v>7085.68</v>
      </c>
      <c r="G822" s="814">
        <f t="shared" si="432"/>
        <v>-1.105115801285711E-2</v>
      </c>
      <c r="H822" s="819">
        <f t="shared" si="433"/>
        <v>0.39161380285562791</v>
      </c>
      <c r="I822" s="863">
        <v>395484.69</v>
      </c>
      <c r="J822" s="822">
        <v>290000</v>
      </c>
      <c r="K822" s="822">
        <f t="shared" si="434"/>
        <v>-4.1400000000139698</v>
      </c>
      <c r="L822" s="814">
        <f t="shared" si="435"/>
        <v>-1.0468057972747219E-5</v>
      </c>
      <c r="M822" s="839">
        <f t="shared" si="436"/>
        <v>105484.69</v>
      </c>
      <c r="N822" s="824">
        <f t="shared" si="437"/>
        <v>0.36374031034482757</v>
      </c>
      <c r="O822" s="808">
        <f t="shared" si="438"/>
        <v>0.10544138758210179</v>
      </c>
      <c r="P822" s="839" t="b">
        <f t="shared" si="439"/>
        <v>1</v>
      </c>
      <c r="Q822" s="824">
        <f>COUNTIF(P$2:P822, TRUE)/(COUNTIF(P$2:P822,FALSE) + COUNTIF(P$2:P822, TRUE))</f>
        <v>0.50060901339829478</v>
      </c>
      <c r="R822" s="866">
        <v>325754.37</v>
      </c>
      <c r="S822" s="868">
        <f t="shared" si="440"/>
        <v>69730.320000000007</v>
      </c>
      <c r="T822" s="822">
        <v>-33173</v>
      </c>
      <c r="U822" s="822">
        <f t="shared" si="423"/>
        <v>138657.69</v>
      </c>
      <c r="V822" s="824">
        <f>STDEV(D$2:D822)*SQRT(252)</f>
        <v>0.14822250914047161</v>
      </c>
      <c r="W822" s="824">
        <f>STDEV(L$2:L822)*SQRT(252)</f>
        <v>0.25539260644864942</v>
      </c>
      <c r="X822" s="823">
        <f t="shared" si="441"/>
        <v>0.50362604448260762</v>
      </c>
      <c r="Y822" s="823">
        <f t="shared" si="442"/>
        <v>0.41285998466561874</v>
      </c>
      <c r="Z822" s="829">
        <f t="shared" si="428"/>
        <v>0.10622523262560618</v>
      </c>
    </row>
    <row r="823" spans="1:26" ht="20.100000000000001" customHeight="1" x14ac:dyDescent="0.2">
      <c r="A823" s="798">
        <f t="shared" si="429"/>
        <v>1261</v>
      </c>
      <c r="B823" s="817">
        <v>43494</v>
      </c>
      <c r="C823" s="842">
        <v>2640</v>
      </c>
      <c r="D823" s="814">
        <f t="shared" si="430"/>
        <v>-1.4562096941959299E-3</v>
      </c>
      <c r="E823" s="841">
        <f t="shared" si="431"/>
        <v>0.25568387207244914</v>
      </c>
      <c r="F823" s="838">
        <v>7028.29</v>
      </c>
      <c r="G823" s="814">
        <f t="shared" si="432"/>
        <v>-8.0994343521017496E-3</v>
      </c>
      <c r="H823" s="819">
        <f t="shared" si="433"/>
        <v>0.38034251821592008</v>
      </c>
      <c r="I823" s="863">
        <v>396270.66</v>
      </c>
      <c r="J823" s="822">
        <v>290000</v>
      </c>
      <c r="K823" s="822">
        <f t="shared" si="434"/>
        <v>785.96999999997206</v>
      </c>
      <c r="L823" s="814">
        <f t="shared" si="435"/>
        <v>1.9873588532592049E-3</v>
      </c>
      <c r="M823" s="839">
        <f t="shared" si="436"/>
        <v>106270.65999999997</v>
      </c>
      <c r="N823" s="824">
        <f t="shared" si="437"/>
        <v>0.36645055172413782</v>
      </c>
      <c r="O823" s="808">
        <f t="shared" si="438"/>
        <v>0.10614279462112715</v>
      </c>
      <c r="P823" s="839" t="b">
        <f t="shared" si="439"/>
        <v>1</v>
      </c>
      <c r="Q823" s="824">
        <f>COUNTIF(P$2:P823, TRUE)/(COUNTIF(P$2:P823,FALSE) + COUNTIF(P$2:P823, TRUE))</f>
        <v>0.5012165450121655</v>
      </c>
      <c r="R823" s="866">
        <v>322922.39</v>
      </c>
      <c r="S823" s="868">
        <f t="shared" si="440"/>
        <v>73348.26999999996</v>
      </c>
      <c r="T823" s="822">
        <v>-33183</v>
      </c>
      <c r="U823" s="822">
        <f t="shared" si="423"/>
        <v>139453.65999999997</v>
      </c>
      <c r="V823" s="824">
        <f>STDEV(D$2:D823)*SQRT(252)</f>
        <v>0.14813538173261068</v>
      </c>
      <c r="W823" s="824">
        <f>STDEV(L$2:L823)*SQRT(252)</f>
        <v>0.25523802260297879</v>
      </c>
      <c r="X823" s="823">
        <f t="shared" si="441"/>
        <v>0.49994205576912071</v>
      </c>
      <c r="Y823" s="823">
        <f t="shared" si="442"/>
        <v>0.41585808234469684</v>
      </c>
      <c r="Z823" s="829">
        <f t="shared" si="428"/>
        <v>0.11076667965168868</v>
      </c>
    </row>
    <row r="824" spans="1:26" ht="20.100000000000001" customHeight="1" x14ac:dyDescent="0.2">
      <c r="A824" s="798">
        <f t="shared" si="429"/>
        <v>1262</v>
      </c>
      <c r="B824" s="817">
        <v>43495</v>
      </c>
      <c r="C824" s="842">
        <v>2681.05</v>
      </c>
      <c r="D824" s="814">
        <f t="shared" si="430"/>
        <v>1.5549242424242493E-2</v>
      </c>
      <c r="E824" s="841">
        <f t="shared" si="431"/>
        <v>0.27520880500751516</v>
      </c>
      <c r="F824" s="838">
        <v>7183.07</v>
      </c>
      <c r="G824" s="814">
        <f t="shared" si="432"/>
        <v>2.2022426507728017E-2</v>
      </c>
      <c r="H824" s="819">
        <f t="shared" si="433"/>
        <v>0.41074100987882239</v>
      </c>
      <c r="I824" s="863">
        <v>397387.82</v>
      </c>
      <c r="J824" s="822">
        <v>290000</v>
      </c>
      <c r="K824" s="822">
        <f t="shared" si="434"/>
        <v>1117.1600000000326</v>
      </c>
      <c r="L824" s="814">
        <f t="shared" si="435"/>
        <v>2.8191842413971113E-3</v>
      </c>
      <c r="M824" s="839">
        <f t="shared" si="436"/>
        <v>107387.82</v>
      </c>
      <c r="N824" s="824">
        <f t="shared" si="437"/>
        <v>0.37030282758620692</v>
      </c>
      <c r="O824" s="808">
        <f t="shared" si="438"/>
        <v>0.10717361947374174</v>
      </c>
      <c r="P824" s="839" t="b">
        <f t="shared" si="439"/>
        <v>0</v>
      </c>
      <c r="Q824" s="824">
        <f>COUNTIF(P$2:P824, TRUE)/(COUNTIF(P$2:P824,FALSE) + COUNTIF(P$2:P824, TRUE))</f>
        <v>0.50060753341433784</v>
      </c>
      <c r="R824" s="866">
        <v>305135.78000000003</v>
      </c>
      <c r="S824" s="868">
        <f t="shared" si="440"/>
        <v>92252.039999999979</v>
      </c>
      <c r="T824" s="822">
        <v>-33248</v>
      </c>
      <c r="U824" s="822">
        <f t="shared" si="423"/>
        <v>140635.82</v>
      </c>
      <c r="V824" s="824">
        <f>STDEV(D$2:D824)*SQRT(252)</f>
        <v>0.14828505452786289</v>
      </c>
      <c r="W824" s="824">
        <f>STDEV(L$2:L824)*SQRT(252)</f>
        <v>0.25508554008666545</v>
      </c>
      <c r="X824" s="823">
        <f t="shared" si="441"/>
        <v>0.53715028815964072</v>
      </c>
      <c r="Y824" s="823">
        <f t="shared" si="442"/>
        <v>0.42014776469622483</v>
      </c>
      <c r="Z824" s="829">
        <f t="shared" si="428"/>
        <v>9.5094022578691761E-2</v>
      </c>
    </row>
    <row r="825" spans="1:26" ht="20.100000000000001" customHeight="1" x14ac:dyDescent="0.2">
      <c r="A825" s="798">
        <f t="shared" si="429"/>
        <v>1263</v>
      </c>
      <c r="B825" s="817">
        <v>43496</v>
      </c>
      <c r="C825" s="842">
        <v>2704.1</v>
      </c>
      <c r="D825" s="814">
        <f t="shared" si="430"/>
        <v>8.5973778929895849E-3</v>
      </c>
      <c r="E825" s="841">
        <f t="shared" si="431"/>
        <v>0.2861722569966324</v>
      </c>
      <c r="F825" s="838">
        <v>7281.73</v>
      </c>
      <c r="G825" s="814">
        <f t="shared" si="432"/>
        <v>1.3735074278825051E-2</v>
      </c>
      <c r="H825" s="819">
        <f t="shared" si="433"/>
        <v>0.43011764243769268</v>
      </c>
      <c r="I825" s="864">
        <v>398929.08</v>
      </c>
      <c r="J825" s="822">
        <v>290000</v>
      </c>
      <c r="K825" s="822">
        <f t="shared" si="434"/>
        <v>1541.2600000000093</v>
      </c>
      <c r="L825" s="814">
        <f t="shared" si="435"/>
        <v>3.8784782080135451E-3</v>
      </c>
      <c r="M825" s="844">
        <f t="shared" si="436"/>
        <v>108929.08000000002</v>
      </c>
      <c r="N825" s="824">
        <f t="shared" si="437"/>
        <v>0.37561751724137937</v>
      </c>
      <c r="O825" s="808">
        <f t="shared" si="438"/>
        <v>0.10862573093619463</v>
      </c>
      <c r="P825" s="839" t="b">
        <f t="shared" si="439"/>
        <v>0</v>
      </c>
      <c r="Q825" s="824">
        <f>COUNTIF(P$2:P825, TRUE)/(COUNTIF(P$2:P825,FALSE) + COUNTIF(P$2:P825, TRUE))</f>
        <v>0.5</v>
      </c>
      <c r="R825" s="866">
        <v>298673.2</v>
      </c>
      <c r="S825" s="868">
        <f t="shared" si="440"/>
        <v>100255.88</v>
      </c>
      <c r="T825" s="822">
        <v>-32593</v>
      </c>
      <c r="U825" s="822">
        <f t="shared" ref="U825:U845" si="443">M825-T825</f>
        <v>141522.08000000002</v>
      </c>
      <c r="V825" s="824">
        <f>STDEV(D$2:D825)*SQRT(252)</f>
        <v>0.14826526356297684</v>
      </c>
      <c r="W825" s="824">
        <f>STDEV(L$2:L825)*SQRT(252)</f>
        <v>0.25493684745531853</v>
      </c>
      <c r="X825" s="823">
        <f t="shared" si="441"/>
        <v>0.55818092217684434</v>
      </c>
      <c r="Y825" s="823">
        <f t="shared" si="442"/>
        <v>0.42608878245908688</v>
      </c>
      <c r="Z825" s="829">
        <f t="shared" si="428"/>
        <v>8.9445260244746971E-2</v>
      </c>
    </row>
    <row r="826" spans="1:26" ht="20.100000000000001" customHeight="1" x14ac:dyDescent="0.2">
      <c r="A826" s="798">
        <f t="shared" si="429"/>
        <v>1264</v>
      </c>
      <c r="B826" s="817">
        <v>43497</v>
      </c>
      <c r="C826" s="842">
        <v>2706.53</v>
      </c>
      <c r="D826" s="814">
        <f t="shared" si="430"/>
        <v>8.9863540549546658E-4</v>
      </c>
      <c r="E826" s="841">
        <f t="shared" si="431"/>
        <v>0.28732805692433561</v>
      </c>
      <c r="F826" s="838">
        <v>7263.86</v>
      </c>
      <c r="G826" s="814">
        <f t="shared" si="432"/>
        <v>-2.4540871468730495E-3</v>
      </c>
      <c r="H826" s="819">
        <f t="shared" si="433"/>
        <v>0.42660800911286995</v>
      </c>
      <c r="I826" s="863">
        <v>399784.64</v>
      </c>
      <c r="J826" s="822">
        <v>290000</v>
      </c>
      <c r="K826" s="822">
        <f t="shared" si="434"/>
        <v>855.55999999999767</v>
      </c>
      <c r="L826" s="814">
        <f t="shared" si="435"/>
        <v>2.1446418496239923E-3</v>
      </c>
      <c r="M826" s="839">
        <f t="shared" si="436"/>
        <v>109784.64000000001</v>
      </c>
      <c r="N826" s="824">
        <f t="shared" si="437"/>
        <v>0.37856772413793111</v>
      </c>
      <c r="O826" s="808">
        <f t="shared" si="438"/>
        <v>0.10939229528590137</v>
      </c>
      <c r="P826" s="839" t="b">
        <f t="shared" si="439"/>
        <v>1</v>
      </c>
      <c r="Q826" s="824">
        <f>COUNTIF(P$2:P826, TRUE)/(COUNTIF(P$2:P826,FALSE) + COUNTIF(P$2:P826, TRUE))</f>
        <v>0.50060606060606061</v>
      </c>
      <c r="R826" s="866">
        <v>310045.73</v>
      </c>
      <c r="S826" s="868">
        <f t="shared" si="440"/>
        <v>89738.910000000033</v>
      </c>
      <c r="T826" s="822">
        <v>-32743</v>
      </c>
      <c r="U826" s="822">
        <f t="shared" si="443"/>
        <v>142527.64000000001</v>
      </c>
      <c r="V826" s="824">
        <f>STDEV(D$2:D826)*SQRT(252)</f>
        <v>0.14817547136633374</v>
      </c>
      <c r="W826" s="824">
        <f>STDEV(L$2:L826)*SQRT(252)</f>
        <v>0.25478337109882809</v>
      </c>
      <c r="X826" s="823">
        <f t="shared" si="441"/>
        <v>0.56033128240794383</v>
      </c>
      <c r="Y826" s="823">
        <f t="shared" si="442"/>
        <v>0.42935414039823316</v>
      </c>
      <c r="Z826" s="829">
        <f t="shared" si="428"/>
        <v>9.1239667213595499E-2</v>
      </c>
    </row>
    <row r="827" spans="1:26" ht="20.100000000000001" customHeight="1" x14ac:dyDescent="0.2">
      <c r="A827" s="798">
        <f t="shared" si="429"/>
        <v>1267</v>
      </c>
      <c r="B827" s="817">
        <v>43500</v>
      </c>
      <c r="C827" s="842">
        <v>2724.87</v>
      </c>
      <c r="D827" s="814">
        <f t="shared" si="430"/>
        <v>6.7762042172078967E-3</v>
      </c>
      <c r="E827" s="841">
        <f t="shared" si="431"/>
        <v>0.2960512547325963</v>
      </c>
      <c r="F827" s="838">
        <v>7347.53</v>
      </c>
      <c r="G827" s="814">
        <f t="shared" si="432"/>
        <v>1.1518669137345719E-2</v>
      </c>
      <c r="H827" s="819">
        <f t="shared" si="433"/>
        <v>0.44304063475852856</v>
      </c>
      <c r="I827" s="863">
        <v>400045.9</v>
      </c>
      <c r="J827" s="822">
        <v>290000</v>
      </c>
      <c r="K827" s="822">
        <f t="shared" si="434"/>
        <v>261.26000000000931</v>
      </c>
      <c r="L827" s="814">
        <f t="shared" si="435"/>
        <v>6.5350184539358317E-4</v>
      </c>
      <c r="M827" s="839">
        <f t="shared" si="436"/>
        <v>110045.90000000002</v>
      </c>
      <c r="N827" s="824">
        <f t="shared" si="437"/>
        <v>0.37946862068965526</v>
      </c>
      <c r="O827" s="808">
        <f t="shared" si="438"/>
        <v>0.10939298635114174</v>
      </c>
      <c r="P827" s="839" t="b">
        <f t="shared" si="439"/>
        <v>0</v>
      </c>
      <c r="Q827" s="824">
        <f>COUNTIF(P$2:P827, TRUE)/(COUNTIF(P$2:P827,FALSE) + COUNTIF(P$2:P827, TRUE))</f>
        <v>0.5</v>
      </c>
      <c r="R827" s="866">
        <v>310256.99</v>
      </c>
      <c r="S827" s="868">
        <f t="shared" si="440"/>
        <v>89788.910000000033</v>
      </c>
      <c r="T827" s="822">
        <v>-33047</v>
      </c>
      <c r="U827" s="822">
        <f t="shared" si="443"/>
        <v>143092.90000000002</v>
      </c>
      <c r="V827" s="824">
        <f>STDEV(D$2:D827)*SQRT(252)</f>
        <v>0.14812811505907053</v>
      </c>
      <c r="W827" s="824">
        <f>STDEV(L$2:L827)*SQRT(252)</f>
        <v>0.25462872499432798</v>
      </c>
      <c r="X827" s="823">
        <f t="shared" si="441"/>
        <v>0.5761598876503532</v>
      </c>
      <c r="Y827" s="823">
        <f t="shared" si="442"/>
        <v>0.42961761817555555</v>
      </c>
      <c r="Z827" s="829">
        <f t="shared" si="428"/>
        <v>8.3417365957058953E-2</v>
      </c>
    </row>
    <row r="828" spans="1:26" ht="20.100000000000001" customHeight="1" x14ac:dyDescent="0.2">
      <c r="A828" s="798">
        <f t="shared" si="429"/>
        <v>1268</v>
      </c>
      <c r="B828" s="817">
        <v>43501</v>
      </c>
      <c r="C828" s="842">
        <v>2737.7</v>
      </c>
      <c r="D828" s="814">
        <f t="shared" si="430"/>
        <v>4.708481505539687E-3</v>
      </c>
      <c r="E828" s="841">
        <f t="shared" si="431"/>
        <v>0.30215368809573628</v>
      </c>
      <c r="F828" s="838">
        <v>7402.08</v>
      </c>
      <c r="G828" s="814">
        <f t="shared" si="432"/>
        <v>7.4242636641157211E-3</v>
      </c>
      <c r="H828" s="819">
        <f t="shared" si="433"/>
        <v>0.45375414890900884</v>
      </c>
      <c r="I828" s="863">
        <v>401573.77</v>
      </c>
      <c r="J828" s="822">
        <v>290000</v>
      </c>
      <c r="K828" s="822">
        <f t="shared" si="434"/>
        <v>1527.8699999999953</v>
      </c>
      <c r="L828" s="814">
        <f t="shared" si="435"/>
        <v>3.8192367425837767E-3</v>
      </c>
      <c r="M828" s="839">
        <f t="shared" si="436"/>
        <v>111573.77000000002</v>
      </c>
      <c r="N828" s="824">
        <f t="shared" si="437"/>
        <v>0.38473713793103453</v>
      </c>
      <c r="O828" s="808">
        <f t="shared" si="438"/>
        <v>0.11082432147421954</v>
      </c>
      <c r="P828" s="839" t="b">
        <f t="shared" si="439"/>
        <v>0</v>
      </c>
      <c r="Q828" s="824">
        <f>COUNTIF(P$2:P828, TRUE)/(COUNTIF(P$2:P828,FALSE) + COUNTIF(P$2:P828, TRUE))</f>
        <v>0.49939540507859737</v>
      </c>
      <c r="R828" s="866">
        <v>308862.81</v>
      </c>
      <c r="S828" s="868">
        <f t="shared" si="440"/>
        <v>92710.960000000021</v>
      </c>
      <c r="T828" s="822">
        <v>-32917</v>
      </c>
      <c r="U828" s="822">
        <f t="shared" si="443"/>
        <v>144490.77000000002</v>
      </c>
      <c r="V828" s="824">
        <f>STDEV(D$2:D828)*SQRT(252)</f>
        <v>0.14805781560677195</v>
      </c>
      <c r="W828" s="824">
        <f>STDEV(L$2:L828)*SQRT(252)</f>
        <v>0.25448060687659302</v>
      </c>
      <c r="X828" s="823">
        <f t="shared" si="441"/>
        <v>0.58785136777360014</v>
      </c>
      <c r="Y828" s="823">
        <f t="shared" si="442"/>
        <v>0.43549220836290414</v>
      </c>
      <c r="Z828" s="829">
        <f t="shared" si="428"/>
        <v>8.258344983529825E-2</v>
      </c>
    </row>
    <row r="829" spans="1:26" ht="20.100000000000001" customHeight="1" x14ac:dyDescent="0.2">
      <c r="A829" s="798">
        <f t="shared" si="429"/>
        <v>1269</v>
      </c>
      <c r="B829" s="817">
        <v>43502</v>
      </c>
      <c r="C829" s="842">
        <v>2731.61</v>
      </c>
      <c r="D829" s="814">
        <f t="shared" si="430"/>
        <v>-2.2244950140627869E-3</v>
      </c>
      <c r="E829" s="841">
        <f t="shared" si="431"/>
        <v>0.29925705370902383</v>
      </c>
      <c r="F829" s="838">
        <v>7375.28</v>
      </c>
      <c r="G829" s="814">
        <f t="shared" si="432"/>
        <v>-3.6206039383524877E-3</v>
      </c>
      <c r="H829" s="819">
        <f t="shared" si="433"/>
        <v>0.44849068091207261</v>
      </c>
      <c r="I829" s="863">
        <v>400657.85</v>
      </c>
      <c r="J829" s="822">
        <v>290000</v>
      </c>
      <c r="K829" s="822">
        <f t="shared" si="434"/>
        <v>-915.92000000004191</v>
      </c>
      <c r="L829" s="814">
        <f t="shared" si="435"/>
        <v>-2.2808262601415473E-3</v>
      </c>
      <c r="M829" s="839">
        <f t="shared" si="436"/>
        <v>110657.84999999998</v>
      </c>
      <c r="N829" s="824">
        <f t="shared" si="437"/>
        <v>0.38157879310344822</v>
      </c>
      <c r="O829" s="808">
        <f t="shared" si="438"/>
        <v>0.1098279386769381</v>
      </c>
      <c r="P829" s="839" t="b">
        <f t="shared" si="439"/>
        <v>0</v>
      </c>
      <c r="Q829" s="824">
        <f>COUNTIF(P$2:P829, TRUE)/(COUNTIF(P$2:P829,FALSE) + COUNTIF(P$2:P829, TRUE))</f>
        <v>0.49879227053140096</v>
      </c>
      <c r="R829" s="866">
        <v>304167.55</v>
      </c>
      <c r="S829" s="868">
        <f t="shared" si="440"/>
        <v>96490.299999999988</v>
      </c>
      <c r="T829" s="822">
        <v>-32778</v>
      </c>
      <c r="U829" s="822">
        <f t="shared" si="443"/>
        <v>143435.84999999998</v>
      </c>
      <c r="V829" s="824">
        <f>STDEV(D$2:D829)*SQRT(252)</f>
        <v>0.14797505943148828</v>
      </c>
      <c r="W829" s="824">
        <f>STDEV(L$2:L829)*SQRT(252)</f>
        <v>0.25433146852233829</v>
      </c>
      <c r="X829" s="823">
        <f t="shared" si="441"/>
        <v>0.58208240970679481</v>
      </c>
      <c r="Y829" s="823">
        <f t="shared" si="442"/>
        <v>0.43182992381963842</v>
      </c>
      <c r="Z829" s="829">
        <f t="shared" si="428"/>
        <v>8.2321739394424387E-2</v>
      </c>
    </row>
    <row r="830" spans="1:26" ht="20.100000000000001" customHeight="1" x14ac:dyDescent="0.2">
      <c r="A830" s="798">
        <f t="shared" si="429"/>
        <v>1270</v>
      </c>
      <c r="B830" s="817">
        <v>43503</v>
      </c>
      <c r="C830" s="842">
        <v>2706.05</v>
      </c>
      <c r="D830" s="814">
        <f t="shared" si="430"/>
        <v>-9.3571190616522654E-3</v>
      </c>
      <c r="E830" s="841">
        <f t="shared" si="431"/>
        <v>0.28709975076577698</v>
      </c>
      <c r="F830" s="838">
        <v>7288.35</v>
      </c>
      <c r="G830" s="814">
        <f t="shared" si="432"/>
        <v>-1.1786671150112183E-2</v>
      </c>
      <c r="H830" s="819">
        <f t="shared" si="433"/>
        <v>0.43141779759215992</v>
      </c>
      <c r="I830" s="863">
        <v>396182.66</v>
      </c>
      <c r="J830" s="822">
        <v>290000</v>
      </c>
      <c r="K830" s="822">
        <f t="shared" si="434"/>
        <v>-4475.1900000000023</v>
      </c>
      <c r="L830" s="814">
        <f t="shared" si="435"/>
        <v>-1.1169605188067581E-2</v>
      </c>
      <c r="M830" s="839">
        <f t="shared" si="436"/>
        <v>106182.65999999997</v>
      </c>
      <c r="N830" s="824">
        <f t="shared" si="437"/>
        <v>0.36614710344827578</v>
      </c>
      <c r="O830" s="808">
        <f t="shared" si="438"/>
        <v>0.10530333034211238</v>
      </c>
      <c r="P830" s="839" t="b">
        <f t="shared" si="439"/>
        <v>0</v>
      </c>
      <c r="Q830" s="824">
        <f>COUNTIF(P$2:P830, TRUE)/(COUNTIF(P$2:P830,FALSE) + COUNTIF(P$2:P830, TRUE))</f>
        <v>0.49819059107358266</v>
      </c>
      <c r="R830" s="866">
        <v>314836.36</v>
      </c>
      <c r="S830" s="868">
        <f t="shared" si="440"/>
        <v>81346.299999999988</v>
      </c>
      <c r="T830" s="822">
        <v>-33058</v>
      </c>
      <c r="U830" s="822">
        <f t="shared" si="443"/>
        <v>139240.65999999997</v>
      </c>
      <c r="V830" s="824">
        <f>STDEV(D$2:D830)*SQRT(252)</f>
        <v>0.14798269617263782</v>
      </c>
      <c r="W830" s="824">
        <f>STDEV(L$2:L830)*SQRT(252)</f>
        <v>0.25426044550181115</v>
      </c>
      <c r="X830" s="823">
        <f t="shared" si="441"/>
        <v>0.5579668321377218</v>
      </c>
      <c r="Y830" s="823">
        <f t="shared" si="442"/>
        <v>0.41415537573799416</v>
      </c>
      <c r="Z830" s="829">
        <f t="shared" si="428"/>
        <v>7.9047352682498795E-2</v>
      </c>
    </row>
    <row r="831" spans="1:26" ht="20.100000000000001" customHeight="1" x14ac:dyDescent="0.2">
      <c r="A831" s="798">
        <f t="shared" si="429"/>
        <v>1271</v>
      </c>
      <c r="B831" s="817">
        <v>43504</v>
      </c>
      <c r="C831" s="842">
        <v>2707.88</v>
      </c>
      <c r="D831" s="814">
        <f t="shared" si="430"/>
        <v>6.7626244895693983E-4</v>
      </c>
      <c r="E831" s="841">
        <f t="shared" si="431"/>
        <v>0.28797016799528169</v>
      </c>
      <c r="F831" s="838">
        <v>7298.19</v>
      </c>
      <c r="G831" s="814">
        <f t="shared" si="432"/>
        <v>1.3500998168308651E-3</v>
      </c>
      <c r="H831" s="819">
        <f t="shared" si="433"/>
        <v>0.43335035449849751</v>
      </c>
      <c r="I831" s="863">
        <v>394817.52</v>
      </c>
      <c r="J831" s="822">
        <v>290000</v>
      </c>
      <c r="K831" s="822">
        <f t="shared" si="434"/>
        <v>-1365.1399999999558</v>
      </c>
      <c r="L831" s="814">
        <f t="shared" si="435"/>
        <v>-3.4457338440807982E-3</v>
      </c>
      <c r="M831" s="839">
        <f t="shared" si="436"/>
        <v>104817.52000000002</v>
      </c>
      <c r="N831" s="824">
        <f t="shared" si="437"/>
        <v>0.36143972413793107</v>
      </c>
      <c r="O831" s="808">
        <f t="shared" si="438"/>
        <v>0.10386770986733228</v>
      </c>
      <c r="P831" s="839" t="b">
        <f t="shared" si="439"/>
        <v>0</v>
      </c>
      <c r="Q831" s="824">
        <f>COUNTIF(P$2:P831, TRUE)/(COUNTIF(P$2:P831,FALSE) + COUNTIF(P$2:P831, TRUE))</f>
        <v>0.49759036144578311</v>
      </c>
      <c r="R831" s="866">
        <v>319372.21999999997</v>
      </c>
      <c r="S831" s="868">
        <f t="shared" si="440"/>
        <v>75445.300000000047</v>
      </c>
      <c r="T831" s="822">
        <v>-33112</v>
      </c>
      <c r="U831" s="822">
        <f t="shared" si="443"/>
        <v>137929.52000000002</v>
      </c>
      <c r="V831" s="824">
        <f>STDEV(D$2:D831)*SQRT(252)</f>
        <v>0.14789341819898402</v>
      </c>
      <c r="W831" s="824">
        <f>STDEV(L$2:L831)*SQRT(252)</f>
        <v>0.25411653775614662</v>
      </c>
      <c r="X831" s="823">
        <f t="shared" si="441"/>
        <v>0.55955570383066522</v>
      </c>
      <c r="Y831" s="823">
        <f t="shared" si="442"/>
        <v>0.40874045736844178</v>
      </c>
      <c r="Z831" s="829">
        <f t="shared" si="428"/>
        <v>7.3469556142649384E-2</v>
      </c>
    </row>
    <row r="832" spans="1:26" ht="20.100000000000001" customHeight="1" x14ac:dyDescent="0.2">
      <c r="A832" s="798">
        <f t="shared" si="429"/>
        <v>1274</v>
      </c>
      <c r="B832" s="817">
        <v>43507</v>
      </c>
      <c r="C832" s="842">
        <v>2709.8</v>
      </c>
      <c r="D832" s="814">
        <f t="shared" si="430"/>
        <v>7.0904175960532698E-4</v>
      </c>
      <c r="E832" s="841">
        <f t="shared" si="431"/>
        <v>0.28888339262951623</v>
      </c>
      <c r="F832" s="838">
        <v>7307.9</v>
      </c>
      <c r="G832" s="814">
        <f t="shared" si="432"/>
        <v>1.330466869182638E-3</v>
      </c>
      <c r="H832" s="819">
        <f t="shared" si="433"/>
        <v>0.43525737965708899</v>
      </c>
      <c r="I832" s="863">
        <v>396278.65</v>
      </c>
      <c r="J832" s="822">
        <v>290000</v>
      </c>
      <c r="K832" s="822">
        <f t="shared" si="434"/>
        <v>1461.1300000000047</v>
      </c>
      <c r="L832" s="814">
        <f t="shared" si="435"/>
        <v>3.7007729545538016E-3</v>
      </c>
      <c r="M832" s="839">
        <f t="shared" si="436"/>
        <v>106278.65000000002</v>
      </c>
      <c r="N832" s="824">
        <f t="shared" si="437"/>
        <v>0.36647810344827592</v>
      </c>
      <c r="O832" s="808">
        <f t="shared" si="438"/>
        <v>0.10506760383397393</v>
      </c>
      <c r="P832" s="839" t="b">
        <f t="shared" si="439"/>
        <v>1</v>
      </c>
      <c r="Q832" s="824">
        <f>COUNTIF(P$2:P832, TRUE)/(COUNTIF(P$2:P832,FALSE) + COUNTIF(P$2:P832, TRUE))</f>
        <v>0.49819494584837543</v>
      </c>
      <c r="R832" s="866">
        <v>324861.34999999998</v>
      </c>
      <c r="S832" s="868">
        <f t="shared" si="440"/>
        <v>71417.300000000047</v>
      </c>
      <c r="T832" s="822">
        <v>-33195</v>
      </c>
      <c r="U832" s="822">
        <f t="shared" si="443"/>
        <v>139473.65000000002</v>
      </c>
      <c r="V832" s="824">
        <f>STDEV(D$2:D832)*SQRT(252)</f>
        <v>0.14780432477645816</v>
      </c>
      <c r="W832" s="824">
        <f>STDEV(L$2:L832)*SQRT(252)</f>
        <v>0.2539690766921448</v>
      </c>
      <c r="X832" s="823">
        <f t="shared" si="441"/>
        <v>0.5603459413276406</v>
      </c>
      <c r="Y832" s="823">
        <f t="shared" si="442"/>
        <v>0.41370234991771987</v>
      </c>
      <c r="Z832" s="829">
        <f t="shared" si="428"/>
        <v>7.7594710818759682E-2</v>
      </c>
    </row>
    <row r="833" spans="1:26" ht="20.100000000000001" customHeight="1" x14ac:dyDescent="0.2">
      <c r="A833" s="798">
        <f t="shared" si="429"/>
        <v>1275</v>
      </c>
      <c r="B833" s="817">
        <v>43508</v>
      </c>
      <c r="C833" s="842">
        <v>2744.73</v>
      </c>
      <c r="D833" s="814">
        <f t="shared" si="430"/>
        <v>1.2890250202966948E-2</v>
      </c>
      <c r="E833" s="841">
        <f t="shared" si="431"/>
        <v>0.3054974220429596</v>
      </c>
      <c r="F833" s="838">
        <v>7414.61</v>
      </c>
      <c r="G833" s="814">
        <f t="shared" si="432"/>
        <v>1.4602006048249161E-2</v>
      </c>
      <c r="H833" s="819">
        <f t="shared" si="433"/>
        <v>0.45621501659563601</v>
      </c>
      <c r="I833" s="863">
        <v>402240.41</v>
      </c>
      <c r="J833" s="822">
        <v>290000</v>
      </c>
      <c r="K833" s="822">
        <f t="shared" si="434"/>
        <v>5961.7599999999511</v>
      </c>
      <c r="L833" s="814">
        <f t="shared" si="435"/>
        <v>1.5044363353917631E-2</v>
      </c>
      <c r="M833" s="839">
        <f t="shared" si="436"/>
        <v>112240.40999999997</v>
      </c>
      <c r="N833" s="824">
        <f t="shared" si="437"/>
        <v>0.38703589655172405</v>
      </c>
      <c r="O833" s="808">
        <f t="shared" si="438"/>
        <v>0.11087440095334683</v>
      </c>
      <c r="P833" s="839" t="b">
        <f t="shared" si="439"/>
        <v>1</v>
      </c>
      <c r="Q833" s="824">
        <f>COUNTIF(P$2:P833, TRUE)/(COUNTIF(P$2:P833,FALSE) + COUNTIF(P$2:P833, TRUE))</f>
        <v>0.49879807692307693</v>
      </c>
      <c r="R833" s="866">
        <v>315607.31</v>
      </c>
      <c r="S833" s="868">
        <f t="shared" si="440"/>
        <v>86633.099999999977</v>
      </c>
      <c r="T833" s="822">
        <v>-32571</v>
      </c>
      <c r="U833" s="822">
        <f t="shared" si="443"/>
        <v>144811.40999999997</v>
      </c>
      <c r="V833" s="824">
        <f>STDEV(D$2:D833)*SQRT(252)</f>
        <v>0.14787661380003408</v>
      </c>
      <c r="W833" s="824">
        <f>STDEV(L$2:L833)*SQRT(252)</f>
        <v>0.25394106485907758</v>
      </c>
      <c r="X833" s="823">
        <f t="shared" si="441"/>
        <v>0.59181789431123943</v>
      </c>
      <c r="Y833" s="823">
        <f t="shared" si="442"/>
        <v>0.43661469646461326</v>
      </c>
      <c r="Z833" s="829">
        <f t="shared" si="428"/>
        <v>8.1538474508764447E-2</v>
      </c>
    </row>
    <row r="834" spans="1:26" ht="20.100000000000001" customHeight="1" x14ac:dyDescent="0.2">
      <c r="A834" s="798">
        <f t="shared" si="429"/>
        <v>1276</v>
      </c>
      <c r="B834" s="817">
        <v>43509</v>
      </c>
      <c r="C834" s="842">
        <v>2753.03</v>
      </c>
      <c r="D834" s="814">
        <f t="shared" si="430"/>
        <v>3.0239768574687425E-3</v>
      </c>
      <c r="E834" s="841">
        <f t="shared" si="431"/>
        <v>0.3094452160347026</v>
      </c>
      <c r="F834" s="838">
        <v>7420.37</v>
      </c>
      <c r="G834" s="814">
        <f t="shared" si="432"/>
        <v>7.7684463511907143E-4</v>
      </c>
      <c r="H834" s="819">
        <f t="shared" si="433"/>
        <v>0.4573462694188582</v>
      </c>
      <c r="I834" s="863">
        <v>402473.84</v>
      </c>
      <c r="J834" s="822">
        <v>290000</v>
      </c>
      <c r="K834" s="822">
        <f t="shared" si="434"/>
        <v>233.43000000005122</v>
      </c>
      <c r="L834" s="814">
        <f t="shared" si="435"/>
        <v>5.8032458747755164E-4</v>
      </c>
      <c r="M834" s="839">
        <f t="shared" si="436"/>
        <v>112473.84000000003</v>
      </c>
      <c r="N834" s="824">
        <f t="shared" si="437"/>
        <v>0.38784082758620697</v>
      </c>
      <c r="O834" s="808">
        <f t="shared" si="438"/>
        <v>0.11101791714409255</v>
      </c>
      <c r="P834" s="839" t="b">
        <f t="shared" si="439"/>
        <v>0</v>
      </c>
      <c r="Q834" s="824">
        <f>COUNTIF(P$2:P834, TRUE)/(COUNTIF(P$2:P834,FALSE) + COUNTIF(P$2:P834, TRUE))</f>
        <v>0.49819927971188477</v>
      </c>
      <c r="R834" s="866">
        <v>313152.77</v>
      </c>
      <c r="S834" s="868">
        <f t="shared" si="440"/>
        <v>89321.07</v>
      </c>
      <c r="T834" s="822">
        <v>-32803</v>
      </c>
      <c r="U834" s="822">
        <f t="shared" si="443"/>
        <v>145276.84000000003</v>
      </c>
      <c r="V834" s="824">
        <f>STDEV(D$2:D834)*SQRT(252)</f>
        <v>0.14779486111360304</v>
      </c>
      <c r="W834" s="824">
        <f>STDEV(L$2:L834)*SQRT(252)</f>
        <v>0.25378822650323002</v>
      </c>
      <c r="X834" s="823">
        <f t="shared" si="441"/>
        <v>0.59932720165570752</v>
      </c>
      <c r="Y834" s="823">
        <f t="shared" si="442"/>
        <v>0.43744313388264922</v>
      </c>
      <c r="Z834" s="829">
        <f t="shared" si="428"/>
        <v>7.8395611551504374E-2</v>
      </c>
    </row>
    <row r="835" spans="1:26" ht="20.100000000000001" customHeight="1" x14ac:dyDescent="0.2">
      <c r="A835" s="798">
        <f t="shared" si="429"/>
        <v>1277</v>
      </c>
      <c r="B835" s="817">
        <v>43510</v>
      </c>
      <c r="C835" s="842">
        <v>2745.73</v>
      </c>
      <c r="D835" s="814">
        <f t="shared" si="430"/>
        <v>-2.6516238471793554E-3</v>
      </c>
      <c r="E835" s="841">
        <f t="shared" si="431"/>
        <v>0.30597305987329004</v>
      </c>
      <c r="F835" s="838">
        <v>7426.95</v>
      </c>
      <c r="G835" s="814">
        <f t="shared" si="432"/>
        <v>8.8674823492628093E-4</v>
      </c>
      <c r="H835" s="819">
        <f t="shared" si="433"/>
        <v>0.45863856865094177</v>
      </c>
      <c r="I835" s="863">
        <v>405300.44</v>
      </c>
      <c r="J835" s="822">
        <v>290000</v>
      </c>
      <c r="K835" s="822">
        <f t="shared" si="434"/>
        <v>2826.5999999999767</v>
      </c>
      <c r="L835" s="814">
        <f t="shared" si="435"/>
        <v>7.0230651512654249E-3</v>
      </c>
      <c r="M835" s="839">
        <f t="shared" si="436"/>
        <v>115300.44</v>
      </c>
      <c r="N835" s="824">
        <f t="shared" si="437"/>
        <v>0.39758772413793103</v>
      </c>
      <c r="O835" s="808">
        <f t="shared" si="438"/>
        <v>0.1137188067669376</v>
      </c>
      <c r="P835" s="839" t="b">
        <f t="shared" si="439"/>
        <v>1</v>
      </c>
      <c r="Q835" s="824">
        <f>COUNTIF(P$2:P835, TRUE)/(COUNTIF(P$2:P835,FALSE) + COUNTIF(P$2:P835, TRUE))</f>
        <v>0.49880095923261392</v>
      </c>
      <c r="R835" s="866">
        <v>306013.5</v>
      </c>
      <c r="S835" s="868">
        <f t="shared" si="440"/>
        <v>99286.94</v>
      </c>
      <c r="T835" s="822">
        <v>-32953</v>
      </c>
      <c r="U835" s="822">
        <f t="shared" si="443"/>
        <v>148253.44</v>
      </c>
      <c r="V835" s="824">
        <f>STDEV(D$2:D835)*SQRT(252)</f>
        <v>0.1477153488930065</v>
      </c>
      <c r="W835" s="824">
        <f>STDEV(L$2:L835)*SQRT(252)</f>
        <v>0.25366031982836423</v>
      </c>
      <c r="X835" s="823">
        <f t="shared" si="441"/>
        <v>0.5924570781861207</v>
      </c>
      <c r="Y835" s="823">
        <f t="shared" si="442"/>
        <v>0.44831137500687485</v>
      </c>
      <c r="Z835" s="829">
        <f t="shared" si="428"/>
        <v>9.1614664264640988E-2</v>
      </c>
    </row>
    <row r="836" spans="1:26" ht="20.100000000000001" customHeight="1" x14ac:dyDescent="0.2">
      <c r="A836" s="798">
        <f t="shared" si="429"/>
        <v>1278</v>
      </c>
      <c r="B836" s="817">
        <v>43511</v>
      </c>
      <c r="C836" s="842">
        <v>2775.6</v>
      </c>
      <c r="D836" s="814">
        <f t="shared" si="430"/>
        <v>1.0878709851296338E-2</v>
      </c>
      <c r="E836" s="841">
        <f t="shared" si="431"/>
        <v>0.32018036186526122</v>
      </c>
      <c r="F836" s="838">
        <v>7472.41</v>
      </c>
      <c r="G836" s="814">
        <f t="shared" si="432"/>
        <v>6.1209513999690365E-3</v>
      </c>
      <c r="H836" s="819">
        <f t="shared" si="433"/>
        <v>0.46756682443977454</v>
      </c>
      <c r="I836" s="863">
        <v>416948.08</v>
      </c>
      <c r="J836" s="822">
        <v>300000</v>
      </c>
      <c r="K836" s="822">
        <f t="shared" si="434"/>
        <v>1647.640000000014</v>
      </c>
      <c r="L836" s="814">
        <f t="shared" si="435"/>
        <v>4.0652312146515655E-3</v>
      </c>
      <c r="M836" s="839">
        <f t="shared" si="436"/>
        <v>116948.08000000002</v>
      </c>
      <c r="N836" s="824">
        <f t="shared" si="437"/>
        <v>0.3898269333333334</v>
      </c>
      <c r="O836" s="808">
        <f t="shared" si="438"/>
        <v>0.11141180547730832</v>
      </c>
      <c r="P836" s="839" t="b">
        <f t="shared" si="439"/>
        <v>0</v>
      </c>
      <c r="Q836" s="824">
        <f>COUNTIF(P$2:P836, TRUE)/(COUNTIF(P$2:P836,FALSE) + COUNTIF(P$2:P836, TRUE))</f>
        <v>0.49820359281437127</v>
      </c>
      <c r="R836" s="866">
        <v>274189.2</v>
      </c>
      <c r="S836" s="868">
        <f t="shared" si="440"/>
        <v>142758.88</v>
      </c>
      <c r="T836" s="822">
        <v>-33225</v>
      </c>
      <c r="U836" s="822">
        <f t="shared" si="443"/>
        <v>150173.08000000002</v>
      </c>
      <c r="V836" s="824">
        <f>STDEV(D$2:D836)*SQRT(252)</f>
        <v>0.14773976393576149</v>
      </c>
      <c r="W836" s="824">
        <f>STDEV(L$2:L836)*SQRT(252)</f>
        <v>0.2535151700626439</v>
      </c>
      <c r="X836" s="823">
        <f t="shared" si="441"/>
        <v>0.61937926327813009</v>
      </c>
      <c r="Y836" s="823">
        <f t="shared" si="442"/>
        <v>0.43946800284092796</v>
      </c>
      <c r="Z836" s="829">
        <f t="shared" si="428"/>
        <v>6.9646571468072183E-2</v>
      </c>
    </row>
    <row r="837" spans="1:26" ht="20.100000000000001" customHeight="1" x14ac:dyDescent="0.2">
      <c r="A837" s="798">
        <f t="shared" si="429"/>
        <v>1282</v>
      </c>
      <c r="B837" s="817">
        <v>43515</v>
      </c>
      <c r="C837" s="842">
        <v>2779.76</v>
      </c>
      <c r="D837" s="814">
        <f t="shared" si="430"/>
        <v>1.4987750396311822E-3</v>
      </c>
      <c r="E837" s="841">
        <f t="shared" si="431"/>
        <v>0.32215901523943613</v>
      </c>
      <c r="F837" s="838">
        <v>7486.76</v>
      </c>
      <c r="G837" s="814">
        <f t="shared" si="432"/>
        <v>1.9203978368425132E-3</v>
      </c>
      <c r="H837" s="819">
        <f t="shared" si="433"/>
        <v>0.47038513659485054</v>
      </c>
      <c r="I837" s="863">
        <v>417878.34</v>
      </c>
      <c r="J837" s="822">
        <v>300000</v>
      </c>
      <c r="K837" s="822">
        <f t="shared" si="434"/>
        <v>930.26000000000931</v>
      </c>
      <c r="L837" s="814">
        <f t="shared" si="435"/>
        <v>2.2311171213452029E-3</v>
      </c>
      <c r="M837" s="839">
        <f t="shared" si="436"/>
        <v>117878.34000000003</v>
      </c>
      <c r="N837" s="824">
        <f t="shared" si="437"/>
        <v>0.3929278000000001</v>
      </c>
      <c r="O837" s="808">
        <f t="shared" si="438"/>
        <v>0.1119476434867395</v>
      </c>
      <c r="P837" s="839" t="b">
        <f t="shared" si="439"/>
        <v>1</v>
      </c>
      <c r="Q837" s="824">
        <f>COUNTIF(P$2:P837, TRUE)/(COUNTIF(P$2:P837,FALSE) + COUNTIF(P$2:P837, TRUE))</f>
        <v>0.49880382775119619</v>
      </c>
      <c r="R837" s="866">
        <v>262366.64</v>
      </c>
      <c r="S837" s="868">
        <f t="shared" si="440"/>
        <v>155511.70000000001</v>
      </c>
      <c r="T837" s="822">
        <v>-33300</v>
      </c>
      <c r="U837" s="822">
        <f t="shared" si="443"/>
        <v>151178.34000000003</v>
      </c>
      <c r="V837" s="824">
        <f>STDEV(D$2:D837)*SQRT(252)</f>
        <v>0.14765245184344195</v>
      </c>
      <c r="W837" s="824">
        <f>STDEV(L$2:L837)*SQRT(252)</f>
        <v>0.25336471207681943</v>
      </c>
      <c r="X837" s="823">
        <f t="shared" si="441"/>
        <v>0.62162979962244336</v>
      </c>
      <c r="Y837" s="823">
        <f t="shared" si="442"/>
        <v>0.44184386440049039</v>
      </c>
      <c r="Z837" s="829">
        <f t="shared" si="428"/>
        <v>7.0768784760563974E-2</v>
      </c>
    </row>
    <row r="838" spans="1:26" ht="20.100000000000001" customHeight="1" x14ac:dyDescent="0.2">
      <c r="A838" s="798">
        <f t="shared" si="429"/>
        <v>1283</v>
      </c>
      <c r="B838" s="817">
        <v>43516</v>
      </c>
      <c r="C838" s="842">
        <v>2784.7</v>
      </c>
      <c r="D838" s="814">
        <f t="shared" si="430"/>
        <v>1.7771318387197453E-3</v>
      </c>
      <c r="E838" s="841">
        <f t="shared" si="431"/>
        <v>0.3245086661212685</v>
      </c>
      <c r="F838" s="838">
        <v>7489.06</v>
      </c>
      <c r="G838" s="814">
        <f t="shared" si="432"/>
        <v>3.0720899294223159E-4</v>
      </c>
      <c r="H838" s="819">
        <f t="shared" si="433"/>
        <v>0.47083685213190107</v>
      </c>
      <c r="I838" s="863">
        <v>419215.09</v>
      </c>
      <c r="J838" s="822">
        <v>300000</v>
      </c>
      <c r="K838" s="822">
        <f t="shared" si="434"/>
        <v>1336.75</v>
      </c>
      <c r="L838" s="814">
        <f t="shared" si="435"/>
        <v>3.1988975547284884E-3</v>
      </c>
      <c r="M838" s="839">
        <f t="shared" si="436"/>
        <v>119215.09000000003</v>
      </c>
      <c r="N838" s="824">
        <f t="shared" si="437"/>
        <v>0.39738363333333343</v>
      </c>
      <c r="O838" s="808">
        <f t="shared" si="438"/>
        <v>0.11312889483632114</v>
      </c>
      <c r="P838" s="839" t="b">
        <f t="shared" si="439"/>
        <v>1</v>
      </c>
      <c r="Q838" s="824">
        <f>COUNTIF(P$2:P838, TRUE)/(COUNTIF(P$2:P838,FALSE) + COUNTIF(P$2:P838, TRUE))</f>
        <v>0.49940262843488648</v>
      </c>
      <c r="R838" s="866">
        <v>210627.18</v>
      </c>
      <c r="S838" s="868">
        <f t="shared" si="440"/>
        <v>208587.91000000003</v>
      </c>
      <c r="T838" s="822">
        <v>-33230</v>
      </c>
      <c r="U838" s="822">
        <f t="shared" si="443"/>
        <v>152445.09000000003</v>
      </c>
      <c r="V838" s="824">
        <f>STDEV(D$2:D838)*SQRT(252)</f>
        <v>0.14756601090213103</v>
      </c>
      <c r="W838" s="824">
        <f>STDEV(L$2:L838)*SQRT(252)</f>
        <v>0.25321695041310477</v>
      </c>
      <c r="X838" s="823">
        <f t="shared" si="441"/>
        <v>0.62604208648834814</v>
      </c>
      <c r="Y838" s="823">
        <f t="shared" si="442"/>
        <v>0.44676667439426826</v>
      </c>
      <c r="Z838" s="829">
        <f t="shared" si="428"/>
        <v>7.2874967212064934E-2</v>
      </c>
    </row>
    <row r="839" spans="1:26" ht="20.100000000000001" customHeight="1" x14ac:dyDescent="0.2">
      <c r="A839" s="798">
        <f t="shared" si="429"/>
        <v>1284</v>
      </c>
      <c r="B839" s="817">
        <v>43517</v>
      </c>
      <c r="C839" s="842">
        <v>2774.88</v>
      </c>
      <c r="D839" s="814">
        <f t="shared" si="430"/>
        <v>-3.526412180845229E-3</v>
      </c>
      <c r="E839" s="841">
        <f t="shared" si="431"/>
        <v>0.3198379026274234</v>
      </c>
      <c r="F839" s="838">
        <v>7459.7</v>
      </c>
      <c r="G839" s="814">
        <f t="shared" si="432"/>
        <v>-3.9203852018812211E-3</v>
      </c>
      <c r="H839" s="819">
        <f t="shared" si="433"/>
        <v>0.4650706051024216</v>
      </c>
      <c r="I839" s="863">
        <v>418665.85</v>
      </c>
      <c r="J839" s="822">
        <v>300000</v>
      </c>
      <c r="K839" s="822">
        <f t="shared" si="434"/>
        <v>-549.24000000004889</v>
      </c>
      <c r="L839" s="814">
        <f t="shared" si="435"/>
        <v>-1.3101627615552886E-3</v>
      </c>
      <c r="M839" s="839">
        <f t="shared" si="436"/>
        <v>118665.84999999998</v>
      </c>
      <c r="N839" s="824">
        <f t="shared" si="437"/>
        <v>0.39555283333333324</v>
      </c>
      <c r="O839" s="808">
        <f t="shared" si="438"/>
        <v>0.11251999406152645</v>
      </c>
      <c r="P839" s="839" t="b">
        <f t="shared" si="439"/>
        <v>1</v>
      </c>
      <c r="Q839" s="824">
        <f>COUNTIF(P$2:P839, TRUE)/(COUNTIF(P$2:P839,FALSE) + COUNTIF(P$2:P839, TRUE))</f>
        <v>0.5</v>
      </c>
      <c r="R839" s="866">
        <v>221787.94</v>
      </c>
      <c r="S839" s="868">
        <f t="shared" si="440"/>
        <v>196877.90999999997</v>
      </c>
      <c r="T839" s="822">
        <v>-33160</v>
      </c>
      <c r="U839" s="822">
        <f t="shared" si="443"/>
        <v>151825.84999999998</v>
      </c>
      <c r="V839" s="824">
        <f>STDEV(D$2:D839)*SQRT(252)</f>
        <v>0.14749329834613209</v>
      </c>
      <c r="W839" s="824">
        <f>STDEV(L$2:L839)*SQRT(252)</f>
        <v>0.25306765260955155</v>
      </c>
      <c r="X839" s="823">
        <f t="shared" si="441"/>
        <v>0.61685464872364026</v>
      </c>
      <c r="Y839" s="823">
        <f t="shared" si="442"/>
        <v>0.44462416630990476</v>
      </c>
      <c r="Z839" s="829">
        <f t="shared" si="428"/>
        <v>7.5714930705909844E-2</v>
      </c>
    </row>
    <row r="840" spans="1:26" ht="20.100000000000001" customHeight="1" x14ac:dyDescent="0.2">
      <c r="A840" s="798">
        <f t="shared" si="429"/>
        <v>1285</v>
      </c>
      <c r="B840" s="817">
        <v>43518</v>
      </c>
      <c r="C840" s="842">
        <v>2792.67</v>
      </c>
      <c r="D840" s="814">
        <f t="shared" si="430"/>
        <v>6.4110880470506703E-3</v>
      </c>
      <c r="E840" s="841">
        <f t="shared" si="431"/>
        <v>0.32829949962900251</v>
      </c>
      <c r="F840" s="838">
        <v>7527.49</v>
      </c>
      <c r="G840" s="814">
        <f t="shared" si="432"/>
        <v>9.0874968162258495E-3</v>
      </c>
      <c r="H840" s="819">
        <f t="shared" si="433"/>
        <v>0.47838442956183597</v>
      </c>
      <c r="I840" s="863">
        <v>410165.69</v>
      </c>
      <c r="J840" s="822">
        <v>300000</v>
      </c>
      <c r="K840" s="822">
        <f t="shared" si="434"/>
        <v>-8500.1599999999744</v>
      </c>
      <c r="L840" s="814">
        <f t="shared" si="435"/>
        <v>-2.0302969540028103E-2</v>
      </c>
      <c r="M840" s="839">
        <f t="shared" si="436"/>
        <v>110165.69</v>
      </c>
      <c r="N840" s="824">
        <f t="shared" si="437"/>
        <v>0.3672189666666667</v>
      </c>
      <c r="O840" s="808">
        <f t="shared" si="438"/>
        <v>0.10437877632295721</v>
      </c>
      <c r="P840" s="839" t="b">
        <f t="shared" si="439"/>
        <v>0</v>
      </c>
      <c r="Q840" s="824">
        <f>COUNTIF(P$2:P840, TRUE)/(COUNTIF(P$2:P840,FALSE) + COUNTIF(P$2:P840, TRUE))</f>
        <v>0.49940405244338498</v>
      </c>
      <c r="R840" s="866">
        <v>210938.45</v>
      </c>
      <c r="S840" s="868">
        <f t="shared" si="440"/>
        <v>199227.24</v>
      </c>
      <c r="T840" s="822">
        <v>-39960</v>
      </c>
      <c r="U840" s="822">
        <f t="shared" si="443"/>
        <v>150125.69</v>
      </c>
      <c r="V840" s="824">
        <f>STDEV(D$2:D840)*SQRT(252)</f>
        <v>0.1474423265735898</v>
      </c>
      <c r="W840" s="824">
        <f>STDEV(L$2:L840)*SQRT(252)</f>
        <v>0.25317624402984179</v>
      </c>
      <c r="X840" s="823">
        <f t="shared" si="441"/>
        <v>0.63290006825522904</v>
      </c>
      <c r="Y840" s="823">
        <f t="shared" si="442"/>
        <v>0.41227713414791839</v>
      </c>
      <c r="Z840" s="829">
        <f t="shared" si="428"/>
        <v>3.891946703766419E-2</v>
      </c>
    </row>
    <row r="841" spans="1:26" ht="20.100000000000001" customHeight="1" x14ac:dyDescent="0.2">
      <c r="A841" s="798">
        <f t="shared" si="429"/>
        <v>1288</v>
      </c>
      <c r="B841" s="817">
        <v>43521</v>
      </c>
      <c r="C841" s="842">
        <v>2796.11</v>
      </c>
      <c r="D841" s="814">
        <f t="shared" si="430"/>
        <v>1.2317960947767028E-3</v>
      </c>
      <c r="E841" s="841">
        <f t="shared" si="431"/>
        <v>0.32993569376533932</v>
      </c>
      <c r="F841" s="838">
        <v>7554.46</v>
      </c>
      <c r="G841" s="814">
        <f t="shared" si="432"/>
        <v>3.5828675959715993E-3</v>
      </c>
      <c r="H841" s="819">
        <f t="shared" si="433"/>
        <v>0.48368128522890202</v>
      </c>
      <c r="I841" s="863">
        <v>410247.07</v>
      </c>
      <c r="J841" s="822">
        <v>300000</v>
      </c>
      <c r="K841" s="822">
        <f t="shared" si="434"/>
        <v>81.380000000004657</v>
      </c>
      <c r="L841" s="814">
        <f t="shared" si="435"/>
        <v>1.9840762400191167E-4</v>
      </c>
      <c r="M841" s="839">
        <f t="shared" si="436"/>
        <v>110247.07</v>
      </c>
      <c r="N841" s="824">
        <f t="shared" si="437"/>
        <v>0.36749023333333336</v>
      </c>
      <c r="O841" s="808">
        <f t="shared" si="438"/>
        <v>0.10421258363742236</v>
      </c>
      <c r="P841" s="839" t="b">
        <f t="shared" si="439"/>
        <v>0</v>
      </c>
      <c r="Q841" s="824">
        <f>COUNTIF(P$2:P841, TRUE)/(COUNTIF(P$2:P841,FALSE) + COUNTIF(P$2:P841, TRUE))</f>
        <v>0.49880952380952381</v>
      </c>
      <c r="R841" s="866">
        <v>207474.37</v>
      </c>
      <c r="S841" s="868">
        <f t="shared" si="440"/>
        <v>202772.7</v>
      </c>
      <c r="T841" s="822">
        <v>-40463</v>
      </c>
      <c r="U841" s="822">
        <f t="shared" si="443"/>
        <v>150710.07</v>
      </c>
      <c r="V841" s="824">
        <f>STDEV(D$2:D841)*SQRT(252)</f>
        <v>0.14735506367475187</v>
      </c>
      <c r="W841" s="824">
        <f>STDEV(L$2:L841)*SQRT(252)</f>
        <v>0.25302522676654315</v>
      </c>
      <c r="X841" s="823">
        <f t="shared" si="441"/>
        <v>0.63494864239472448</v>
      </c>
      <c r="Y841" s="823">
        <f t="shared" si="442"/>
        <v>0.41186637778839097</v>
      </c>
      <c r="Z841" s="829">
        <f t="shared" si="428"/>
        <v>3.7554539567994039E-2</v>
      </c>
    </row>
    <row r="842" spans="1:26" ht="20.100000000000001" customHeight="1" x14ac:dyDescent="0.2">
      <c r="A842" s="798">
        <f t="shared" si="429"/>
        <v>1289</v>
      </c>
      <c r="B842" s="817">
        <v>43522</v>
      </c>
      <c r="C842" s="842">
        <v>2793.9</v>
      </c>
      <c r="D842" s="814">
        <f t="shared" si="430"/>
        <v>-7.9038378318450854E-4</v>
      </c>
      <c r="E842" s="841">
        <f t="shared" si="431"/>
        <v>0.32888453416030899</v>
      </c>
      <c r="F842" s="838">
        <v>7549.29</v>
      </c>
      <c r="G842" s="814">
        <f t="shared" si="432"/>
        <v>-6.8436393865346735E-4</v>
      </c>
      <c r="H842" s="819">
        <f t="shared" si="433"/>
        <v>0.4826659072608363</v>
      </c>
      <c r="I842" s="863">
        <v>408143.39</v>
      </c>
      <c r="J842" s="822">
        <v>300000</v>
      </c>
      <c r="K842" s="822">
        <f t="shared" si="434"/>
        <v>-2103.679999999993</v>
      </c>
      <c r="L842" s="814">
        <f t="shared" si="435"/>
        <v>-5.1278367448181726E-3</v>
      </c>
      <c r="M842" s="839">
        <f t="shared" si="436"/>
        <v>108143.39000000001</v>
      </c>
      <c r="N842" s="824">
        <f t="shared" si="437"/>
        <v>0.3604779666666667</v>
      </c>
      <c r="O842" s="808">
        <f t="shared" si="438"/>
        <v>0.10214474579131111</v>
      </c>
      <c r="P842" s="839" t="b">
        <f t="shared" si="439"/>
        <v>0</v>
      </c>
      <c r="Q842" s="824">
        <f>COUNTIF(P$2:P842, TRUE)/(COUNTIF(P$2:P842,FALSE) + COUNTIF(P$2:P842, TRUE))</f>
        <v>0.49821640903686087</v>
      </c>
      <c r="R842" s="866">
        <v>205370.69</v>
      </c>
      <c r="S842" s="868">
        <f t="shared" si="440"/>
        <v>202772.7</v>
      </c>
      <c r="T842" s="822">
        <v>-41241</v>
      </c>
      <c r="U842" s="822">
        <f t="shared" si="443"/>
        <v>149384.39000000001</v>
      </c>
      <c r="V842" s="824">
        <f>STDEV(D$2:D842)*SQRT(252)</f>
        <v>0.14726862384432793</v>
      </c>
      <c r="W842" s="824">
        <f>STDEV(L$2:L842)*SQRT(252)</f>
        <v>0.25289373174447405</v>
      </c>
      <c r="X842" s="823">
        <f t="shared" si="441"/>
        <v>0.63280591489232685</v>
      </c>
      <c r="Y842" s="823">
        <f t="shared" si="442"/>
        <v>0.40390382587465246</v>
      </c>
      <c r="Z842" s="829">
        <f t="shared" si="428"/>
        <v>3.159343250635771E-2</v>
      </c>
    </row>
    <row r="843" spans="1:26" ht="20.100000000000001" customHeight="1" x14ac:dyDescent="0.2">
      <c r="A843" s="798">
        <f t="shared" si="429"/>
        <v>1290</v>
      </c>
      <c r="B843" s="817">
        <v>43523</v>
      </c>
      <c r="C843" s="842">
        <v>2792.38</v>
      </c>
      <c r="D843" s="814">
        <f t="shared" si="430"/>
        <v>-5.4404237803786165E-4</v>
      </c>
      <c r="E843" s="841">
        <f t="shared" si="431"/>
        <v>0.32816156465820667</v>
      </c>
      <c r="F843" s="838">
        <v>7554.5</v>
      </c>
      <c r="G843" s="814">
        <f t="shared" si="432"/>
        <v>6.9013112491373839E-4</v>
      </c>
      <c r="H843" s="819">
        <f t="shared" si="433"/>
        <v>0.48368914115128547</v>
      </c>
      <c r="I843" s="863">
        <v>407049.01</v>
      </c>
      <c r="J843" s="822">
        <v>300000</v>
      </c>
      <c r="K843" s="822">
        <f t="shared" si="434"/>
        <v>-1094.3800000000047</v>
      </c>
      <c r="L843" s="814">
        <f t="shared" si="435"/>
        <v>-2.6813615675608631E-3</v>
      </c>
      <c r="M843" s="839">
        <f t="shared" si="436"/>
        <v>107049.01000000001</v>
      </c>
      <c r="N843" s="824">
        <f t="shared" si="437"/>
        <v>0.35683003333333335</v>
      </c>
      <c r="O843" s="808">
        <f t="shared" si="438"/>
        <v>0.10103268967054264</v>
      </c>
      <c r="P843" s="839" t="b">
        <f t="shared" si="439"/>
        <v>0</v>
      </c>
      <c r="Q843" s="824">
        <f>COUNTIF(P$2:P843, TRUE)/(COUNTIF(P$2:P843,FALSE) + COUNTIF(P$2:P843, TRUE))</f>
        <v>0.49762470308788598</v>
      </c>
      <c r="R843" s="866">
        <v>210164.31</v>
      </c>
      <c r="S843" s="868">
        <f t="shared" si="440"/>
        <v>196884.7</v>
      </c>
      <c r="T843" s="822">
        <v>-41885</v>
      </c>
      <c r="U843" s="822">
        <f t="shared" si="443"/>
        <v>148934.01</v>
      </c>
      <c r="V843" s="824">
        <f>STDEV(D$2:D843)*SQRT(252)</f>
        <v>0.14718180993202409</v>
      </c>
      <c r="W843" s="824">
        <f>STDEV(L$2:L843)*SQRT(252)</f>
        <v>0.25274944226103996</v>
      </c>
      <c r="X843" s="823">
        <f t="shared" si="441"/>
        <v>0.63129752805018347</v>
      </c>
      <c r="Y843" s="823">
        <f t="shared" si="442"/>
        <v>0.39973457020014291</v>
      </c>
      <c r="Z843" s="829">
        <f t="shared" si="428"/>
        <v>2.8668468675126679E-2</v>
      </c>
    </row>
    <row r="844" spans="1:26" ht="20.100000000000001" customHeight="1" x14ac:dyDescent="0.2">
      <c r="A844" s="798">
        <f t="shared" si="429"/>
        <v>1291</v>
      </c>
      <c r="B844" s="817">
        <v>43524</v>
      </c>
      <c r="C844" s="842">
        <v>2784.49</v>
      </c>
      <c r="D844" s="814">
        <f t="shared" si="430"/>
        <v>-2.8255466662847921E-3</v>
      </c>
      <c r="E844" s="841">
        <f t="shared" si="431"/>
        <v>0.32440878217689906</v>
      </c>
      <c r="F844" s="838">
        <v>7532.53</v>
      </c>
      <c r="G844" s="814">
        <f t="shared" si="432"/>
        <v>-2.9082004103514799E-3</v>
      </c>
      <c r="H844" s="819">
        <f t="shared" si="433"/>
        <v>0.4793742757821553</v>
      </c>
      <c r="I844" s="863">
        <v>406098.27</v>
      </c>
      <c r="J844" s="822">
        <v>300000</v>
      </c>
      <c r="K844" s="822">
        <f t="shared" si="434"/>
        <v>-950.73999999999069</v>
      </c>
      <c r="L844" s="814">
        <f t="shared" si="435"/>
        <v>-2.3356892576645518E-3</v>
      </c>
      <c r="M844" s="839">
        <f t="shared" si="436"/>
        <v>106098.27000000002</v>
      </c>
      <c r="N844" s="824">
        <f t="shared" si="437"/>
        <v>0.35366090000000006</v>
      </c>
      <c r="O844" s="808">
        <f t="shared" si="438"/>
        <v>0.10005781853214564</v>
      </c>
      <c r="P844" s="839" t="b">
        <f t="shared" si="439"/>
        <v>1</v>
      </c>
      <c r="Q844" s="824">
        <f>COUNTIF(P$2:P844, TRUE)/(COUNTIF(P$2:P844,FALSE) + COUNTIF(P$2:P844, TRUE))</f>
        <v>0.49822064056939502</v>
      </c>
      <c r="R844" s="866">
        <v>216091.12</v>
      </c>
      <c r="S844" s="868">
        <f t="shared" si="440"/>
        <v>190007.15000000002</v>
      </c>
      <c r="T844" s="822">
        <v>-41192</v>
      </c>
      <c r="U844" s="822">
        <f t="shared" si="443"/>
        <v>147290.27000000002</v>
      </c>
      <c r="V844" s="824">
        <f>STDEV(D$2:D844)*SQRT(252)</f>
        <v>0.14710473603203039</v>
      </c>
      <c r="W844" s="824">
        <f>STDEV(L$2:L844)*SQRT(252)</f>
        <v>0.25260413740985471</v>
      </c>
      <c r="X844" s="823">
        <f t="shared" si="441"/>
        <v>0.62392146907677193</v>
      </c>
      <c r="Y844" s="823">
        <f t="shared" si="442"/>
        <v>0.39610522439622614</v>
      </c>
      <c r="Z844" s="829">
        <f t="shared" si="428"/>
        <v>2.9252117823100998E-2</v>
      </c>
    </row>
    <row r="845" spans="1:26" ht="20.100000000000001" customHeight="1" x14ac:dyDescent="0.2">
      <c r="A845" s="798">
        <f t="shared" si="429"/>
        <v>1292</v>
      </c>
      <c r="B845" s="817">
        <v>43525</v>
      </c>
      <c r="C845" s="842">
        <v>2803.69</v>
      </c>
      <c r="D845" s="814">
        <f t="shared" si="430"/>
        <v>6.8953381050031693E-3</v>
      </c>
      <c r="E845" s="841">
        <f t="shared" si="431"/>
        <v>0.33354102851924428</v>
      </c>
      <c r="F845" s="838">
        <v>7595.35</v>
      </c>
      <c r="G845" s="814">
        <f t="shared" si="432"/>
        <v>8.3398273886729456E-3</v>
      </c>
      <c r="H845" s="819">
        <f t="shared" si="433"/>
        <v>0.49171200188542152</v>
      </c>
      <c r="I845" s="863">
        <v>408382.16</v>
      </c>
      <c r="J845" s="822">
        <v>300000</v>
      </c>
      <c r="K845" s="822">
        <f t="shared" si="434"/>
        <v>2283.8899999999558</v>
      </c>
      <c r="L845" s="814">
        <f t="shared" si="435"/>
        <v>5.6239835742219624E-3</v>
      </c>
      <c r="M845" s="839">
        <f t="shared" si="436"/>
        <v>108382.15999999997</v>
      </c>
      <c r="N845" s="824">
        <f t="shared" si="437"/>
        <v>0.36127386666666655</v>
      </c>
      <c r="O845" s="808">
        <f t="shared" si="438"/>
        <v>0.10213256950464393</v>
      </c>
      <c r="P845" s="839" t="b">
        <f t="shared" si="439"/>
        <v>0</v>
      </c>
      <c r="Q845" s="824">
        <f>COUNTIF(P$2:P845, TRUE)/(COUNTIF(P$2:P845,FALSE) + COUNTIF(P$2:P845, TRUE))</f>
        <v>0.49763033175355448</v>
      </c>
      <c r="R845" s="866">
        <v>207322.13</v>
      </c>
      <c r="S845" s="868">
        <f t="shared" si="440"/>
        <v>201060.02999999997</v>
      </c>
      <c r="T845" s="822">
        <v>-41745</v>
      </c>
      <c r="U845" s="822">
        <f t="shared" si="443"/>
        <v>150127.15999999997</v>
      </c>
      <c r="V845" s="824">
        <f>STDEV(D$2:D845)*SQRT(252)</f>
        <v>0.14706055059854223</v>
      </c>
      <c r="W845" s="824">
        <f>STDEV(L$2:L845)*SQRT(252)</f>
        <v>0.25246922402091343</v>
      </c>
      <c r="X845" s="823">
        <f t="shared" si="441"/>
        <v>0.64118121027373842</v>
      </c>
      <c r="Y845" s="823">
        <f t="shared" si="442"/>
        <v>0.40453473052297145</v>
      </c>
      <c r="Z845" s="829">
        <f t="shared" si="428"/>
        <v>2.7732838147422278E-2</v>
      </c>
    </row>
    <row r="846" spans="1:26" ht="20.100000000000001" customHeight="1" x14ac:dyDescent="0.2">
      <c r="A846" s="798">
        <f t="shared" ref="A846" si="444">B846-$B$2</f>
        <v>1295</v>
      </c>
      <c r="B846" s="817">
        <v>43528</v>
      </c>
      <c r="C846" s="842">
        <v>2792.81</v>
      </c>
      <c r="D846" s="814">
        <f t="shared" ref="D846" si="445">(C846-C845)/C845</f>
        <v>-3.8806002090103074E-3</v>
      </c>
      <c r="E846" s="841">
        <f t="shared" ref="E846" si="446">(C846-$C$2)/$C$2</f>
        <v>0.32836608892524871</v>
      </c>
      <c r="F846" s="838">
        <v>7577.56</v>
      </c>
      <c r="G846" s="814">
        <f t="shared" ref="G846" si="447">(F846-F845)/F845</f>
        <v>-2.342222544056556E-3</v>
      </c>
      <c r="H846" s="819">
        <f t="shared" ref="H846" si="448">(F846-F$2)/F$2</f>
        <v>0.48821808040536574</v>
      </c>
      <c r="I846" s="863">
        <v>408818.86</v>
      </c>
      <c r="J846" s="822">
        <v>300000</v>
      </c>
      <c r="K846" s="822">
        <f t="shared" ref="K846" si="449">I846-I845-J846+J845</f>
        <v>436.70000000001164</v>
      </c>
      <c r="L846" s="814">
        <f t="shared" ref="L846" si="450">K846/I845</f>
        <v>1.0693415206972107E-3</v>
      </c>
      <c r="M846" s="839">
        <f t="shared" ref="M846" si="451">I846-J846</f>
        <v>108818.85999999999</v>
      </c>
      <c r="N846" s="824">
        <f t="shared" ref="N846" si="452">M846/J846</f>
        <v>0.3627295333333333</v>
      </c>
      <c r="O846" s="808">
        <f t="shared" ref="O846" si="453">N846/(A846/365.25)</f>
        <v>0.10230653440154439</v>
      </c>
      <c r="P846" s="839" t="b">
        <f t="shared" ref="P846" si="454">L846&gt;D846</f>
        <v>1</v>
      </c>
      <c r="Q846" s="824">
        <f>COUNTIF(P$2:P846, TRUE)/(COUNTIF(P$2:P846,FALSE) + COUNTIF(P$2:P846, TRUE))</f>
        <v>0.49822485207100592</v>
      </c>
      <c r="R846" s="866">
        <v>207718.85</v>
      </c>
      <c r="S846" s="868">
        <f t="shared" ref="S846" si="455">I846-R846</f>
        <v>201100.00999999998</v>
      </c>
      <c r="T846" s="822">
        <v>-41164</v>
      </c>
      <c r="U846" s="822">
        <f t="shared" ref="U846" si="456">M846-T846</f>
        <v>149982.85999999999</v>
      </c>
      <c r="V846" s="824">
        <f>STDEV(D$2:D846)*SQRT(252)</f>
        <v>0.14699177564103172</v>
      </c>
      <c r="W846" s="824">
        <f>STDEV(L$2:L846)*SQRT(252)</f>
        <v>0.25231958020936623</v>
      </c>
      <c r="X846" s="823">
        <f t="shared" ref="X846" si="457">E846/(A846/365.25)/V846</f>
        <v>0.63006552948880368</v>
      </c>
      <c r="Y846" s="823">
        <f t="shared" ref="Y846" si="458">O846/W846</f>
        <v>0.4054641114916801</v>
      </c>
      <c r="Z846" s="829">
        <f t="shared" ref="Z846" si="459">-(E846-N846)</f>
        <v>3.4363444408084587E-2</v>
      </c>
    </row>
    <row r="847" spans="1:26" ht="20.100000000000001" customHeight="1" x14ac:dyDescent="0.2">
      <c r="A847" s="798">
        <f t="shared" ref="A847" si="460">B847-$B$2</f>
        <v>1296</v>
      </c>
      <c r="B847" s="817">
        <v>43529</v>
      </c>
      <c r="C847" s="842">
        <v>2789.65</v>
      </c>
      <c r="D847" s="814">
        <f t="shared" ref="D847" si="461">(C847-C846)/C846</f>
        <v>-1.131476899610018E-3</v>
      </c>
      <c r="E847" s="841">
        <f t="shared" ref="E847" si="462">(C847-$C$2)/$C$2</f>
        <v>0.32686307338140447</v>
      </c>
      <c r="F847" s="838">
        <v>7576.36</v>
      </c>
      <c r="G847" s="814">
        <f t="shared" ref="G847" si="463">(F847-F846)/F846</f>
        <v>-1.5836232243634198E-4</v>
      </c>
      <c r="H847" s="819">
        <f t="shared" ref="H847" si="464">(F847-F$2)/F$2</f>
        <v>0.48798240273386095</v>
      </c>
      <c r="I847" s="863">
        <v>407753.37</v>
      </c>
      <c r="J847" s="822">
        <v>300000</v>
      </c>
      <c r="K847" s="822">
        <f t="shared" ref="K847" si="465">I847-I846-J847+J846</f>
        <v>-1065.4899999999907</v>
      </c>
      <c r="L847" s="814">
        <f t="shared" ref="L847" si="466">K847/I846</f>
        <v>-2.6062643000374069E-3</v>
      </c>
      <c r="M847" s="839">
        <f t="shared" ref="M847" si="467">I847-J847</f>
        <v>107753.37</v>
      </c>
      <c r="N847" s="824">
        <f t="shared" ref="N847" si="468">M847/J847</f>
        <v>0.35917789999999999</v>
      </c>
      <c r="O847" s="808">
        <f t="shared" ref="O847" si="469">N847/(A847/365.25)</f>
        <v>0.10122664195601851</v>
      </c>
      <c r="P847" s="839" t="b">
        <f t="shared" ref="P847" si="470">L847&gt;D847</f>
        <v>0</v>
      </c>
      <c r="Q847" s="824">
        <f>COUNTIF(P$2:P847, TRUE)/(COUNTIF(P$2:P847,FALSE) + COUNTIF(P$2:P847, TRUE))</f>
        <v>0.49763593380614657</v>
      </c>
      <c r="R847" s="866">
        <v>198917.45</v>
      </c>
      <c r="S847" s="868">
        <f t="shared" ref="S847" si="471">I847-R847</f>
        <v>208835.91999999998</v>
      </c>
      <c r="T847" s="822">
        <v>-41297</v>
      </c>
      <c r="U847" s="822">
        <f t="shared" ref="U847" si="472">M847-T847</f>
        <v>149050.37</v>
      </c>
      <c r="V847" s="824">
        <f>STDEV(D$2:D847)*SQRT(252)</f>
        <v>0.14690698618791181</v>
      </c>
      <c r="W847" s="824">
        <f>STDEV(L$2:L847)*SQRT(252)</f>
        <v>0.25217604057964216</v>
      </c>
      <c r="X847" s="823">
        <f t="shared" ref="X847" si="473">E847/(A847/365.25)/V847</f>
        <v>0.62705932951247079</v>
      </c>
      <c r="Y847" s="823">
        <f t="shared" ref="Y847" si="474">O847/W847</f>
        <v>0.40141260733312661</v>
      </c>
      <c r="Z847" s="829">
        <f t="shared" ref="Z847" si="475">-(E847-N847)</f>
        <v>3.2314826618595527E-2</v>
      </c>
    </row>
    <row r="848" spans="1:26" ht="20.100000000000001" customHeight="1" x14ac:dyDescent="0.2">
      <c r="A848" s="798">
        <f t="shared" ref="A848" si="476">B848-$B$2</f>
        <v>1297</v>
      </c>
      <c r="B848" s="817">
        <v>43530</v>
      </c>
      <c r="C848" s="842">
        <v>2771.45</v>
      </c>
      <c r="D848" s="814">
        <f t="shared" ref="D848" si="477">(C848-C847)/C847</f>
        <v>-6.5241159285215969E-3</v>
      </c>
      <c r="E848" s="841">
        <f t="shared" ref="E848" si="478">(C848-$C$2)/$C$2</f>
        <v>0.31820646486938975</v>
      </c>
      <c r="F848" s="838">
        <v>7505.92</v>
      </c>
      <c r="G848" s="814">
        <f t="shared" ref="G848" si="479">(F848-F847)/F847</f>
        <v>-9.297340675469435E-3</v>
      </c>
      <c r="H848" s="819">
        <f t="shared" ref="H848" si="480">(F848-F$2)/F$2</f>
        <v>0.47414812341654072</v>
      </c>
      <c r="I848" s="863">
        <v>405633.75</v>
      </c>
      <c r="J848" s="822">
        <v>300000</v>
      </c>
      <c r="K848" s="822">
        <f t="shared" ref="K848" si="481">I848-I847-J848+J847</f>
        <v>-2119.6199999999953</v>
      </c>
      <c r="L848" s="814">
        <f t="shared" ref="L848" si="482">K848/I847</f>
        <v>-5.1982893482891276E-3</v>
      </c>
      <c r="M848" s="839">
        <f t="shared" ref="M848" si="483">I848-J848</f>
        <v>105633.75</v>
      </c>
      <c r="N848" s="824">
        <f t="shared" ref="N848" si="484">M848/J848</f>
        <v>0.35211249999999999</v>
      </c>
      <c r="O848" s="808">
        <f t="shared" ref="O848" si="485">N848/(A848/365.25)</f>
        <v>9.9158897937548188E-2</v>
      </c>
      <c r="P848" s="839" t="b">
        <f t="shared" ref="P848" si="486">L848&gt;D848</f>
        <v>1</v>
      </c>
      <c r="Q848" s="824">
        <f>COUNTIF(P$2:P848, TRUE)/(COUNTIF(P$2:P848,FALSE) + COUNTIF(P$2:P848, TRUE))</f>
        <v>0.49822904368358911</v>
      </c>
      <c r="R848" s="866">
        <v>196797.84</v>
      </c>
      <c r="S848" s="868">
        <f t="shared" ref="S848" si="487">I848-R848</f>
        <v>208835.91</v>
      </c>
      <c r="T848" s="822">
        <v>-41423</v>
      </c>
      <c r="U848" s="822">
        <f t="shared" ref="U848" si="488">M848-T848</f>
        <v>147056.75</v>
      </c>
      <c r="V848" s="824">
        <f>STDEV(D$2:D848)*SQRT(252)</f>
        <v>0.14686834457900724</v>
      </c>
      <c r="W848" s="824">
        <f>STDEV(L$2:L848)*SQRT(252)</f>
        <v>0.25204644815919974</v>
      </c>
      <c r="X848" s="823">
        <f t="shared" ref="X848" si="489">E848/(A848/365.25)/V848</f>
        <v>0.61014217734678222</v>
      </c>
      <c r="Y848" s="823">
        <f t="shared" ref="Y848" si="490">O848/W848</f>
        <v>0.39341517669360926</v>
      </c>
      <c r="Z848" s="829">
        <f t="shared" ref="Z848" si="491">-(E848-N848)</f>
        <v>3.3906035130610246E-2</v>
      </c>
    </row>
    <row r="849" spans="1:26" ht="20.100000000000001" customHeight="1" x14ac:dyDescent="0.2">
      <c r="A849" s="798">
        <f t="shared" ref="A849" si="492">B849-$B$2</f>
        <v>1298</v>
      </c>
      <c r="B849" s="817">
        <v>43531</v>
      </c>
      <c r="C849" s="842">
        <v>2748.93</v>
      </c>
      <c r="D849" s="814">
        <f t="shared" ref="D849" si="493">(C849-C848)/C848</f>
        <v>-8.125710368218797E-3</v>
      </c>
      <c r="E849" s="841">
        <f t="shared" ref="E849" si="494">(C849-$C$2)/$C$2</f>
        <v>0.30749510093034749</v>
      </c>
      <c r="F849" s="838">
        <v>7421.46</v>
      </c>
      <c r="G849" s="814">
        <f t="shared" ref="G849" si="495">(F849-F848)/F848</f>
        <v>-1.1252451398362897E-2</v>
      </c>
      <c r="H849" s="819">
        <f t="shared" ref="H849" si="496">(F849-F$2)/F$2</f>
        <v>0.45756034330380824</v>
      </c>
      <c r="I849" s="863">
        <v>403450.65</v>
      </c>
      <c r="J849" s="822">
        <v>300000</v>
      </c>
      <c r="K849" s="822">
        <f t="shared" ref="K849" si="497">I849-I848-J849+J848</f>
        <v>-2183.0999999999767</v>
      </c>
      <c r="L849" s="814">
        <f t="shared" ref="L849" si="498">K849/I848</f>
        <v>-5.3819486174411686E-3</v>
      </c>
      <c r="M849" s="839">
        <f t="shared" ref="M849" si="499">I849-J849</f>
        <v>103450.65000000002</v>
      </c>
      <c r="N849" s="824">
        <f t="shared" ref="N849" si="500">M849/J849</f>
        <v>0.34483550000000007</v>
      </c>
      <c r="O849" s="808">
        <f t="shared" ref="O849" si="501">N849/(A849/365.25)</f>
        <v>9.7034796899075515E-2</v>
      </c>
      <c r="P849" s="839" t="b">
        <f t="shared" ref="P849" si="502">L849&gt;D849</f>
        <v>1</v>
      </c>
      <c r="Q849" s="824">
        <f>COUNTIF(P$2:P849, TRUE)/(COUNTIF(P$2:P849,FALSE) + COUNTIF(P$2:P849, TRUE))</f>
        <v>0.49882075471698112</v>
      </c>
      <c r="R849" s="866">
        <v>207639.19</v>
      </c>
      <c r="S849" s="868">
        <f t="shared" ref="S849" si="503">I849-R849</f>
        <v>195811.46000000002</v>
      </c>
      <c r="T849" s="822">
        <v>-42102</v>
      </c>
      <c r="U849" s="822">
        <f t="shared" ref="U849" si="504">M849-T849</f>
        <v>145552.65000000002</v>
      </c>
      <c r="V849" s="824">
        <f>STDEV(D$2:D849)*SQRT(252)</f>
        <v>0.14685463844115168</v>
      </c>
      <c r="W849" s="824">
        <f>STDEV(L$2:L849)*SQRT(252)</f>
        <v>0.25191831907772888</v>
      </c>
      <c r="X849" s="823">
        <f t="shared" ref="X849" si="505">E849/(A849/365.25)/V849</f>
        <v>0.58920451302305987</v>
      </c>
      <c r="Y849" s="823">
        <f t="shared" ref="Y849" si="506">O849/W849</f>
        <v>0.38518356765128947</v>
      </c>
      <c r="Z849" s="829">
        <f t="shared" ref="Z849" si="507">-(E849-N849)</f>
        <v>3.7340399069652586E-2</v>
      </c>
    </row>
    <row r="850" spans="1:26" ht="20.100000000000001" customHeight="1" x14ac:dyDescent="0.2">
      <c r="A850" s="798">
        <f t="shared" ref="A850" si="508">B850-$B$2</f>
        <v>1299</v>
      </c>
      <c r="B850" s="817">
        <v>43532</v>
      </c>
      <c r="C850" s="842">
        <v>2743.07</v>
      </c>
      <c r="D850" s="814">
        <f t="shared" ref="D850" si="509">(C850-C849)/C849</f>
        <v>-2.1317385309919399E-3</v>
      </c>
      <c r="E850" s="841">
        <f t="shared" ref="E850" si="510">(C850-$C$2)/$C$2</f>
        <v>0.30470786324461108</v>
      </c>
      <c r="F850" s="838">
        <v>7408.14</v>
      </c>
      <c r="G850" s="814">
        <f t="shared" ref="G850" si="511">(F850-F849)/F849</f>
        <v>-1.7947950942267031E-3</v>
      </c>
      <c r="H850" s="819">
        <f t="shared" ref="H850" si="512">(F850-F$2)/F$2</f>
        <v>0.45494432115010713</v>
      </c>
      <c r="I850" s="863">
        <v>402362.46</v>
      </c>
      <c r="J850" s="822">
        <v>300000</v>
      </c>
      <c r="K850" s="822">
        <f t="shared" ref="K850" si="513">I850-I849-J850+J849</f>
        <v>-1088.1900000000023</v>
      </c>
      <c r="L850" s="814">
        <f t="shared" ref="L850" si="514">K850/I849</f>
        <v>-2.6972072048960689E-3</v>
      </c>
      <c r="M850" s="839">
        <f t="shared" ref="M850" si="515">I850-J850</f>
        <v>102362.46000000002</v>
      </c>
      <c r="N850" s="824">
        <f t="shared" ref="N850" si="516">M850/J850</f>
        <v>0.34120820000000007</v>
      </c>
      <c r="O850" s="808">
        <f t="shared" ref="O850" si="517">N850/(A850/365.25)</f>
        <v>9.5940180946882239E-2</v>
      </c>
      <c r="P850" s="839" t="b">
        <f t="shared" ref="P850" si="518">L850&gt;D850</f>
        <v>0</v>
      </c>
      <c r="Q850" s="824">
        <f>COUNTIF(P$2:P850, TRUE)/(COUNTIF(P$2:P850,FALSE) + COUNTIF(P$2:P850, TRUE))</f>
        <v>0.49823321554770317</v>
      </c>
      <c r="R850" s="866">
        <v>206551</v>
      </c>
      <c r="S850" s="868">
        <f t="shared" ref="S850" si="519">I850-R850</f>
        <v>195811.46000000002</v>
      </c>
      <c r="T850" s="822">
        <v>-41955</v>
      </c>
      <c r="U850" s="822">
        <f t="shared" ref="U850" si="520">M850-T850</f>
        <v>144317.46000000002</v>
      </c>
      <c r="V850" s="824">
        <f>STDEV(D$2:D850)*SQRT(252)</f>
        <v>0.14677420397300664</v>
      </c>
      <c r="W850" s="824">
        <f>STDEV(L$2:L850)*SQRT(252)</f>
        <v>0.25177581298171214</v>
      </c>
      <c r="X850" s="823">
        <f t="shared" ref="X850" si="521">E850/(A850/365.25)/V850</f>
        <v>0.58373401577000039</v>
      </c>
      <c r="Y850" s="823">
        <f t="shared" ref="Y850" si="522">O850/W850</f>
        <v>0.3810540012191358</v>
      </c>
      <c r="Z850" s="829">
        <f t="shared" ref="Z850" si="523">-(E850-N850)</f>
        <v>3.6500336755388996E-2</v>
      </c>
    </row>
    <row r="851" spans="1:26" ht="20.100000000000001" customHeight="1" x14ac:dyDescent="0.2">
      <c r="A851" s="798">
        <f t="shared" ref="A851" si="524">B851-$B$2</f>
        <v>1302</v>
      </c>
      <c r="B851" s="817">
        <v>43535</v>
      </c>
      <c r="C851" s="842">
        <v>2783.3</v>
      </c>
      <c r="D851" s="814">
        <f t="shared" ref="D851" si="525">(C851-C850)/C850</f>
        <v>1.4666049353461639E-2</v>
      </c>
      <c r="E851" s="841">
        <f t="shared" ref="E851" si="526">(C851-$C$2)/$C$2</f>
        <v>0.323842773158806</v>
      </c>
      <c r="F851" s="838">
        <v>7558.06</v>
      </c>
      <c r="G851" s="814">
        <f t="shared" ref="G851" si="527">(F851-F850)/F850</f>
        <v>2.0237198541064299E-2</v>
      </c>
      <c r="H851" s="819">
        <f t="shared" ref="H851" si="528">(F851-F$2)/F$2</f>
        <v>0.48438831824341588</v>
      </c>
      <c r="I851" s="863">
        <v>405590.7</v>
      </c>
      <c r="J851" s="822">
        <v>300000</v>
      </c>
      <c r="K851" s="822">
        <f t="shared" ref="K851" si="529">I851-I850-J851+J850</f>
        <v>3228.2399999999907</v>
      </c>
      <c r="L851" s="814">
        <f t="shared" ref="L851" si="530">K851/I850</f>
        <v>8.0232136964268255E-3</v>
      </c>
      <c r="M851" s="839">
        <f t="shared" ref="M851" si="531">I851-J851</f>
        <v>105590.70000000001</v>
      </c>
      <c r="N851" s="824">
        <f t="shared" ref="N851" si="532">M851/J851</f>
        <v>0.35196900000000003</v>
      </c>
      <c r="O851" s="808">
        <f t="shared" ref="O851" si="533">N851/(A851/365.25)</f>
        <v>9.8737847350230418E-2</v>
      </c>
      <c r="P851" s="839" t="b">
        <f t="shared" ref="P851" si="534">L851&gt;D851</f>
        <v>0</v>
      </c>
      <c r="Q851" s="824">
        <f>COUNTIF(P$2:P851, TRUE)/(COUNTIF(P$2:P851,FALSE) + COUNTIF(P$2:P851, TRUE))</f>
        <v>0.49764705882352939</v>
      </c>
      <c r="R851" s="866">
        <v>203719.32</v>
      </c>
      <c r="S851" s="868">
        <f t="shared" ref="S851" si="535">I851-R851</f>
        <v>201871.38</v>
      </c>
      <c r="T851" s="822">
        <v>-41906</v>
      </c>
      <c r="U851" s="822">
        <f t="shared" ref="U851" si="536">M851-T851</f>
        <v>147496.70000000001</v>
      </c>
      <c r="V851" s="824">
        <f>STDEV(D$2:D851)*SQRT(252)</f>
        <v>0.14689466097900916</v>
      </c>
      <c r="W851" s="824">
        <f>STDEV(L$2:L851)*SQRT(252)</f>
        <v>0.25166022553264777</v>
      </c>
      <c r="X851" s="823">
        <f t="shared" ref="X851" si="537">E851/(A851/365.25)/V851</f>
        <v>0.61845405153010713</v>
      </c>
      <c r="Y851" s="823">
        <f t="shared" ref="Y851" si="538">O851/W851</f>
        <v>0.39234585895029012</v>
      </c>
      <c r="Z851" s="829">
        <f t="shared" ref="Z851" si="539">-(E851-N851)</f>
        <v>2.8126226841194035E-2</v>
      </c>
    </row>
    <row r="852" spans="1:26" ht="20.100000000000001" customHeight="1" x14ac:dyDescent="0.2">
      <c r="A852" s="798">
        <f t="shared" ref="A852" si="540">B852-$B$2</f>
        <v>1303</v>
      </c>
      <c r="B852" s="817">
        <v>43536</v>
      </c>
      <c r="C852" s="842">
        <v>2791.52</v>
      </c>
      <c r="D852" s="814">
        <f t="shared" ref="D852" si="541">(C852-C851)/C851</f>
        <v>2.9533287823805552E-3</v>
      </c>
      <c r="E852" s="841">
        <f t="shared" ref="E852" si="542">(C852-$C$2)/$C$2</f>
        <v>0.32775251612412243</v>
      </c>
      <c r="F852" s="838">
        <v>7591.03</v>
      </c>
      <c r="G852" s="814">
        <f t="shared" ref="G852" si="543">(F852-F851)/F851</f>
        <v>4.3622305194718413E-3</v>
      </c>
      <c r="H852" s="819">
        <f t="shared" ref="H852" si="544">(F852-F$2)/F$2</f>
        <v>0.49086356226800482</v>
      </c>
      <c r="I852" s="863">
        <v>406795.63</v>
      </c>
      <c r="J852" s="822">
        <v>300000</v>
      </c>
      <c r="K852" s="822">
        <f t="shared" ref="K852" si="545">I852-I851-J852+J851</f>
        <v>1204.929999999993</v>
      </c>
      <c r="L852" s="814">
        <f t="shared" ref="L852" si="546">K852/I851</f>
        <v>2.9708028315244728E-3</v>
      </c>
      <c r="M852" s="839">
        <f t="shared" ref="M852" si="547">I852-J852</f>
        <v>106795.63</v>
      </c>
      <c r="N852" s="824">
        <f t="shared" ref="N852" si="548">M852/J852</f>
        <v>0.35598543333333332</v>
      </c>
      <c r="O852" s="808">
        <f t="shared" ref="O852" si="549">N852/(A852/365.25)</f>
        <v>9.978793516884113E-2</v>
      </c>
      <c r="P852" s="839" t="b">
        <f t="shared" ref="P852" si="550">L852&gt;D852</f>
        <v>1</v>
      </c>
      <c r="Q852" s="824">
        <f>COUNTIF(P$2:P852, TRUE)/(COUNTIF(P$2:P852,FALSE) + COUNTIF(P$2:P852, TRUE))</f>
        <v>0.49823736780258521</v>
      </c>
      <c r="R852" s="866">
        <v>195901</v>
      </c>
      <c r="S852" s="868">
        <f t="shared" ref="S852" si="551">I852-R852</f>
        <v>210894.63</v>
      </c>
      <c r="T852" s="822">
        <v>-42032</v>
      </c>
      <c r="U852" s="822">
        <f t="shared" ref="U852" si="552">M852-T852</f>
        <v>148827.63</v>
      </c>
      <c r="V852" s="824">
        <f>STDEV(D$2:D852)*SQRT(252)</f>
        <v>0.146814846393508</v>
      </c>
      <c r="W852" s="824">
        <f>STDEV(L$2:L852)*SQRT(252)</f>
        <v>0.25151539171606602</v>
      </c>
      <c r="X852" s="823">
        <f t="shared" ref="X852" si="553">E852/(A852/365.25)/V852</f>
        <v>0.62578027277422188</v>
      </c>
      <c r="Y852" s="823">
        <f t="shared" ref="Y852" si="554">O852/W852</f>
        <v>0.39674683321763082</v>
      </c>
      <c r="Z852" s="829">
        <f t="shared" ref="Z852" si="555">-(E852-N852)</f>
        <v>2.8232917209210895E-2</v>
      </c>
    </row>
    <row r="853" spans="1:26" ht="20.100000000000001" customHeight="1" x14ac:dyDescent="0.2">
      <c r="A853" s="798">
        <f t="shared" ref="A853" si="556">B853-$B$2</f>
        <v>1304</v>
      </c>
      <c r="B853" s="817">
        <v>43537</v>
      </c>
      <c r="C853" s="842">
        <v>2810.92</v>
      </c>
      <c r="D853" s="814">
        <f t="shared" ref="D853" si="557">(C853-C852)/C852</f>
        <v>6.9496188456468488E-3</v>
      </c>
      <c r="E853" s="841">
        <f t="shared" ref="E853" si="558">(C853-$C$2)/$C$2</f>
        <v>0.33697989003253365</v>
      </c>
      <c r="F853" s="838">
        <v>7643.4</v>
      </c>
      <c r="G853" s="814">
        <f t="shared" ref="G853" si="559">(F853-F852)/F852</f>
        <v>6.8989320289868294E-3</v>
      </c>
      <c r="H853" s="819">
        <f t="shared" ref="H853" si="560">(F853-F$2)/F$2</f>
        <v>0.50114892864858496</v>
      </c>
      <c r="I853" s="863">
        <v>409368.31</v>
      </c>
      <c r="J853" s="822">
        <v>300000</v>
      </c>
      <c r="K853" s="822">
        <f t="shared" ref="K853" si="561">I853-I852-J853+J852</f>
        <v>2572.679999999993</v>
      </c>
      <c r="L853" s="814">
        <f t="shared" ref="L853" si="562">K853/I852</f>
        <v>6.3242567281265854E-3</v>
      </c>
      <c r="M853" s="839">
        <f t="shared" ref="M853" si="563">I853-J853</f>
        <v>109368.31</v>
      </c>
      <c r="N853" s="824">
        <f t="shared" ref="N853" si="564">M853/J853</f>
        <v>0.36456103333333334</v>
      </c>
      <c r="O853" s="808">
        <f t="shared" ref="O853" si="565">N853/(A853/365.25)</f>
        <v>0.10211343360812884</v>
      </c>
      <c r="P853" s="839" t="b">
        <f t="shared" ref="P853" si="566">L853&gt;D853</f>
        <v>0</v>
      </c>
      <c r="Q853" s="824">
        <f>COUNTIF(P$2:P853, TRUE)/(COUNTIF(P$2:P853,FALSE) + COUNTIF(P$2:P853, TRUE))</f>
        <v>0.49765258215962443</v>
      </c>
      <c r="R853" s="866">
        <v>207496.92</v>
      </c>
      <c r="S853" s="868">
        <f t="shared" ref="S853" si="567">I853-R853</f>
        <v>201871.38999999998</v>
      </c>
      <c r="T853" s="822">
        <v>-41815</v>
      </c>
      <c r="U853" s="822">
        <f t="shared" ref="U853" si="568">M853-T853</f>
        <v>151183.31</v>
      </c>
      <c r="V853" s="824">
        <f>STDEV(D$2:D853)*SQRT(252)</f>
        <v>0.14677205382395897</v>
      </c>
      <c r="W853" s="824">
        <f>STDEV(L$2:L853)*SQRT(252)</f>
        <v>0.25138693540850249</v>
      </c>
      <c r="X853" s="823">
        <f t="shared" ref="X853" si="569">E853/(A853/365.25)/V853</f>
        <v>0.64309220570871661</v>
      </c>
      <c r="Y853" s="823">
        <f t="shared" ref="Y853" si="570">O853/W853</f>
        <v>0.40620024044684355</v>
      </c>
      <c r="Z853" s="829">
        <f t="shared" ref="Z853" si="571">-(E853-N853)</f>
        <v>2.7581143300799693E-2</v>
      </c>
    </row>
    <row r="854" spans="1:26" ht="20.100000000000001" customHeight="1" x14ac:dyDescent="0.2">
      <c r="A854" s="798">
        <f t="shared" ref="A854" si="572">B854-$B$2</f>
        <v>1305</v>
      </c>
      <c r="B854" s="817">
        <v>43538</v>
      </c>
      <c r="C854" s="842">
        <v>2808.48</v>
      </c>
      <c r="D854" s="814">
        <f t="shared" ref="D854" si="573">(C854-C853)/C853</f>
        <v>-8.6804320293713605E-4</v>
      </c>
      <c r="E854" s="841">
        <f t="shared" ref="E854" si="574">(C854-$C$2)/$C$2</f>
        <v>0.33581933372652722</v>
      </c>
      <c r="F854" s="838">
        <v>7630.91</v>
      </c>
      <c r="G854" s="814">
        <f t="shared" ref="G854" si="575">(F854-F853)/F853</f>
        <v>-1.6340895413035799E-3</v>
      </c>
      <c r="H854" s="819">
        <f t="shared" ref="H854" si="576">(F854-F$2)/F$2</f>
        <v>0.49869591688434123</v>
      </c>
      <c r="I854" s="863">
        <v>408269.23</v>
      </c>
      <c r="J854" s="822">
        <v>300000</v>
      </c>
      <c r="K854" s="822">
        <f t="shared" ref="K854" si="577">I854-I853-J854+J853</f>
        <v>-1099.0800000000163</v>
      </c>
      <c r="L854" s="814">
        <f t="shared" ref="L854" si="578">K854/I853</f>
        <v>-2.6848194477975501E-3</v>
      </c>
      <c r="M854" s="839">
        <f t="shared" ref="M854" si="579">I854-J854</f>
        <v>108269.22999999998</v>
      </c>
      <c r="N854" s="824">
        <f t="shared" ref="N854" si="580">M854/J854</f>
        <v>0.3608974333333333</v>
      </c>
      <c r="O854" s="808">
        <f t="shared" ref="O854" si="581">N854/(A854/365.25)</f>
        <v>0.1010097988697318</v>
      </c>
      <c r="P854" s="839" t="b">
        <f t="shared" ref="P854" si="582">L854&gt;D854</f>
        <v>0</v>
      </c>
      <c r="Q854" s="824">
        <f>COUNTIF(P$2:P854, TRUE)/(COUNTIF(P$2:P854,FALSE) + COUNTIF(P$2:P854, TRUE))</f>
        <v>0.49706916764361081</v>
      </c>
      <c r="R854" s="866">
        <v>206397.85</v>
      </c>
      <c r="S854" s="868">
        <f t="shared" ref="S854" si="583">I854-R854</f>
        <v>201871.37999999998</v>
      </c>
      <c r="T854" s="822">
        <v>-42116</v>
      </c>
      <c r="U854" s="822">
        <f t="shared" ref="U854" si="584">M854-T854</f>
        <v>150385.22999999998</v>
      </c>
      <c r="V854" s="824">
        <f>STDEV(D$2:D854)*SQRT(252)</f>
        <v>0.14668737392437423</v>
      </c>
      <c r="W854" s="824">
        <f>STDEV(L$2:L854)*SQRT(252)</f>
        <v>0.25124543315113962</v>
      </c>
      <c r="X854" s="823">
        <f t="shared" ref="X854" si="585">E854/(A854/365.25)/V854</f>
        <v>0.64075599014042239</v>
      </c>
      <c r="Y854" s="823">
        <f t="shared" ref="Y854" si="586">O854/W854</f>
        <v>0.40203635784682373</v>
      </c>
      <c r="Z854" s="829">
        <f t="shared" ref="Z854" si="587">-(E854-N854)</f>
        <v>2.507809960680607E-2</v>
      </c>
    </row>
    <row r="855" spans="1:26" ht="20.100000000000001" customHeight="1" x14ac:dyDescent="0.2">
      <c r="A855" s="798">
        <f t="shared" ref="A855" si="588">B855-$B$2</f>
        <v>1306</v>
      </c>
      <c r="B855" s="817">
        <v>43539</v>
      </c>
      <c r="C855" s="842">
        <v>2822.48</v>
      </c>
      <c r="D855" s="814">
        <f t="shared" ref="D855" si="589">(C855-C854)/C854</f>
        <v>4.9849028656070186E-3</v>
      </c>
      <c r="E855" s="841">
        <f t="shared" ref="E855" si="590">(C855-$C$2)/$C$2</f>
        <v>0.34247826335115389</v>
      </c>
      <c r="F855" s="838">
        <v>7688.52</v>
      </c>
      <c r="G855" s="814">
        <f t="shared" ref="G855" si="591">(F855-F854)/F854</f>
        <v>7.549558309559487E-3</v>
      </c>
      <c r="H855" s="819">
        <f t="shared" ref="H855" si="592">(F855-F$2)/F$2</f>
        <v>0.51001040909715822</v>
      </c>
      <c r="I855" s="863">
        <v>408869.92</v>
      </c>
      <c r="J855" s="822">
        <v>300000</v>
      </c>
      <c r="K855" s="822">
        <f t="shared" ref="K855" si="593">I855-I854-J855+J854</f>
        <v>600.69000000000233</v>
      </c>
      <c r="L855" s="814">
        <f t="shared" ref="L855" si="594">K855/I854</f>
        <v>1.4713085284433567E-3</v>
      </c>
      <c r="M855" s="839">
        <f t="shared" ref="M855" si="595">I855-J855</f>
        <v>108869.91999999998</v>
      </c>
      <c r="N855" s="824">
        <f t="shared" ref="N855" si="596">M855/J855</f>
        <v>0.36289973333333325</v>
      </c>
      <c r="O855" s="808">
        <f t="shared" ref="O855" si="597">N855/(A855/365.25)</f>
        <v>0.1014924407350689</v>
      </c>
      <c r="P855" s="839" t="b">
        <f t="shared" ref="P855" si="598">L855&gt;D855</f>
        <v>0</v>
      </c>
      <c r="Q855" s="824">
        <f>COUNTIF(P$2:P855, TRUE)/(COUNTIF(P$2:P855,FALSE) + COUNTIF(P$2:P855, TRUE))</f>
        <v>0.49648711943793911</v>
      </c>
      <c r="R855" s="866">
        <v>205809.65</v>
      </c>
      <c r="S855" s="868">
        <f t="shared" ref="S855" si="599">I855-R855</f>
        <v>203060.27</v>
      </c>
      <c r="T855" s="822">
        <v>-41962</v>
      </c>
      <c r="U855" s="822">
        <f t="shared" ref="U855" si="600">M855-T855</f>
        <v>150831.91999999998</v>
      </c>
      <c r="V855" s="824">
        <f>STDEV(D$2:D855)*SQRT(252)</f>
        <v>0.14662260535930305</v>
      </c>
      <c r="W855" s="824">
        <f>STDEV(L$2:L855)*SQRT(252)</f>
        <v>0.2510984255680288</v>
      </c>
      <c r="X855" s="823">
        <f t="shared" ref="X855" si="601">E855/(A855/365.25)/V855</f>
        <v>0.65324956316604399</v>
      </c>
      <c r="Y855" s="823">
        <f t="shared" ref="Y855" si="602">O855/W855</f>
        <v>0.40419385547908215</v>
      </c>
      <c r="Z855" s="829">
        <f t="shared" ref="Z855" si="603">-(E855-N855)</f>
        <v>2.0421469982179363E-2</v>
      </c>
    </row>
    <row r="856" spans="1:26" ht="20.100000000000001" customHeight="1" x14ac:dyDescent="0.2">
      <c r="A856" s="798">
        <f t="shared" ref="A856" si="604">B856-$B$2</f>
        <v>1309</v>
      </c>
      <c r="B856" s="817">
        <v>43542</v>
      </c>
      <c r="C856" s="842">
        <v>2832.94</v>
      </c>
      <c r="D856" s="814">
        <f t="shared" ref="D856" si="605">(C856-C855)/C855</f>
        <v>3.7059607153992363E-3</v>
      </c>
      <c r="E856" s="841">
        <f t="shared" ref="E856" si="606">(C856-$C$2)/$C$2</f>
        <v>0.34745343505641063</v>
      </c>
      <c r="F856" s="838">
        <v>7714.47</v>
      </c>
      <c r="G856" s="814">
        <f t="shared" ref="G856" si="607">(F856-F855)/F855</f>
        <v>3.3751619297341775E-3</v>
      </c>
      <c r="H856" s="819">
        <f t="shared" ref="H856" si="608">(F856-F$2)/F$2</f>
        <v>0.51510693874344526</v>
      </c>
      <c r="I856" s="863">
        <v>410877.17</v>
      </c>
      <c r="J856" s="822">
        <v>300000</v>
      </c>
      <c r="K856" s="822">
        <f t="shared" ref="K856" si="609">I856-I855-J856+J855</f>
        <v>2007.25</v>
      </c>
      <c r="L856" s="814">
        <f t="shared" ref="L856" si="610">K856/I855</f>
        <v>4.9092630732043094E-3</v>
      </c>
      <c r="M856" s="839">
        <f t="shared" ref="M856" si="611">I856-J856</f>
        <v>110877.16999999998</v>
      </c>
      <c r="N856" s="824">
        <f t="shared" ref="N856" si="612">M856/J856</f>
        <v>0.36959056666666662</v>
      </c>
      <c r="O856" s="808">
        <f t="shared" ref="O856" si="613">N856/(A856/365.25)</f>
        <v>0.10312677958365163</v>
      </c>
      <c r="P856" s="839" t="b">
        <f t="shared" ref="P856" si="614">L856&gt;D856</f>
        <v>1</v>
      </c>
      <c r="Q856" s="824">
        <f>COUNTIF(P$2:P856, TRUE)/(COUNTIF(P$2:P856,FALSE) + COUNTIF(P$2:P856, TRUE))</f>
        <v>0.49707602339181284</v>
      </c>
      <c r="R856" s="866">
        <v>207816.9</v>
      </c>
      <c r="S856" s="868">
        <f t="shared" ref="S856" si="615">I856-R856</f>
        <v>203060.27</v>
      </c>
      <c r="T856" s="822">
        <v>-42004</v>
      </c>
      <c r="U856" s="822">
        <f t="shared" ref="U856" si="616">M856-T856</f>
        <v>152881.16999999998</v>
      </c>
      <c r="V856" s="824">
        <f>STDEV(D$2:D856)*SQRT(252)</f>
        <v>0.14654771915074563</v>
      </c>
      <c r="W856" s="824">
        <f>STDEV(L$2:L856)*SQRT(252)</f>
        <v>0.25096227263966736</v>
      </c>
      <c r="X856" s="823">
        <f t="shared" ref="X856" si="617">E856/(A856/365.25)/V856</f>
        <v>0.66155830249951109</v>
      </c>
      <c r="Y856" s="823">
        <f t="shared" ref="Y856" si="618">O856/W856</f>
        <v>0.41092542914496744</v>
      </c>
      <c r="Z856" s="829">
        <f t="shared" ref="Z856" si="619">-(E856-N856)</f>
        <v>2.2137131610255989E-2</v>
      </c>
    </row>
    <row r="857" spans="1:26" ht="20.100000000000001" customHeight="1" x14ac:dyDescent="0.2">
      <c r="A857" s="798">
        <f t="shared" ref="A857" si="620">B857-$B$2</f>
        <v>1310</v>
      </c>
      <c r="B857" s="817">
        <v>43543</v>
      </c>
      <c r="C857" s="842">
        <v>2832.57</v>
      </c>
      <c r="D857" s="814">
        <f t="shared" ref="D857" si="621">(C857-C856)/C856</f>
        <v>-1.3060636653084459E-4</v>
      </c>
      <c r="E857" s="841">
        <f t="shared" ref="E857" si="622">(C857-$C$2)/$C$2</f>
        <v>0.34727744905918839</v>
      </c>
      <c r="F857" s="838">
        <v>7723.94</v>
      </c>
      <c r="G857" s="814">
        <f t="shared" ref="G857" si="623">(F857-F856)/F856</f>
        <v>1.227563267470007E-3</v>
      </c>
      <c r="H857" s="819">
        <f t="shared" ref="H857" si="624">(F857-F$2)/F$2</f>
        <v>0.51696682836773566</v>
      </c>
      <c r="I857" s="863">
        <v>410458.62</v>
      </c>
      <c r="J857" s="822">
        <v>300000</v>
      </c>
      <c r="K857" s="822">
        <f t="shared" ref="K857" si="625">I857-I856-J857+J856</f>
        <v>-418.54999999998836</v>
      </c>
      <c r="L857" s="814">
        <f t="shared" ref="L857" si="626">K857/I856</f>
        <v>-1.0186742670564742E-3</v>
      </c>
      <c r="M857" s="839">
        <f t="shared" ref="M857" si="627">I857-J857</f>
        <v>110458.62</v>
      </c>
      <c r="N857" s="824">
        <f t="shared" ref="N857" si="628">M857/J857</f>
        <v>0.36819540000000001</v>
      </c>
      <c r="O857" s="808">
        <f t="shared" ref="O857" si="629">N857/(A857/365.25)</f>
        <v>0.10265906095419847</v>
      </c>
      <c r="P857" s="839" t="b">
        <f t="shared" ref="P857" si="630">L857&gt;D857</f>
        <v>0</v>
      </c>
      <c r="Q857" s="824">
        <f>COUNTIF(P$2:P857, TRUE)/(COUNTIF(P$2:P857,FALSE) + COUNTIF(P$2:P857, TRUE))</f>
        <v>0.49649532710280375</v>
      </c>
      <c r="R857" s="866">
        <v>207398.35</v>
      </c>
      <c r="S857" s="868">
        <f t="shared" ref="S857" si="631">I857-R857</f>
        <v>203060.27</v>
      </c>
      <c r="T857" s="822">
        <v>-41934</v>
      </c>
      <c r="U857" s="822">
        <f t="shared" ref="U857" si="632">M857-T857</f>
        <v>152392.62</v>
      </c>
      <c r="V857" s="824">
        <f>STDEV(D$2:D857)*SQRT(252)</f>
        <v>0.14646216787783717</v>
      </c>
      <c r="W857" s="824">
        <f>STDEV(L$2:L857)*SQRT(252)</f>
        <v>0.25081678650042438</v>
      </c>
      <c r="X857" s="823">
        <f t="shared" ref="X857" si="633">E857/(A857/365.25)/V857</f>
        <v>0.66110440901591716</v>
      </c>
      <c r="Y857" s="823">
        <f t="shared" ref="Y857" si="634">O857/W857</f>
        <v>0.40929900421168486</v>
      </c>
      <c r="Z857" s="829">
        <f t="shared" ref="Z857" si="635">-(E857-N857)</f>
        <v>2.0917950940811614E-2</v>
      </c>
    </row>
    <row r="858" spans="1:26" ht="20.100000000000001" customHeight="1" x14ac:dyDescent="0.2">
      <c r="A858" s="798">
        <f t="shared" ref="A858" si="636">B858-$B$2</f>
        <v>1311</v>
      </c>
      <c r="B858" s="817">
        <v>43544</v>
      </c>
      <c r="C858" s="842">
        <v>2824.23</v>
      </c>
      <c r="D858" s="814">
        <f t="shared" ref="D858" si="637">(C858-C857)/C857</f>
        <v>-2.9443226469249286E-3</v>
      </c>
      <c r="E858" s="841">
        <f t="shared" ref="E858" si="638">(C858-$C$2)/$C$2</f>
        <v>0.34331062955423219</v>
      </c>
      <c r="F858" s="838">
        <v>7728.96</v>
      </c>
      <c r="G858" s="814">
        <f t="shared" ref="G858" si="639">(F858-F857)/F857</f>
        <v>6.4992736867459315E-4</v>
      </c>
      <c r="H858" s="819">
        <f t="shared" ref="H858" si="640">(F858-F$2)/F$2</f>
        <v>0.51795274662686341</v>
      </c>
      <c r="I858" s="863">
        <v>409825.74</v>
      </c>
      <c r="J858" s="822">
        <v>300000</v>
      </c>
      <c r="K858" s="822">
        <f t="shared" ref="K858" si="641">I858-I857-J858+J857</f>
        <v>-632.88000000000466</v>
      </c>
      <c r="L858" s="814">
        <f t="shared" ref="L858" si="642">K858/I857</f>
        <v>-1.5418850260715798E-3</v>
      </c>
      <c r="M858" s="839">
        <f t="shared" ref="M858" si="643">I858-J858</f>
        <v>109825.73999999999</v>
      </c>
      <c r="N858" s="824">
        <f t="shared" ref="N858" si="644">M858/J858</f>
        <v>0.36608579999999996</v>
      </c>
      <c r="O858" s="808">
        <f t="shared" ref="O858" si="645">N858/(A858/365.25)</f>
        <v>0.10199301178489702</v>
      </c>
      <c r="P858" s="839" t="b">
        <f t="shared" ref="P858" si="646">L858&gt;D858</f>
        <v>1</v>
      </c>
      <c r="Q858" s="824">
        <f>COUNTIF(P$2:P858, TRUE)/(COUNTIF(P$2:P858,FALSE) + COUNTIF(P$2:P858, TRUE))</f>
        <v>0.49708284714119022</v>
      </c>
      <c r="R858" s="866">
        <v>200335</v>
      </c>
      <c r="S858" s="868">
        <f t="shared" ref="S858" si="647">I858-R858</f>
        <v>209490.74</v>
      </c>
      <c r="T858" s="822">
        <v>-42011</v>
      </c>
      <c r="U858" s="822">
        <f t="shared" ref="U858" si="648">M858-T858</f>
        <v>151836.74</v>
      </c>
      <c r="V858" s="824">
        <f>STDEV(D$2:D858)*SQRT(252)</f>
        <v>0.1463876801648317</v>
      </c>
      <c r="W858" s="824">
        <f>STDEV(L$2:L858)*SQRT(252)</f>
        <v>0.25067269127528252</v>
      </c>
      <c r="X858" s="823">
        <f t="shared" ref="X858" si="649">E858/(A858/365.25)/V858</f>
        <v>0.65338664688337555</v>
      </c>
      <c r="Y858" s="823">
        <f t="shared" ref="Y858" si="650">O858/W858</f>
        <v>0.4068772360723204</v>
      </c>
      <c r="Z858" s="829">
        <f t="shared" ref="Z858" si="651">-(E858-N858)</f>
        <v>2.2775170445767767E-2</v>
      </c>
    </row>
    <row r="859" spans="1:26" ht="20.100000000000001" customHeight="1" x14ac:dyDescent="0.2">
      <c r="A859" s="798">
        <f t="shared" ref="A859" si="652">B859-$B$2</f>
        <v>1312</v>
      </c>
      <c r="B859" s="817">
        <v>43545</v>
      </c>
      <c r="C859" s="842">
        <v>2854.88</v>
      </c>
      <c r="D859" s="814">
        <f t="shared" ref="D859" si="653">(C859-C858)/C858</f>
        <v>1.08525155529118E-2</v>
      </c>
      <c r="E859" s="841">
        <f t="shared" ref="E859" si="654">(C859-$C$2)/$C$2</f>
        <v>0.35788892905386127</v>
      </c>
      <c r="F859" s="838">
        <v>7838.95</v>
      </c>
      <c r="G859" s="814">
        <f t="shared" ref="G859" si="655">(F859-F858)/F858</f>
        <v>1.4230892642735863E-2</v>
      </c>
      <c r="H859" s="819">
        <f t="shared" ref="H859" si="656">(F859-F$2)/F$2</f>
        <v>0.53955456920085632</v>
      </c>
      <c r="I859" s="863">
        <v>412377.54</v>
      </c>
      <c r="J859" s="822">
        <v>300000</v>
      </c>
      <c r="K859" s="822">
        <f t="shared" ref="K859" si="657">I859-I858-J859+J858</f>
        <v>2551.7999999999884</v>
      </c>
      <c r="L859" s="814">
        <f t="shared" ref="L859" si="658">K859/I858</f>
        <v>6.2265488741629271E-3</v>
      </c>
      <c r="M859" s="839">
        <f t="shared" ref="M859" si="659">I859-J859</f>
        <v>112377.53999999998</v>
      </c>
      <c r="N859" s="824">
        <f t="shared" ref="N859" si="660">M859/J859</f>
        <v>0.37459179999999992</v>
      </c>
      <c r="O859" s="808">
        <f t="shared" ref="O859" si="661">N859/(A859/365.25)</f>
        <v>0.104283273589939</v>
      </c>
      <c r="P859" s="839" t="b">
        <f t="shared" ref="P859" si="662">L859&gt;D859</f>
        <v>0</v>
      </c>
      <c r="Q859" s="824">
        <f>COUNTIF(P$2:P859, TRUE)/(COUNTIF(P$2:P859,FALSE) + COUNTIF(P$2:P859, TRUE))</f>
        <v>0.49650349650349651</v>
      </c>
      <c r="R859" s="866">
        <v>191004.45</v>
      </c>
      <c r="S859" s="868">
        <f t="shared" ref="S859" si="663">I859-R859</f>
        <v>221373.08999999997</v>
      </c>
      <c r="T859" s="822">
        <v>-41500</v>
      </c>
      <c r="U859" s="822">
        <f t="shared" ref="U859" si="664">M859-T859</f>
        <v>153877.53999999998</v>
      </c>
      <c r="V859" s="824">
        <f>STDEV(D$2:D859)*SQRT(252)</f>
        <v>0.14641216795322529</v>
      </c>
      <c r="W859" s="824">
        <f>STDEV(L$2:L859)*SQRT(252)</f>
        <v>0.25054500691190368</v>
      </c>
      <c r="X859" s="823">
        <f t="shared" ref="X859" si="665">E859/(A859/365.25)/V859</f>
        <v>0.68049898587328561</v>
      </c>
      <c r="Y859" s="823">
        <f t="shared" ref="Y859" si="666">O859/W859</f>
        <v>0.41622571080255832</v>
      </c>
      <c r="Z859" s="829">
        <f t="shared" ref="Z859" si="667">-(E859-N859)</f>
        <v>1.6702870946138648E-2</v>
      </c>
    </row>
    <row r="860" spans="1:26" ht="20.100000000000001" customHeight="1" x14ac:dyDescent="0.2">
      <c r="A860" s="798">
        <f t="shared" ref="A860" si="668">B860-$B$2</f>
        <v>1313</v>
      </c>
      <c r="B860" s="817">
        <v>43546</v>
      </c>
      <c r="C860" s="842">
        <v>2800.71</v>
      </c>
      <c r="D860" s="814">
        <f t="shared" ref="D860" si="669">(C860-C859)/C859</f>
        <v>-1.8974527826038246E-2</v>
      </c>
      <c r="E860" s="841">
        <f t="shared" ref="E860" si="670">(C860-$C$2)/$C$2</f>
        <v>0.33212362778485949</v>
      </c>
      <c r="F860" s="838">
        <v>7642.66</v>
      </c>
      <c r="G860" s="814">
        <f t="shared" ref="G860" si="671">(F860-F859)/F859</f>
        <v>-2.5040343413339793E-2</v>
      </c>
      <c r="H860" s="819">
        <f t="shared" ref="H860" si="672">(F860-F$2)/F$2</f>
        <v>0.50100359408449047</v>
      </c>
      <c r="I860" s="863">
        <v>406223.07</v>
      </c>
      <c r="J860" s="822">
        <v>300000</v>
      </c>
      <c r="K860" s="822">
        <f t="shared" ref="K860" si="673">I860-I859-J860+J859</f>
        <v>-6154.4699999999721</v>
      </c>
      <c r="L860" s="814">
        <f t="shared" ref="L860" si="674">K860/I859</f>
        <v>-1.4924357907562018E-2</v>
      </c>
      <c r="M860" s="839">
        <f t="shared" ref="M860" si="675">I860-J860</f>
        <v>106223.07</v>
      </c>
      <c r="N860" s="824">
        <f t="shared" ref="N860" si="676">M860/J860</f>
        <v>0.35407690000000003</v>
      </c>
      <c r="O860" s="808">
        <f t="shared" ref="O860" si="677">N860/(A860/365.25)</f>
        <v>9.849702035415081E-2</v>
      </c>
      <c r="P860" s="839" t="b">
        <f t="shared" ref="P860" si="678">L860&gt;D860</f>
        <v>1</v>
      </c>
      <c r="Q860" s="824">
        <f>COUNTIF(P$2:P860, TRUE)/(COUNTIF(P$2:P860,FALSE) + COUNTIF(P$2:P860, TRUE))</f>
        <v>0.49708963911525028</v>
      </c>
      <c r="R860" s="866">
        <v>203486.3</v>
      </c>
      <c r="S860" s="868">
        <f t="shared" ref="S860" si="679">I860-R860</f>
        <v>202736.77000000002</v>
      </c>
      <c r="T860" s="822">
        <v>-41542</v>
      </c>
      <c r="U860" s="822">
        <f t="shared" ref="U860" si="680">M860-T860</f>
        <v>147765.07</v>
      </c>
      <c r="V860" s="824">
        <f>STDEV(D$2:D860)*SQRT(252)</f>
        <v>0.14670294276551785</v>
      </c>
      <c r="W860" s="824">
        <f>STDEV(L$2:L860)*SQRT(252)</f>
        <v>0.25053966066556538</v>
      </c>
      <c r="X860" s="823">
        <f t="shared" ref="X860" si="681">E860/(A860/365.25)/V860</f>
        <v>0.62977649277146142</v>
      </c>
      <c r="Y860" s="823">
        <f t="shared" ref="Y860" si="682">O860/W860</f>
        <v>0.39313943386245043</v>
      </c>
      <c r="Z860" s="829">
        <f t="shared" ref="Z860" si="683">-(E860-N860)</f>
        <v>2.195327221514054E-2</v>
      </c>
    </row>
    <row r="861" spans="1:26" ht="20.100000000000001" customHeight="1" x14ac:dyDescent="0.2">
      <c r="A861" s="798">
        <f t="shared" ref="A861" si="684">B861-$B$2</f>
        <v>1316</v>
      </c>
      <c r="B861" s="817">
        <v>43549</v>
      </c>
      <c r="C861" s="842">
        <v>2798.36</v>
      </c>
      <c r="D861" s="814">
        <f t="shared" ref="D861" si="685">(C861-C860)/C860</f>
        <v>-8.3907294935923712E-4</v>
      </c>
      <c r="E861" s="841">
        <f t="shared" ref="E861" si="686">(C861-$C$2)/$C$2</f>
        <v>0.3310058788835829</v>
      </c>
      <c r="F861" s="838">
        <v>7637.54</v>
      </c>
      <c r="G861" s="814">
        <f t="shared" ref="G861" si="687">(F861-F860)/F860</f>
        <v>-6.6992382233409449E-4</v>
      </c>
      <c r="H861" s="819">
        <f t="shared" ref="H861" si="688">(F861-F$2)/F$2</f>
        <v>0.49999803601940418</v>
      </c>
      <c r="I861" s="863">
        <v>405489.52</v>
      </c>
      <c r="J861" s="822">
        <v>300000</v>
      </c>
      <c r="K861" s="822">
        <f t="shared" ref="K861" si="689">I861-I860-J861+J860</f>
        <v>-733.54999999998836</v>
      </c>
      <c r="L861" s="814">
        <f t="shared" ref="L861" si="690">K861/I860</f>
        <v>-1.8057812423110001E-3</v>
      </c>
      <c r="M861" s="839">
        <f t="shared" ref="M861" si="691">I861-J861</f>
        <v>105489.52000000002</v>
      </c>
      <c r="N861" s="824">
        <f t="shared" ref="N861" si="692">M861/J861</f>
        <v>0.35163173333333342</v>
      </c>
      <c r="O861" s="808">
        <f t="shared" ref="O861" si="693">N861/(A861/365.25)</f>
        <v>9.7593837841945308E-2</v>
      </c>
      <c r="P861" s="839" t="b">
        <f t="shared" ref="P861" si="694">L861&gt;D861</f>
        <v>0</v>
      </c>
      <c r="Q861" s="824">
        <f>COUNTIF(P$2:P861, TRUE)/(COUNTIF(P$2:P861,FALSE) + COUNTIF(P$2:P861, TRUE))</f>
        <v>0.49651162790697673</v>
      </c>
      <c r="R861" s="866">
        <v>206596.75</v>
      </c>
      <c r="S861" s="868">
        <f t="shared" ref="S861" si="695">I861-R861</f>
        <v>198892.77000000002</v>
      </c>
      <c r="T861" s="822">
        <v>-41395</v>
      </c>
      <c r="U861" s="822">
        <f t="shared" ref="U861" si="696">M861-T861</f>
        <v>146884.52000000002</v>
      </c>
      <c r="V861" s="824">
        <f>STDEV(D$2:D861)*SQRT(252)</f>
        <v>0.14661890598695551</v>
      </c>
      <c r="W861" s="824">
        <f>STDEV(L$2:L861)*SQRT(252)</f>
        <v>0.25039688954864897</v>
      </c>
      <c r="X861" s="823">
        <f t="shared" ref="X861" si="697">E861/(A861/365.25)/V861</f>
        <v>0.62658510664247002</v>
      </c>
      <c r="Y861" s="823">
        <f t="shared" ref="Y861" si="698">O861/W861</f>
        <v>0.38975659009927138</v>
      </c>
      <c r="Z861" s="829">
        <f t="shared" ref="Z861" si="699">-(E861-N861)</f>
        <v>2.0625854449750514E-2</v>
      </c>
    </row>
    <row r="862" spans="1:26" ht="20.100000000000001" customHeight="1" x14ac:dyDescent="0.2">
      <c r="A862" s="798">
        <f t="shared" ref="A862" si="700">B862-$B$2</f>
        <v>1317</v>
      </c>
      <c r="B862" s="817">
        <v>43550</v>
      </c>
      <c r="C862" s="842">
        <v>2818.46</v>
      </c>
      <c r="D862" s="814">
        <f t="shared" ref="D862" si="701">(C862-C861)/C861</f>
        <v>7.1827784845409125E-3</v>
      </c>
      <c r="E862" s="841">
        <f t="shared" ref="E862" si="702">(C862-$C$2)/$C$2</f>
        <v>0.3405661992732254</v>
      </c>
      <c r="F862" s="838">
        <v>7691.52</v>
      </c>
      <c r="G862" s="814">
        <f t="shared" ref="G862" si="703">(F862-F861)/F861</f>
        <v>7.0677207582546834E-3</v>
      </c>
      <c r="H862" s="819">
        <f t="shared" ref="H862" si="704">(F862-F$2)/F$2</f>
        <v>0.5105996032759198</v>
      </c>
      <c r="I862" s="863">
        <v>407594.72</v>
      </c>
      <c r="J862" s="822">
        <v>300000</v>
      </c>
      <c r="K862" s="822">
        <f t="shared" ref="K862" si="705">I862-I861-J862+J861</f>
        <v>2105.1999999999534</v>
      </c>
      <c r="L862" s="814">
        <f t="shared" ref="L862" si="706">K862/I861</f>
        <v>5.1917494686421328E-3</v>
      </c>
      <c r="M862" s="839">
        <f t="shared" ref="M862" si="707">I862-J862</f>
        <v>107594.71999999997</v>
      </c>
      <c r="N862" s="824">
        <f t="shared" ref="N862" si="708">M862/J862</f>
        <v>0.35864906666666657</v>
      </c>
      <c r="O862" s="808">
        <f t="shared" ref="O862" si="709">N862/(A862/365.25)</f>
        <v>9.9465885801062998E-2</v>
      </c>
      <c r="P862" s="839" t="b">
        <f t="shared" ref="P862" si="710">L862&gt;D862</f>
        <v>0</v>
      </c>
      <c r="Q862" s="824">
        <f>COUNTIF(P$2:P862, TRUE)/(COUNTIF(P$2:P862,FALSE) + COUNTIF(P$2:P862, TRUE))</f>
        <v>0.49593495934959347</v>
      </c>
      <c r="R862" s="866">
        <v>208701.95</v>
      </c>
      <c r="S862" s="868">
        <f t="shared" ref="S862" si="711">I862-R862</f>
        <v>198892.76999999996</v>
      </c>
      <c r="T862" s="822">
        <v>-41115</v>
      </c>
      <c r="U862" s="822">
        <f t="shared" ref="U862" si="712">M862-T862</f>
        <v>148709.71999999997</v>
      </c>
      <c r="V862" s="824">
        <f>STDEV(D$2:D862)*SQRT(252)</f>
        <v>0.14657986259259756</v>
      </c>
      <c r="W862" s="824">
        <f>STDEV(L$2:L862)*SQRT(252)</f>
        <v>0.25026368256415366</v>
      </c>
      <c r="X862" s="823">
        <f t="shared" ref="X862" si="713">E862/(A862/365.25)/V862</f>
        <v>0.64436461311494353</v>
      </c>
      <c r="Y862" s="823">
        <f t="shared" ref="Y862" si="714">O862/W862</f>
        <v>0.39744434662654454</v>
      </c>
      <c r="Z862" s="829">
        <f t="shared" ref="Z862" si="715">-(E862-N862)</f>
        <v>1.8082867393441171E-2</v>
      </c>
    </row>
    <row r="863" spans="1:26" ht="20.100000000000001" customHeight="1" x14ac:dyDescent="0.2">
      <c r="A863" s="798">
        <f t="shared" ref="A863" si="716">B863-$B$2</f>
        <v>1318</v>
      </c>
      <c r="B863" s="817">
        <v>43551</v>
      </c>
      <c r="C863" s="842">
        <v>2805.37</v>
      </c>
      <c r="D863" s="814">
        <f t="shared" ref="D863" si="717">(C863-C862)/C862</f>
        <v>-4.6443802643997591E-3</v>
      </c>
      <c r="E863" s="841">
        <f t="shared" ref="E863" si="718">(C863-$C$2)/$C$2</f>
        <v>0.3343401000741994</v>
      </c>
      <c r="F863" s="838">
        <v>7643.37</v>
      </c>
      <c r="G863" s="814">
        <f t="shared" ref="G863" si="719">(F863-F862)/F862</f>
        <v>-6.2601410384424067E-3</v>
      </c>
      <c r="H863" s="819">
        <f t="shared" ref="H863" si="720">(F863-F$2)/F$2</f>
        <v>0.50114303670679738</v>
      </c>
      <c r="I863" s="863">
        <v>406813.72</v>
      </c>
      <c r="J863" s="822">
        <v>300000</v>
      </c>
      <c r="K863" s="822">
        <f t="shared" ref="K863" si="721">I863-I862-J863+J862</f>
        <v>-781</v>
      </c>
      <c r="L863" s="814">
        <f t="shared" ref="L863" si="722">K863/I862</f>
        <v>-1.9161190311788143E-3</v>
      </c>
      <c r="M863" s="839">
        <f t="shared" ref="M863" si="723">I863-J863</f>
        <v>106813.71999999997</v>
      </c>
      <c r="N863" s="824">
        <f t="shared" ref="N863" si="724">M863/J863</f>
        <v>0.35604573333333323</v>
      </c>
      <c r="O863" s="808">
        <f t="shared" ref="O863" si="725">N863/(A863/365.25)</f>
        <v>9.8668971244309539E-2</v>
      </c>
      <c r="P863" s="839" t="b">
        <f t="shared" ref="P863" si="726">L863&gt;D863</f>
        <v>1</v>
      </c>
      <c r="Q863" s="824">
        <f>COUNTIF(P$2:P863, TRUE)/(COUNTIF(P$2:P863,FALSE) + COUNTIF(P$2:P863, TRUE))</f>
        <v>0.49651972157772623</v>
      </c>
      <c r="R863" s="866">
        <v>207920.95</v>
      </c>
      <c r="S863" s="868">
        <f t="shared" ref="S863" si="727">I863-R863</f>
        <v>198892.76999999996</v>
      </c>
      <c r="T863" s="822">
        <v>-41300</v>
      </c>
      <c r="U863" s="822">
        <f t="shared" ref="U863" si="728">M863-T863</f>
        <v>148113.71999999997</v>
      </c>
      <c r="V863" s="824">
        <f>STDEV(D$2:D863)*SQRT(252)</f>
        <v>0.14651986748209284</v>
      </c>
      <c r="W863" s="824">
        <f>STDEV(L$2:L863)*SQRT(252)</f>
        <v>0.25012172766059143</v>
      </c>
      <c r="X863" s="823">
        <f t="shared" ref="X863" si="729">E863/(A863/365.25)/V863</f>
        <v>0.63236345740045397</v>
      </c>
      <c r="Y863" s="823">
        <f t="shared" ref="Y863" si="730">O863/W863</f>
        <v>0.39448380661355709</v>
      </c>
      <c r="Z863" s="829">
        <f t="shared" ref="Z863" si="731">-(E863-N863)</f>
        <v>2.1705633259133827E-2</v>
      </c>
    </row>
    <row r="864" spans="1:26" ht="20.100000000000001" customHeight="1" x14ac:dyDescent="0.2">
      <c r="A864" s="798">
        <f t="shared" ref="A864" si="732">B864-$B$2</f>
        <v>1319</v>
      </c>
      <c r="B864" s="817">
        <v>43552</v>
      </c>
      <c r="C864" s="842">
        <v>2815.44</v>
      </c>
      <c r="D864" s="814">
        <f t="shared" ref="D864" si="733">(C864-C863)/C863</f>
        <v>3.5895443381800491E-3</v>
      </c>
      <c r="E864" s="841">
        <f t="shared" ref="E864" si="734">(C864-$C$2)/$C$2</f>
        <v>0.33912977302562736</v>
      </c>
      <c r="F864" s="838">
        <v>7669.16</v>
      </c>
      <c r="G864" s="814">
        <f t="shared" ref="G864" si="735">(F864-F863)/F863</f>
        <v>3.3741661073583987E-3</v>
      </c>
      <c r="H864" s="819">
        <f t="shared" ref="H864" si="736">(F864-F$2)/F$2</f>
        <v>0.50620814266355052</v>
      </c>
      <c r="I864" s="863">
        <v>407443.32</v>
      </c>
      <c r="J864" s="822">
        <v>300000</v>
      </c>
      <c r="K864" s="822">
        <f t="shared" ref="K864" si="737">I864-I863-J864+J863</f>
        <v>629.60000000003492</v>
      </c>
      <c r="L864" s="814">
        <f t="shared" ref="L864" si="738">K864/I863</f>
        <v>1.547637085592971E-3</v>
      </c>
      <c r="M864" s="839">
        <f t="shared" ref="M864" si="739">I864-J864</f>
        <v>107443.32</v>
      </c>
      <c r="N864" s="824">
        <f t="shared" ref="N864" si="740">M864/J864</f>
        <v>0.35814440000000003</v>
      </c>
      <c r="O864" s="808">
        <f t="shared" ref="O864" si="741">N864/(A864/365.25)</f>
        <v>9.9175316224412446E-2</v>
      </c>
      <c r="P864" s="839" t="b">
        <f t="shared" ref="P864" si="742">L864&gt;D864</f>
        <v>0</v>
      </c>
      <c r="Q864" s="824">
        <f>COUNTIF(P$2:P864, TRUE)/(COUNTIF(P$2:P864,FALSE) + COUNTIF(P$2:P864, TRUE))</f>
        <v>0.4959443800695249</v>
      </c>
      <c r="R864" s="866">
        <v>204798.1</v>
      </c>
      <c r="S864" s="868">
        <f t="shared" ref="S864" si="743">I864-R864</f>
        <v>202645.22</v>
      </c>
      <c r="T864" s="822">
        <v>-41267</v>
      </c>
      <c r="U864" s="822">
        <f t="shared" ref="U864" si="744">M864-T864</f>
        <v>148710.32</v>
      </c>
      <c r="V864" s="824">
        <f>STDEV(D$2:D864)*SQRT(252)</f>
        <v>0.14644505331981272</v>
      </c>
      <c r="W864" s="824">
        <f>STDEV(L$2:L864)*SQRT(252)</f>
        <v>0.24997700752704366</v>
      </c>
      <c r="X864" s="823">
        <f t="shared" ref="X864" si="745">E864/(A864/365.25)/V864</f>
        <v>0.64126367825363195</v>
      </c>
      <c r="Y864" s="823">
        <f t="shared" ref="Y864" si="746">O864/W864</f>
        <v>0.39673775282586021</v>
      </c>
      <c r="Z864" s="829">
        <f t="shared" ref="Z864" si="747">-(E864-N864)</f>
        <v>1.9014626974372673E-2</v>
      </c>
    </row>
    <row r="865" spans="1:26" ht="20.100000000000001" customHeight="1" x14ac:dyDescent="0.2">
      <c r="A865" s="798">
        <f t="shared" ref="A865" si="748">B865-$B$2</f>
        <v>1320</v>
      </c>
      <c r="B865" s="817">
        <v>43553</v>
      </c>
      <c r="C865" s="842">
        <v>2834.4</v>
      </c>
      <c r="D865" s="814">
        <f t="shared" ref="D865" si="749">(C865-C864)/C864</f>
        <v>6.7342937515983423E-3</v>
      </c>
      <c r="E865" s="841">
        <f t="shared" ref="E865" si="750">(C865-$C$2)/$C$2</f>
        <v>0.34814786628869315</v>
      </c>
      <c r="F865" s="838">
        <v>7729.32</v>
      </c>
      <c r="G865" s="814">
        <f t="shared" ref="G865" si="751">(F865-F864)/F864</f>
        <v>7.8444053846835702E-3</v>
      </c>
      <c r="H865" s="819">
        <f t="shared" ref="H865" si="752">(F865-F$2)/F$2</f>
        <v>0.51802344992831473</v>
      </c>
      <c r="I865" s="863">
        <v>408307.24</v>
      </c>
      <c r="J865" s="822">
        <v>300000</v>
      </c>
      <c r="K865" s="822">
        <f t="shared" ref="K865" si="753">I865-I864-J865+J864</f>
        <v>863.9199999999837</v>
      </c>
      <c r="L865" s="814">
        <f t="shared" ref="L865" si="754">K865/I864</f>
        <v>2.1203440026946168E-3</v>
      </c>
      <c r="M865" s="839">
        <f t="shared" ref="M865" si="755">I865-J865</f>
        <v>108307.23999999999</v>
      </c>
      <c r="N865" s="824">
        <f t="shared" ref="N865" si="756">M865/J865</f>
        <v>0.36102413333333327</v>
      </c>
      <c r="O865" s="808">
        <f t="shared" ref="O865" si="757">N865/(A865/365.25)</f>
        <v>9.9897018712121199E-2</v>
      </c>
      <c r="P865" s="839" t="b">
        <f t="shared" ref="P865" si="758">L865&gt;D865</f>
        <v>0</v>
      </c>
      <c r="Q865" s="824">
        <f>COUNTIF(P$2:P865, TRUE)/(COUNTIF(P$2:P865,FALSE) + COUNTIF(P$2:P865, TRUE))</f>
        <v>0.49537037037037035</v>
      </c>
      <c r="R865" s="866">
        <v>205617.3</v>
      </c>
      <c r="S865" s="868">
        <f t="shared" ref="S865" si="759">I865-R865</f>
        <v>202689.94</v>
      </c>
      <c r="T865" s="822">
        <v>-41290</v>
      </c>
      <c r="U865" s="822">
        <f t="shared" ref="U865" si="760">M865-T865</f>
        <v>149597.24</v>
      </c>
      <c r="V865" s="824">
        <f>STDEV(D$2:D865)*SQRT(252)</f>
        <v>0.14640033954500242</v>
      </c>
      <c r="W865" s="824">
        <f>STDEV(L$2:L865)*SQRT(252)</f>
        <v>0.24983339171198773</v>
      </c>
      <c r="X865" s="823">
        <f t="shared" ref="X865" si="761">E865/(A865/365.25)/V865</f>
        <v>0.65801826274296504</v>
      </c>
      <c r="Y865" s="823">
        <f t="shared" ref="Y865" si="762">O865/W865</f>
        <v>0.39985455117738711</v>
      </c>
      <c r="Z865" s="829">
        <f t="shared" ref="Z865" si="763">-(E865-N865)</f>
        <v>1.2876267044640122E-2</v>
      </c>
    </row>
    <row r="866" spans="1:26" ht="20.100000000000001" customHeight="1" x14ac:dyDescent="0.2">
      <c r="A866" s="798">
        <f t="shared" ref="A866" si="764">B866-$B$2</f>
        <v>1323</v>
      </c>
      <c r="B866" s="817">
        <v>43556</v>
      </c>
      <c r="C866" s="842">
        <v>2867.19</v>
      </c>
      <c r="D866" s="814">
        <f t="shared" ref="D866" si="765">(C866-C865)/C865</f>
        <v>1.1568585944115143E-2</v>
      </c>
      <c r="E866" s="841">
        <f t="shared" ref="E866" si="766">(C866-$C$2)/$C$2</f>
        <v>0.36374403074522932</v>
      </c>
      <c r="F866" s="838">
        <v>7828.91</v>
      </c>
      <c r="G866" s="814">
        <f t="shared" ref="G866" si="767">(F866-F865)/F865</f>
        <v>1.288470395843362E-2</v>
      </c>
      <c r="H866" s="819">
        <f t="shared" ref="H866" si="768">(F866-F$2)/F$2</f>
        <v>0.53758273268260115</v>
      </c>
      <c r="I866" s="863">
        <v>411874.17</v>
      </c>
      <c r="J866" s="822">
        <v>300000</v>
      </c>
      <c r="K866" s="822">
        <f t="shared" ref="K866" si="769">I866-I865-J866+J865</f>
        <v>3566.929999999993</v>
      </c>
      <c r="L866" s="814">
        <f t="shared" ref="L866" si="770">K866/I865</f>
        <v>8.7358970171579446E-3</v>
      </c>
      <c r="M866" s="839">
        <f t="shared" ref="M866" si="771">I866-J866</f>
        <v>111874.16999999998</v>
      </c>
      <c r="N866" s="824">
        <f t="shared" ref="N866" si="772">M866/J866</f>
        <v>0.37291389999999996</v>
      </c>
      <c r="O866" s="808">
        <f t="shared" ref="O866" si="773">N866/(A866/365.25)</f>
        <v>0.10295298713151926</v>
      </c>
      <c r="P866" s="839" t="b">
        <f t="shared" ref="P866" si="774">L866&gt;D866</f>
        <v>0</v>
      </c>
      <c r="Q866" s="824">
        <f>COUNTIF(P$2:P866, TRUE)/(COUNTIF(P$2:P866,FALSE) + COUNTIF(P$2:P866, TRUE))</f>
        <v>0.49479768786127165</v>
      </c>
      <c r="R866" s="866">
        <v>188016</v>
      </c>
      <c r="S866" s="868">
        <f t="shared" ref="S866" si="775">I866-R866</f>
        <v>223858.16999999998</v>
      </c>
      <c r="T866" s="822">
        <v>-41395</v>
      </c>
      <c r="U866" s="822">
        <f t="shared" ref="U866" si="776">M866-T866</f>
        <v>153269.16999999998</v>
      </c>
      <c r="V866" s="824">
        <f>STDEV(D$2:D866)*SQRT(252)</f>
        <v>0.14644001926411532</v>
      </c>
      <c r="W866" s="824">
        <f>STDEV(L$2:L866)*SQRT(252)</f>
        <v>0.24972763301688028</v>
      </c>
      <c r="X866" s="823">
        <f t="shared" ref="X866" si="777">E866/(A866/365.25)/V866</f>
        <v>0.68575104502027118</v>
      </c>
      <c r="Y866" s="823">
        <f t="shared" ref="Y866" si="778">O866/W866</f>
        <v>0.41226109376754544</v>
      </c>
      <c r="Z866" s="829">
        <f t="shared" ref="Z866" si="779">-(E866-N866)</f>
        <v>9.1698692547706462E-3</v>
      </c>
    </row>
    <row r="867" spans="1:26" ht="20.100000000000001" customHeight="1" x14ac:dyDescent="0.2">
      <c r="A867" s="798">
        <f t="shared" ref="A867" si="780">B867-$B$2</f>
        <v>1324</v>
      </c>
      <c r="B867" s="817">
        <v>43557</v>
      </c>
      <c r="C867" s="842">
        <v>2867.24</v>
      </c>
      <c r="D867" s="814">
        <f t="shared" ref="D867" si="781">(C867-C866)/C866</f>
        <v>1.7438676892611635E-5</v>
      </c>
      <c r="E867" s="841">
        <f t="shared" ref="E867" si="782">(C867-$C$2)/$C$2</f>
        <v>0.36376781263674574</v>
      </c>
      <c r="F867" s="838">
        <v>7848.68</v>
      </c>
      <c r="G867" s="814">
        <f t="shared" ref="G867" si="783">(F867-F866)/F866</f>
        <v>2.5252557508006141E-3</v>
      </c>
      <c r="H867" s="819">
        <f t="shared" ref="H867" si="784">(F867-F$2)/F$2</f>
        <v>0.5414655223206396</v>
      </c>
      <c r="I867" s="863">
        <v>408880.97</v>
      </c>
      <c r="J867" s="822">
        <v>300000</v>
      </c>
      <c r="K867" s="822">
        <f t="shared" ref="K867" si="785">I867-I866-J867+J866</f>
        <v>-2993.2000000000116</v>
      </c>
      <c r="L867" s="814">
        <f t="shared" ref="L867" si="786">K867/I866</f>
        <v>-7.2672680590773918E-3</v>
      </c>
      <c r="M867" s="839">
        <f t="shared" ref="M867" si="787">I867-J867</f>
        <v>108880.96999999997</v>
      </c>
      <c r="N867" s="824">
        <f t="shared" ref="N867" si="788">M867/J867</f>
        <v>0.36293656666666657</v>
      </c>
      <c r="O867" s="808">
        <f t="shared" ref="O867" si="789">N867/(A867/365.25)</f>
        <v>0.10012279529833834</v>
      </c>
      <c r="P867" s="839" t="b">
        <f t="shared" ref="P867" si="790">L867&gt;D867</f>
        <v>0</v>
      </c>
      <c r="Q867" s="824">
        <f>COUNTIF(P$2:P867, TRUE)/(COUNTIF(P$2:P867,FALSE) + COUNTIF(P$2:P867, TRUE))</f>
        <v>0.49422632794457277</v>
      </c>
      <c r="R867" s="866">
        <v>185022.8</v>
      </c>
      <c r="S867" s="868">
        <f t="shared" ref="S867" si="791">I867-R867</f>
        <v>223858.16999999998</v>
      </c>
      <c r="T867" s="822">
        <v>-41694</v>
      </c>
      <c r="U867" s="822">
        <f t="shared" ref="U867" si="792">M867-T867</f>
        <v>150574.96999999997</v>
      </c>
      <c r="V867" s="824">
        <f>STDEV(D$2:D867)*SQRT(252)</f>
        <v>0.14635539626377603</v>
      </c>
      <c r="W867" s="824">
        <f>STDEV(L$2:L867)*SQRT(252)</f>
        <v>0.24961892169781513</v>
      </c>
      <c r="X867" s="823">
        <f t="shared" ref="X867" si="793">E867/(A867/365.25)/V867</f>
        <v>0.6856741364214588</v>
      </c>
      <c r="Y867" s="823">
        <f t="shared" ref="Y867" si="794">O867/W867</f>
        <v>0.40110258716502861</v>
      </c>
      <c r="Z867" s="829">
        <f t="shared" ref="Z867" si="795">-(E867-N867)</f>
        <v>-8.3124597007916412E-4</v>
      </c>
    </row>
    <row r="868" spans="1:26" ht="20.100000000000001" customHeight="1" x14ac:dyDescent="0.2">
      <c r="A868" s="798">
        <f t="shared" ref="A868" si="796">B868-$B$2</f>
        <v>1325</v>
      </c>
      <c r="B868" s="817">
        <v>43558</v>
      </c>
      <c r="C868" s="842">
        <v>2873.4</v>
      </c>
      <c r="D868" s="814">
        <f t="shared" ref="D868" si="797">(C868-C867)/C867</f>
        <v>2.1484075277968741E-3</v>
      </c>
      <c r="E868" s="841">
        <f t="shared" ref="E868" si="798">(C868-$C$2)/$C$2</f>
        <v>0.36669774167158159</v>
      </c>
      <c r="F868" s="838">
        <v>7895.55</v>
      </c>
      <c r="G868" s="814">
        <f t="shared" ref="G868" si="799">(F868-F867)/F867</f>
        <v>5.9717047962204971E-3</v>
      </c>
      <c r="H868" s="819">
        <f t="shared" ref="H868" si="800">(F868-F$2)/F$2</f>
        <v>0.55067069937349034</v>
      </c>
      <c r="I868" s="863">
        <v>409389.95</v>
      </c>
      <c r="J868" s="822">
        <v>300000</v>
      </c>
      <c r="K868" s="822">
        <f t="shared" ref="K868" si="801">I868-I867-J868+J867</f>
        <v>508.98000000003958</v>
      </c>
      <c r="L868" s="814">
        <f t="shared" ref="L868" si="802">K868/I867</f>
        <v>1.2448121515658691E-3</v>
      </c>
      <c r="M868" s="839">
        <f t="shared" ref="M868" si="803">I868-J868</f>
        <v>109389.95000000001</v>
      </c>
      <c r="N868" s="824">
        <f t="shared" ref="N868" si="804">M868/J868</f>
        <v>0.36463316666666673</v>
      </c>
      <c r="O868" s="808">
        <f t="shared" ref="O868" si="805">N868/(A868/365.25)</f>
        <v>0.10051491632075474</v>
      </c>
      <c r="P868" s="839" t="b">
        <f t="shared" ref="P868" si="806">L868&gt;D868</f>
        <v>0</v>
      </c>
      <c r="Q868" s="824">
        <f>COUNTIF(P$2:P868, TRUE)/(COUNTIF(P$2:P868,FALSE) + COUNTIF(P$2:P868, TRUE))</f>
        <v>0.49365628604382927</v>
      </c>
      <c r="R868" s="866">
        <v>190625.78</v>
      </c>
      <c r="S868" s="868">
        <f t="shared" ref="S868" si="807">I868-R868</f>
        <v>218764.17</v>
      </c>
      <c r="T868" s="822">
        <v>-41663</v>
      </c>
      <c r="U868" s="822">
        <f t="shared" ref="U868" si="808">M868-T868</f>
        <v>151052.95000000001</v>
      </c>
      <c r="V868" s="824">
        <f>STDEV(D$2:D868)*SQRT(252)</f>
        <v>0.14627380985149704</v>
      </c>
      <c r="W868" s="824">
        <f>STDEV(L$2:L868)*SQRT(252)</f>
        <v>0.2494748640660745</v>
      </c>
      <c r="X868" s="823">
        <f t="shared" ref="X868" si="809">E868/(A868/365.25)/V868</f>
        <v>0.69106040205228114</v>
      </c>
      <c r="Y868" s="823">
        <f t="shared" ref="Y868" si="810">O868/W868</f>
        <v>0.40290598692994145</v>
      </c>
      <c r="Z868" s="829">
        <f t="shared" ref="Z868" si="811">-(E868-N868)</f>
        <v>-2.0645750049148592E-3</v>
      </c>
    </row>
    <row r="869" spans="1:26" ht="20.100000000000001" customHeight="1" x14ac:dyDescent="0.2">
      <c r="A869" s="798">
        <f t="shared" ref="A869" si="812">B869-$B$2</f>
        <v>1326</v>
      </c>
      <c r="B869" s="817">
        <v>43559</v>
      </c>
      <c r="C869" s="842">
        <v>2879.39</v>
      </c>
      <c r="D869" s="814">
        <f t="shared" ref="D869" si="813">(C869-C868)/C868</f>
        <v>2.084638407461468E-3</v>
      </c>
      <c r="E869" s="841">
        <f t="shared" ref="E869" si="814">(C869-$C$2)/$C$2</f>
        <v>0.36954681227526104</v>
      </c>
      <c r="F869" s="838">
        <v>7891.78</v>
      </c>
      <c r="G869" s="814">
        <f t="shared" ref="G869" si="815">(F869-F868)/F868</f>
        <v>-4.7748415246568463E-4</v>
      </c>
      <c r="H869" s="819">
        <f t="shared" ref="H869" si="816">(F869-F$2)/F$2</f>
        <v>0.54993027868884659</v>
      </c>
      <c r="I869" s="863">
        <v>411494.73</v>
      </c>
      <c r="J869" s="822">
        <v>300000</v>
      </c>
      <c r="K869" s="822">
        <f t="shared" ref="K869" si="817">I869-I868-J869+J868</f>
        <v>2104.7799999999697</v>
      </c>
      <c r="L869" s="814">
        <f t="shared" ref="L869" si="818">K869/I868</f>
        <v>5.1412595741541032E-3</v>
      </c>
      <c r="M869" s="839">
        <f t="shared" ref="M869" si="819">I869-J869</f>
        <v>111494.72999999998</v>
      </c>
      <c r="N869" s="824">
        <f t="shared" ref="N869" si="820">M869/J869</f>
        <v>0.37164909999999995</v>
      </c>
      <c r="O869" s="808">
        <f t="shared" ref="O869" si="821">N869/(A869/365.25)</f>
        <v>0.10237166951357464</v>
      </c>
      <c r="P869" s="839" t="b">
        <f t="shared" ref="P869" si="822">L869&gt;D869</f>
        <v>1</v>
      </c>
      <c r="Q869" s="824">
        <f>COUNTIF(P$2:P869, TRUE)/(COUNTIF(P$2:P869,FALSE) + COUNTIF(P$2:P869, TRUE))</f>
        <v>0.49423963133640553</v>
      </c>
      <c r="R869" s="866">
        <v>192730.56</v>
      </c>
      <c r="S869" s="868">
        <f t="shared" ref="S869" si="823">I869-R869</f>
        <v>218764.16999999998</v>
      </c>
      <c r="T869" s="822">
        <v>-41363</v>
      </c>
      <c r="U869" s="822">
        <f t="shared" ref="U869" si="824">M869-T869</f>
        <v>152857.72999999998</v>
      </c>
      <c r="V869" s="824">
        <f>STDEV(D$2:D869)*SQRT(252)</f>
        <v>0.14619214226488625</v>
      </c>
      <c r="W869" s="824">
        <f>STDEV(L$2:L869)*SQRT(252)</f>
        <v>0.24934300587144956</v>
      </c>
      <c r="X869" s="823">
        <f t="shared" ref="X869" si="825">E869/(A869/365.25)/V869</f>
        <v>0.69629316289393339</v>
      </c>
      <c r="Y869" s="823">
        <f t="shared" ref="Y869" si="826">O869/W869</f>
        <v>0.41056563490035503</v>
      </c>
      <c r="Z869" s="829">
        <f t="shared" ref="Z869" si="827">-(E869-N869)</f>
        <v>2.102287724738916E-3</v>
      </c>
    </row>
    <row r="870" spans="1:26" ht="20.100000000000001" customHeight="1" x14ac:dyDescent="0.2">
      <c r="A870" s="798">
        <f t="shared" ref="A870" si="828">B870-$B$2</f>
        <v>1327</v>
      </c>
      <c r="B870" s="817">
        <v>43560</v>
      </c>
      <c r="C870" s="842">
        <v>2892.74</v>
      </c>
      <c r="D870" s="814">
        <f t="shared" ref="D870" si="829">(C870-C869)/C869</f>
        <v>4.6363986816651825E-3</v>
      </c>
      <c r="E870" s="841">
        <f t="shared" ref="E870" si="830">(C870-$C$2)/$C$2</f>
        <v>0.37589657731017279</v>
      </c>
      <c r="F870" s="838">
        <v>7938.69</v>
      </c>
      <c r="G870" s="814">
        <f t="shared" ref="G870" si="831">(F870-F869)/F869</f>
        <v>5.9441596192493775E-3</v>
      </c>
      <c r="H870" s="819">
        <f t="shared" ref="H870" si="832">(F870-F$2)/F$2</f>
        <v>0.55914331166408071</v>
      </c>
      <c r="I870" s="863">
        <v>414382.34</v>
      </c>
      <c r="J870" s="822">
        <v>300000</v>
      </c>
      <c r="K870" s="822">
        <f t="shared" ref="K870" si="833">I870-I869-J870+J869</f>
        <v>2887.6100000000442</v>
      </c>
      <c r="L870" s="814">
        <f t="shared" ref="L870" si="834">K870/I869</f>
        <v>7.0173681203646145E-3</v>
      </c>
      <c r="M870" s="839">
        <f t="shared" ref="M870" si="835">I870-J870</f>
        <v>114382.34000000003</v>
      </c>
      <c r="N870" s="824">
        <f t="shared" ref="N870" si="836">M870/J870</f>
        <v>0.38127446666666676</v>
      </c>
      <c r="O870" s="808">
        <f t="shared" ref="O870" si="837">N870/(A870/365.25)</f>
        <v>0.10494385753579505</v>
      </c>
      <c r="P870" s="839" t="b">
        <f t="shared" ref="P870" si="838">L870&gt;D870</f>
        <v>1</v>
      </c>
      <c r="Q870" s="824">
        <f>COUNTIF(P$2:P870, TRUE)/(COUNTIF(P$2:P870,FALSE) + COUNTIF(P$2:P870, TRUE))</f>
        <v>0.49482163406214041</v>
      </c>
      <c r="R870" s="866">
        <v>190320.24</v>
      </c>
      <c r="S870" s="868">
        <f t="shared" ref="S870" si="839">I870-R870</f>
        <v>224062.10000000003</v>
      </c>
      <c r="T870" s="822">
        <v>-41333</v>
      </c>
      <c r="U870" s="822">
        <f t="shared" ref="U870" si="840">M870-T870</f>
        <v>155715.34000000003</v>
      </c>
      <c r="V870" s="824">
        <f>STDEV(D$2:D870)*SQRT(252)</f>
        <v>0.1461255950963456</v>
      </c>
      <c r="W870" s="824">
        <f>STDEV(L$2:L870)*SQRT(252)</f>
        <v>0.24922340084880154</v>
      </c>
      <c r="X870" s="823">
        <f t="shared" ref="X870" si="841">E870/(A870/365.25)/V870</f>
        <v>0.70804584766759371</v>
      </c>
      <c r="Y870" s="823">
        <f t="shared" ref="Y870" si="842">O870/W870</f>
        <v>0.42108348244337707</v>
      </c>
      <c r="Z870" s="829">
        <f t="shared" ref="Z870" si="843">-(E870-N870)</f>
        <v>5.37788935649397E-3</v>
      </c>
    </row>
  </sheetData>
  <conditionalFormatting sqref="L1:L2 L882: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870">
    <cfRule type="colorScale" priority="1002">
      <colorScale>
        <cfvo type="min"/>
        <cfvo type="num" val="0"/>
        <cfvo type="max"/>
        <color rgb="FFF8696B"/>
        <color rgb="FFFFEB84"/>
        <color rgb="FF63BE7B"/>
      </colorScale>
    </cfRule>
  </conditionalFormatting>
  <conditionalFormatting sqref="G3:G870">
    <cfRule type="colorScale" priority="1004">
      <colorScale>
        <cfvo type="min"/>
        <cfvo type="num" val="0"/>
        <cfvo type="max"/>
        <color rgb="FFF8696B"/>
        <color rgb="FFFFEB84"/>
        <color rgb="FF63BE7B"/>
      </colorScale>
    </cfRule>
  </conditionalFormatting>
  <conditionalFormatting sqref="L3:L870">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T305"/>
  <sheetViews>
    <sheetView workbookViewId="0">
      <pane ySplit="1" topLeftCell="A246" activePane="bottomLeft" state="frozen"/>
      <selection activeCell="E5" sqref="E5"/>
      <selection pane="bottomLeft" activeCell="W268" sqref="W268:W269"/>
    </sheetView>
  </sheetViews>
  <sheetFormatPr defaultColWidth="9.140625" defaultRowHeight="18" customHeight="1" x14ac:dyDescent="0.25"/>
  <cols>
    <col min="1" max="1" width="9.5703125" style="223"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16384" width="9.140625" style="24"/>
  </cols>
  <sheetData>
    <row r="1" spans="1:17" s="23" customFormat="1" ht="18" customHeight="1" x14ac:dyDescent="0.25">
      <c r="A1" s="247" t="s">
        <v>1</v>
      </c>
      <c r="B1" s="248" t="s">
        <v>2</v>
      </c>
      <c r="C1" s="249" t="s">
        <v>4</v>
      </c>
      <c r="D1" s="248" t="s">
        <v>5</v>
      </c>
      <c r="E1" s="248" t="s">
        <v>94</v>
      </c>
      <c r="F1" s="250" t="s">
        <v>60</v>
      </c>
      <c r="G1" s="248" t="s">
        <v>3</v>
      </c>
      <c r="H1" s="249" t="s">
        <v>6</v>
      </c>
      <c r="I1" s="248" t="s">
        <v>7</v>
      </c>
      <c r="J1" s="249" t="s">
        <v>95</v>
      </c>
      <c r="K1" s="250" t="s">
        <v>61</v>
      </c>
      <c r="L1" s="248" t="s">
        <v>77</v>
      </c>
      <c r="M1" s="250" t="s">
        <v>38</v>
      </c>
      <c r="N1" s="249" t="s">
        <v>59</v>
      </c>
      <c r="O1" s="249" t="s">
        <v>76</v>
      </c>
      <c r="P1" s="23" t="s">
        <v>132</v>
      </c>
    </row>
    <row r="2" spans="1:17" ht="18" customHeight="1" x14ac:dyDescent="0.25">
      <c r="A2" s="236" t="s">
        <v>12</v>
      </c>
      <c r="B2" s="237">
        <v>42151</v>
      </c>
      <c r="C2" s="238">
        <v>5</v>
      </c>
      <c r="D2" s="239">
        <v>42.7</v>
      </c>
      <c r="E2" s="240"/>
      <c r="F2" s="239">
        <f>C2*D2</f>
        <v>213.5</v>
      </c>
      <c r="G2" s="237">
        <v>42181</v>
      </c>
      <c r="H2" s="238">
        <v>5</v>
      </c>
      <c r="I2" s="239">
        <v>43.35</v>
      </c>
      <c r="J2" s="238">
        <v>0.01</v>
      </c>
      <c r="K2" s="239">
        <f>H2*I2-J2</f>
        <v>216.74</v>
      </c>
      <c r="L2" s="240"/>
      <c r="M2" s="239"/>
      <c r="N2" s="239"/>
      <c r="O2" s="241"/>
    </row>
    <row r="3" spans="1:17" ht="18" customHeight="1" x14ac:dyDescent="0.25">
      <c r="A3" s="658" t="s">
        <v>71</v>
      </c>
      <c r="B3" s="237">
        <v>42153</v>
      </c>
      <c r="C3" s="238">
        <v>25</v>
      </c>
      <c r="D3" s="239">
        <v>41.6</v>
      </c>
      <c r="E3" s="240"/>
      <c r="F3" s="239">
        <f>C3*D3</f>
        <v>1040</v>
      </c>
      <c r="G3" s="237">
        <v>42200</v>
      </c>
      <c r="H3" s="238">
        <v>10</v>
      </c>
      <c r="I3" s="239">
        <v>41.64</v>
      </c>
      <c r="J3" s="238">
        <v>0.01</v>
      </c>
      <c r="K3" s="239">
        <f>H3*I3-J3</f>
        <v>416.39</v>
      </c>
      <c r="L3" s="240"/>
      <c r="M3" s="239"/>
      <c r="N3" s="239"/>
      <c r="O3" s="241"/>
    </row>
    <row r="4" spans="1:17" ht="18" customHeight="1" x14ac:dyDescent="0.25">
      <c r="A4" s="236"/>
      <c r="B4" s="237">
        <v>42166</v>
      </c>
      <c r="C4" s="238">
        <v>10</v>
      </c>
      <c r="D4" s="239">
        <v>40</v>
      </c>
      <c r="E4" s="240"/>
      <c r="F4" s="239">
        <f>C4*D4</f>
        <v>400</v>
      </c>
      <c r="G4" s="237">
        <v>42201</v>
      </c>
      <c r="H4" s="238">
        <v>125</v>
      </c>
      <c r="I4" s="239">
        <v>42.6</v>
      </c>
      <c r="J4" s="238">
        <v>0.1</v>
      </c>
      <c r="K4" s="239">
        <f>H4*I4-J4</f>
        <v>5324.9</v>
      </c>
      <c r="L4" s="240"/>
      <c r="M4" s="239"/>
      <c r="N4" s="239"/>
      <c r="O4" s="241"/>
      <c r="Q4" s="148"/>
    </row>
    <row r="5" spans="1:17" ht="18" customHeight="1" x14ac:dyDescent="0.25">
      <c r="A5" s="236"/>
      <c r="B5" s="237">
        <v>42166</v>
      </c>
      <c r="C5" s="238">
        <v>100</v>
      </c>
      <c r="D5" s="239">
        <v>39.799999999999997</v>
      </c>
      <c r="E5" s="240"/>
      <c r="F5" s="239">
        <f>C5*D5</f>
        <v>3979.9999999999995</v>
      </c>
      <c r="G5" s="240"/>
      <c r="H5" s="238"/>
      <c r="I5" s="239"/>
      <c r="J5" s="238"/>
      <c r="K5" s="239"/>
      <c r="L5" s="240"/>
      <c r="M5" s="239"/>
      <c r="N5" s="239"/>
      <c r="O5" s="241"/>
    </row>
    <row r="6" spans="1:17" ht="17.25" customHeight="1" x14ac:dyDescent="0.25">
      <c r="A6" s="236"/>
      <c r="B6" s="242"/>
      <c r="C6" s="243">
        <f>SUM(C2:C5)</f>
        <v>140</v>
      </c>
      <c r="D6" s="244"/>
      <c r="E6" s="245"/>
      <c r="F6" s="244">
        <f>SUM(F2:F5)</f>
        <v>5633.5</v>
      </c>
      <c r="G6" s="245"/>
      <c r="H6" s="243">
        <f>SUM(H2:H5)</f>
        <v>140</v>
      </c>
      <c r="I6" s="244"/>
      <c r="J6" s="243"/>
      <c r="K6" s="244">
        <f>SUM(K2:K5)</f>
        <v>5958.03</v>
      </c>
      <c r="L6" s="245"/>
      <c r="M6" s="244"/>
      <c r="N6" s="244">
        <f>K6-F6</f>
        <v>324.52999999999975</v>
      </c>
      <c r="O6" s="246">
        <f>(N6+M6)/F6</f>
        <v>5.7607171385461925E-2</v>
      </c>
      <c r="P6" s="139" t="s">
        <v>133</v>
      </c>
    </row>
    <row r="7" spans="1:17" ht="17.25" customHeight="1" x14ac:dyDescent="0.25">
      <c r="A7" s="224"/>
      <c r="B7" s="143"/>
      <c r="C7" s="144"/>
      <c r="D7" s="145"/>
      <c r="E7" s="24"/>
      <c r="F7" s="145"/>
      <c r="G7" s="146"/>
      <c r="H7" s="144"/>
      <c r="I7" s="145"/>
      <c r="K7" s="145"/>
      <c r="L7" s="146"/>
      <c r="M7" s="145"/>
      <c r="N7" s="145"/>
      <c r="O7" s="147"/>
      <c r="P7" s="139"/>
    </row>
    <row r="8" spans="1:17" ht="17.25" customHeight="1" x14ac:dyDescent="0.25">
      <c r="A8" s="225" t="s">
        <v>18</v>
      </c>
      <c r="B8" s="226">
        <v>42153</v>
      </c>
      <c r="C8" s="227">
        <v>50</v>
      </c>
      <c r="D8" s="228">
        <v>36.4</v>
      </c>
      <c r="E8" s="228">
        <v>0</v>
      </c>
      <c r="F8" s="228">
        <f t="shared" ref="F8:F15" si="0">C8*D8</f>
        <v>1820</v>
      </c>
      <c r="G8" s="226">
        <v>42333</v>
      </c>
      <c r="H8" s="229">
        <v>80</v>
      </c>
      <c r="I8" s="228">
        <v>8.7200000000000006</v>
      </c>
      <c r="J8" s="228">
        <v>0.01</v>
      </c>
      <c r="K8" s="228">
        <f>I8*H8-J8</f>
        <v>697.59</v>
      </c>
      <c r="L8" s="227"/>
      <c r="M8" s="227"/>
      <c r="N8" s="227"/>
      <c r="O8" s="230"/>
      <c r="P8" s="4"/>
      <c r="Q8" s="161"/>
    </row>
    <row r="9" spans="1:17" ht="17.25" customHeight="1" x14ac:dyDescent="0.25">
      <c r="A9" s="231"/>
      <c r="B9" s="226">
        <v>42173</v>
      </c>
      <c r="C9" s="227">
        <v>5</v>
      </c>
      <c r="D9" s="228">
        <v>22.95</v>
      </c>
      <c r="E9" s="228">
        <v>0</v>
      </c>
      <c r="F9" s="228">
        <f t="shared" si="0"/>
        <v>114.75</v>
      </c>
      <c r="G9" s="226">
        <v>42335</v>
      </c>
      <c r="H9" s="229">
        <v>80</v>
      </c>
      <c r="I9" s="228">
        <v>8.98</v>
      </c>
      <c r="J9" s="228">
        <v>0.01</v>
      </c>
      <c r="K9" s="228">
        <f>I9*H9-J9</f>
        <v>718.3900000000001</v>
      </c>
      <c r="L9" s="227"/>
      <c r="M9" s="227"/>
      <c r="N9" s="227"/>
      <c r="O9" s="230"/>
      <c r="P9" s="4"/>
      <c r="Q9" s="3"/>
    </row>
    <row r="10" spans="1:17" ht="17.25" customHeight="1" x14ac:dyDescent="0.25">
      <c r="A10" s="232"/>
      <c r="B10" s="226">
        <v>42173</v>
      </c>
      <c r="C10" s="227">
        <v>10</v>
      </c>
      <c r="D10" s="228">
        <v>22.8</v>
      </c>
      <c r="E10" s="228">
        <v>0</v>
      </c>
      <c r="F10" s="228">
        <f t="shared" si="0"/>
        <v>228</v>
      </c>
      <c r="G10" s="226">
        <v>42362</v>
      </c>
      <c r="H10" s="229">
        <v>80</v>
      </c>
      <c r="I10" s="228">
        <v>9.4499999999999993</v>
      </c>
      <c r="J10" s="228">
        <v>0.01</v>
      </c>
      <c r="K10" s="228">
        <f>I10*H10-J10</f>
        <v>755.99</v>
      </c>
      <c r="L10" s="227"/>
      <c r="M10" s="227"/>
      <c r="N10" s="227"/>
      <c r="O10" s="230"/>
      <c r="P10" s="4"/>
      <c r="Q10" s="221"/>
    </row>
    <row r="11" spans="1:17" ht="18" customHeight="1" x14ac:dyDescent="0.25">
      <c r="A11" s="232"/>
      <c r="B11" s="226">
        <v>42234</v>
      </c>
      <c r="C11" s="227">
        <v>15</v>
      </c>
      <c r="D11" s="228">
        <v>13.9</v>
      </c>
      <c r="E11" s="228">
        <v>0</v>
      </c>
      <c r="F11" s="228">
        <f t="shared" si="0"/>
        <v>208.5</v>
      </c>
      <c r="G11" s="226">
        <v>42398</v>
      </c>
      <c r="H11" s="229">
        <v>3</v>
      </c>
      <c r="I11" s="228">
        <v>5.81</v>
      </c>
      <c r="J11" s="228">
        <v>0.01</v>
      </c>
      <c r="K11" s="228">
        <f>I11*H11-J11</f>
        <v>17.419999999999998</v>
      </c>
      <c r="L11" s="227"/>
      <c r="M11" s="227"/>
      <c r="N11" s="227"/>
      <c r="O11" s="230"/>
      <c r="P11" s="4"/>
      <c r="Q11" s="3"/>
    </row>
    <row r="12" spans="1:17" ht="18" customHeight="1" x14ac:dyDescent="0.25">
      <c r="A12" s="232"/>
      <c r="B12" s="883">
        <v>42328</v>
      </c>
      <c r="C12" s="227">
        <v>1</v>
      </c>
      <c r="D12" s="228">
        <v>8.59</v>
      </c>
      <c r="E12" s="228">
        <v>0</v>
      </c>
      <c r="F12" s="228">
        <f t="shared" si="0"/>
        <v>8.59</v>
      </c>
      <c r="G12" s="227"/>
      <c r="H12" s="229"/>
      <c r="I12" s="228"/>
      <c r="J12" s="228"/>
      <c r="K12" s="228"/>
      <c r="L12" s="227"/>
      <c r="M12" s="227"/>
      <c r="N12" s="227"/>
      <c r="O12" s="230"/>
      <c r="P12" s="4"/>
      <c r="Q12" s="3"/>
    </row>
    <row r="13" spans="1:17" ht="18" customHeight="1" x14ac:dyDescent="0.25">
      <c r="A13" s="232"/>
      <c r="B13" s="883"/>
      <c r="C13" s="227">
        <v>80</v>
      </c>
      <c r="D13" s="228">
        <v>8.59</v>
      </c>
      <c r="E13" s="228">
        <v>0</v>
      </c>
      <c r="F13" s="228">
        <f t="shared" si="0"/>
        <v>687.2</v>
      </c>
      <c r="G13" s="227"/>
      <c r="H13" s="229"/>
      <c r="I13" s="228"/>
      <c r="J13" s="228"/>
      <c r="K13" s="228"/>
      <c r="L13" s="227"/>
      <c r="M13" s="227"/>
      <c r="N13" s="227"/>
      <c r="O13" s="230"/>
      <c r="P13" s="4"/>
      <c r="Q13" s="3"/>
    </row>
    <row r="14" spans="1:17" ht="18" customHeight="1" x14ac:dyDescent="0.25">
      <c r="A14" s="232"/>
      <c r="B14" s="883">
        <v>42354</v>
      </c>
      <c r="C14" s="227">
        <v>2</v>
      </c>
      <c r="D14" s="228">
        <v>8.73</v>
      </c>
      <c r="E14" s="228">
        <v>0</v>
      </c>
      <c r="F14" s="228">
        <f t="shared" si="0"/>
        <v>17.46</v>
      </c>
      <c r="G14" s="227"/>
      <c r="H14" s="229"/>
      <c r="I14" s="228"/>
      <c r="J14" s="228"/>
      <c r="K14" s="228"/>
      <c r="L14" s="227"/>
      <c r="M14" s="227"/>
      <c r="N14" s="227"/>
      <c r="O14" s="230"/>
      <c r="P14" s="4"/>
      <c r="Q14" s="222"/>
    </row>
    <row r="15" spans="1:17" ht="18" customHeight="1" x14ac:dyDescent="0.25">
      <c r="A15" s="232"/>
      <c r="B15" s="883"/>
      <c r="C15" s="227">
        <v>80</v>
      </c>
      <c r="D15" s="228">
        <v>8.73</v>
      </c>
      <c r="E15" s="228">
        <v>0</v>
      </c>
      <c r="F15" s="228">
        <f t="shared" si="0"/>
        <v>698.40000000000009</v>
      </c>
      <c r="G15" s="227"/>
      <c r="H15" s="227"/>
      <c r="I15" s="228"/>
      <c r="J15" s="228"/>
      <c r="K15" s="228"/>
      <c r="L15" s="227"/>
      <c r="M15" s="227"/>
      <c r="N15" s="227"/>
      <c r="O15" s="227"/>
      <c r="P15" s="4"/>
      <c r="Q15" s="4"/>
    </row>
    <row r="16" spans="1:17" ht="18" customHeight="1" x14ac:dyDescent="0.25">
      <c r="A16" s="225"/>
      <c r="B16" s="230"/>
      <c r="C16" s="230">
        <f>SUM(C8:C15)</f>
        <v>243</v>
      </c>
      <c r="D16" s="233"/>
      <c r="E16" s="233"/>
      <c r="F16" s="233">
        <f>SUM(F8:F15)</f>
        <v>3782.9</v>
      </c>
      <c r="G16" s="233"/>
      <c r="H16" s="234">
        <f>SUM(H8:H12)</f>
        <v>243</v>
      </c>
      <c r="I16" s="233"/>
      <c r="J16" s="233"/>
      <c r="K16" s="233">
        <f>SUM(K8:K12)</f>
        <v>2189.3900000000003</v>
      </c>
      <c r="L16" s="233"/>
      <c r="M16" s="233"/>
      <c r="N16" s="233">
        <f>K16-F16</f>
        <v>-1593.5099999999998</v>
      </c>
      <c r="O16" s="235">
        <f>N16/F16</f>
        <v>-0.42124031827433972</v>
      </c>
      <c r="P16" s="4"/>
      <c r="Q16" s="4"/>
    </row>
    <row r="17" spans="1:20" ht="18" customHeight="1" x14ac:dyDescent="0.25">
      <c r="A17" s="24"/>
      <c r="B17" s="251"/>
      <c r="C17" s="252"/>
      <c r="D17" s="253"/>
      <c r="E17" s="253"/>
      <c r="F17" s="253"/>
      <c r="G17" s="251"/>
      <c r="H17" s="252"/>
      <c r="I17" s="253"/>
      <c r="J17" s="253"/>
      <c r="K17" s="253"/>
      <c r="L17" s="251"/>
      <c r="M17" s="253"/>
      <c r="N17" s="253"/>
      <c r="O17" s="254"/>
    </row>
    <row r="18" spans="1:20" ht="18" customHeight="1" x14ac:dyDescent="0.25">
      <c r="A18" s="236" t="s">
        <v>48</v>
      </c>
      <c r="B18" s="237">
        <v>42186</v>
      </c>
      <c r="C18" s="238">
        <v>10</v>
      </c>
      <c r="D18" s="239">
        <v>101.7</v>
      </c>
      <c r="E18" s="239"/>
      <c r="F18" s="239">
        <f>C18*D18</f>
        <v>1017</v>
      </c>
      <c r="G18" s="237">
        <v>42186</v>
      </c>
      <c r="H18" s="238">
        <v>10</v>
      </c>
      <c r="I18" s="239">
        <v>103</v>
      </c>
      <c r="J18" s="239">
        <v>0.02</v>
      </c>
      <c r="K18" s="239">
        <f>H18*I18-J18</f>
        <v>1029.98</v>
      </c>
      <c r="L18" s="240"/>
      <c r="M18" s="239"/>
      <c r="N18" s="239"/>
      <c r="O18" s="241"/>
    </row>
    <row r="19" spans="1:20" ht="18" customHeight="1" x14ac:dyDescent="0.25">
      <c r="A19" s="236"/>
      <c r="B19" s="242"/>
      <c r="C19" s="243">
        <f>SUM(C18)</f>
        <v>10</v>
      </c>
      <c r="D19" s="244"/>
      <c r="E19" s="244"/>
      <c r="F19" s="244">
        <f>SUM(F18)</f>
        <v>1017</v>
      </c>
      <c r="G19" s="245"/>
      <c r="H19" s="243">
        <f>SUM(H18)</f>
        <v>10</v>
      </c>
      <c r="I19" s="244"/>
      <c r="J19" s="244"/>
      <c r="K19" s="244">
        <f>SUM(K18)</f>
        <v>1029.98</v>
      </c>
      <c r="L19" s="245"/>
      <c r="M19" s="244"/>
      <c r="N19" s="244">
        <f>K19-F19</f>
        <v>12.980000000000018</v>
      </c>
      <c r="O19" s="246">
        <f>(N19+M19)/F19</f>
        <v>1.2763028515240922E-2</v>
      </c>
      <c r="P19" s="139" t="s">
        <v>133</v>
      </c>
    </row>
    <row r="20" spans="1:20" ht="18" customHeight="1" x14ac:dyDescent="0.25">
      <c r="A20" s="24"/>
      <c r="B20" s="251"/>
      <c r="C20" s="252"/>
      <c r="D20" s="253"/>
      <c r="E20" s="24"/>
      <c r="F20" s="253"/>
      <c r="G20" s="251"/>
      <c r="H20" s="252"/>
      <c r="I20" s="253"/>
      <c r="K20" s="253"/>
      <c r="L20" s="251"/>
      <c r="M20" s="253"/>
      <c r="N20" s="253"/>
      <c r="O20" s="254"/>
      <c r="R20" s="251"/>
      <c r="S20" s="252"/>
      <c r="T20" s="253"/>
    </row>
    <row r="21" spans="1:20" ht="18" customHeight="1" x14ac:dyDescent="0.25">
      <c r="A21" s="236" t="s">
        <v>68</v>
      </c>
      <c r="B21" s="237">
        <v>42164</v>
      </c>
      <c r="C21" s="238">
        <v>20</v>
      </c>
      <c r="D21" s="239">
        <v>11.25</v>
      </c>
      <c r="E21" s="240">
        <v>0</v>
      </c>
      <c r="F21" s="239">
        <f t="shared" ref="F21:F26" si="1">C21*D21+E21</f>
        <v>225</v>
      </c>
      <c r="G21" s="237">
        <v>42235</v>
      </c>
      <c r="H21" s="238">
        <v>110</v>
      </c>
      <c r="I21" s="239">
        <v>8.69</v>
      </c>
      <c r="J21" s="238">
        <v>0.02</v>
      </c>
      <c r="K21" s="239">
        <f>H21*I21-J21</f>
        <v>955.88</v>
      </c>
      <c r="L21" s="240">
        <v>42346</v>
      </c>
      <c r="M21" s="239">
        <f>21.93-0.91-2.19-4.38</f>
        <v>14.45</v>
      </c>
      <c r="N21" s="239"/>
      <c r="O21" s="241"/>
      <c r="R21" s="146"/>
      <c r="S21" s="144"/>
      <c r="T21" s="145"/>
    </row>
    <row r="22" spans="1:20" ht="18" customHeight="1" x14ac:dyDescent="0.25">
      <c r="A22" s="236" t="s">
        <v>123</v>
      </c>
      <c r="B22" s="237">
        <v>42187</v>
      </c>
      <c r="C22" s="238">
        <v>20</v>
      </c>
      <c r="D22" s="239">
        <v>10.28</v>
      </c>
      <c r="E22" s="240">
        <v>0</v>
      </c>
      <c r="F22" s="239">
        <f t="shared" si="1"/>
        <v>205.6</v>
      </c>
      <c r="G22" s="237">
        <v>42331</v>
      </c>
      <c r="H22" s="238">
        <v>150</v>
      </c>
      <c r="I22" s="239">
        <v>8.7100000000000009</v>
      </c>
      <c r="J22" s="238">
        <v>0.51</v>
      </c>
      <c r="K22" s="239">
        <f>H22*I22-J22</f>
        <v>1305.9900000000002</v>
      </c>
      <c r="L22" s="240"/>
      <c r="M22" s="239"/>
      <c r="N22" s="239"/>
      <c r="O22" s="241"/>
      <c r="R22" s="146"/>
      <c r="S22" s="144"/>
      <c r="T22" s="145"/>
    </row>
    <row r="23" spans="1:20" ht="18" customHeight="1" x14ac:dyDescent="0.25">
      <c r="A23" s="236"/>
      <c r="B23" s="237">
        <v>42198</v>
      </c>
      <c r="C23" s="238">
        <v>40</v>
      </c>
      <c r="D23" s="239">
        <v>10.119999999999999</v>
      </c>
      <c r="E23" s="240">
        <v>0</v>
      </c>
      <c r="F23" s="239">
        <f t="shared" si="1"/>
        <v>404.79999999999995</v>
      </c>
      <c r="G23" s="237">
        <v>42332</v>
      </c>
      <c r="H23" s="238">
        <v>120</v>
      </c>
      <c r="I23" s="239">
        <v>9.0500000000000007</v>
      </c>
      <c r="J23" s="238">
        <v>0.02</v>
      </c>
      <c r="K23" s="239">
        <f>H23*I23-J23</f>
        <v>1085.98</v>
      </c>
      <c r="L23" s="240"/>
      <c r="M23" s="239"/>
      <c r="N23" s="239"/>
      <c r="O23" s="241"/>
      <c r="R23" s="146"/>
      <c r="S23" s="144"/>
      <c r="T23" s="145"/>
    </row>
    <row r="24" spans="1:20" ht="18" customHeight="1" x14ac:dyDescent="0.25">
      <c r="A24" s="236"/>
      <c r="B24" s="237">
        <v>42198</v>
      </c>
      <c r="C24" s="238">
        <v>40</v>
      </c>
      <c r="D24" s="239">
        <v>9.94</v>
      </c>
      <c r="E24" s="240">
        <v>0</v>
      </c>
      <c r="F24" s="239">
        <f t="shared" si="1"/>
        <v>397.59999999999997</v>
      </c>
      <c r="G24" s="237"/>
      <c r="H24" s="238"/>
      <c r="I24" s="239"/>
      <c r="J24" s="238"/>
      <c r="K24" s="239"/>
      <c r="L24" s="240"/>
      <c r="M24" s="239"/>
      <c r="N24" s="239"/>
      <c r="O24" s="241"/>
    </row>
    <row r="25" spans="1:20" ht="18" customHeight="1" x14ac:dyDescent="0.25">
      <c r="A25" s="236"/>
      <c r="B25" s="237">
        <v>42233</v>
      </c>
      <c r="C25" s="238">
        <v>110</v>
      </c>
      <c r="D25" s="239">
        <v>8.48</v>
      </c>
      <c r="E25" s="240">
        <v>0</v>
      </c>
      <c r="F25" s="239">
        <f t="shared" si="1"/>
        <v>932.80000000000007</v>
      </c>
      <c r="G25" s="237"/>
      <c r="H25" s="238"/>
      <c r="I25" s="239"/>
      <c r="J25" s="238"/>
      <c r="K25" s="239"/>
      <c r="L25" s="240"/>
      <c r="M25" s="239"/>
      <c r="N25" s="239"/>
      <c r="O25" s="241"/>
    </row>
    <row r="26" spans="1:20" ht="18" customHeight="1" x14ac:dyDescent="0.25">
      <c r="A26" s="236"/>
      <c r="B26" s="237">
        <v>42270</v>
      </c>
      <c r="C26" s="238">
        <v>150</v>
      </c>
      <c r="D26" s="239">
        <v>7.73</v>
      </c>
      <c r="E26" s="240">
        <v>0</v>
      </c>
      <c r="F26" s="239">
        <f t="shared" si="1"/>
        <v>1159.5</v>
      </c>
      <c r="G26" s="237"/>
      <c r="H26" s="238"/>
      <c r="I26" s="239"/>
      <c r="J26" s="238"/>
      <c r="K26" s="239"/>
      <c r="L26" s="240"/>
      <c r="M26" s="239"/>
      <c r="N26" s="239"/>
      <c r="O26" s="241"/>
    </row>
    <row r="27" spans="1:20" ht="18" customHeight="1" x14ac:dyDescent="0.25">
      <c r="A27" s="236"/>
      <c r="B27" s="242"/>
      <c r="C27" s="243">
        <f>SUM(C21:C26)</f>
        <v>380</v>
      </c>
      <c r="D27" s="244"/>
      <c r="E27" s="245"/>
      <c r="F27" s="244">
        <f>SUM(F21:F26)</f>
        <v>3325.3</v>
      </c>
      <c r="G27" s="245"/>
      <c r="H27" s="243">
        <f>SUM(H21:H26)</f>
        <v>380</v>
      </c>
      <c r="I27" s="244"/>
      <c r="J27" s="243"/>
      <c r="K27" s="244">
        <f>SUM(K21:K26)</f>
        <v>3347.8500000000004</v>
      </c>
      <c r="L27" s="245"/>
      <c r="M27" s="244">
        <f>SUM(M21:M26)</f>
        <v>14.45</v>
      </c>
      <c r="N27" s="244">
        <f>K27-F27</f>
        <v>22.550000000000182</v>
      </c>
      <c r="O27" s="246">
        <f>(N27+M27)/F27</f>
        <v>1.112681562565789E-2</v>
      </c>
    </row>
    <row r="28" spans="1:20" ht="18" customHeight="1" x14ac:dyDescent="0.25">
      <c r="A28" s="24"/>
      <c r="B28" s="146"/>
      <c r="C28" s="144"/>
      <c r="D28" s="145"/>
      <c r="E28" s="24"/>
      <c r="F28" s="145"/>
      <c r="G28" s="146"/>
      <c r="H28" s="144"/>
      <c r="I28" s="145"/>
      <c r="K28" s="145"/>
      <c r="L28" s="146"/>
      <c r="M28" s="145"/>
      <c r="N28" s="145"/>
      <c r="O28" s="147"/>
    </row>
    <row r="29" spans="1:20" ht="18" customHeight="1" x14ac:dyDescent="0.25">
      <c r="A29" s="236" t="s">
        <v>29</v>
      </c>
      <c r="B29" s="237">
        <v>42164</v>
      </c>
      <c r="C29" s="238">
        <v>5</v>
      </c>
      <c r="D29" s="239">
        <v>45.9</v>
      </c>
      <c r="E29" s="240"/>
      <c r="F29" s="239">
        <f>C29*D29</f>
        <v>229.5</v>
      </c>
      <c r="G29" s="237">
        <v>42195</v>
      </c>
      <c r="H29" s="238">
        <v>20</v>
      </c>
      <c r="I29" s="239">
        <v>46.15</v>
      </c>
      <c r="J29" s="238">
        <v>0.02</v>
      </c>
      <c r="K29" s="239">
        <f>H29*I29-J29</f>
        <v>922.98</v>
      </c>
      <c r="L29" s="240"/>
      <c r="M29" s="239"/>
      <c r="N29" s="239"/>
      <c r="O29" s="241"/>
    </row>
    <row r="30" spans="1:20" ht="18" customHeight="1" x14ac:dyDescent="0.25">
      <c r="A30" s="236"/>
      <c r="B30" s="237">
        <v>42184</v>
      </c>
      <c r="C30" s="238">
        <v>5</v>
      </c>
      <c r="D30" s="239">
        <v>44.5</v>
      </c>
      <c r="E30" s="240"/>
      <c r="F30" s="239">
        <f>C30*D30</f>
        <v>222.5</v>
      </c>
      <c r="G30" s="240"/>
      <c r="H30" s="238"/>
      <c r="I30" s="239"/>
      <c r="J30" s="238"/>
      <c r="K30" s="239"/>
      <c r="L30" s="240"/>
      <c r="M30" s="239"/>
      <c r="N30" s="239"/>
      <c r="O30" s="241"/>
    </row>
    <row r="31" spans="1:20" ht="18" customHeight="1" x14ac:dyDescent="0.25">
      <c r="A31" s="236"/>
      <c r="B31" s="237">
        <v>42184</v>
      </c>
      <c r="C31" s="238">
        <v>10</v>
      </c>
      <c r="D31" s="239">
        <v>44.35</v>
      </c>
      <c r="E31" s="240"/>
      <c r="F31" s="239">
        <f>C31*D31</f>
        <v>443.5</v>
      </c>
      <c r="G31" s="240"/>
      <c r="H31" s="238"/>
      <c r="I31" s="239"/>
      <c r="J31" s="238"/>
      <c r="K31" s="239"/>
      <c r="L31" s="240"/>
      <c r="M31" s="239"/>
      <c r="N31" s="239"/>
      <c r="O31" s="241"/>
    </row>
    <row r="32" spans="1:20" ht="18" customHeight="1" x14ac:dyDescent="0.25">
      <c r="A32" s="236"/>
      <c r="B32" s="242"/>
      <c r="C32" s="243">
        <f>SUM(C29:C31)</f>
        <v>20</v>
      </c>
      <c r="D32" s="244"/>
      <c r="E32" s="245"/>
      <c r="F32" s="244">
        <f>SUM(F29:F31)</f>
        <v>895.5</v>
      </c>
      <c r="G32" s="245"/>
      <c r="H32" s="243">
        <f>SUM(H29:H31)</f>
        <v>20</v>
      </c>
      <c r="I32" s="244"/>
      <c r="J32" s="243"/>
      <c r="K32" s="244">
        <f>SUM(K29:K31)</f>
        <v>922.98</v>
      </c>
      <c r="L32" s="245"/>
      <c r="M32" s="244"/>
      <c r="N32" s="244">
        <f>K32-F32</f>
        <v>27.480000000000018</v>
      </c>
      <c r="O32" s="246">
        <f>(N32+M32)/F32</f>
        <v>3.0686767169179251E-2</v>
      </c>
    </row>
    <row r="33" spans="1:16" ht="18" customHeight="1" x14ac:dyDescent="0.25">
      <c r="A33" s="24"/>
      <c r="B33" s="251"/>
      <c r="C33" s="252"/>
      <c r="D33" s="253"/>
      <c r="E33" s="24"/>
      <c r="F33" s="253"/>
      <c r="G33" s="251"/>
      <c r="H33" s="252"/>
      <c r="I33" s="253"/>
      <c r="K33" s="253"/>
      <c r="L33" s="251"/>
      <c r="M33" s="253"/>
      <c r="N33" s="253"/>
      <c r="O33" s="254"/>
    </row>
    <row r="34" spans="1:16" ht="18" customHeight="1" x14ac:dyDescent="0.25">
      <c r="A34" s="225" t="s">
        <v>11</v>
      </c>
      <c r="B34" s="226">
        <v>42150</v>
      </c>
      <c r="C34" s="227">
        <v>5</v>
      </c>
      <c r="D34" s="228">
        <v>169</v>
      </c>
      <c r="E34" s="228">
        <v>0</v>
      </c>
      <c r="F34" s="228">
        <f>C34*D34+E34</f>
        <v>845</v>
      </c>
      <c r="G34" s="226">
        <v>42186</v>
      </c>
      <c r="H34" s="227">
        <v>100</v>
      </c>
      <c r="I34" s="228">
        <v>167</v>
      </c>
      <c r="J34" s="228">
        <v>0.31</v>
      </c>
      <c r="K34" s="228">
        <f t="shared" ref="K34:K49" si="2">H34*I34-J34</f>
        <v>16699.689999999999</v>
      </c>
      <c r="L34" s="227"/>
      <c r="M34" s="227"/>
      <c r="N34" s="227"/>
      <c r="O34" s="230"/>
    </row>
    <row r="35" spans="1:16" ht="18" customHeight="1" x14ac:dyDescent="0.25">
      <c r="A35" s="271"/>
      <c r="B35" s="226">
        <v>42150</v>
      </c>
      <c r="C35" s="227">
        <v>10</v>
      </c>
      <c r="D35" s="228">
        <v>166.5</v>
      </c>
      <c r="E35" s="228">
        <v>0</v>
      </c>
      <c r="F35" s="228">
        <f t="shared" ref="F35:F54" si="3">C35*D35+E35</f>
        <v>1665</v>
      </c>
      <c r="G35" s="226">
        <v>42186</v>
      </c>
      <c r="H35" s="227">
        <v>100</v>
      </c>
      <c r="I35" s="228">
        <v>167</v>
      </c>
      <c r="J35" s="228">
        <v>0.31</v>
      </c>
      <c r="K35" s="228">
        <f t="shared" si="2"/>
        <v>16699.689999999999</v>
      </c>
      <c r="L35" s="227"/>
      <c r="M35" s="227"/>
      <c r="N35" s="227"/>
      <c r="O35" s="230"/>
    </row>
    <row r="36" spans="1:16" ht="18" customHeight="1" x14ac:dyDescent="0.25">
      <c r="A36" s="227"/>
      <c r="B36" s="226">
        <v>42150</v>
      </c>
      <c r="C36" s="227">
        <v>30</v>
      </c>
      <c r="D36" s="228">
        <v>165.4</v>
      </c>
      <c r="E36" s="228">
        <v>0</v>
      </c>
      <c r="F36" s="228">
        <f t="shared" si="3"/>
        <v>4962</v>
      </c>
      <c r="G36" s="226">
        <v>42186</v>
      </c>
      <c r="H36" s="227">
        <v>50</v>
      </c>
      <c r="I36" s="228">
        <v>168.5</v>
      </c>
      <c r="J36" s="228">
        <v>0.16</v>
      </c>
      <c r="K36" s="228">
        <f t="shared" si="2"/>
        <v>8424.84</v>
      </c>
      <c r="L36" s="227"/>
      <c r="M36" s="227"/>
      <c r="N36" s="227"/>
      <c r="O36" s="230"/>
    </row>
    <row r="37" spans="1:16" ht="18" customHeight="1" x14ac:dyDescent="0.25">
      <c r="A37" s="227"/>
      <c r="B37" s="226">
        <v>42150</v>
      </c>
      <c r="C37" s="227">
        <v>10</v>
      </c>
      <c r="D37" s="228">
        <v>164.85</v>
      </c>
      <c r="E37" s="228">
        <v>0</v>
      </c>
      <c r="F37" s="228">
        <f t="shared" si="3"/>
        <v>1648.5</v>
      </c>
      <c r="G37" s="226">
        <v>42236</v>
      </c>
      <c r="H37" s="227">
        <v>10</v>
      </c>
      <c r="I37" s="228">
        <v>133.19999999999999</v>
      </c>
      <c r="J37" s="228">
        <v>0.02</v>
      </c>
      <c r="K37" s="228">
        <f t="shared" si="2"/>
        <v>1331.98</v>
      </c>
      <c r="L37" s="227"/>
      <c r="M37" s="227"/>
      <c r="N37" s="227"/>
      <c r="O37" s="230"/>
    </row>
    <row r="38" spans="1:16" ht="18" customHeight="1" x14ac:dyDescent="0.25">
      <c r="A38" s="227"/>
      <c r="B38" s="226">
        <v>42186</v>
      </c>
      <c r="C38" s="227">
        <v>145</v>
      </c>
      <c r="D38" s="228">
        <v>166</v>
      </c>
      <c r="E38" s="228">
        <v>0</v>
      </c>
      <c r="F38" s="228">
        <f t="shared" si="3"/>
        <v>24070</v>
      </c>
      <c r="G38" s="226">
        <v>42240</v>
      </c>
      <c r="H38" s="227">
        <v>20</v>
      </c>
      <c r="I38" s="228">
        <v>130</v>
      </c>
      <c r="J38" s="228">
        <v>0.05</v>
      </c>
      <c r="K38" s="228">
        <f t="shared" si="2"/>
        <v>2599.9499999999998</v>
      </c>
      <c r="L38" s="227"/>
      <c r="M38" s="227"/>
      <c r="N38" s="227"/>
      <c r="O38" s="230"/>
    </row>
    <row r="39" spans="1:16" ht="18" customHeight="1" x14ac:dyDescent="0.25">
      <c r="A39" s="227"/>
      <c r="B39" s="226">
        <v>42186</v>
      </c>
      <c r="C39" s="227">
        <v>100</v>
      </c>
      <c r="D39" s="228">
        <v>164</v>
      </c>
      <c r="E39" s="228">
        <v>0</v>
      </c>
      <c r="F39" s="228">
        <f t="shared" si="3"/>
        <v>16400</v>
      </c>
      <c r="G39" s="226">
        <v>42270</v>
      </c>
      <c r="H39" s="227">
        <v>50</v>
      </c>
      <c r="I39" s="228">
        <v>141.19999999999999</v>
      </c>
      <c r="J39" s="228">
        <v>0.13</v>
      </c>
      <c r="K39" s="228">
        <f t="shared" si="2"/>
        <v>7059.869999999999</v>
      </c>
      <c r="L39" s="227"/>
      <c r="M39" s="227"/>
      <c r="N39" s="227"/>
      <c r="O39" s="230"/>
    </row>
    <row r="40" spans="1:16" ht="18" customHeight="1" x14ac:dyDescent="0.25">
      <c r="A40" s="227"/>
      <c r="B40" s="226">
        <v>42235</v>
      </c>
      <c r="C40" s="227">
        <v>10</v>
      </c>
      <c r="D40" s="228">
        <v>124</v>
      </c>
      <c r="E40" s="228">
        <v>0</v>
      </c>
      <c r="F40" s="228">
        <f t="shared" si="3"/>
        <v>1240</v>
      </c>
      <c r="G40" s="226">
        <v>42305</v>
      </c>
      <c r="H40" s="227">
        <v>150</v>
      </c>
      <c r="I40" s="228">
        <v>82</v>
      </c>
      <c r="J40" s="228">
        <v>0.23</v>
      </c>
      <c r="K40" s="228">
        <f t="shared" si="2"/>
        <v>12299.77</v>
      </c>
      <c r="L40" s="227"/>
      <c r="M40" s="227"/>
      <c r="N40" s="227"/>
      <c r="O40" s="230"/>
    </row>
    <row r="41" spans="1:16" ht="18" customHeight="1" x14ac:dyDescent="0.25">
      <c r="A41" s="227"/>
      <c r="B41" s="226">
        <v>42240</v>
      </c>
      <c r="C41" s="227">
        <v>20</v>
      </c>
      <c r="D41" s="228">
        <v>123</v>
      </c>
      <c r="E41" s="228">
        <v>0</v>
      </c>
      <c r="F41" s="228">
        <f t="shared" si="3"/>
        <v>2460</v>
      </c>
      <c r="G41" s="226">
        <v>42307</v>
      </c>
      <c r="H41" s="227">
        <v>120</v>
      </c>
      <c r="I41" s="228">
        <v>85.8</v>
      </c>
      <c r="J41" s="228">
        <v>7.14</v>
      </c>
      <c r="K41" s="228">
        <f t="shared" si="2"/>
        <v>10288.86</v>
      </c>
      <c r="L41" s="227"/>
      <c r="M41" s="227"/>
      <c r="N41" s="227"/>
      <c r="O41" s="227"/>
    </row>
    <row r="42" spans="1:16" ht="18" customHeight="1" x14ac:dyDescent="0.25">
      <c r="A42" s="227"/>
      <c r="B42" s="226">
        <v>42271</v>
      </c>
      <c r="C42" s="227">
        <v>50</v>
      </c>
      <c r="D42" s="228">
        <v>123.05</v>
      </c>
      <c r="E42" s="228">
        <v>0</v>
      </c>
      <c r="F42" s="228">
        <f t="shared" si="3"/>
        <v>6152.5</v>
      </c>
      <c r="G42" s="226">
        <v>42313</v>
      </c>
      <c r="H42" s="227">
        <v>80</v>
      </c>
      <c r="I42" s="228">
        <v>83</v>
      </c>
      <c r="J42" s="228">
        <v>0.12</v>
      </c>
      <c r="K42" s="228">
        <f t="shared" si="2"/>
        <v>6639.88</v>
      </c>
      <c r="L42" s="227"/>
      <c r="M42" s="227"/>
      <c r="N42" s="227"/>
      <c r="O42" s="227"/>
    </row>
    <row r="43" spans="1:16" ht="18" customHeight="1" x14ac:dyDescent="0.25">
      <c r="A43" s="227"/>
      <c r="B43" s="226">
        <v>42271</v>
      </c>
      <c r="C43" s="227">
        <v>50</v>
      </c>
      <c r="D43" s="228">
        <v>138.5</v>
      </c>
      <c r="E43" s="228">
        <v>0</v>
      </c>
      <c r="F43" s="228">
        <f t="shared" si="3"/>
        <v>6925</v>
      </c>
      <c r="G43" s="226">
        <v>42320</v>
      </c>
      <c r="H43" s="227">
        <v>200</v>
      </c>
      <c r="I43" s="228">
        <v>73.5</v>
      </c>
      <c r="J43" s="228">
        <v>0.27</v>
      </c>
      <c r="K43" s="228">
        <f t="shared" si="2"/>
        <v>14699.73</v>
      </c>
      <c r="L43" s="227"/>
      <c r="M43" s="227"/>
      <c r="N43" s="227"/>
      <c r="O43" s="227"/>
    </row>
    <row r="44" spans="1:16" ht="18" customHeight="1" x14ac:dyDescent="0.25">
      <c r="A44" s="227"/>
      <c r="B44" s="226">
        <v>42277</v>
      </c>
      <c r="C44" s="227">
        <v>10</v>
      </c>
      <c r="D44" s="228">
        <v>101.5</v>
      </c>
      <c r="E44" s="228">
        <v>0</v>
      </c>
      <c r="F44" s="228">
        <f t="shared" si="3"/>
        <v>1015</v>
      </c>
      <c r="G44" s="226">
        <v>42327</v>
      </c>
      <c r="H44" s="227">
        <v>200</v>
      </c>
      <c r="I44" s="228">
        <v>73.95</v>
      </c>
      <c r="J44" s="228">
        <v>0.27</v>
      </c>
      <c r="K44" s="228">
        <f t="shared" si="2"/>
        <v>14789.73</v>
      </c>
      <c r="L44" s="227"/>
      <c r="M44" s="227"/>
      <c r="N44" s="227"/>
      <c r="O44" s="227"/>
    </row>
    <row r="45" spans="1:16" ht="18" customHeight="1" x14ac:dyDescent="0.25">
      <c r="A45" s="227"/>
      <c r="B45" s="226">
        <v>42278</v>
      </c>
      <c r="C45" s="227">
        <v>10</v>
      </c>
      <c r="D45" s="228">
        <v>93.95</v>
      </c>
      <c r="E45" s="228">
        <v>0</v>
      </c>
      <c r="F45" s="228">
        <f t="shared" si="3"/>
        <v>939.5</v>
      </c>
      <c r="G45" s="226">
        <v>42339</v>
      </c>
      <c r="H45" s="227">
        <v>60</v>
      </c>
      <c r="I45" s="228">
        <v>89.49</v>
      </c>
      <c r="J45" s="228">
        <v>0.1</v>
      </c>
      <c r="K45" s="228">
        <f t="shared" si="2"/>
        <v>5369.2999999999993</v>
      </c>
      <c r="L45" s="227"/>
      <c r="M45" s="227"/>
      <c r="N45" s="227"/>
      <c r="O45" s="227"/>
    </row>
    <row r="46" spans="1:16" ht="18" customHeight="1" x14ac:dyDescent="0.25">
      <c r="A46" s="227"/>
      <c r="B46" s="226">
        <v>42286</v>
      </c>
      <c r="C46" s="227">
        <v>30</v>
      </c>
      <c r="D46" s="228">
        <v>89.5</v>
      </c>
      <c r="E46" s="228">
        <v>0</v>
      </c>
      <c r="F46" s="228">
        <f t="shared" si="3"/>
        <v>2685</v>
      </c>
      <c r="G46" s="226">
        <v>42340</v>
      </c>
      <c r="H46" s="227">
        <v>60</v>
      </c>
      <c r="I46" s="228">
        <v>93.79</v>
      </c>
      <c r="J46" s="228">
        <v>0.1</v>
      </c>
      <c r="K46" s="228">
        <f t="shared" si="2"/>
        <v>5627.3</v>
      </c>
      <c r="L46" s="227"/>
      <c r="M46" s="227"/>
      <c r="N46" s="227"/>
      <c r="O46" s="227"/>
    </row>
    <row r="47" spans="1:16" ht="18" customHeight="1" x14ac:dyDescent="0.25">
      <c r="A47" s="227"/>
      <c r="B47" s="226">
        <v>42299</v>
      </c>
      <c r="C47" s="227">
        <v>50</v>
      </c>
      <c r="D47" s="228">
        <v>74.3</v>
      </c>
      <c r="E47" s="228">
        <v>0</v>
      </c>
      <c r="F47" s="228">
        <f t="shared" si="3"/>
        <v>3715</v>
      </c>
      <c r="G47" s="226">
        <v>42347</v>
      </c>
      <c r="H47" s="227">
        <v>60</v>
      </c>
      <c r="I47" s="228">
        <v>81.849999999999994</v>
      </c>
      <c r="J47" s="228">
        <v>0.09</v>
      </c>
      <c r="K47" s="228">
        <f t="shared" si="2"/>
        <v>4910.91</v>
      </c>
      <c r="L47" s="227"/>
      <c r="M47" s="227"/>
      <c r="N47" s="227"/>
      <c r="O47" s="227"/>
    </row>
    <row r="48" spans="1:16" ht="18" customHeight="1" x14ac:dyDescent="0.25">
      <c r="A48" s="227"/>
      <c r="B48" s="226">
        <v>42305</v>
      </c>
      <c r="C48" s="227">
        <v>150</v>
      </c>
      <c r="D48" s="228">
        <v>79.5</v>
      </c>
      <c r="E48" s="228">
        <v>0</v>
      </c>
      <c r="F48" s="228">
        <f t="shared" si="3"/>
        <v>11925</v>
      </c>
      <c r="G48" s="226">
        <v>42349</v>
      </c>
      <c r="H48" s="227">
        <v>220</v>
      </c>
      <c r="I48" s="228">
        <v>53.95</v>
      </c>
      <c r="J48" s="228">
        <v>0.22</v>
      </c>
      <c r="K48" s="228">
        <f t="shared" si="2"/>
        <v>11868.78</v>
      </c>
      <c r="L48" s="227"/>
      <c r="M48" s="228"/>
      <c r="N48" s="227"/>
      <c r="O48" s="227"/>
      <c r="P48" s="139"/>
    </row>
    <row r="49" spans="1:16" ht="18" customHeight="1" x14ac:dyDescent="0.25">
      <c r="A49" s="227"/>
      <c r="B49" s="226">
        <v>42310</v>
      </c>
      <c r="C49" s="227">
        <v>120</v>
      </c>
      <c r="D49" s="228">
        <v>82</v>
      </c>
      <c r="E49" s="228">
        <v>6.95</v>
      </c>
      <c r="F49" s="228">
        <f t="shared" si="3"/>
        <v>9846.9500000000007</v>
      </c>
      <c r="G49" s="226">
        <v>42354</v>
      </c>
      <c r="H49" s="227">
        <v>220</v>
      </c>
      <c r="I49" s="228">
        <v>59.47</v>
      </c>
      <c r="J49" s="228">
        <v>0.24</v>
      </c>
      <c r="K49" s="228">
        <f t="shared" si="2"/>
        <v>13083.16</v>
      </c>
      <c r="L49" s="227"/>
      <c r="M49" s="227"/>
      <c r="N49" s="227"/>
      <c r="O49" s="227"/>
      <c r="P49" s="139"/>
    </row>
    <row r="50" spans="1:16" ht="18" customHeight="1" x14ac:dyDescent="0.25">
      <c r="A50" s="227"/>
      <c r="B50" s="226">
        <v>42318</v>
      </c>
      <c r="C50" s="227">
        <v>80</v>
      </c>
      <c r="D50" s="228">
        <v>77.12</v>
      </c>
      <c r="E50" s="228">
        <v>0</v>
      </c>
      <c r="F50" s="228">
        <f t="shared" si="3"/>
        <v>6169.6</v>
      </c>
      <c r="G50" s="226"/>
      <c r="H50" s="227"/>
      <c r="I50" s="228"/>
      <c r="J50" s="228"/>
      <c r="K50" s="228"/>
      <c r="L50" s="227"/>
      <c r="M50" s="227"/>
      <c r="N50" s="227"/>
      <c r="O50" s="227"/>
      <c r="P50" s="139" t="s">
        <v>133</v>
      </c>
    </row>
    <row r="51" spans="1:16" ht="18" customHeight="1" x14ac:dyDescent="0.25">
      <c r="A51" s="227"/>
      <c r="B51" s="226">
        <v>42320</v>
      </c>
      <c r="C51" s="227">
        <v>200</v>
      </c>
      <c r="D51" s="228">
        <v>73.010000000000005</v>
      </c>
      <c r="E51" s="228">
        <v>0</v>
      </c>
      <c r="F51" s="228">
        <f t="shared" si="3"/>
        <v>14602.000000000002</v>
      </c>
      <c r="G51" s="226"/>
      <c r="H51" s="227"/>
      <c r="I51" s="228"/>
      <c r="J51" s="228"/>
      <c r="K51" s="228"/>
      <c r="L51" s="227"/>
      <c r="M51" s="227"/>
      <c r="N51" s="227"/>
      <c r="O51" s="227"/>
    </row>
    <row r="52" spans="1:16" ht="18" customHeight="1" x14ac:dyDescent="0.25">
      <c r="A52" s="227"/>
      <c r="B52" s="226">
        <v>42327</v>
      </c>
      <c r="C52" s="227">
        <v>200</v>
      </c>
      <c r="D52" s="228">
        <v>73.11</v>
      </c>
      <c r="E52" s="228">
        <v>0</v>
      </c>
      <c r="F52" s="228">
        <f t="shared" si="3"/>
        <v>14622</v>
      </c>
      <c r="G52" s="227"/>
      <c r="H52" s="227"/>
      <c r="I52" s="228"/>
      <c r="J52" s="228"/>
      <c r="K52" s="228"/>
      <c r="L52" s="227"/>
      <c r="M52" s="227"/>
      <c r="N52" s="227"/>
      <c r="O52" s="227"/>
    </row>
    <row r="53" spans="1:16" ht="18" customHeight="1" x14ac:dyDescent="0.25">
      <c r="A53" s="227"/>
      <c r="B53" s="226">
        <v>42339</v>
      </c>
      <c r="C53" s="227">
        <v>60</v>
      </c>
      <c r="D53" s="228">
        <v>89.38</v>
      </c>
      <c r="E53" s="228">
        <v>0</v>
      </c>
      <c r="F53" s="228">
        <f t="shared" si="3"/>
        <v>5362.7999999999993</v>
      </c>
      <c r="G53" s="227"/>
      <c r="H53" s="227"/>
      <c r="I53" s="228"/>
      <c r="J53" s="228"/>
      <c r="K53" s="228"/>
      <c r="L53" s="227"/>
      <c r="M53" s="227"/>
      <c r="N53" s="227"/>
      <c r="O53" s="227"/>
    </row>
    <row r="54" spans="1:16" ht="18" customHeight="1" x14ac:dyDescent="0.25">
      <c r="A54" s="227"/>
      <c r="B54" s="226">
        <v>42340</v>
      </c>
      <c r="C54" s="227">
        <v>60</v>
      </c>
      <c r="D54" s="228">
        <v>93.06</v>
      </c>
      <c r="E54" s="228">
        <v>0</v>
      </c>
      <c r="F54" s="228">
        <f t="shared" si="3"/>
        <v>5583.6</v>
      </c>
      <c r="G54" s="227"/>
      <c r="H54" s="227"/>
      <c r="I54" s="228"/>
      <c r="J54" s="228"/>
      <c r="K54" s="228"/>
      <c r="L54" s="227"/>
      <c r="M54" s="227"/>
      <c r="N54" s="227"/>
      <c r="O54" s="227"/>
    </row>
    <row r="55" spans="1:16" ht="18" customHeight="1" x14ac:dyDescent="0.25">
      <c r="A55" s="227"/>
      <c r="B55" s="226">
        <v>42342</v>
      </c>
      <c r="C55" s="227">
        <v>10</v>
      </c>
      <c r="D55" s="228">
        <v>80.989999999999995</v>
      </c>
      <c r="E55" s="228">
        <v>0</v>
      </c>
      <c r="F55" s="228">
        <f>C55*D55+E55</f>
        <v>809.9</v>
      </c>
      <c r="G55" s="227"/>
      <c r="H55" s="227"/>
      <c r="I55" s="228"/>
      <c r="J55" s="228"/>
      <c r="K55" s="228"/>
      <c r="L55" s="227"/>
      <c r="M55" s="227"/>
      <c r="N55" s="227"/>
      <c r="O55" s="227"/>
    </row>
    <row r="56" spans="1:16" ht="18" customHeight="1" x14ac:dyDescent="0.25">
      <c r="A56" s="227"/>
      <c r="B56" s="226">
        <v>42348</v>
      </c>
      <c r="C56" s="227">
        <v>70</v>
      </c>
      <c r="D56" s="228">
        <v>58.01</v>
      </c>
      <c r="E56" s="228">
        <v>0</v>
      </c>
      <c r="F56" s="228">
        <f>C56*D56+E56</f>
        <v>4060.7</v>
      </c>
      <c r="G56" s="227"/>
      <c r="H56" s="227"/>
      <c r="I56" s="228"/>
      <c r="J56" s="228"/>
      <c r="K56" s="228"/>
      <c r="L56" s="227"/>
      <c r="M56" s="227"/>
      <c r="N56" s="227"/>
      <c r="O56" s="227"/>
    </row>
    <row r="57" spans="1:16" ht="18" customHeight="1" x14ac:dyDescent="0.25">
      <c r="A57" s="227"/>
      <c r="B57" s="226">
        <v>42354</v>
      </c>
      <c r="C57" s="227">
        <v>220</v>
      </c>
      <c r="D57" s="228">
        <v>59.15</v>
      </c>
      <c r="E57" s="228">
        <v>0</v>
      </c>
      <c r="F57" s="228">
        <f>C57*D57+E57</f>
        <v>13013</v>
      </c>
      <c r="G57" s="227"/>
      <c r="H57" s="227"/>
      <c r="I57" s="228"/>
      <c r="J57" s="228"/>
      <c r="K57" s="228"/>
      <c r="L57" s="227"/>
      <c r="M57" s="227"/>
      <c r="N57" s="227"/>
      <c r="O57" s="227"/>
    </row>
    <row r="58" spans="1:16" ht="18" customHeight="1" x14ac:dyDescent="0.25">
      <c r="A58" s="230"/>
      <c r="B58" s="230"/>
      <c r="C58" s="230">
        <f>SUM(C34:C57)</f>
        <v>1700</v>
      </c>
      <c r="D58" s="233"/>
      <c r="E58" s="233"/>
      <c r="F58" s="233">
        <f>SUM(F34:F57)</f>
        <v>160718.04999999999</v>
      </c>
      <c r="G58" s="230"/>
      <c r="H58" s="230">
        <f>SUM(H34:H53)</f>
        <v>1700</v>
      </c>
      <c r="I58" s="233"/>
      <c r="J58" s="233"/>
      <c r="K58" s="233">
        <f>SUM(K34:K53)</f>
        <v>152393.44000000003</v>
      </c>
      <c r="L58" s="230"/>
      <c r="M58" s="230"/>
      <c r="N58" s="233">
        <f>K58-F58</f>
        <v>-8324.6099999999569</v>
      </c>
      <c r="O58" s="235">
        <f>N58/F58</f>
        <v>-5.1796360147475393E-2</v>
      </c>
    </row>
    <row r="59" spans="1:16" ht="18" customHeight="1" x14ac:dyDescent="0.25">
      <c r="B59" s="251"/>
      <c r="C59" s="252"/>
      <c r="D59" s="253"/>
      <c r="E59" s="253"/>
      <c r="F59" s="253"/>
      <c r="G59" s="251"/>
      <c r="H59" s="252"/>
      <c r="I59" s="253"/>
      <c r="K59" s="253"/>
      <c r="L59" s="251"/>
      <c r="M59" s="253"/>
      <c r="N59" s="253"/>
      <c r="O59" s="254"/>
      <c r="P59" s="139" t="s">
        <v>133</v>
      </c>
    </row>
    <row r="60" spans="1:16" ht="18" customHeight="1" x14ac:dyDescent="0.25">
      <c r="A60" s="236" t="s">
        <v>30</v>
      </c>
      <c r="B60" s="237">
        <v>42164</v>
      </c>
      <c r="C60" s="238">
        <v>10</v>
      </c>
      <c r="D60" s="239">
        <v>141.4</v>
      </c>
      <c r="E60" s="239"/>
      <c r="F60" s="239">
        <f>C60*D60</f>
        <v>1414</v>
      </c>
      <c r="G60" s="237">
        <v>42216</v>
      </c>
      <c r="H60" s="238">
        <v>10</v>
      </c>
      <c r="I60" s="239">
        <v>143.35</v>
      </c>
      <c r="J60" s="239">
        <v>0.03</v>
      </c>
      <c r="K60" s="239">
        <f>H60*I60-J60</f>
        <v>1433.47</v>
      </c>
      <c r="L60" s="240"/>
      <c r="M60" s="239"/>
      <c r="N60" s="239"/>
      <c r="O60" s="241"/>
    </row>
    <row r="61" spans="1:16" ht="18" customHeight="1" x14ac:dyDescent="0.25">
      <c r="A61" s="255"/>
      <c r="B61" s="256"/>
      <c r="C61" s="257">
        <f>SUM(C60)</f>
        <v>10</v>
      </c>
      <c r="D61" s="258"/>
      <c r="E61" s="258"/>
      <c r="F61" s="258">
        <f>SUM(F60)</f>
        <v>1414</v>
      </c>
      <c r="G61" s="259"/>
      <c r="H61" s="257">
        <f>SUM(H60)</f>
        <v>10</v>
      </c>
      <c r="I61" s="258"/>
      <c r="J61" s="257"/>
      <c r="K61" s="258">
        <f>SUM(K60)</f>
        <v>1433.47</v>
      </c>
      <c r="L61" s="259"/>
      <c r="M61" s="258"/>
      <c r="N61" s="258">
        <f>K61-F61</f>
        <v>19.470000000000027</v>
      </c>
      <c r="O61" s="260">
        <f>(N61+M61)/F61</f>
        <v>1.3769448373408788E-2</v>
      </c>
    </row>
    <row r="62" spans="1:16" ht="18" customHeight="1" x14ac:dyDescent="0.25">
      <c r="B62" s="251"/>
      <c r="C62" s="252"/>
      <c r="D62" s="253"/>
      <c r="E62" s="24"/>
      <c r="F62" s="253"/>
      <c r="G62" s="251"/>
      <c r="H62" s="252"/>
      <c r="I62" s="253"/>
      <c r="K62" s="253"/>
      <c r="L62" s="251"/>
      <c r="M62" s="253"/>
      <c r="N62" s="253"/>
      <c r="O62" s="254"/>
    </row>
    <row r="63" spans="1:16" ht="18" customHeight="1" x14ac:dyDescent="0.25">
      <c r="A63" s="236" t="s">
        <v>52</v>
      </c>
      <c r="B63" s="237">
        <v>42213</v>
      </c>
      <c r="C63" s="238">
        <v>25</v>
      </c>
      <c r="D63" s="239">
        <v>84.9</v>
      </c>
      <c r="E63" s="240"/>
      <c r="F63" s="239">
        <v>2122.5</v>
      </c>
      <c r="G63" s="237">
        <v>42221</v>
      </c>
      <c r="H63" s="238">
        <v>30</v>
      </c>
      <c r="I63" s="239">
        <v>84.23</v>
      </c>
      <c r="J63" s="239">
        <v>0</v>
      </c>
      <c r="K63" s="239">
        <v>2526.85</v>
      </c>
      <c r="L63" s="240"/>
      <c r="M63" s="239"/>
      <c r="N63" s="239"/>
      <c r="O63" s="241"/>
    </row>
    <row r="64" spans="1:16" ht="18" customHeight="1" x14ac:dyDescent="0.25">
      <c r="A64" s="236"/>
      <c r="B64" s="237">
        <v>42213</v>
      </c>
      <c r="C64" s="238">
        <v>5</v>
      </c>
      <c r="D64" s="239">
        <v>84.25</v>
      </c>
      <c r="E64" s="240"/>
      <c r="F64" s="239">
        <v>421.25</v>
      </c>
      <c r="G64" s="237">
        <v>42263</v>
      </c>
      <c r="H64" s="238">
        <v>40</v>
      </c>
      <c r="I64" s="239">
        <v>85</v>
      </c>
      <c r="J64" s="238">
        <v>0.06</v>
      </c>
      <c r="K64" s="239">
        <v>3399.94</v>
      </c>
      <c r="L64" s="240"/>
      <c r="M64" s="239"/>
      <c r="N64" s="239"/>
      <c r="O64" s="241"/>
    </row>
    <row r="65" spans="1:16" ht="18" customHeight="1" x14ac:dyDescent="0.25">
      <c r="A65" s="236"/>
      <c r="B65" s="237">
        <v>42214</v>
      </c>
      <c r="C65" s="238">
        <v>10</v>
      </c>
      <c r="D65" s="239">
        <v>83.2</v>
      </c>
      <c r="E65" s="240"/>
      <c r="F65" s="239">
        <v>832</v>
      </c>
      <c r="G65" s="240"/>
      <c r="H65" s="238"/>
      <c r="I65" s="239"/>
      <c r="J65" s="238"/>
      <c r="K65" s="239"/>
      <c r="L65" s="240"/>
      <c r="M65" s="239"/>
      <c r="N65" s="239"/>
      <c r="O65" s="241"/>
    </row>
    <row r="66" spans="1:16" ht="18" customHeight="1" x14ac:dyDescent="0.25">
      <c r="A66" s="236"/>
      <c r="B66" s="237">
        <v>42215</v>
      </c>
      <c r="C66" s="238">
        <v>5</v>
      </c>
      <c r="D66" s="239">
        <v>82.25</v>
      </c>
      <c r="E66" s="240"/>
      <c r="F66" s="239">
        <v>411.25</v>
      </c>
      <c r="G66" s="240"/>
      <c r="H66" s="238"/>
      <c r="I66" s="239"/>
      <c r="J66" s="238"/>
      <c r="K66" s="239"/>
      <c r="L66" s="240"/>
      <c r="M66" s="239"/>
      <c r="N66" s="239"/>
      <c r="O66" s="241"/>
    </row>
    <row r="67" spans="1:16" ht="18" customHeight="1" x14ac:dyDescent="0.25">
      <c r="A67" s="236"/>
      <c r="B67" s="237">
        <v>42220</v>
      </c>
      <c r="C67" s="238">
        <v>10</v>
      </c>
      <c r="D67" s="239">
        <v>81.349999999999994</v>
      </c>
      <c r="E67" s="240"/>
      <c r="F67" s="239">
        <v>813.5</v>
      </c>
      <c r="G67" s="240"/>
      <c r="H67" s="238"/>
      <c r="I67" s="239"/>
      <c r="J67" s="238"/>
      <c r="K67" s="239"/>
      <c r="L67" s="240"/>
      <c r="M67" s="239"/>
      <c r="N67" s="239"/>
      <c r="O67" s="241"/>
    </row>
    <row r="68" spans="1:16" ht="18" customHeight="1" x14ac:dyDescent="0.25">
      <c r="A68" s="236"/>
      <c r="B68" s="237">
        <v>42220</v>
      </c>
      <c r="C68" s="238">
        <v>5</v>
      </c>
      <c r="D68" s="239">
        <v>82.4</v>
      </c>
      <c r="E68" s="240"/>
      <c r="F68" s="239">
        <v>412</v>
      </c>
      <c r="G68" s="240"/>
      <c r="H68" s="238"/>
      <c r="I68" s="239"/>
      <c r="J68" s="238"/>
      <c r="K68" s="239"/>
      <c r="L68" s="240"/>
      <c r="M68" s="239"/>
      <c r="N68" s="239"/>
      <c r="O68" s="241"/>
    </row>
    <row r="69" spans="1:16" ht="18" customHeight="1" x14ac:dyDescent="0.25">
      <c r="A69" s="236"/>
      <c r="B69" s="237">
        <v>42221</v>
      </c>
      <c r="C69" s="238">
        <v>10</v>
      </c>
      <c r="D69" s="239">
        <v>80.7</v>
      </c>
      <c r="E69" s="240"/>
      <c r="F69" s="239">
        <v>807</v>
      </c>
      <c r="G69" s="240"/>
      <c r="H69" s="238"/>
      <c r="I69" s="239"/>
      <c r="J69" s="238"/>
      <c r="K69" s="239"/>
      <c r="L69" s="240"/>
      <c r="M69" s="239"/>
      <c r="N69" s="239"/>
      <c r="O69" s="241"/>
    </row>
    <row r="70" spans="1:16" ht="18" customHeight="1" x14ac:dyDescent="0.25">
      <c r="A70" s="255"/>
      <c r="B70" s="259"/>
      <c r="C70" s="257">
        <v>70</v>
      </c>
      <c r="D70" s="258"/>
      <c r="E70" s="259"/>
      <c r="F70" s="258">
        <f>SUM(F63:F69)</f>
        <v>5819.5</v>
      </c>
      <c r="G70" s="259"/>
      <c r="H70" s="257">
        <v>70</v>
      </c>
      <c r="I70" s="258"/>
      <c r="J70" s="257"/>
      <c r="K70" s="258">
        <f>SUM(K63:K64)</f>
        <v>5926.79</v>
      </c>
      <c r="L70" s="259"/>
      <c r="M70" s="258"/>
      <c r="N70" s="258">
        <f>K70-F70</f>
        <v>107.28999999999996</v>
      </c>
      <c r="O70" s="260">
        <f>N70/F70</f>
        <v>1.843629177764412E-2</v>
      </c>
    </row>
    <row r="71" spans="1:16" ht="18" customHeight="1" x14ac:dyDescent="0.25">
      <c r="B71" s="251"/>
      <c r="C71" s="252"/>
      <c r="D71" s="253"/>
      <c r="E71" s="253"/>
      <c r="F71" s="253"/>
      <c r="G71" s="251"/>
      <c r="H71" s="252"/>
      <c r="I71" s="253"/>
      <c r="K71" s="253"/>
      <c r="L71" s="251"/>
      <c r="M71" s="253"/>
      <c r="N71" s="253"/>
      <c r="O71" s="254"/>
    </row>
    <row r="72" spans="1:16" ht="18" customHeight="1" x14ac:dyDescent="0.25">
      <c r="A72" s="236" t="s">
        <v>8</v>
      </c>
      <c r="B72" s="237">
        <v>42145</v>
      </c>
      <c r="C72" s="238">
        <v>50</v>
      </c>
      <c r="D72" s="239">
        <v>61.7</v>
      </c>
      <c r="E72" s="239"/>
      <c r="F72" s="239">
        <f t="shared" ref="F72:F82" si="4">C72*D72</f>
        <v>3085</v>
      </c>
      <c r="G72" s="237">
        <v>42187</v>
      </c>
      <c r="H72" s="238">
        <v>300</v>
      </c>
      <c r="I72" s="239">
        <v>57.78</v>
      </c>
      <c r="J72" s="239">
        <v>0.32</v>
      </c>
      <c r="K72" s="239">
        <f>H72*I72-J72</f>
        <v>17333.68</v>
      </c>
      <c r="L72" s="237">
        <v>42185</v>
      </c>
      <c r="M72" s="239">
        <v>44.61</v>
      </c>
      <c r="N72" s="239"/>
      <c r="O72" s="241"/>
      <c r="P72" s="139" t="s">
        <v>133</v>
      </c>
    </row>
    <row r="73" spans="1:16" ht="18" customHeight="1" x14ac:dyDescent="0.25">
      <c r="A73" s="236"/>
      <c r="B73" s="237">
        <v>42146</v>
      </c>
      <c r="C73" s="238">
        <v>10</v>
      </c>
      <c r="D73" s="239">
        <v>61.37</v>
      </c>
      <c r="E73" s="239"/>
      <c r="F73" s="239">
        <f t="shared" si="4"/>
        <v>613.69999999999993</v>
      </c>
      <c r="G73" s="237">
        <v>42216</v>
      </c>
      <c r="H73" s="238">
        <v>300</v>
      </c>
      <c r="I73" s="239">
        <v>62</v>
      </c>
      <c r="J73" s="238">
        <v>0.34</v>
      </c>
      <c r="K73" s="239">
        <f>H73*I73-J73</f>
        <v>18599.66</v>
      </c>
      <c r="L73" s="240"/>
      <c r="M73" s="239"/>
      <c r="N73" s="239"/>
      <c r="O73" s="241"/>
    </row>
    <row r="74" spans="1:16" ht="18" customHeight="1" x14ac:dyDescent="0.25">
      <c r="A74" s="236"/>
      <c r="B74" s="237">
        <v>42146</v>
      </c>
      <c r="C74" s="238">
        <v>20</v>
      </c>
      <c r="D74" s="239">
        <v>61.12</v>
      </c>
      <c r="E74" s="239"/>
      <c r="F74" s="239">
        <f t="shared" si="4"/>
        <v>1222.3999999999999</v>
      </c>
      <c r="G74" s="240"/>
      <c r="H74" s="238"/>
      <c r="I74" s="239"/>
      <c r="J74" s="239"/>
      <c r="K74" s="239"/>
      <c r="L74" s="240"/>
      <c r="M74" s="239"/>
      <c r="N74" s="239"/>
      <c r="O74" s="241"/>
    </row>
    <row r="75" spans="1:16" ht="18" customHeight="1" x14ac:dyDescent="0.25">
      <c r="A75" s="236"/>
      <c r="B75" s="237">
        <v>42146</v>
      </c>
      <c r="C75" s="238">
        <v>20</v>
      </c>
      <c r="D75" s="239">
        <v>61.1</v>
      </c>
      <c r="E75" s="239"/>
      <c r="F75" s="239">
        <f t="shared" si="4"/>
        <v>1222</v>
      </c>
      <c r="G75" s="240"/>
      <c r="H75" s="238"/>
      <c r="I75" s="239"/>
      <c r="J75" s="238"/>
      <c r="K75" s="239"/>
      <c r="L75" s="240"/>
      <c r="M75" s="239"/>
      <c r="N75" s="239"/>
      <c r="O75" s="241"/>
    </row>
    <row r="76" spans="1:16" ht="18" customHeight="1" x14ac:dyDescent="0.25">
      <c r="A76" s="236"/>
      <c r="B76" s="237">
        <v>42146</v>
      </c>
      <c r="C76" s="238">
        <v>10</v>
      </c>
      <c r="D76" s="239">
        <v>60.8</v>
      </c>
      <c r="E76" s="239"/>
      <c r="F76" s="239">
        <f t="shared" si="4"/>
        <v>608</v>
      </c>
      <c r="G76" s="240"/>
      <c r="H76" s="238"/>
      <c r="I76" s="239"/>
      <c r="J76" s="239"/>
      <c r="K76" s="239"/>
      <c r="L76" s="240"/>
      <c r="M76" s="239"/>
      <c r="N76" s="239"/>
      <c r="O76" s="241"/>
    </row>
    <row r="77" spans="1:16" ht="18" customHeight="1" x14ac:dyDescent="0.25">
      <c r="A77" s="236"/>
      <c r="B77" s="237">
        <v>42146</v>
      </c>
      <c r="C77" s="238">
        <v>20</v>
      </c>
      <c r="D77" s="239">
        <v>60.7</v>
      </c>
      <c r="E77" s="239"/>
      <c r="F77" s="239">
        <f t="shared" si="4"/>
        <v>1214</v>
      </c>
      <c r="G77" s="240"/>
      <c r="H77" s="238"/>
      <c r="I77" s="239"/>
      <c r="J77" s="239"/>
      <c r="K77" s="239"/>
      <c r="L77" s="240"/>
      <c r="M77" s="239"/>
      <c r="N77" s="239"/>
      <c r="O77" s="241"/>
      <c r="P77" s="139" t="s">
        <v>133</v>
      </c>
    </row>
    <row r="78" spans="1:16" ht="18" customHeight="1" x14ac:dyDescent="0.25">
      <c r="A78" s="236"/>
      <c r="B78" s="237">
        <v>42150</v>
      </c>
      <c r="C78" s="238">
        <v>20</v>
      </c>
      <c r="D78" s="239">
        <v>60.6</v>
      </c>
      <c r="E78" s="239"/>
      <c r="F78" s="239">
        <f t="shared" si="4"/>
        <v>1212</v>
      </c>
      <c r="G78" s="240"/>
      <c r="H78" s="238"/>
      <c r="I78" s="239"/>
      <c r="J78" s="239"/>
      <c r="K78" s="239"/>
      <c r="L78" s="240"/>
      <c r="M78" s="239"/>
      <c r="N78" s="239"/>
      <c r="O78" s="241"/>
    </row>
    <row r="79" spans="1:16" ht="18" customHeight="1" x14ac:dyDescent="0.25">
      <c r="A79" s="236"/>
      <c r="B79" s="237">
        <v>42152</v>
      </c>
      <c r="C79" s="238">
        <v>30</v>
      </c>
      <c r="D79" s="239">
        <v>60.33</v>
      </c>
      <c r="E79" s="239"/>
      <c r="F79" s="239">
        <f t="shared" si="4"/>
        <v>1809.8999999999999</v>
      </c>
      <c r="G79" s="240"/>
      <c r="H79" s="238"/>
      <c r="I79" s="239"/>
      <c r="J79" s="239"/>
      <c r="K79" s="239"/>
      <c r="L79" s="240"/>
      <c r="M79" s="239"/>
      <c r="N79" s="239"/>
      <c r="O79" s="241"/>
    </row>
    <row r="80" spans="1:16" ht="18" customHeight="1" x14ac:dyDescent="0.25">
      <c r="A80" s="236"/>
      <c r="B80" s="237">
        <v>42152</v>
      </c>
      <c r="C80" s="238">
        <v>30</v>
      </c>
      <c r="D80" s="239">
        <v>60.39</v>
      </c>
      <c r="E80" s="239"/>
      <c r="F80" s="239">
        <f t="shared" si="4"/>
        <v>1811.7</v>
      </c>
      <c r="G80" s="240"/>
      <c r="H80" s="238"/>
      <c r="I80" s="239"/>
      <c r="J80" s="239"/>
      <c r="K80" s="239"/>
      <c r="L80" s="240"/>
      <c r="M80" s="239"/>
      <c r="N80" s="239"/>
      <c r="O80" s="241"/>
    </row>
    <row r="81" spans="1:16" ht="18" customHeight="1" x14ac:dyDescent="0.25">
      <c r="A81" s="236"/>
      <c r="B81" s="237">
        <v>42166</v>
      </c>
      <c r="C81" s="238">
        <v>100</v>
      </c>
      <c r="D81" s="239">
        <v>58</v>
      </c>
      <c r="E81" s="239"/>
      <c r="F81" s="239">
        <f t="shared" si="4"/>
        <v>5800</v>
      </c>
      <c r="G81" s="240"/>
      <c r="H81" s="238"/>
      <c r="I81" s="239"/>
      <c r="J81" s="239"/>
      <c r="K81" s="239"/>
      <c r="L81" s="240"/>
      <c r="M81" s="239"/>
      <c r="N81" s="239"/>
      <c r="O81" s="241"/>
    </row>
    <row r="82" spans="1:16" ht="18" customHeight="1" x14ac:dyDescent="0.25">
      <c r="A82" s="236"/>
      <c r="B82" s="237">
        <v>42187</v>
      </c>
      <c r="C82" s="238">
        <v>290</v>
      </c>
      <c r="D82" s="239">
        <v>57.85</v>
      </c>
      <c r="E82" s="239"/>
      <c r="F82" s="239">
        <f t="shared" si="4"/>
        <v>16776.5</v>
      </c>
      <c r="G82" s="240"/>
      <c r="H82" s="238"/>
      <c r="I82" s="239"/>
      <c r="J82" s="239"/>
      <c r="K82" s="239"/>
      <c r="L82" s="240"/>
      <c r="M82" s="239"/>
      <c r="N82" s="239"/>
      <c r="O82" s="241"/>
    </row>
    <row r="83" spans="1:16" ht="18" customHeight="1" x14ac:dyDescent="0.25">
      <c r="A83" s="236"/>
      <c r="B83" s="242"/>
      <c r="C83" s="243">
        <f>SUM(C72:C82)</f>
        <v>600</v>
      </c>
      <c r="D83" s="244"/>
      <c r="E83" s="244"/>
      <c r="F83" s="244">
        <f>SUM(F72:F82)</f>
        <v>35375.199999999997</v>
      </c>
      <c r="G83" s="245"/>
      <c r="H83" s="243">
        <f>SUM(H72:H82)</f>
        <v>600</v>
      </c>
      <c r="I83" s="244"/>
      <c r="J83" s="244"/>
      <c r="K83" s="244">
        <f>SUM(K72:K82)</f>
        <v>35933.339999999997</v>
      </c>
      <c r="L83" s="245"/>
      <c r="M83" s="244">
        <f>SUM(M72:M82)</f>
        <v>44.61</v>
      </c>
      <c r="N83" s="244">
        <f>K83-F83</f>
        <v>558.13999999999942</v>
      </c>
      <c r="O83" s="246">
        <f>(N83+M83)/F83</f>
        <v>1.7038772925665423E-2</v>
      </c>
      <c r="P83" s="139" t="s">
        <v>133</v>
      </c>
    </row>
    <row r="84" spans="1:16" ht="18" customHeight="1" x14ac:dyDescent="0.25">
      <c r="B84" s="251"/>
      <c r="C84" s="252"/>
      <c r="D84" s="253"/>
      <c r="E84" s="24"/>
      <c r="F84" s="253"/>
      <c r="G84" s="251"/>
      <c r="H84" s="252"/>
      <c r="I84" s="253"/>
      <c r="J84" s="253"/>
      <c r="K84" s="253"/>
      <c r="L84" s="251"/>
      <c r="M84" s="253"/>
      <c r="N84" s="253"/>
      <c r="O84" s="254"/>
    </row>
    <row r="85" spans="1:16" ht="18" customHeight="1" x14ac:dyDescent="0.25">
      <c r="A85" s="236" t="s">
        <v>40</v>
      </c>
      <c r="B85" s="237">
        <v>42184</v>
      </c>
      <c r="C85" s="238">
        <v>20</v>
      </c>
      <c r="D85" s="239">
        <v>164.18</v>
      </c>
      <c r="E85" s="239"/>
      <c r="F85" s="239">
        <f>C85*D85</f>
        <v>3283.6000000000004</v>
      </c>
      <c r="G85" s="237">
        <v>42216</v>
      </c>
      <c r="H85" s="238">
        <v>20</v>
      </c>
      <c r="I85" s="239">
        <v>158</v>
      </c>
      <c r="J85" s="239">
        <v>0.06</v>
      </c>
      <c r="K85" s="239">
        <f>H85*I85-J85</f>
        <v>3159.94</v>
      </c>
      <c r="L85" s="240"/>
      <c r="M85" s="239"/>
      <c r="N85" s="239"/>
      <c r="O85" s="238"/>
    </row>
    <row r="86" spans="1:16" ht="18" customHeight="1" x14ac:dyDescent="0.25">
      <c r="A86" s="236"/>
      <c r="B86" s="237">
        <v>42209</v>
      </c>
      <c r="C86" s="238">
        <v>10</v>
      </c>
      <c r="D86" s="239">
        <v>148</v>
      </c>
      <c r="E86" s="239"/>
      <c r="F86" s="239">
        <f>C86*D86</f>
        <v>1480</v>
      </c>
      <c r="G86" s="237">
        <v>42235</v>
      </c>
      <c r="H86" s="238">
        <v>20</v>
      </c>
      <c r="I86" s="239">
        <v>159.80000000000001</v>
      </c>
      <c r="J86" s="239">
        <v>0.06</v>
      </c>
      <c r="K86" s="239">
        <f>H86*I86-J86</f>
        <v>3195.94</v>
      </c>
      <c r="L86" s="240"/>
      <c r="M86" s="239"/>
      <c r="N86" s="239"/>
      <c r="O86" s="238"/>
    </row>
    <row r="87" spans="1:16" ht="18" customHeight="1" x14ac:dyDescent="0.25">
      <c r="A87" s="236"/>
      <c r="B87" s="237">
        <v>42209</v>
      </c>
      <c r="C87" s="238">
        <v>10</v>
      </c>
      <c r="D87" s="239">
        <v>146.69999999999999</v>
      </c>
      <c r="E87" s="239"/>
      <c r="F87" s="239">
        <f>C87*D87</f>
        <v>1467</v>
      </c>
      <c r="G87" s="240"/>
      <c r="H87" s="238"/>
      <c r="I87" s="239"/>
      <c r="J87" s="239"/>
      <c r="K87" s="239"/>
      <c r="L87" s="240"/>
      <c r="M87" s="239"/>
      <c r="N87" s="239"/>
      <c r="O87" s="238"/>
      <c r="P87" s="139" t="s">
        <v>133</v>
      </c>
    </row>
    <row r="88" spans="1:16" ht="18" customHeight="1" x14ac:dyDescent="0.25">
      <c r="A88" s="236"/>
      <c r="B88" s="245"/>
      <c r="C88" s="243">
        <f>SUM(C85:C87)</f>
        <v>40</v>
      </c>
      <c r="D88" s="244"/>
      <c r="E88" s="244"/>
      <c r="F88" s="244">
        <f>SUM(F85:F87)</f>
        <v>6230.6</v>
      </c>
      <c r="G88" s="245"/>
      <c r="H88" s="243">
        <f>SUM(H85:H87)</f>
        <v>40</v>
      </c>
      <c r="I88" s="244"/>
      <c r="J88" s="244"/>
      <c r="K88" s="244">
        <f>SUM(K85:K87)</f>
        <v>6355.88</v>
      </c>
      <c r="L88" s="245"/>
      <c r="M88" s="244"/>
      <c r="N88" s="244">
        <f>K88-F88</f>
        <v>125.27999999999975</v>
      </c>
      <c r="O88" s="246">
        <f>(N88+M88)/F88</f>
        <v>2.0107212788495449E-2</v>
      </c>
      <c r="P88" s="139"/>
    </row>
    <row r="89" spans="1:16" ht="18" customHeight="1" x14ac:dyDescent="0.25">
      <c r="B89" s="251"/>
      <c r="C89" s="252"/>
      <c r="D89" s="253"/>
      <c r="E89" s="253"/>
      <c r="F89" s="253"/>
      <c r="G89" s="251"/>
      <c r="H89" s="252"/>
      <c r="I89" s="253"/>
      <c r="J89" s="253"/>
      <c r="K89" s="253"/>
      <c r="L89" s="251"/>
      <c r="M89" s="253"/>
      <c r="N89" s="253"/>
      <c r="O89" s="254"/>
      <c r="P89" s="139"/>
    </row>
    <row r="90" spans="1:16" ht="18" customHeight="1" x14ac:dyDescent="0.25">
      <c r="A90" s="236" t="s">
        <v>19</v>
      </c>
      <c r="B90" s="237">
        <v>42152</v>
      </c>
      <c r="C90" s="238">
        <v>5</v>
      </c>
      <c r="D90" s="239">
        <v>35.049999999999997</v>
      </c>
      <c r="E90" s="239"/>
      <c r="F90" s="239">
        <v>175.25</v>
      </c>
      <c r="G90" s="237">
        <v>42206</v>
      </c>
      <c r="H90" s="238">
        <v>39</v>
      </c>
      <c r="I90" s="239">
        <v>35.65</v>
      </c>
      <c r="J90" s="238">
        <v>0.03</v>
      </c>
      <c r="K90" s="239">
        <f>H90*I90-J90</f>
        <v>1390.32</v>
      </c>
      <c r="L90" s="237">
        <v>42170</v>
      </c>
      <c r="M90" s="239">
        <v>7.73</v>
      </c>
      <c r="N90" s="239"/>
      <c r="O90" s="241"/>
      <c r="P90" s="139" t="s">
        <v>133</v>
      </c>
    </row>
    <row r="91" spans="1:16" ht="18" customHeight="1" x14ac:dyDescent="0.25">
      <c r="A91" s="236"/>
      <c r="B91" s="237">
        <v>42153</v>
      </c>
      <c r="C91" s="238">
        <v>25</v>
      </c>
      <c r="D91" s="239">
        <v>34.4</v>
      </c>
      <c r="E91" s="240"/>
      <c r="F91" s="239">
        <v>860</v>
      </c>
      <c r="G91" s="237">
        <v>42264</v>
      </c>
      <c r="H91" s="238">
        <v>51</v>
      </c>
      <c r="I91" s="239">
        <v>35</v>
      </c>
      <c r="J91" s="239">
        <v>0.03</v>
      </c>
      <c r="K91" s="239">
        <f>H91*I91-J91</f>
        <v>1784.97</v>
      </c>
      <c r="L91" s="237">
        <v>42262</v>
      </c>
      <c r="M91" s="239">
        <v>13.64</v>
      </c>
      <c r="N91" s="239"/>
      <c r="O91" s="241"/>
      <c r="P91" s="139"/>
    </row>
    <row r="92" spans="1:16" ht="18" customHeight="1" x14ac:dyDescent="0.25">
      <c r="A92" s="236"/>
      <c r="B92" s="237">
        <v>42173</v>
      </c>
      <c r="C92" s="238">
        <v>10</v>
      </c>
      <c r="D92" s="239">
        <v>34.1</v>
      </c>
      <c r="E92" s="239"/>
      <c r="F92" s="239">
        <v>341</v>
      </c>
      <c r="G92" s="240"/>
      <c r="H92" s="238"/>
      <c r="I92" s="239"/>
      <c r="J92" s="239"/>
      <c r="K92" s="239"/>
      <c r="L92" s="240"/>
      <c r="M92" s="239"/>
      <c r="N92" s="239"/>
      <c r="O92" s="241"/>
      <c r="P92" s="139"/>
    </row>
    <row r="93" spans="1:16" ht="18" customHeight="1" x14ac:dyDescent="0.25">
      <c r="A93" s="236"/>
      <c r="B93" s="237">
        <v>42228</v>
      </c>
      <c r="C93" s="238">
        <v>50</v>
      </c>
      <c r="D93" s="239">
        <v>33.44</v>
      </c>
      <c r="E93" s="239"/>
      <c r="F93" s="239">
        <v>1672.2</v>
      </c>
      <c r="G93" s="240"/>
      <c r="H93" s="238"/>
      <c r="I93" s="239"/>
      <c r="J93" s="239"/>
      <c r="K93" s="239"/>
      <c r="L93" s="240"/>
      <c r="M93" s="239"/>
      <c r="N93" s="239"/>
      <c r="O93" s="241"/>
      <c r="P93" s="139"/>
    </row>
    <row r="94" spans="1:16" ht="18" customHeight="1" x14ac:dyDescent="0.25">
      <c r="A94" s="236"/>
      <c r="B94" s="245"/>
      <c r="C94" s="243">
        <v>90</v>
      </c>
      <c r="D94" s="244"/>
      <c r="E94" s="244"/>
      <c r="F94" s="244">
        <f>SUM(F90:F93)</f>
        <v>3048.45</v>
      </c>
      <c r="G94" s="245"/>
      <c r="H94" s="243">
        <v>90</v>
      </c>
      <c r="I94" s="244"/>
      <c r="J94" s="244"/>
      <c r="K94" s="244">
        <f>SUM(K90:K91)</f>
        <v>3175.29</v>
      </c>
      <c r="L94" s="245"/>
      <c r="M94" s="244">
        <f>SUM(M90:M91)</f>
        <v>21.37</v>
      </c>
      <c r="N94" s="244">
        <f>K94-F94</f>
        <v>126.84000000000015</v>
      </c>
      <c r="O94" s="246">
        <f>N94/F94</f>
        <v>4.1608030310485704E-2</v>
      </c>
      <c r="P94" s="139"/>
    </row>
    <row r="95" spans="1:16" ht="18" customHeight="1" x14ac:dyDescent="0.25">
      <c r="B95" s="251"/>
      <c r="C95" s="252"/>
      <c r="D95" s="253"/>
      <c r="E95" s="24"/>
      <c r="F95" s="253"/>
      <c r="G95" s="251"/>
      <c r="H95" s="252"/>
      <c r="I95" s="253"/>
      <c r="K95" s="253"/>
      <c r="L95" s="251"/>
      <c r="M95" s="253"/>
      <c r="N95" s="253"/>
      <c r="O95" s="254"/>
      <c r="P95" s="139"/>
    </row>
    <row r="96" spans="1:16" ht="18" customHeight="1" x14ac:dyDescent="0.25">
      <c r="A96" s="236" t="s">
        <v>32</v>
      </c>
      <c r="B96" s="237">
        <v>42166</v>
      </c>
      <c r="C96" s="238">
        <v>25</v>
      </c>
      <c r="D96" s="239">
        <v>41.2</v>
      </c>
      <c r="E96" s="240"/>
      <c r="F96" s="239">
        <f>C96*D96</f>
        <v>1030</v>
      </c>
      <c r="G96" s="237">
        <v>42200</v>
      </c>
      <c r="H96" s="238">
        <v>50</v>
      </c>
      <c r="I96" s="239">
        <v>42.08</v>
      </c>
      <c r="J96" s="238">
        <v>0.04</v>
      </c>
      <c r="K96" s="239">
        <f>H96*I96-J96</f>
        <v>2103.96</v>
      </c>
      <c r="L96" s="240"/>
      <c r="M96" s="239"/>
      <c r="N96" s="239"/>
      <c r="O96" s="241"/>
      <c r="P96" s="139" t="s">
        <v>133</v>
      </c>
    </row>
    <row r="97" spans="1:15" ht="18" customHeight="1" x14ac:dyDescent="0.25">
      <c r="A97" s="236"/>
      <c r="B97" s="237">
        <v>42167</v>
      </c>
      <c r="C97" s="238">
        <v>25</v>
      </c>
      <c r="D97" s="239">
        <v>39.1</v>
      </c>
      <c r="E97" s="240"/>
      <c r="F97" s="239">
        <f>C97*D97</f>
        <v>977.5</v>
      </c>
      <c r="G97" s="240"/>
      <c r="H97" s="238"/>
      <c r="I97" s="239"/>
      <c r="J97" s="238"/>
      <c r="K97" s="239"/>
      <c r="L97" s="240"/>
      <c r="M97" s="239"/>
      <c r="N97" s="239"/>
      <c r="O97" s="241"/>
    </row>
    <row r="98" spans="1:15" ht="18" customHeight="1" x14ac:dyDescent="0.25">
      <c r="A98" s="236"/>
      <c r="B98" s="242"/>
      <c r="C98" s="243">
        <f>SUM(C96:C97)</f>
        <v>50</v>
      </c>
      <c r="D98" s="244"/>
      <c r="E98" s="245"/>
      <c r="F98" s="244">
        <f>SUM(F96:F97)</f>
        <v>2007.5</v>
      </c>
      <c r="G98" s="245"/>
      <c r="H98" s="243">
        <f>SUM(H96:H97)</f>
        <v>50</v>
      </c>
      <c r="I98" s="244"/>
      <c r="J98" s="243"/>
      <c r="K98" s="244">
        <f>SUM(K96:K97)</f>
        <v>2103.96</v>
      </c>
      <c r="L98" s="245"/>
      <c r="M98" s="244"/>
      <c r="N98" s="244">
        <f>K98-F98</f>
        <v>96.460000000000036</v>
      </c>
      <c r="O98" s="246">
        <f>(N98+M98)/F98</f>
        <v>4.804981320049815E-2</v>
      </c>
    </row>
    <row r="99" spans="1:15" ht="18" customHeight="1" x14ac:dyDescent="0.25">
      <c r="B99" s="251"/>
      <c r="C99" s="252"/>
      <c r="D99" s="253"/>
      <c r="E99" s="253"/>
      <c r="F99" s="253"/>
      <c r="G99" s="251"/>
      <c r="H99" s="252"/>
      <c r="I99" s="253"/>
      <c r="K99" s="253"/>
      <c r="L99" s="251"/>
      <c r="M99" s="253"/>
      <c r="N99" s="253"/>
      <c r="O99" s="254"/>
    </row>
    <row r="100" spans="1:15" ht="18" customHeight="1" x14ac:dyDescent="0.25">
      <c r="A100" s="236" t="s">
        <v>16</v>
      </c>
      <c r="B100" s="237">
        <v>42153</v>
      </c>
      <c r="C100" s="238">
        <v>1</v>
      </c>
      <c r="D100" s="239">
        <v>20.3</v>
      </c>
      <c r="E100" s="239"/>
      <c r="F100" s="239">
        <f>C100*D100</f>
        <v>20.3</v>
      </c>
      <c r="G100" s="237">
        <v>42187</v>
      </c>
      <c r="H100" s="238">
        <v>1</v>
      </c>
      <c r="I100" s="239">
        <v>28.5</v>
      </c>
      <c r="J100" s="239">
        <v>0.01</v>
      </c>
      <c r="K100" s="239">
        <f>H100*I100-J100</f>
        <v>28.49</v>
      </c>
      <c r="L100" s="240"/>
      <c r="M100" s="239"/>
      <c r="N100" s="239"/>
      <c r="O100" s="241"/>
    </row>
    <row r="101" spans="1:15" ht="18" customHeight="1" x14ac:dyDescent="0.25">
      <c r="A101" s="236"/>
      <c r="B101" s="245"/>
      <c r="C101" s="243">
        <f>SUM(C100)</f>
        <v>1</v>
      </c>
      <c r="D101" s="244"/>
      <c r="E101" s="244"/>
      <c r="F101" s="244">
        <f>SUM(F100)</f>
        <v>20.3</v>
      </c>
      <c r="G101" s="245"/>
      <c r="H101" s="243">
        <f>SUM(H100)</f>
        <v>1</v>
      </c>
      <c r="I101" s="244"/>
      <c r="J101" s="244"/>
      <c r="K101" s="244">
        <f>SUM(K100)</f>
        <v>28.49</v>
      </c>
      <c r="L101" s="245"/>
      <c r="M101" s="244"/>
      <c r="N101" s="244">
        <f>K101-F101</f>
        <v>8.1899999999999977</v>
      </c>
      <c r="O101" s="246">
        <f>(N101+M101)/F101</f>
        <v>0.40344827586206883</v>
      </c>
    </row>
    <row r="102" spans="1:15" ht="18" customHeight="1" x14ac:dyDescent="0.25">
      <c r="B102" s="251"/>
      <c r="C102" s="252"/>
      <c r="D102" s="253"/>
      <c r="E102" s="24"/>
      <c r="F102" s="253"/>
      <c r="G102" s="251"/>
      <c r="H102" s="252"/>
      <c r="I102" s="253"/>
      <c r="K102" s="253"/>
      <c r="L102" s="251"/>
      <c r="M102" s="253"/>
      <c r="N102" s="253"/>
      <c r="O102" s="254"/>
    </row>
    <row r="103" spans="1:15" ht="18" customHeight="1" x14ac:dyDescent="0.25">
      <c r="A103" s="236" t="s">
        <v>21</v>
      </c>
      <c r="B103" s="237">
        <v>42153</v>
      </c>
      <c r="C103" s="238">
        <v>10</v>
      </c>
      <c r="D103" s="239">
        <v>17.399999999999999</v>
      </c>
      <c r="E103" s="240"/>
      <c r="F103" s="239">
        <f>C103*D103</f>
        <v>174</v>
      </c>
      <c r="G103" s="237">
        <v>42186</v>
      </c>
      <c r="H103" s="238">
        <v>10</v>
      </c>
      <c r="I103" s="239">
        <v>24.2</v>
      </c>
      <c r="J103" s="238">
        <v>0.01</v>
      </c>
      <c r="K103" s="239">
        <f>H103*I103-J103</f>
        <v>241.99</v>
      </c>
      <c r="L103" s="240"/>
      <c r="M103" s="239"/>
      <c r="N103" s="239"/>
      <c r="O103" s="241"/>
    </row>
    <row r="104" spans="1:15" ht="18" customHeight="1" x14ac:dyDescent="0.25">
      <c r="A104" s="236"/>
      <c r="B104" s="237">
        <v>42187</v>
      </c>
      <c r="C104" s="238">
        <v>1000</v>
      </c>
      <c r="D104" s="239">
        <v>22.12</v>
      </c>
      <c r="E104" s="240"/>
      <c r="F104" s="239">
        <f>C104*D104</f>
        <v>22120</v>
      </c>
      <c r="G104" s="237">
        <v>42187</v>
      </c>
      <c r="H104" s="238">
        <v>4000</v>
      </c>
      <c r="I104" s="239">
        <v>21.81</v>
      </c>
      <c r="J104" s="238">
        <v>11.91</v>
      </c>
      <c r="K104" s="239">
        <f>H104*I104-J104</f>
        <v>87228.09</v>
      </c>
      <c r="L104" s="240"/>
      <c r="M104" s="239"/>
      <c r="N104" s="239"/>
      <c r="O104" s="241"/>
    </row>
    <row r="105" spans="1:15" ht="18" customHeight="1" x14ac:dyDescent="0.25">
      <c r="A105" s="236"/>
      <c r="B105" s="237">
        <v>42187</v>
      </c>
      <c r="C105" s="238">
        <v>1000</v>
      </c>
      <c r="D105" s="239">
        <v>21.7</v>
      </c>
      <c r="E105" s="240"/>
      <c r="F105" s="239">
        <f>C105*D105</f>
        <v>21700</v>
      </c>
      <c r="G105" s="237"/>
      <c r="H105" s="238"/>
      <c r="I105" s="239"/>
      <c r="J105" s="238"/>
      <c r="K105" s="239"/>
      <c r="L105" s="240"/>
      <c r="M105" s="239"/>
      <c r="N105" s="239"/>
      <c r="O105" s="241"/>
    </row>
    <row r="106" spans="1:15" ht="18" customHeight="1" x14ac:dyDescent="0.25">
      <c r="A106" s="236"/>
      <c r="B106" s="237">
        <v>42187</v>
      </c>
      <c r="C106" s="238">
        <v>2000</v>
      </c>
      <c r="D106" s="239">
        <v>21.49</v>
      </c>
      <c r="E106" s="240"/>
      <c r="F106" s="239">
        <f>C106*D106</f>
        <v>42980</v>
      </c>
      <c r="G106" s="237"/>
      <c r="H106" s="238"/>
      <c r="I106" s="239"/>
      <c r="J106" s="238"/>
      <c r="K106" s="239"/>
      <c r="L106" s="240"/>
      <c r="M106" s="239"/>
      <c r="N106" s="239"/>
      <c r="O106" s="241"/>
    </row>
    <row r="107" spans="1:15" ht="18" customHeight="1" x14ac:dyDescent="0.25">
      <c r="A107" s="236"/>
      <c r="B107" s="242"/>
      <c r="C107" s="243">
        <f>SUM(C103:C106)</f>
        <v>4010</v>
      </c>
      <c r="D107" s="244"/>
      <c r="E107" s="245"/>
      <c r="F107" s="244">
        <f>SUM(F103:F106)</f>
        <v>86974</v>
      </c>
      <c r="G107" s="245"/>
      <c r="H107" s="243">
        <f>SUM(H103:H106)</f>
        <v>4010</v>
      </c>
      <c r="I107" s="244"/>
      <c r="J107" s="243"/>
      <c r="K107" s="244">
        <f>SUM(K103:K106)</f>
        <v>87470.080000000002</v>
      </c>
      <c r="L107" s="245"/>
      <c r="M107" s="244"/>
      <c r="N107" s="244">
        <f>K107-F107</f>
        <v>496.08000000000175</v>
      </c>
      <c r="O107" s="246">
        <f>(N107+M107)/F107</f>
        <v>5.7037735415181746E-3</v>
      </c>
    </row>
    <row r="108" spans="1:15" ht="18" customHeight="1" x14ac:dyDescent="0.25">
      <c r="B108" s="251"/>
      <c r="C108" s="252"/>
      <c r="D108" s="253"/>
      <c r="E108" s="24"/>
      <c r="F108" s="253"/>
      <c r="G108" s="251"/>
      <c r="H108" s="252"/>
      <c r="I108" s="253"/>
      <c r="J108" s="253"/>
      <c r="K108" s="253"/>
      <c r="L108" s="251"/>
      <c r="M108" s="253"/>
      <c r="N108" s="252"/>
      <c r="O108" s="252"/>
    </row>
    <row r="109" spans="1:15" ht="18" customHeight="1" x14ac:dyDescent="0.25">
      <c r="A109" s="236" t="s">
        <v>9</v>
      </c>
      <c r="B109" s="237">
        <v>42145</v>
      </c>
      <c r="C109" s="238">
        <v>100</v>
      </c>
      <c r="D109" s="239">
        <v>5.55</v>
      </c>
      <c r="E109" s="239"/>
      <c r="F109" s="239">
        <f t="shared" ref="F109:F138" si="5">C109*D109</f>
        <v>555</v>
      </c>
      <c r="G109" s="237">
        <v>42187</v>
      </c>
      <c r="H109" s="238">
        <v>4200</v>
      </c>
      <c r="I109" s="239">
        <v>5.0199999999999996</v>
      </c>
      <c r="J109" s="239">
        <v>0.39</v>
      </c>
      <c r="K109" s="239">
        <f>H109*I109-J109</f>
        <v>21083.61</v>
      </c>
      <c r="L109" s="237">
        <v>42185</v>
      </c>
      <c r="M109" s="239">
        <v>656.25</v>
      </c>
      <c r="N109" s="238"/>
      <c r="O109" s="238"/>
    </row>
    <row r="110" spans="1:15" ht="18" customHeight="1" x14ac:dyDescent="0.25">
      <c r="A110" s="236"/>
      <c r="B110" s="237">
        <v>42146</v>
      </c>
      <c r="C110" s="238">
        <v>100</v>
      </c>
      <c r="D110" s="239">
        <v>5.47</v>
      </c>
      <c r="E110" s="239"/>
      <c r="F110" s="239">
        <f t="shared" si="5"/>
        <v>547</v>
      </c>
      <c r="G110" s="237">
        <v>42207</v>
      </c>
      <c r="H110" s="238">
        <v>1000</v>
      </c>
      <c r="I110" s="239">
        <v>5.12</v>
      </c>
      <c r="J110" s="239">
        <v>0.09</v>
      </c>
      <c r="K110" s="239">
        <f>H110*I110-J110</f>
        <v>5119.91</v>
      </c>
      <c r="L110" s="240"/>
      <c r="M110" s="239"/>
      <c r="N110" s="238"/>
      <c r="O110" s="238"/>
    </row>
    <row r="111" spans="1:15" ht="18" customHeight="1" x14ac:dyDescent="0.25">
      <c r="A111" s="236"/>
      <c r="B111" s="237">
        <v>42146</v>
      </c>
      <c r="C111" s="238">
        <v>100</v>
      </c>
      <c r="D111" s="239">
        <v>5.43</v>
      </c>
      <c r="E111" s="239"/>
      <c r="F111" s="239">
        <f t="shared" si="5"/>
        <v>543</v>
      </c>
      <c r="G111" s="237">
        <v>42207</v>
      </c>
      <c r="H111" s="238">
        <v>2000</v>
      </c>
      <c r="I111" s="239">
        <v>5.16</v>
      </c>
      <c r="J111" s="239">
        <v>0.19</v>
      </c>
      <c r="K111" s="239">
        <f t="shared" ref="K111:K118" si="6">H111*I111-J111</f>
        <v>10319.81</v>
      </c>
      <c r="L111" s="240"/>
      <c r="M111" s="239"/>
      <c r="N111" s="238"/>
      <c r="O111" s="238"/>
    </row>
    <row r="112" spans="1:15" ht="18" customHeight="1" x14ac:dyDescent="0.25">
      <c r="A112" s="236"/>
      <c r="B112" s="237">
        <v>42146</v>
      </c>
      <c r="C112" s="238">
        <v>100</v>
      </c>
      <c r="D112" s="239">
        <v>5.4</v>
      </c>
      <c r="E112" s="239"/>
      <c r="F112" s="239">
        <f t="shared" si="5"/>
        <v>540</v>
      </c>
      <c r="G112" s="237">
        <v>42207</v>
      </c>
      <c r="H112" s="238">
        <v>1000</v>
      </c>
      <c r="I112" s="239">
        <v>5.07</v>
      </c>
      <c r="J112" s="239">
        <v>0.09</v>
      </c>
      <c r="K112" s="239">
        <f t="shared" si="6"/>
        <v>5069.91</v>
      </c>
      <c r="L112" s="240"/>
      <c r="M112" s="239"/>
      <c r="N112" s="238"/>
      <c r="O112" s="238"/>
    </row>
    <row r="113" spans="1:16" ht="18" customHeight="1" x14ac:dyDescent="0.25">
      <c r="A113" s="236"/>
      <c r="B113" s="237">
        <v>42146</v>
      </c>
      <c r="C113" s="238">
        <v>200</v>
      </c>
      <c r="D113" s="239">
        <v>5.35</v>
      </c>
      <c r="E113" s="239"/>
      <c r="F113" s="239">
        <f t="shared" si="5"/>
        <v>1070</v>
      </c>
      <c r="G113" s="237">
        <v>42207</v>
      </c>
      <c r="H113" s="238">
        <v>1000</v>
      </c>
      <c r="I113" s="239">
        <v>5.09</v>
      </c>
      <c r="J113" s="239">
        <v>0.09</v>
      </c>
      <c r="K113" s="239">
        <f t="shared" si="6"/>
        <v>5089.91</v>
      </c>
      <c r="L113" s="240"/>
      <c r="M113" s="239"/>
      <c r="N113" s="238"/>
      <c r="O113" s="238"/>
    </row>
    <row r="114" spans="1:16" ht="18" customHeight="1" x14ac:dyDescent="0.25">
      <c r="A114" s="236"/>
      <c r="B114" s="237">
        <v>42152</v>
      </c>
      <c r="C114" s="238">
        <v>250</v>
      </c>
      <c r="D114" s="239">
        <v>5.3</v>
      </c>
      <c r="E114" s="239"/>
      <c r="F114" s="239">
        <f t="shared" si="5"/>
        <v>1325</v>
      </c>
      <c r="G114" s="237">
        <v>42207</v>
      </c>
      <c r="H114" s="238">
        <v>2000</v>
      </c>
      <c r="I114" s="239">
        <v>5.23</v>
      </c>
      <c r="J114" s="239">
        <v>0.19</v>
      </c>
      <c r="K114" s="239">
        <f t="shared" si="6"/>
        <v>10459.81</v>
      </c>
      <c r="L114" s="240"/>
      <c r="M114" s="239"/>
      <c r="N114" s="238"/>
      <c r="O114" s="238"/>
    </row>
    <row r="115" spans="1:16" ht="18" customHeight="1" x14ac:dyDescent="0.25">
      <c r="A115" s="236"/>
      <c r="B115" s="237">
        <v>42152</v>
      </c>
      <c r="C115" s="238">
        <v>200</v>
      </c>
      <c r="D115" s="239">
        <v>5.26</v>
      </c>
      <c r="E115" s="239"/>
      <c r="F115" s="239">
        <f t="shared" si="5"/>
        <v>1052</v>
      </c>
      <c r="G115" s="237">
        <v>42222</v>
      </c>
      <c r="H115" s="238">
        <v>5000</v>
      </c>
      <c r="I115" s="239">
        <v>5.12</v>
      </c>
      <c r="J115" s="239">
        <v>0.47</v>
      </c>
      <c r="K115" s="239">
        <f t="shared" si="6"/>
        <v>25599.53</v>
      </c>
      <c r="L115" s="240"/>
      <c r="M115" s="239"/>
      <c r="N115" s="238"/>
      <c r="O115" s="238"/>
    </row>
    <row r="116" spans="1:16" ht="18" customHeight="1" x14ac:dyDescent="0.25">
      <c r="A116" s="236"/>
      <c r="B116" s="237">
        <v>42152</v>
      </c>
      <c r="C116" s="238">
        <v>200</v>
      </c>
      <c r="D116" s="239">
        <v>5.22</v>
      </c>
      <c r="E116" s="239"/>
      <c r="F116" s="239">
        <f t="shared" si="5"/>
        <v>1044</v>
      </c>
      <c r="G116" s="237">
        <v>42222</v>
      </c>
      <c r="H116" s="238">
        <v>1000</v>
      </c>
      <c r="I116" s="239">
        <v>5.1100000000000003</v>
      </c>
      <c r="J116" s="239">
        <v>0.09</v>
      </c>
      <c r="K116" s="239">
        <f t="shared" si="6"/>
        <v>5109.91</v>
      </c>
      <c r="L116" s="240"/>
      <c r="M116" s="239"/>
      <c r="N116" s="238"/>
      <c r="O116" s="238"/>
    </row>
    <row r="117" spans="1:16" ht="18" customHeight="1" x14ac:dyDescent="0.25">
      <c r="A117" s="236"/>
      <c r="B117" s="237">
        <v>42152</v>
      </c>
      <c r="C117" s="238">
        <v>1000</v>
      </c>
      <c r="D117" s="239">
        <v>5.19</v>
      </c>
      <c r="E117" s="239"/>
      <c r="F117" s="239">
        <f t="shared" si="5"/>
        <v>5190</v>
      </c>
      <c r="G117" s="237">
        <v>42223</v>
      </c>
      <c r="H117" s="238">
        <v>1950</v>
      </c>
      <c r="I117" s="239">
        <v>5.2</v>
      </c>
      <c r="J117" s="239">
        <v>0.19</v>
      </c>
      <c r="K117" s="239">
        <f t="shared" si="6"/>
        <v>10139.81</v>
      </c>
      <c r="L117" s="240"/>
      <c r="M117" s="239"/>
      <c r="N117" s="238"/>
      <c r="O117" s="238"/>
    </row>
    <row r="118" spans="1:16" ht="18" customHeight="1" x14ac:dyDescent="0.25">
      <c r="A118" s="236"/>
      <c r="B118" s="237">
        <v>42152</v>
      </c>
      <c r="C118" s="238">
        <v>2000</v>
      </c>
      <c r="D118" s="239">
        <v>5.17</v>
      </c>
      <c r="E118" s="239"/>
      <c r="F118" s="239">
        <f t="shared" si="5"/>
        <v>10340</v>
      </c>
      <c r="G118" s="237">
        <v>42229</v>
      </c>
      <c r="H118" s="238">
        <v>50</v>
      </c>
      <c r="I118" s="239">
        <v>5.28</v>
      </c>
      <c r="J118" s="239">
        <v>0.01</v>
      </c>
      <c r="K118" s="239">
        <f t="shared" si="6"/>
        <v>263.99</v>
      </c>
      <c r="L118" s="240"/>
      <c r="M118" s="239"/>
      <c r="N118" s="238"/>
      <c r="O118" s="238"/>
    </row>
    <row r="119" spans="1:16" ht="18" customHeight="1" x14ac:dyDescent="0.25">
      <c r="A119" s="236"/>
      <c r="B119" s="237">
        <v>42152</v>
      </c>
      <c r="C119" s="238">
        <v>2000</v>
      </c>
      <c r="D119" s="239">
        <v>5.15</v>
      </c>
      <c r="E119" s="239"/>
      <c r="F119" s="239">
        <f t="shared" si="5"/>
        <v>10300</v>
      </c>
      <c r="G119" s="240"/>
      <c r="H119" s="238"/>
      <c r="I119" s="239"/>
      <c r="J119" s="239"/>
      <c r="K119" s="239"/>
      <c r="L119" s="240"/>
      <c r="M119" s="239"/>
      <c r="N119" s="238"/>
      <c r="O119" s="238"/>
    </row>
    <row r="120" spans="1:16" ht="18" customHeight="1" x14ac:dyDescent="0.25">
      <c r="A120" s="236"/>
      <c r="B120" s="237">
        <v>42158</v>
      </c>
      <c r="C120" s="238">
        <v>500</v>
      </c>
      <c r="D120" s="239">
        <v>5.09</v>
      </c>
      <c r="E120" s="239"/>
      <c r="F120" s="239">
        <f t="shared" si="5"/>
        <v>2545</v>
      </c>
      <c r="G120" s="240"/>
      <c r="H120" s="238"/>
      <c r="I120" s="239"/>
      <c r="J120" s="239"/>
      <c r="K120" s="239"/>
      <c r="L120" s="240"/>
      <c r="M120" s="239"/>
      <c r="N120" s="238"/>
      <c r="O120" s="238"/>
    </row>
    <row r="121" spans="1:16" ht="18" customHeight="1" x14ac:dyDescent="0.25">
      <c r="A121" s="236"/>
      <c r="B121" s="237">
        <v>42158</v>
      </c>
      <c r="C121" s="238">
        <v>1000</v>
      </c>
      <c r="D121" s="239">
        <v>5.04</v>
      </c>
      <c r="E121" s="240"/>
      <c r="F121" s="239">
        <f t="shared" si="5"/>
        <v>5040</v>
      </c>
      <c r="G121" s="240"/>
      <c r="H121" s="238"/>
      <c r="I121" s="239"/>
      <c r="J121" s="239"/>
      <c r="K121" s="239"/>
      <c r="L121" s="240"/>
      <c r="M121" s="239"/>
      <c r="N121" s="238"/>
      <c r="O121" s="238"/>
    </row>
    <row r="122" spans="1:16" ht="18" customHeight="1" x14ac:dyDescent="0.25">
      <c r="A122" s="236"/>
      <c r="B122" s="237">
        <v>42158</v>
      </c>
      <c r="C122" s="238">
        <v>200</v>
      </c>
      <c r="D122" s="239">
        <v>5.05</v>
      </c>
      <c r="E122" s="239"/>
      <c r="F122" s="239">
        <f t="shared" si="5"/>
        <v>1010</v>
      </c>
      <c r="G122" s="240"/>
      <c r="H122" s="238"/>
      <c r="I122" s="239"/>
      <c r="J122" s="239"/>
      <c r="K122" s="239"/>
      <c r="L122" s="240"/>
      <c r="M122" s="239"/>
      <c r="N122" s="238"/>
      <c r="O122" s="238"/>
    </row>
    <row r="123" spans="1:16" ht="18" customHeight="1" x14ac:dyDescent="0.25">
      <c r="A123" s="236"/>
      <c r="B123" s="237">
        <v>42164</v>
      </c>
      <c r="C123" s="238">
        <v>500</v>
      </c>
      <c r="D123" s="239">
        <v>5.07</v>
      </c>
      <c r="E123" s="239"/>
      <c r="F123" s="239">
        <f t="shared" si="5"/>
        <v>2535</v>
      </c>
      <c r="G123" s="240"/>
      <c r="H123" s="238"/>
      <c r="I123" s="239"/>
      <c r="J123" s="239"/>
      <c r="K123" s="239"/>
      <c r="L123" s="240"/>
      <c r="M123" s="239"/>
      <c r="N123" s="238"/>
      <c r="O123" s="238"/>
    </row>
    <row r="124" spans="1:16" ht="18" customHeight="1" x14ac:dyDescent="0.25">
      <c r="A124" s="236"/>
      <c r="B124" s="237">
        <v>42164</v>
      </c>
      <c r="C124" s="238">
        <v>1000</v>
      </c>
      <c r="D124" s="239">
        <v>5.04</v>
      </c>
      <c r="E124" s="239"/>
      <c r="F124" s="239">
        <f t="shared" si="5"/>
        <v>5040</v>
      </c>
      <c r="G124" s="240"/>
      <c r="H124" s="238"/>
      <c r="I124" s="239"/>
      <c r="J124" s="239"/>
      <c r="K124" s="239"/>
      <c r="L124" s="240"/>
      <c r="M124" s="239"/>
      <c r="N124" s="238"/>
      <c r="O124" s="238"/>
    </row>
    <row r="125" spans="1:16" ht="18" customHeight="1" x14ac:dyDescent="0.25">
      <c r="A125" s="236"/>
      <c r="B125" s="237">
        <v>42164</v>
      </c>
      <c r="C125" s="238">
        <v>1000</v>
      </c>
      <c r="D125" s="239">
        <v>5.01</v>
      </c>
      <c r="E125" s="239"/>
      <c r="F125" s="239">
        <f t="shared" si="5"/>
        <v>5010</v>
      </c>
      <c r="G125" s="240"/>
      <c r="H125" s="238"/>
      <c r="I125" s="239"/>
      <c r="J125" s="239"/>
      <c r="K125" s="239"/>
      <c r="L125" s="240"/>
      <c r="M125" s="239"/>
      <c r="N125" s="238"/>
      <c r="O125" s="238"/>
    </row>
    <row r="126" spans="1:16" ht="18" customHeight="1" x14ac:dyDescent="0.25">
      <c r="A126" s="236"/>
      <c r="B126" s="237">
        <v>42173</v>
      </c>
      <c r="C126" s="238">
        <v>500</v>
      </c>
      <c r="D126" s="239">
        <v>4.88</v>
      </c>
      <c r="E126" s="239"/>
      <c r="F126" s="239">
        <f t="shared" si="5"/>
        <v>2440</v>
      </c>
      <c r="G126" s="240"/>
      <c r="H126" s="238"/>
      <c r="I126" s="239"/>
      <c r="J126" s="239"/>
      <c r="K126" s="239"/>
      <c r="L126" s="240"/>
      <c r="M126" s="239"/>
      <c r="N126" s="238"/>
      <c r="O126" s="238"/>
    </row>
    <row r="127" spans="1:16" ht="18" customHeight="1" x14ac:dyDescent="0.25">
      <c r="A127" s="236"/>
      <c r="B127" s="237">
        <v>42187</v>
      </c>
      <c r="C127" s="238">
        <v>2000</v>
      </c>
      <c r="D127" s="239">
        <v>4.9800000000000004</v>
      </c>
      <c r="E127" s="239"/>
      <c r="F127" s="239">
        <f t="shared" si="5"/>
        <v>9960</v>
      </c>
      <c r="G127" s="240"/>
      <c r="H127" s="238"/>
      <c r="I127" s="239"/>
      <c r="J127" s="239"/>
      <c r="K127" s="239"/>
      <c r="L127" s="240"/>
      <c r="M127" s="239"/>
      <c r="N127" s="238"/>
      <c r="O127" s="238"/>
    </row>
    <row r="128" spans="1:16" ht="18" customHeight="1" x14ac:dyDescent="0.25">
      <c r="A128" s="236"/>
      <c r="B128" s="237">
        <v>42187</v>
      </c>
      <c r="C128" s="238">
        <v>100</v>
      </c>
      <c r="D128" s="239">
        <v>4.9800000000000004</v>
      </c>
      <c r="E128" s="239"/>
      <c r="F128" s="239">
        <f t="shared" si="5"/>
        <v>498.00000000000006</v>
      </c>
      <c r="G128" s="240"/>
      <c r="H128" s="238"/>
      <c r="I128" s="239"/>
      <c r="J128" s="239"/>
      <c r="K128" s="239"/>
      <c r="L128" s="240"/>
      <c r="M128" s="239"/>
      <c r="N128" s="238"/>
      <c r="O128" s="238"/>
      <c r="P128" s="139" t="s">
        <v>133</v>
      </c>
    </row>
    <row r="129" spans="1:16" ht="18" customHeight="1" x14ac:dyDescent="0.25">
      <c r="A129" s="236"/>
      <c r="B129" s="237">
        <v>42187</v>
      </c>
      <c r="C129" s="238">
        <v>100</v>
      </c>
      <c r="D129" s="239">
        <v>4.9800000000000004</v>
      </c>
      <c r="E129" s="239"/>
      <c r="F129" s="239">
        <f t="shared" si="5"/>
        <v>498.00000000000006</v>
      </c>
      <c r="G129" s="240"/>
      <c r="H129" s="238"/>
      <c r="I129" s="239"/>
      <c r="J129" s="239"/>
      <c r="K129" s="239"/>
      <c r="L129" s="240"/>
      <c r="M129" s="239"/>
      <c r="N129" s="238"/>
      <c r="O129" s="238"/>
    </row>
    <row r="130" spans="1:16" ht="18" customHeight="1" x14ac:dyDescent="0.25">
      <c r="A130" s="236"/>
      <c r="B130" s="237">
        <v>42187</v>
      </c>
      <c r="C130" s="238">
        <v>2000</v>
      </c>
      <c r="D130" s="239">
        <v>4.97</v>
      </c>
      <c r="E130" s="239"/>
      <c r="F130" s="239">
        <f t="shared" si="5"/>
        <v>9940</v>
      </c>
      <c r="G130" s="240"/>
      <c r="H130" s="238"/>
      <c r="I130" s="239"/>
      <c r="J130" s="239"/>
      <c r="K130" s="239"/>
      <c r="L130" s="240"/>
      <c r="M130" s="239"/>
      <c r="N130" s="238"/>
      <c r="O130" s="238"/>
    </row>
    <row r="131" spans="1:16" ht="18" customHeight="1" x14ac:dyDescent="0.25">
      <c r="A131" s="236"/>
      <c r="B131" s="237">
        <v>42199</v>
      </c>
      <c r="C131" s="238">
        <v>500</v>
      </c>
      <c r="D131" s="239">
        <v>4.8</v>
      </c>
      <c r="E131" s="239"/>
      <c r="F131" s="239">
        <f t="shared" si="5"/>
        <v>2400</v>
      </c>
      <c r="G131" s="240"/>
      <c r="H131" s="238"/>
      <c r="I131" s="239"/>
      <c r="J131" s="239"/>
      <c r="K131" s="239"/>
      <c r="L131" s="240"/>
      <c r="M131" s="239"/>
      <c r="N131" s="238"/>
      <c r="O131" s="238"/>
      <c r="P131" s="139" t="s">
        <v>133</v>
      </c>
    </row>
    <row r="132" spans="1:16" ht="18" customHeight="1" x14ac:dyDescent="0.25">
      <c r="A132" s="236"/>
      <c r="B132" s="237">
        <v>42212</v>
      </c>
      <c r="C132" s="238">
        <v>300</v>
      </c>
      <c r="D132" s="239">
        <v>4.76</v>
      </c>
      <c r="E132" s="239"/>
      <c r="F132" s="239">
        <f t="shared" si="5"/>
        <v>1428</v>
      </c>
      <c r="G132" s="240"/>
      <c r="H132" s="238"/>
      <c r="I132" s="239"/>
      <c r="J132" s="239"/>
      <c r="K132" s="239"/>
      <c r="L132" s="240"/>
      <c r="M132" s="239"/>
      <c r="N132" s="238"/>
      <c r="O132" s="238"/>
    </row>
    <row r="133" spans="1:16" ht="18" customHeight="1" x14ac:dyDescent="0.25">
      <c r="A133" s="236"/>
      <c r="B133" s="237">
        <v>42212</v>
      </c>
      <c r="C133" s="238">
        <v>1700</v>
      </c>
      <c r="D133" s="239">
        <v>4.76</v>
      </c>
      <c r="E133" s="239"/>
      <c r="F133" s="239">
        <f t="shared" si="5"/>
        <v>8092</v>
      </c>
      <c r="G133" s="240"/>
      <c r="H133" s="238"/>
      <c r="I133" s="239"/>
      <c r="J133" s="239"/>
      <c r="K133" s="239"/>
      <c r="L133" s="240"/>
      <c r="M133" s="239"/>
      <c r="N133" s="238"/>
      <c r="O133" s="238"/>
    </row>
    <row r="134" spans="1:16" ht="18" customHeight="1" x14ac:dyDescent="0.25">
      <c r="A134" s="236"/>
      <c r="B134" s="237">
        <v>42214</v>
      </c>
      <c r="C134" s="238">
        <v>500</v>
      </c>
      <c r="D134" s="239">
        <v>4.68</v>
      </c>
      <c r="E134" s="239"/>
      <c r="F134" s="239">
        <f t="shared" si="5"/>
        <v>2340</v>
      </c>
      <c r="G134" s="240"/>
      <c r="H134" s="238"/>
      <c r="I134" s="239"/>
      <c r="J134" s="239"/>
      <c r="K134" s="239"/>
      <c r="L134" s="240"/>
      <c r="M134" s="239"/>
      <c r="N134" s="238"/>
      <c r="O134" s="238"/>
    </row>
    <row r="135" spans="1:16" ht="18" customHeight="1" x14ac:dyDescent="0.25">
      <c r="A135" s="236"/>
      <c r="B135" s="237">
        <v>42214</v>
      </c>
      <c r="C135" s="238">
        <v>50</v>
      </c>
      <c r="D135" s="239">
        <v>4.6500000000000004</v>
      </c>
      <c r="E135" s="239"/>
      <c r="F135" s="239">
        <f t="shared" si="5"/>
        <v>232.50000000000003</v>
      </c>
      <c r="G135" s="240"/>
      <c r="H135" s="238"/>
      <c r="I135" s="239"/>
      <c r="J135" s="239"/>
      <c r="K135" s="239"/>
      <c r="L135" s="240"/>
      <c r="M135" s="239"/>
      <c r="N135" s="238"/>
      <c r="O135" s="238"/>
      <c r="P135" s="139" t="s">
        <v>133</v>
      </c>
    </row>
    <row r="136" spans="1:16" ht="18" customHeight="1" x14ac:dyDescent="0.25">
      <c r="A136" s="236"/>
      <c r="B136" s="237">
        <v>42214</v>
      </c>
      <c r="C136" s="238">
        <v>200</v>
      </c>
      <c r="D136" s="239">
        <v>4.63</v>
      </c>
      <c r="E136" s="239"/>
      <c r="F136" s="239">
        <f t="shared" si="5"/>
        <v>926</v>
      </c>
      <c r="G136" s="240"/>
      <c r="H136" s="238"/>
      <c r="I136" s="239"/>
      <c r="J136" s="239"/>
      <c r="K136" s="239"/>
      <c r="L136" s="240"/>
      <c r="M136" s="239"/>
      <c r="N136" s="238"/>
      <c r="O136" s="238"/>
    </row>
    <row r="137" spans="1:16" ht="18" customHeight="1" x14ac:dyDescent="0.25">
      <c r="A137" s="236"/>
      <c r="B137" s="237">
        <v>42214</v>
      </c>
      <c r="C137" s="238">
        <v>300</v>
      </c>
      <c r="D137" s="239">
        <v>4.59</v>
      </c>
      <c r="E137" s="239"/>
      <c r="F137" s="239">
        <f t="shared" si="5"/>
        <v>1377</v>
      </c>
      <c r="G137" s="240"/>
      <c r="H137" s="238"/>
      <c r="I137" s="239"/>
      <c r="J137" s="239"/>
      <c r="K137" s="239"/>
      <c r="L137" s="240"/>
      <c r="M137" s="239"/>
      <c r="N137" s="238"/>
      <c r="O137" s="238"/>
    </row>
    <row r="138" spans="1:16" ht="18" customHeight="1" x14ac:dyDescent="0.25">
      <c r="A138" s="236"/>
      <c r="B138" s="237">
        <v>42214</v>
      </c>
      <c r="C138" s="238">
        <v>500</v>
      </c>
      <c r="D138" s="239">
        <v>4.54</v>
      </c>
      <c r="E138" s="239"/>
      <c r="F138" s="239">
        <f t="shared" si="5"/>
        <v>2270</v>
      </c>
      <c r="G138" s="240"/>
      <c r="H138" s="238"/>
      <c r="I138" s="239"/>
      <c r="J138" s="239"/>
      <c r="K138" s="239"/>
      <c r="L138" s="240"/>
      <c r="M138" s="239"/>
      <c r="N138" s="238"/>
      <c r="O138" s="238"/>
    </row>
    <row r="139" spans="1:16" ht="18" customHeight="1" x14ac:dyDescent="0.25">
      <c r="A139" s="236"/>
      <c r="B139" s="245"/>
      <c r="C139" s="243">
        <f>SUM(C109:C138)</f>
        <v>19200</v>
      </c>
      <c r="D139" s="244"/>
      <c r="E139" s="244"/>
      <c r="F139" s="244">
        <f>SUM(F109:F138)</f>
        <v>96087.5</v>
      </c>
      <c r="G139" s="245"/>
      <c r="H139" s="243">
        <f>SUM(H109:H138)</f>
        <v>19200</v>
      </c>
      <c r="I139" s="244"/>
      <c r="J139" s="244"/>
      <c r="K139" s="244">
        <f>SUM(K109:K138)</f>
        <v>98256.200000000012</v>
      </c>
      <c r="L139" s="245"/>
      <c r="M139" s="244">
        <f>SUM(M109:M138)</f>
        <v>656.25</v>
      </c>
      <c r="N139" s="244">
        <f>K139-F139</f>
        <v>2168.7000000000116</v>
      </c>
      <c r="O139" s="246">
        <f>(N139+M139)/F139</f>
        <v>2.9399765838428637E-2</v>
      </c>
    </row>
    <row r="140" spans="1:16" ht="18" customHeight="1" x14ac:dyDescent="0.25">
      <c r="B140" s="251"/>
      <c r="C140" s="252"/>
      <c r="D140" s="253"/>
      <c r="E140" s="24"/>
      <c r="F140" s="253"/>
      <c r="G140" s="251"/>
      <c r="H140" s="252"/>
      <c r="I140" s="253"/>
      <c r="K140" s="253"/>
      <c r="L140" s="251"/>
      <c r="M140" s="253"/>
      <c r="N140" s="253"/>
      <c r="O140" s="254"/>
    </row>
    <row r="141" spans="1:16" ht="18" customHeight="1" x14ac:dyDescent="0.25">
      <c r="A141" s="307" t="s">
        <v>15</v>
      </c>
      <c r="B141" s="297">
        <v>42153</v>
      </c>
      <c r="C141" s="298">
        <v>1</v>
      </c>
      <c r="D141" s="299">
        <v>26.75</v>
      </c>
      <c r="E141" s="299">
        <v>0</v>
      </c>
      <c r="F141" s="299">
        <f>C141*D141</f>
        <v>26.75</v>
      </c>
      <c r="G141" s="297">
        <v>42226</v>
      </c>
      <c r="H141" s="298">
        <v>170</v>
      </c>
      <c r="I141" s="298">
        <v>22.35</v>
      </c>
      <c r="J141" s="299">
        <v>7.0000000000000007E-2</v>
      </c>
      <c r="K141" s="298">
        <f t="shared" ref="K141:K148" si="7">H141*I141-J141</f>
        <v>3799.4300000000003</v>
      </c>
      <c r="L141" s="298" t="s">
        <v>80</v>
      </c>
      <c r="M141" s="298"/>
      <c r="N141" s="298"/>
      <c r="O141" s="298"/>
      <c r="P141" s="81"/>
    </row>
    <row r="142" spans="1:16" ht="18" customHeight="1" x14ac:dyDescent="0.25">
      <c r="A142" s="308"/>
      <c r="B142" s="297">
        <v>42173</v>
      </c>
      <c r="C142" s="298">
        <v>19</v>
      </c>
      <c r="D142" s="299">
        <v>24.84</v>
      </c>
      <c r="E142" s="299">
        <v>0</v>
      </c>
      <c r="F142" s="299">
        <f t="shared" ref="F142:F155" si="8">C142*D142</f>
        <v>471.96</v>
      </c>
      <c r="G142" s="297">
        <v>42263</v>
      </c>
      <c r="H142" s="298">
        <v>120</v>
      </c>
      <c r="I142" s="298">
        <v>19.28</v>
      </c>
      <c r="J142" s="298">
        <v>0.04</v>
      </c>
      <c r="K142" s="298">
        <f t="shared" si="7"/>
        <v>2313.5600000000004</v>
      </c>
      <c r="L142" s="298"/>
      <c r="M142" s="298"/>
      <c r="N142" s="298"/>
      <c r="O142" s="298"/>
      <c r="P142" s="81"/>
    </row>
    <row r="143" spans="1:16" ht="18" customHeight="1" x14ac:dyDescent="0.25">
      <c r="A143" s="298"/>
      <c r="B143" s="297">
        <v>42184</v>
      </c>
      <c r="C143" s="298">
        <v>10</v>
      </c>
      <c r="D143" s="299">
        <v>24.33</v>
      </c>
      <c r="E143" s="299">
        <v>0</v>
      </c>
      <c r="F143" s="299">
        <f t="shared" si="8"/>
        <v>243.29999999999998</v>
      </c>
      <c r="G143" s="297">
        <v>42284</v>
      </c>
      <c r="H143" s="298">
        <v>40</v>
      </c>
      <c r="I143" s="298">
        <v>20.45</v>
      </c>
      <c r="J143" s="298">
        <v>0.02</v>
      </c>
      <c r="K143" s="298">
        <f t="shared" si="7"/>
        <v>817.98</v>
      </c>
      <c r="L143" s="298"/>
      <c r="M143" s="298"/>
      <c r="N143" s="298"/>
      <c r="O143" s="298"/>
      <c r="P143" s="81"/>
    </row>
    <row r="144" spans="1:16" ht="18" customHeight="1" x14ac:dyDescent="0.25">
      <c r="A144" s="298"/>
      <c r="B144" s="297">
        <v>42185</v>
      </c>
      <c r="C144" s="298">
        <v>5</v>
      </c>
      <c r="D144" s="299">
        <v>23.82</v>
      </c>
      <c r="E144" s="299">
        <v>0</v>
      </c>
      <c r="F144" s="299">
        <f t="shared" si="8"/>
        <v>119.1</v>
      </c>
      <c r="G144" s="297">
        <v>42285</v>
      </c>
      <c r="H144" s="298">
        <v>80</v>
      </c>
      <c r="I144" s="299">
        <v>21.14</v>
      </c>
      <c r="J144" s="299">
        <v>0.03</v>
      </c>
      <c r="K144" s="298">
        <f t="shared" si="7"/>
        <v>1691.17</v>
      </c>
      <c r="L144" s="298"/>
      <c r="M144" s="298"/>
      <c r="N144" s="298"/>
      <c r="O144" s="298"/>
      <c r="P144" s="81"/>
    </row>
    <row r="145" spans="1:17" ht="18" customHeight="1" x14ac:dyDescent="0.25">
      <c r="A145" s="298"/>
      <c r="B145" s="297">
        <v>42185</v>
      </c>
      <c r="C145" s="298">
        <v>15</v>
      </c>
      <c r="D145" s="299">
        <v>23.71</v>
      </c>
      <c r="E145" s="299">
        <v>0</v>
      </c>
      <c r="F145" s="299">
        <f t="shared" si="8"/>
        <v>355.65000000000003</v>
      </c>
      <c r="G145" s="297">
        <v>42010</v>
      </c>
      <c r="H145" s="298">
        <v>60</v>
      </c>
      <c r="I145" s="298">
        <v>17.760000000000002</v>
      </c>
      <c r="J145" s="298">
        <v>0.02</v>
      </c>
      <c r="K145" s="298">
        <f t="shared" si="7"/>
        <v>1065.5800000000002</v>
      </c>
      <c r="L145" s="298"/>
      <c r="M145" s="298"/>
      <c r="N145" s="298"/>
      <c r="O145" s="298"/>
      <c r="P145" s="81"/>
    </row>
    <row r="146" spans="1:17" ht="18" customHeight="1" x14ac:dyDescent="0.25">
      <c r="A146" s="298"/>
      <c r="B146" s="297">
        <v>42185</v>
      </c>
      <c r="C146" s="298">
        <v>30</v>
      </c>
      <c r="D146" s="299">
        <v>23.65</v>
      </c>
      <c r="E146" s="299">
        <v>0</v>
      </c>
      <c r="F146" s="299">
        <f t="shared" si="8"/>
        <v>709.5</v>
      </c>
      <c r="G146" s="297">
        <v>42398</v>
      </c>
      <c r="H146" s="298">
        <v>60</v>
      </c>
      <c r="I146" s="298">
        <v>17.559999999999999</v>
      </c>
      <c r="J146" s="298">
        <v>0.02</v>
      </c>
      <c r="K146" s="298">
        <f t="shared" si="7"/>
        <v>1053.58</v>
      </c>
      <c r="L146" s="298"/>
      <c r="M146" s="298"/>
      <c r="N146" s="298"/>
      <c r="O146" s="298"/>
      <c r="P146" s="81"/>
    </row>
    <row r="147" spans="1:17" ht="18" customHeight="1" x14ac:dyDescent="0.25">
      <c r="A147" s="298"/>
      <c r="B147" s="297">
        <v>42185</v>
      </c>
      <c r="C147" s="298">
        <v>40</v>
      </c>
      <c r="D147" s="299">
        <v>23.2</v>
      </c>
      <c r="E147" s="299">
        <v>0</v>
      </c>
      <c r="F147" s="299">
        <f t="shared" si="8"/>
        <v>928</v>
      </c>
      <c r="G147" s="297">
        <v>42416</v>
      </c>
      <c r="H147" s="298">
        <v>60</v>
      </c>
      <c r="I147" s="298">
        <v>16.82</v>
      </c>
      <c r="J147" s="298">
        <v>0.02</v>
      </c>
      <c r="K147" s="298">
        <f t="shared" si="7"/>
        <v>1009.1800000000001</v>
      </c>
      <c r="L147" s="298"/>
      <c r="M147" s="298"/>
      <c r="N147" s="298"/>
      <c r="O147" s="298"/>
      <c r="P147" s="81"/>
    </row>
    <row r="148" spans="1:17" ht="18" customHeight="1" x14ac:dyDescent="0.25">
      <c r="A148" s="298"/>
      <c r="B148" s="297">
        <v>42185</v>
      </c>
      <c r="C148" s="298">
        <v>50</v>
      </c>
      <c r="D148" s="299">
        <v>22.94</v>
      </c>
      <c r="E148" s="299">
        <v>0</v>
      </c>
      <c r="F148" s="299">
        <f t="shared" si="8"/>
        <v>1147</v>
      </c>
      <c r="G148" s="297">
        <v>42423</v>
      </c>
      <c r="H148" s="298">
        <v>60</v>
      </c>
      <c r="I148" s="298">
        <v>17.84</v>
      </c>
      <c r="J148" s="298">
        <v>0.02</v>
      </c>
      <c r="K148" s="298">
        <f t="shared" si="7"/>
        <v>1070.3800000000001</v>
      </c>
      <c r="L148" s="298"/>
      <c r="M148" s="298"/>
      <c r="N148" s="298"/>
      <c r="O148" s="298"/>
      <c r="P148" s="81"/>
    </row>
    <row r="149" spans="1:17" ht="18" customHeight="1" x14ac:dyDescent="0.25">
      <c r="A149" s="298"/>
      <c r="B149" s="297">
        <v>42209</v>
      </c>
      <c r="C149" s="298">
        <v>50</v>
      </c>
      <c r="D149" s="299">
        <v>19.75</v>
      </c>
      <c r="E149" s="299">
        <v>0</v>
      </c>
      <c r="F149" s="299">
        <f t="shared" si="8"/>
        <v>987.5</v>
      </c>
      <c r="G149" s="298"/>
      <c r="H149" s="298"/>
      <c r="I149" s="298"/>
      <c r="J149" s="298"/>
      <c r="K149" s="298"/>
      <c r="L149" s="298"/>
      <c r="M149" s="298"/>
      <c r="N149" s="298"/>
      <c r="O149" s="298"/>
      <c r="P149" s="81"/>
    </row>
    <row r="150" spans="1:17" ht="18" customHeight="1" x14ac:dyDescent="0.25">
      <c r="A150" s="298"/>
      <c r="B150" s="297">
        <v>42212</v>
      </c>
      <c r="C150" s="298">
        <v>30</v>
      </c>
      <c r="D150" s="299">
        <v>19.2</v>
      </c>
      <c r="E150" s="299">
        <v>0</v>
      </c>
      <c r="F150" s="299">
        <f t="shared" si="8"/>
        <v>576</v>
      </c>
      <c r="G150" s="298"/>
      <c r="H150" s="298"/>
      <c r="I150" s="298"/>
      <c r="J150" s="298"/>
      <c r="K150" s="298"/>
      <c r="L150" s="298"/>
      <c r="M150" s="298"/>
      <c r="N150" s="298"/>
      <c r="O150" s="298"/>
      <c r="P150" s="81"/>
    </row>
    <row r="151" spans="1:17" ht="18" customHeight="1" x14ac:dyDescent="0.25">
      <c r="A151" s="298"/>
      <c r="B151" s="297">
        <v>42240</v>
      </c>
      <c r="C151" s="298">
        <v>40</v>
      </c>
      <c r="D151" s="299">
        <v>19.93</v>
      </c>
      <c r="E151" s="299">
        <v>0</v>
      </c>
      <c r="F151" s="299">
        <f t="shared" si="8"/>
        <v>797.2</v>
      </c>
      <c r="G151" s="298"/>
      <c r="H151" s="298"/>
      <c r="I151" s="298"/>
      <c r="J151" s="298"/>
      <c r="K151" s="298"/>
      <c r="L151" s="298"/>
      <c r="M151" s="298"/>
      <c r="N151" s="298"/>
      <c r="O151" s="298"/>
      <c r="P151" s="81"/>
    </row>
    <row r="152" spans="1:17" ht="18" customHeight="1" x14ac:dyDescent="0.25">
      <c r="A152" s="298"/>
      <c r="B152" s="297">
        <v>42261</v>
      </c>
      <c r="C152" s="298">
        <v>120</v>
      </c>
      <c r="D152" s="299">
        <v>18.7</v>
      </c>
      <c r="E152" s="299">
        <v>0</v>
      </c>
      <c r="F152" s="299">
        <f t="shared" si="8"/>
        <v>2244</v>
      </c>
      <c r="G152" s="298"/>
      <c r="H152" s="298"/>
      <c r="I152" s="298"/>
      <c r="J152" s="298"/>
      <c r="K152" s="298"/>
      <c r="L152" s="298"/>
      <c r="M152" s="298"/>
      <c r="N152" s="298"/>
      <c r="O152" s="298"/>
      <c r="P152" s="81"/>
    </row>
    <row r="153" spans="1:17" ht="18" customHeight="1" x14ac:dyDescent="0.25">
      <c r="A153" s="298"/>
      <c r="B153" s="297">
        <v>42349</v>
      </c>
      <c r="C153" s="298">
        <v>60</v>
      </c>
      <c r="D153" s="299">
        <v>18.04</v>
      </c>
      <c r="E153" s="299">
        <v>0</v>
      </c>
      <c r="F153" s="299">
        <f t="shared" si="8"/>
        <v>1082.3999999999999</v>
      </c>
      <c r="G153" s="298"/>
      <c r="H153" s="298"/>
      <c r="I153" s="298"/>
      <c r="J153" s="298"/>
      <c r="K153" s="298"/>
      <c r="L153" s="298"/>
      <c r="M153" s="298"/>
      <c r="N153" s="298"/>
      <c r="O153" s="298"/>
      <c r="P153" s="81"/>
    </row>
    <row r="154" spans="1:17" ht="18" customHeight="1" x14ac:dyDescent="0.25">
      <c r="A154" s="298"/>
      <c r="B154" s="297">
        <v>42362</v>
      </c>
      <c r="C154" s="298">
        <v>120</v>
      </c>
      <c r="D154" s="299">
        <v>17.079999999999998</v>
      </c>
      <c r="E154" s="299">
        <v>0</v>
      </c>
      <c r="F154" s="299">
        <f t="shared" si="8"/>
        <v>2049.6</v>
      </c>
      <c r="G154" s="298"/>
      <c r="H154" s="298"/>
      <c r="I154" s="298"/>
      <c r="J154" s="298"/>
      <c r="K154" s="298"/>
      <c r="L154" s="298"/>
      <c r="M154" s="298"/>
      <c r="N154" s="298"/>
      <c r="O154" s="298"/>
      <c r="P154" s="81"/>
    </row>
    <row r="155" spans="1:17" ht="18" customHeight="1" x14ac:dyDescent="0.25">
      <c r="A155" s="298"/>
      <c r="B155" s="297">
        <v>42409</v>
      </c>
      <c r="C155" s="298">
        <v>60</v>
      </c>
      <c r="D155" s="299">
        <v>15.45</v>
      </c>
      <c r="E155" s="299">
        <v>0</v>
      </c>
      <c r="F155" s="299">
        <f t="shared" si="8"/>
        <v>927</v>
      </c>
      <c r="G155" s="298"/>
      <c r="H155" s="298"/>
      <c r="I155" s="298"/>
      <c r="J155" s="298"/>
      <c r="K155" s="298"/>
      <c r="L155" s="298"/>
      <c r="M155" s="298"/>
      <c r="N155" s="298"/>
      <c r="O155" s="298"/>
      <c r="P155" s="81"/>
    </row>
    <row r="156" spans="1:17" ht="18" customHeight="1" x14ac:dyDescent="0.25">
      <c r="A156" s="298"/>
      <c r="B156" s="298"/>
      <c r="C156" s="298"/>
      <c r="D156" s="299"/>
      <c r="E156" s="299"/>
      <c r="F156" s="299"/>
      <c r="G156" s="298"/>
      <c r="H156" s="298"/>
      <c r="I156" s="298"/>
      <c r="J156" s="298"/>
      <c r="K156" s="298"/>
      <c r="L156" s="298"/>
      <c r="M156" s="298"/>
      <c r="N156" s="298"/>
      <c r="O156" s="298"/>
      <c r="P156" s="81"/>
    </row>
    <row r="157" spans="1:17" ht="18" customHeight="1" x14ac:dyDescent="0.25">
      <c r="A157" s="298"/>
      <c r="B157" s="298"/>
      <c r="C157" s="298"/>
      <c r="D157" s="299"/>
      <c r="E157" s="299"/>
      <c r="F157" s="299"/>
      <c r="G157" s="298"/>
      <c r="H157" s="298"/>
      <c r="I157" s="298"/>
      <c r="J157" s="298"/>
      <c r="K157" s="298"/>
      <c r="L157" s="298"/>
      <c r="M157" s="298"/>
      <c r="N157" s="298"/>
      <c r="O157" s="298"/>
      <c r="P157" s="81"/>
    </row>
    <row r="158" spans="1:17" ht="18" customHeight="1" x14ac:dyDescent="0.25">
      <c r="A158" s="21" t="s">
        <v>81</v>
      </c>
      <c r="B158" s="12"/>
      <c r="C158" s="21">
        <f>SUM(C141:C155)</f>
        <v>650</v>
      </c>
      <c r="D158" s="38"/>
      <c r="E158" s="38"/>
      <c r="F158" s="38">
        <f>SUM(F141:F155)</f>
        <v>12664.96</v>
      </c>
      <c r="G158" s="21"/>
      <c r="H158" s="21">
        <f>SUM(H141:H150)</f>
        <v>650</v>
      </c>
      <c r="I158" s="21"/>
      <c r="J158" s="21"/>
      <c r="K158" s="21">
        <f>SUM(K141:K150)</f>
        <v>12820.86</v>
      </c>
      <c r="L158" s="21"/>
      <c r="M158" s="21"/>
      <c r="N158" s="38">
        <f>K158-F158</f>
        <v>155.90000000000146</v>
      </c>
      <c r="O158" s="584">
        <f>N158/F158</f>
        <v>1.2309553287179862E-2</v>
      </c>
      <c r="P158" s="81"/>
    </row>
    <row r="159" spans="1:17" ht="18" customHeight="1" x14ac:dyDescent="0.25">
      <c r="B159" s="146"/>
      <c r="C159" s="144"/>
      <c r="D159" s="145"/>
      <c r="E159" s="24"/>
      <c r="F159" s="145"/>
      <c r="G159" s="146"/>
      <c r="H159" s="144"/>
      <c r="I159" s="145"/>
      <c r="K159" s="145"/>
      <c r="L159" s="146"/>
      <c r="M159" s="145"/>
      <c r="N159" s="145"/>
      <c r="O159" s="147"/>
    </row>
    <row r="160" spans="1:17" ht="18" customHeight="1" x14ac:dyDescent="0.25">
      <c r="A160" s="236" t="s">
        <v>25</v>
      </c>
      <c r="B160" s="237">
        <v>42163</v>
      </c>
      <c r="C160" s="238">
        <v>1</v>
      </c>
      <c r="D160" s="239">
        <v>117.3</v>
      </c>
      <c r="E160" s="240"/>
      <c r="F160" s="239">
        <f>C160*D160</f>
        <v>117.3</v>
      </c>
      <c r="G160" s="237">
        <v>42186</v>
      </c>
      <c r="H160" s="238">
        <v>1</v>
      </c>
      <c r="I160" s="239">
        <v>121.6</v>
      </c>
      <c r="J160" s="238">
        <v>0.01</v>
      </c>
      <c r="K160" s="239">
        <f>H160*I160-J160</f>
        <v>121.58999999999999</v>
      </c>
      <c r="L160" s="240"/>
      <c r="M160" s="239"/>
      <c r="N160" s="239"/>
      <c r="O160" s="241"/>
      <c r="Q160"/>
    </row>
    <row r="161" spans="1:18" ht="18" customHeight="1" x14ac:dyDescent="0.25">
      <c r="A161" s="236"/>
      <c r="B161" s="242"/>
      <c r="C161" s="243">
        <f>SUM(C160)</f>
        <v>1</v>
      </c>
      <c r="D161" s="244"/>
      <c r="E161" s="245"/>
      <c r="F161" s="244">
        <f>SUM(F160)</f>
        <v>117.3</v>
      </c>
      <c r="G161" s="245"/>
      <c r="H161" s="243">
        <f>SUM(H160)</f>
        <v>1</v>
      </c>
      <c r="I161" s="244"/>
      <c r="J161" s="243"/>
      <c r="K161" s="244">
        <f>SUM(K160)</f>
        <v>121.58999999999999</v>
      </c>
      <c r="L161" s="245"/>
      <c r="M161" s="244"/>
      <c r="N161" s="244">
        <f>K161-F161</f>
        <v>4.289999999999992</v>
      </c>
      <c r="O161" s="246">
        <f>(N161+M161)/F161</f>
        <v>3.6572890025575379E-2</v>
      </c>
      <c r="P161" s="139" t="s">
        <v>133</v>
      </c>
      <c r="Q161"/>
    </row>
    <row r="162" spans="1:18" ht="18" customHeight="1" x14ac:dyDescent="0.25">
      <c r="B162" s="251"/>
      <c r="C162" s="252"/>
      <c r="D162" s="253"/>
      <c r="E162" s="253"/>
      <c r="F162" s="253"/>
      <c r="G162" s="251"/>
      <c r="H162" s="252"/>
      <c r="I162" s="253"/>
      <c r="J162" s="253"/>
      <c r="K162" s="253"/>
      <c r="L162" s="251"/>
      <c r="M162" s="253"/>
      <c r="N162" s="253"/>
      <c r="O162" s="254"/>
      <c r="Q162"/>
    </row>
    <row r="163" spans="1:18" ht="18" customHeight="1" x14ac:dyDescent="0.25">
      <c r="A163" s="236" t="s">
        <v>36</v>
      </c>
      <c r="B163" s="237">
        <v>42167</v>
      </c>
      <c r="C163" s="238">
        <v>25</v>
      </c>
      <c r="D163" s="239">
        <v>34.15</v>
      </c>
      <c r="E163" s="239"/>
      <c r="F163" s="239">
        <f>C163*D163</f>
        <v>853.75</v>
      </c>
      <c r="G163" s="237">
        <v>42186</v>
      </c>
      <c r="H163" s="238">
        <v>35</v>
      </c>
      <c r="I163" s="239">
        <v>34.799999999999997</v>
      </c>
      <c r="J163" s="239">
        <v>0.02</v>
      </c>
      <c r="K163" s="239">
        <f>H163*I163-J163</f>
        <v>1217.98</v>
      </c>
      <c r="L163" s="240"/>
      <c r="M163" s="239"/>
      <c r="N163" s="239"/>
      <c r="O163" s="241"/>
      <c r="Q163" s="3"/>
      <c r="R163"/>
    </row>
    <row r="164" spans="1:18" ht="18" customHeight="1" x14ac:dyDescent="0.25">
      <c r="A164" s="236"/>
      <c r="B164" s="237">
        <v>42178</v>
      </c>
      <c r="C164" s="238">
        <v>10</v>
      </c>
      <c r="D164" s="239">
        <v>33.119999999999997</v>
      </c>
      <c r="E164" s="239"/>
      <c r="F164" s="239">
        <f>C164*D164</f>
        <v>331.2</v>
      </c>
      <c r="G164" s="240"/>
      <c r="H164" s="238"/>
      <c r="I164" s="239"/>
      <c r="J164" s="239"/>
      <c r="K164" s="239"/>
      <c r="L164" s="240"/>
      <c r="M164" s="239"/>
      <c r="N164" s="239"/>
      <c r="O164" s="241"/>
      <c r="Q164" s="134"/>
      <c r="R164"/>
    </row>
    <row r="165" spans="1:18" ht="18" customHeight="1" x14ac:dyDescent="0.25">
      <c r="A165" s="236"/>
      <c r="B165" s="242"/>
      <c r="C165" s="243">
        <f>SUM(C163:C164)</f>
        <v>35</v>
      </c>
      <c r="D165" s="244"/>
      <c r="E165" s="244"/>
      <c r="F165" s="244">
        <f>SUM(F163:F164)</f>
        <v>1184.95</v>
      </c>
      <c r="G165" s="245"/>
      <c r="H165" s="243">
        <f>SUM(H163:H164)</f>
        <v>35</v>
      </c>
      <c r="I165" s="244"/>
      <c r="J165" s="244"/>
      <c r="K165" s="244">
        <f>SUM(K163:K164)</f>
        <v>1217.98</v>
      </c>
      <c r="L165" s="245"/>
      <c r="M165" s="244"/>
      <c r="N165" s="244">
        <f>K165-F165</f>
        <v>33.029999999999973</v>
      </c>
      <c r="O165" s="246">
        <f>(N165+M165)/F165</f>
        <v>2.7874593864720007E-2</v>
      </c>
    </row>
    <row r="166" spans="1:18" ht="18" customHeight="1" x14ac:dyDescent="0.25">
      <c r="B166" s="251"/>
      <c r="C166" s="252"/>
      <c r="D166" s="253"/>
      <c r="E166" s="24"/>
      <c r="F166" s="253"/>
      <c r="G166" s="251"/>
      <c r="H166" s="252"/>
      <c r="I166" s="253"/>
      <c r="K166" s="253"/>
      <c r="L166" s="251"/>
      <c r="M166" s="253"/>
      <c r="N166" s="253"/>
      <c r="O166" s="254"/>
    </row>
    <row r="167" spans="1:18" ht="18" customHeight="1" x14ac:dyDescent="0.25">
      <c r="A167" s="575" t="s">
        <v>373</v>
      </c>
      <c r="B167" s="576">
        <v>42767</v>
      </c>
      <c r="C167" s="577">
        <v>35</v>
      </c>
      <c r="D167" s="578">
        <v>69.58</v>
      </c>
      <c r="E167" s="578">
        <v>0</v>
      </c>
      <c r="F167" s="578">
        <f>C167*D167+E167</f>
        <v>2435.2999999999997</v>
      </c>
      <c r="G167" s="576">
        <v>42803</v>
      </c>
      <c r="H167" s="579">
        <v>35</v>
      </c>
      <c r="I167" s="578">
        <v>87.78</v>
      </c>
      <c r="J167" s="578">
        <v>7.0000000000000007E-2</v>
      </c>
      <c r="K167" s="578">
        <f>I167*H167-J167</f>
        <v>3072.23</v>
      </c>
      <c r="L167" s="576">
        <v>42829</v>
      </c>
      <c r="M167" s="577">
        <v>14.44</v>
      </c>
      <c r="N167" s="580"/>
      <c r="O167" s="581"/>
    </row>
    <row r="168" spans="1:18" ht="18" customHeight="1" x14ac:dyDescent="0.25">
      <c r="A168" s="582"/>
      <c r="B168" s="577"/>
      <c r="C168" s="582">
        <f>SUM(C167:C167)</f>
        <v>35</v>
      </c>
      <c r="D168" s="583"/>
      <c r="E168" s="583"/>
      <c r="F168" s="583">
        <f>SUM(F167:F167)</f>
        <v>2435.2999999999997</v>
      </c>
      <c r="G168" s="582"/>
      <c r="H168" s="582">
        <f>SUM(H167:H167)</f>
        <v>35</v>
      </c>
      <c r="I168" s="583"/>
      <c r="J168" s="583"/>
      <c r="K168" s="583">
        <f>SUM(K167:K167)</f>
        <v>3072.23</v>
      </c>
      <c r="L168" s="582"/>
      <c r="M168" s="583">
        <f>SUM(M167:M167)</f>
        <v>14.44</v>
      </c>
      <c r="N168" s="573">
        <f>K168-F168</f>
        <v>636.93000000000029</v>
      </c>
      <c r="O168" s="574">
        <f>(N168+M168)/F168</f>
        <v>0.26747012688375166</v>
      </c>
    </row>
    <row r="169" spans="1:18" ht="18" customHeight="1" x14ac:dyDescent="0.25">
      <c r="B169" s="146"/>
      <c r="C169" s="144"/>
      <c r="D169" s="145"/>
      <c r="E169" s="24"/>
      <c r="F169" s="145"/>
      <c r="G169" s="146"/>
      <c r="H169" s="144"/>
      <c r="I169" s="145"/>
      <c r="K169" s="145"/>
      <c r="L169" s="146"/>
      <c r="M169" s="145"/>
      <c r="N169" s="145"/>
      <c r="O169" s="147"/>
    </row>
    <row r="170" spans="1:18" ht="18" customHeight="1" x14ac:dyDescent="0.25">
      <c r="A170" s="236" t="s">
        <v>14</v>
      </c>
      <c r="B170" s="237">
        <v>42152</v>
      </c>
      <c r="C170" s="238">
        <v>2</v>
      </c>
      <c r="D170" s="239">
        <v>51.22</v>
      </c>
      <c r="E170" s="240"/>
      <c r="F170" s="239">
        <f>C170*D170</f>
        <v>102.44</v>
      </c>
      <c r="G170" s="237">
        <v>42187</v>
      </c>
      <c r="H170" s="238">
        <v>150</v>
      </c>
      <c r="I170" s="239">
        <v>48.92</v>
      </c>
      <c r="J170" s="238">
        <v>0.12</v>
      </c>
      <c r="K170" s="239">
        <f>H170*I170-J170</f>
        <v>7337.88</v>
      </c>
      <c r="L170" s="237">
        <v>42195</v>
      </c>
      <c r="M170" s="239">
        <v>52</v>
      </c>
      <c r="N170" s="239"/>
      <c r="O170" s="241"/>
    </row>
    <row r="171" spans="1:18" ht="18" customHeight="1" x14ac:dyDescent="0.25">
      <c r="A171" s="236"/>
      <c r="B171" s="237">
        <v>42164</v>
      </c>
      <c r="C171" s="238">
        <v>48</v>
      </c>
      <c r="D171" s="239">
        <v>49.9</v>
      </c>
      <c r="E171" s="240"/>
      <c r="F171" s="239">
        <f>C171*D171</f>
        <v>2395.1999999999998</v>
      </c>
      <c r="G171" s="240"/>
      <c r="H171" s="238"/>
      <c r="I171" s="239"/>
      <c r="J171" s="238"/>
      <c r="K171" s="239"/>
      <c r="L171" s="240"/>
      <c r="M171" s="239"/>
      <c r="N171" s="239"/>
      <c r="O171" s="241"/>
    </row>
    <row r="172" spans="1:18" ht="18" customHeight="1" x14ac:dyDescent="0.25">
      <c r="A172" s="236"/>
      <c r="B172" s="237">
        <v>42165</v>
      </c>
      <c r="C172" s="238">
        <v>50</v>
      </c>
      <c r="D172" s="239">
        <v>48.6</v>
      </c>
      <c r="E172" s="240"/>
      <c r="F172" s="239">
        <f>C172*D172</f>
        <v>2430</v>
      </c>
      <c r="G172" s="240"/>
      <c r="H172" s="238"/>
      <c r="I172" s="239"/>
      <c r="J172" s="238"/>
      <c r="K172" s="239"/>
      <c r="L172" s="240"/>
      <c r="M172" s="239"/>
      <c r="N172" s="239"/>
      <c r="O172" s="241"/>
    </row>
    <row r="173" spans="1:18" ht="18" customHeight="1" x14ac:dyDescent="0.25">
      <c r="A173" s="236"/>
      <c r="B173" s="237">
        <v>42173</v>
      </c>
      <c r="C173" s="238">
        <v>25</v>
      </c>
      <c r="D173" s="239">
        <v>47.62</v>
      </c>
      <c r="E173" s="240"/>
      <c r="F173" s="239">
        <f>C173*D173</f>
        <v>1190.5</v>
      </c>
      <c r="G173" s="240"/>
      <c r="H173" s="238"/>
      <c r="I173" s="239"/>
      <c r="J173" s="238"/>
      <c r="K173" s="239"/>
      <c r="L173" s="240"/>
      <c r="M173" s="239"/>
      <c r="N173" s="239"/>
      <c r="O173" s="241"/>
    </row>
    <row r="174" spans="1:18" ht="18" customHeight="1" x14ac:dyDescent="0.25">
      <c r="A174" s="236"/>
      <c r="B174" s="237">
        <v>42173</v>
      </c>
      <c r="C174" s="238">
        <v>25</v>
      </c>
      <c r="D174" s="239">
        <v>47.54</v>
      </c>
      <c r="E174" s="240"/>
      <c r="F174" s="239">
        <f>C174*D174</f>
        <v>1188.5</v>
      </c>
      <c r="G174" s="240"/>
      <c r="H174" s="238"/>
      <c r="I174" s="239"/>
      <c r="J174" s="238"/>
      <c r="K174" s="239"/>
      <c r="L174" s="240"/>
      <c r="M174" s="239"/>
      <c r="N174" s="239"/>
      <c r="O174" s="241"/>
    </row>
    <row r="175" spans="1:18" ht="18" customHeight="1" x14ac:dyDescent="0.25">
      <c r="A175" s="236"/>
      <c r="B175" s="242"/>
      <c r="C175" s="243">
        <f>SUM(C170:C174)</f>
        <v>150</v>
      </c>
      <c r="D175" s="244"/>
      <c r="E175" s="245"/>
      <c r="F175" s="244">
        <f t="shared" ref="F175:M175" si="9">SUM(F170:F174)</f>
        <v>7306.6399999999994</v>
      </c>
      <c r="G175" s="245"/>
      <c r="H175" s="243">
        <f t="shared" si="9"/>
        <v>150</v>
      </c>
      <c r="I175" s="244"/>
      <c r="J175" s="243"/>
      <c r="K175" s="244">
        <f t="shared" si="9"/>
        <v>7337.88</v>
      </c>
      <c r="L175" s="245"/>
      <c r="M175" s="244">
        <f t="shared" si="9"/>
        <v>52</v>
      </c>
      <c r="N175" s="244">
        <f>K175-F175</f>
        <v>31.240000000000691</v>
      </c>
      <c r="O175" s="246">
        <f>(N175+M175)/F175</f>
        <v>1.1392377344442959E-2</v>
      </c>
    </row>
    <row r="176" spans="1:18" ht="18" customHeight="1" x14ac:dyDescent="0.25">
      <c r="B176" s="264"/>
      <c r="C176" s="252"/>
      <c r="D176" s="253"/>
      <c r="E176" s="252"/>
      <c r="F176" s="253"/>
      <c r="G176" s="267"/>
      <c r="H176" s="252"/>
      <c r="I176" s="253"/>
      <c r="J176" s="252"/>
      <c r="K176" s="253"/>
      <c r="L176" s="251"/>
      <c r="M176" s="253"/>
      <c r="N176" s="252"/>
      <c r="O176" s="252"/>
      <c r="P176" s="139" t="s">
        <v>133</v>
      </c>
    </row>
    <row r="177" spans="1:16" ht="18" customHeight="1" x14ac:dyDescent="0.25">
      <c r="A177" s="236" t="s">
        <v>26</v>
      </c>
      <c r="B177" s="237">
        <v>42163</v>
      </c>
      <c r="C177" s="238">
        <v>50</v>
      </c>
      <c r="D177" s="239">
        <v>5.9</v>
      </c>
      <c r="E177" s="238">
        <v>0</v>
      </c>
      <c r="F177" s="239">
        <v>295</v>
      </c>
      <c r="G177" s="266">
        <v>42187</v>
      </c>
      <c r="H177" s="238">
        <v>200</v>
      </c>
      <c r="I177" s="239">
        <v>6.45</v>
      </c>
      <c r="J177" s="238">
        <v>0.02</v>
      </c>
      <c r="K177" s="239">
        <v>1289.98</v>
      </c>
      <c r="L177" s="240"/>
      <c r="M177" s="239"/>
      <c r="N177" s="238"/>
      <c r="O177" s="238"/>
    </row>
    <row r="178" spans="1:16" ht="18" customHeight="1" x14ac:dyDescent="0.25">
      <c r="A178" s="236"/>
      <c r="B178" s="237">
        <v>42163</v>
      </c>
      <c r="C178" s="238">
        <v>100</v>
      </c>
      <c r="D178" s="239">
        <v>6.2</v>
      </c>
      <c r="E178" s="238">
        <v>0</v>
      </c>
      <c r="F178" s="239">
        <v>620</v>
      </c>
      <c r="G178" s="266">
        <v>42261</v>
      </c>
      <c r="H178" s="238">
        <v>450</v>
      </c>
      <c r="I178" s="239">
        <v>6.23</v>
      </c>
      <c r="J178" s="238">
        <v>0.05</v>
      </c>
      <c r="K178" s="239">
        <v>2803.45</v>
      </c>
      <c r="L178" s="240"/>
      <c r="M178" s="239"/>
      <c r="N178" s="238"/>
      <c r="O178" s="238"/>
      <c r="P178"/>
    </row>
    <row r="179" spans="1:16" ht="18" customHeight="1" x14ac:dyDescent="0.25">
      <c r="A179" s="236"/>
      <c r="B179" s="237">
        <v>42187</v>
      </c>
      <c r="C179" s="238">
        <v>200</v>
      </c>
      <c r="D179" s="239">
        <v>6.3</v>
      </c>
      <c r="E179" s="238">
        <v>0</v>
      </c>
      <c r="F179" s="239">
        <v>1260</v>
      </c>
      <c r="G179" s="266"/>
      <c r="H179" s="238"/>
      <c r="I179" s="239"/>
      <c r="J179" s="238"/>
      <c r="K179" s="239"/>
      <c r="L179" s="240"/>
      <c r="M179" s="239"/>
      <c r="N179" s="238"/>
      <c r="O179" s="238"/>
      <c r="P179"/>
    </row>
    <row r="180" spans="1:16" ht="18" customHeight="1" x14ac:dyDescent="0.25">
      <c r="A180" s="236"/>
      <c r="B180" s="237">
        <v>42194</v>
      </c>
      <c r="C180" s="238">
        <v>150</v>
      </c>
      <c r="D180" s="239">
        <v>6.1</v>
      </c>
      <c r="E180" s="238">
        <v>0</v>
      </c>
      <c r="F180" s="239">
        <v>915</v>
      </c>
      <c r="G180" s="266"/>
      <c r="H180" s="238"/>
      <c r="I180" s="239"/>
      <c r="J180" s="238"/>
      <c r="K180" s="239"/>
      <c r="L180" s="240"/>
      <c r="M180" s="239"/>
      <c r="N180" s="238"/>
      <c r="O180" s="238"/>
      <c r="P180"/>
    </row>
    <row r="181" spans="1:16" ht="18" customHeight="1" x14ac:dyDescent="0.25">
      <c r="A181" s="236"/>
      <c r="B181" s="237">
        <v>42240</v>
      </c>
      <c r="C181" s="238">
        <v>150</v>
      </c>
      <c r="D181" s="239">
        <v>5.69</v>
      </c>
      <c r="E181" s="238">
        <v>0</v>
      </c>
      <c r="F181" s="239">
        <v>853.50000000000011</v>
      </c>
      <c r="G181" s="266"/>
      <c r="H181" s="238"/>
      <c r="I181" s="239"/>
      <c r="J181" s="238"/>
      <c r="K181" s="239"/>
      <c r="L181" s="240"/>
      <c r="M181" s="239"/>
      <c r="N181" s="238"/>
      <c r="O181" s="238"/>
      <c r="P181"/>
    </row>
    <row r="182" spans="1:16" ht="18" customHeight="1" x14ac:dyDescent="0.25">
      <c r="A182" s="236"/>
      <c r="B182" s="242"/>
      <c r="C182" s="243">
        <v>650</v>
      </c>
      <c r="D182" s="244"/>
      <c r="E182" s="243"/>
      <c r="F182" s="244">
        <v>3943.5</v>
      </c>
      <c r="G182" s="268"/>
      <c r="H182" s="243">
        <v>650</v>
      </c>
      <c r="I182" s="244"/>
      <c r="J182" s="243"/>
      <c r="K182" s="244">
        <f>SUM(K177:K178)</f>
        <v>4093.43</v>
      </c>
      <c r="L182" s="245"/>
      <c r="M182" s="244"/>
      <c r="N182" s="244">
        <f>K182-F182</f>
        <v>149.92999999999984</v>
      </c>
      <c r="O182" s="246">
        <f>N182/K182</f>
        <v>3.6626985193346374E-2</v>
      </c>
      <c r="P182"/>
    </row>
    <row r="183" spans="1:16" ht="18" customHeight="1" x14ac:dyDescent="0.25">
      <c r="B183" s="264"/>
      <c r="C183" s="252"/>
      <c r="D183" s="253"/>
      <c r="E183" s="252"/>
      <c r="F183" s="253"/>
      <c r="G183" s="267"/>
      <c r="H183" s="252"/>
      <c r="I183" s="253"/>
      <c r="J183" s="252"/>
      <c r="K183" s="253"/>
      <c r="L183" s="251"/>
      <c r="M183" s="253"/>
      <c r="N183" s="252"/>
      <c r="O183" s="252"/>
    </row>
    <row r="184" spans="1:16" ht="18" customHeight="1" x14ac:dyDescent="0.25">
      <c r="A184" s="225" t="s">
        <v>26</v>
      </c>
      <c r="B184" s="226">
        <v>42284</v>
      </c>
      <c r="C184" s="227">
        <v>150</v>
      </c>
      <c r="D184" s="228">
        <v>3.75</v>
      </c>
      <c r="E184" s="228">
        <v>0</v>
      </c>
      <c r="F184" s="228">
        <f>D184*C184</f>
        <v>562.5</v>
      </c>
      <c r="G184" s="226">
        <v>42291</v>
      </c>
      <c r="H184" s="229">
        <v>100</v>
      </c>
      <c r="I184" s="228">
        <v>4.4000000000000004</v>
      </c>
      <c r="J184" s="228">
        <v>0.01</v>
      </c>
      <c r="K184" s="227">
        <f>I184*H184-J184</f>
        <v>439.99000000000007</v>
      </c>
      <c r="L184" s="226"/>
      <c r="M184" s="228"/>
      <c r="N184" s="227"/>
      <c r="O184" s="230"/>
    </row>
    <row r="185" spans="1:16" ht="18" customHeight="1" x14ac:dyDescent="0.25">
      <c r="A185" s="271"/>
      <c r="B185" s="883">
        <v>42338</v>
      </c>
      <c r="C185" s="227">
        <v>50</v>
      </c>
      <c r="D185" s="228">
        <v>3.03</v>
      </c>
      <c r="E185" s="228">
        <v>0</v>
      </c>
      <c r="F185" s="228">
        <f>D185*C185</f>
        <v>151.5</v>
      </c>
      <c r="G185" s="226">
        <v>42333</v>
      </c>
      <c r="H185" s="227">
        <v>50</v>
      </c>
      <c r="I185" s="227">
        <v>3.16</v>
      </c>
      <c r="J185" s="227">
        <v>0.01</v>
      </c>
      <c r="K185" s="227">
        <f>I185*H185-J185</f>
        <v>157.99</v>
      </c>
      <c r="L185" s="227"/>
      <c r="M185" s="227"/>
      <c r="N185" s="227"/>
      <c r="O185" s="230"/>
    </row>
    <row r="186" spans="1:16" ht="18" customHeight="1" x14ac:dyDescent="0.25">
      <c r="A186" s="227"/>
      <c r="B186" s="883"/>
      <c r="C186" s="227">
        <v>2</v>
      </c>
      <c r="D186" s="228">
        <v>3.03</v>
      </c>
      <c r="E186" s="228">
        <v>0</v>
      </c>
      <c r="F186" s="228">
        <f>D186*C186</f>
        <v>6.06</v>
      </c>
      <c r="G186" s="226">
        <v>42339</v>
      </c>
      <c r="H186" s="227">
        <v>50</v>
      </c>
      <c r="I186" s="227">
        <v>3.38</v>
      </c>
      <c r="J186" s="227">
        <v>0.01</v>
      </c>
      <c r="K186" s="227">
        <f>I186*H186-J186</f>
        <v>168.99</v>
      </c>
      <c r="L186" s="227"/>
      <c r="M186" s="227"/>
      <c r="N186" s="227"/>
      <c r="O186" s="230"/>
    </row>
    <row r="187" spans="1:16" ht="18" customHeight="1" x14ac:dyDescent="0.25">
      <c r="A187" s="227"/>
      <c r="B187" s="226">
        <v>42340</v>
      </c>
      <c r="C187" s="227">
        <v>52</v>
      </c>
      <c r="D187" s="228">
        <v>3.2</v>
      </c>
      <c r="E187" s="228">
        <v>0</v>
      </c>
      <c r="F187" s="228">
        <f>D187*C187</f>
        <v>166.4</v>
      </c>
      <c r="G187" s="227"/>
      <c r="H187" s="228">
        <v>54</v>
      </c>
      <c r="I187" s="228">
        <v>1.63</v>
      </c>
      <c r="J187" s="228">
        <v>0</v>
      </c>
      <c r="K187" s="227">
        <f>I187*H187-J187</f>
        <v>88.02</v>
      </c>
      <c r="L187" s="227"/>
      <c r="M187" s="227"/>
      <c r="N187" s="227"/>
      <c r="O187" s="230"/>
    </row>
    <row r="188" spans="1:16" ht="18" customHeight="1" x14ac:dyDescent="0.25">
      <c r="A188" s="230"/>
      <c r="B188" s="230"/>
      <c r="C188" s="230">
        <f>SUM(C184:C187)</f>
        <v>254</v>
      </c>
      <c r="D188" s="230"/>
      <c r="E188" s="233"/>
      <c r="F188" s="230">
        <f>SUM(F184:F187)</f>
        <v>886.45999999999992</v>
      </c>
      <c r="G188" s="230"/>
      <c r="H188" s="234">
        <f>SUM(H184:H187)</f>
        <v>254</v>
      </c>
      <c r="I188" s="230"/>
      <c r="J188" s="230"/>
      <c r="K188" s="230">
        <f>SUM(K184:K187)</f>
        <v>854.99</v>
      </c>
      <c r="L188" s="230"/>
      <c r="M188" s="233">
        <f>SUM(M184:M186)</f>
        <v>0</v>
      </c>
      <c r="N188" s="230">
        <f>K188-F188</f>
        <v>-31.469999999999914</v>
      </c>
      <c r="O188" s="235">
        <f>N188/F188</f>
        <v>-3.5500755815265121E-2</v>
      </c>
      <c r="P188" s="139" t="s">
        <v>133</v>
      </c>
    </row>
    <row r="189" spans="1:16" ht="18" customHeight="1" x14ac:dyDescent="0.25">
      <c r="B189" s="264"/>
      <c r="C189" s="252"/>
      <c r="D189" s="253"/>
      <c r="E189" s="252"/>
      <c r="F189" s="253"/>
      <c r="G189" s="267"/>
      <c r="H189" s="252"/>
      <c r="I189" s="253"/>
      <c r="J189" s="252"/>
      <c r="K189" s="253"/>
      <c r="L189" s="251"/>
      <c r="M189" s="253"/>
      <c r="N189" s="252"/>
      <c r="O189" s="252"/>
    </row>
    <row r="190" spans="1:16" ht="18" customHeight="1" x14ac:dyDescent="0.25">
      <c r="A190" s="236" t="s">
        <v>23</v>
      </c>
      <c r="B190" s="237">
        <v>42153</v>
      </c>
      <c r="C190" s="238">
        <v>50</v>
      </c>
      <c r="D190" s="239">
        <v>37.22</v>
      </c>
      <c r="E190" s="238"/>
      <c r="F190" s="239">
        <f>D190*C190</f>
        <v>1861</v>
      </c>
      <c r="G190" s="266">
        <v>42186</v>
      </c>
      <c r="H190" s="238">
        <v>50</v>
      </c>
      <c r="I190" s="239">
        <v>38.4</v>
      </c>
      <c r="J190" s="238">
        <v>0.04</v>
      </c>
      <c r="K190" s="239">
        <f>H190*I190-J190</f>
        <v>1919.96</v>
      </c>
      <c r="L190" s="240"/>
      <c r="M190" s="239"/>
      <c r="N190" s="238"/>
      <c r="O190" s="238"/>
    </row>
    <row r="191" spans="1:16" ht="18" customHeight="1" x14ac:dyDescent="0.25">
      <c r="A191" s="236"/>
      <c r="B191" s="237">
        <v>42208</v>
      </c>
      <c r="C191" s="238">
        <v>100</v>
      </c>
      <c r="D191" s="239">
        <v>36</v>
      </c>
      <c r="E191" s="240"/>
      <c r="F191" s="239">
        <f>D191*C191</f>
        <v>3600</v>
      </c>
      <c r="G191" s="266">
        <v>42230</v>
      </c>
      <c r="H191" s="238">
        <v>100</v>
      </c>
      <c r="I191" s="239">
        <v>35.96</v>
      </c>
      <c r="J191" s="238">
        <v>7.0000000000000007E-2</v>
      </c>
      <c r="K191" s="239">
        <f>H191*I191-J191</f>
        <v>3595.93</v>
      </c>
      <c r="L191" s="240"/>
      <c r="M191" s="239"/>
      <c r="N191" s="238"/>
      <c r="O191" s="238"/>
      <c r="P191" s="139" t="s">
        <v>133</v>
      </c>
    </row>
    <row r="192" spans="1:16" ht="18" customHeight="1" x14ac:dyDescent="0.25">
      <c r="A192" s="236"/>
      <c r="B192" s="237">
        <v>42209</v>
      </c>
      <c r="C192" s="238">
        <v>20</v>
      </c>
      <c r="D192" s="238">
        <f>709.5/20</f>
        <v>35.475000000000001</v>
      </c>
      <c r="E192" s="238"/>
      <c r="F192" s="239">
        <f>D192*C192</f>
        <v>709.5</v>
      </c>
      <c r="G192" s="266">
        <v>42258</v>
      </c>
      <c r="H192" s="238">
        <v>40</v>
      </c>
      <c r="I192" s="239">
        <v>36.65</v>
      </c>
      <c r="J192" s="238">
        <v>0.03</v>
      </c>
      <c r="K192" s="239">
        <f>H192*I192-J192</f>
        <v>1465.97</v>
      </c>
      <c r="L192" s="240"/>
      <c r="M192" s="239"/>
      <c r="N192" s="238"/>
      <c r="O192" s="238"/>
    </row>
    <row r="193" spans="1:20" ht="18" customHeight="1" x14ac:dyDescent="0.25">
      <c r="A193" s="236"/>
      <c r="B193" s="237">
        <v>42209</v>
      </c>
      <c r="C193" s="238">
        <v>20</v>
      </c>
      <c r="D193" s="239">
        <v>35.03</v>
      </c>
      <c r="E193" s="240"/>
      <c r="F193" s="239">
        <f>D193*C193</f>
        <v>700.6</v>
      </c>
      <c r="G193" s="266"/>
      <c r="H193" s="238"/>
      <c r="I193" s="239"/>
      <c r="J193" s="238"/>
      <c r="K193" s="239"/>
      <c r="L193" s="240"/>
      <c r="M193" s="239"/>
      <c r="N193" s="238"/>
      <c r="O193" s="238"/>
    </row>
    <row r="194" spans="1:20" ht="18" customHeight="1" x14ac:dyDescent="0.25">
      <c r="A194" s="236"/>
      <c r="B194" s="242"/>
      <c r="C194" s="243">
        <v>190</v>
      </c>
      <c r="D194" s="244"/>
      <c r="E194" s="243"/>
      <c r="F194" s="244">
        <f>SUM(F190:F193)</f>
        <v>6871.1</v>
      </c>
      <c r="G194" s="268"/>
      <c r="H194" s="243">
        <v>190</v>
      </c>
      <c r="I194" s="244"/>
      <c r="J194" s="243"/>
      <c r="K194" s="244">
        <f>SUM(K190:K192)</f>
        <v>6981.86</v>
      </c>
      <c r="L194" s="245"/>
      <c r="M194" s="244"/>
      <c r="N194" s="243">
        <f>K194-F194</f>
        <v>110.75999999999931</v>
      </c>
      <c r="O194" s="246">
        <f>(N194+M194)/F194</f>
        <v>1.6119689714892711E-2</v>
      </c>
      <c r="P194" s="139" t="s">
        <v>133</v>
      </c>
    </row>
    <row r="195" spans="1:20" ht="18" customHeight="1" x14ac:dyDescent="0.25">
      <c r="B195" s="251"/>
      <c r="C195" s="252"/>
      <c r="D195" s="253"/>
      <c r="E195" s="253"/>
      <c r="F195" s="253"/>
      <c r="G195" s="251"/>
      <c r="H195" s="252"/>
      <c r="I195" s="253"/>
      <c r="J195" s="253"/>
      <c r="K195" s="253"/>
      <c r="L195" s="251"/>
      <c r="M195" s="253"/>
      <c r="N195" s="253"/>
      <c r="O195" s="254"/>
    </row>
    <row r="196" spans="1:20" ht="18" customHeight="1" x14ac:dyDescent="0.25">
      <c r="A196" s="236" t="s">
        <v>41</v>
      </c>
      <c r="B196" s="237">
        <v>42184</v>
      </c>
      <c r="C196" s="238">
        <v>10</v>
      </c>
      <c r="D196" s="239">
        <v>66</v>
      </c>
      <c r="E196" s="239"/>
      <c r="F196" s="239">
        <f>C196*D196</f>
        <v>660</v>
      </c>
      <c r="G196" s="237">
        <v>42219</v>
      </c>
      <c r="H196" s="238">
        <v>10</v>
      </c>
      <c r="I196" s="239">
        <v>70.45</v>
      </c>
      <c r="J196" s="239">
        <v>0.01</v>
      </c>
      <c r="K196" s="239">
        <f>H196*I196-J196</f>
        <v>704.49</v>
      </c>
      <c r="L196" s="240"/>
      <c r="M196" s="239"/>
      <c r="N196" s="239"/>
      <c r="O196" s="241"/>
    </row>
    <row r="197" spans="1:20" ht="18" customHeight="1" x14ac:dyDescent="0.25">
      <c r="A197" s="236"/>
      <c r="B197" s="242"/>
      <c r="C197" s="243">
        <f>SUM(C196)</f>
        <v>10</v>
      </c>
      <c r="D197" s="244"/>
      <c r="E197" s="244"/>
      <c r="F197" s="244">
        <f>SUM(F196)</f>
        <v>660</v>
      </c>
      <c r="G197" s="245"/>
      <c r="H197" s="243">
        <f>SUM(H196)</f>
        <v>10</v>
      </c>
      <c r="I197" s="244"/>
      <c r="J197" s="244"/>
      <c r="K197" s="244">
        <f>SUM(K196)</f>
        <v>704.49</v>
      </c>
      <c r="L197" s="245"/>
      <c r="M197" s="244"/>
      <c r="N197" s="244">
        <f>K197-F197</f>
        <v>44.490000000000009</v>
      </c>
      <c r="O197" s="246">
        <f>(N197+M197)/F197</f>
        <v>6.7409090909090918E-2</v>
      </c>
    </row>
    <row r="198" spans="1:20" ht="18" customHeight="1" x14ac:dyDescent="0.25">
      <c r="A198" s="11"/>
      <c r="B198" s="11"/>
      <c r="C198" s="11"/>
      <c r="D198" s="20"/>
      <c r="E198" s="20"/>
      <c r="F198" s="20"/>
      <c r="G198" s="11"/>
      <c r="H198" s="11"/>
      <c r="I198" s="20"/>
      <c r="J198" s="20"/>
      <c r="K198" s="20"/>
      <c r="L198" s="11"/>
      <c r="M198" s="11"/>
      <c r="N198" s="11"/>
      <c r="O198" s="11"/>
      <c r="P198" s="139" t="s">
        <v>133</v>
      </c>
    </row>
    <row r="199" spans="1:20" ht="18" customHeight="1" x14ac:dyDescent="0.25">
      <c r="A199" s="236" t="s">
        <v>35</v>
      </c>
      <c r="B199" s="237">
        <v>42166</v>
      </c>
      <c r="C199" s="238">
        <v>10</v>
      </c>
      <c r="D199" s="239">
        <v>55.7</v>
      </c>
      <c r="E199" s="239">
        <v>0</v>
      </c>
      <c r="F199" s="239">
        <f t="shared" ref="F199:F225" si="10">C199*D199+E199</f>
        <v>557</v>
      </c>
      <c r="G199" s="237">
        <v>42208</v>
      </c>
      <c r="H199" s="238">
        <v>10</v>
      </c>
      <c r="I199" s="239">
        <v>56</v>
      </c>
      <c r="J199" s="239">
        <v>0.01</v>
      </c>
      <c r="K199" s="239">
        <f t="shared" ref="K199:K222" si="11">H199*I199-J199</f>
        <v>559.99</v>
      </c>
      <c r="L199" s="240"/>
      <c r="M199" s="239"/>
      <c r="N199" s="239"/>
      <c r="O199" s="241"/>
      <c r="P199" s="139"/>
    </row>
    <row r="200" spans="1:20" ht="18" customHeight="1" x14ac:dyDescent="0.25">
      <c r="A200" s="236"/>
      <c r="B200" s="237">
        <v>42205</v>
      </c>
      <c r="C200" s="238">
        <v>10</v>
      </c>
      <c r="D200" s="239">
        <v>52.6</v>
      </c>
      <c r="E200" s="239">
        <v>0</v>
      </c>
      <c r="F200" s="239">
        <f t="shared" si="10"/>
        <v>526</v>
      </c>
      <c r="G200" s="237">
        <v>42234</v>
      </c>
      <c r="H200" s="238">
        <v>25</v>
      </c>
      <c r="I200" s="239">
        <v>50.88</v>
      </c>
      <c r="J200" s="239">
        <v>0.02</v>
      </c>
      <c r="K200" s="239">
        <f t="shared" si="11"/>
        <v>1271.98</v>
      </c>
      <c r="L200" s="240"/>
      <c r="M200" s="239"/>
      <c r="N200" s="239"/>
      <c r="O200" s="241"/>
      <c r="P200" s="139"/>
    </row>
    <row r="201" spans="1:20" ht="18" customHeight="1" x14ac:dyDescent="0.25">
      <c r="A201" s="236"/>
      <c r="B201" s="237">
        <v>42229</v>
      </c>
      <c r="C201" s="238">
        <v>15</v>
      </c>
      <c r="D201" s="239">
        <v>50.9</v>
      </c>
      <c r="E201" s="239">
        <v>0</v>
      </c>
      <c r="F201" s="239">
        <f t="shared" si="10"/>
        <v>763.5</v>
      </c>
      <c r="G201" s="237">
        <v>42314</v>
      </c>
      <c r="H201" s="238">
        <v>150</v>
      </c>
      <c r="I201" s="239">
        <v>31.5</v>
      </c>
      <c r="J201" s="239">
        <v>0.09</v>
      </c>
      <c r="K201" s="239">
        <f t="shared" si="11"/>
        <v>4724.91</v>
      </c>
      <c r="L201" s="240"/>
      <c r="M201" s="239"/>
      <c r="N201" s="239"/>
      <c r="O201" s="241"/>
      <c r="P201" s="139"/>
    </row>
    <row r="202" spans="1:20" ht="18" customHeight="1" x14ac:dyDescent="0.25">
      <c r="A202" s="236"/>
      <c r="B202" s="237">
        <v>42233</v>
      </c>
      <c r="C202" s="238">
        <v>15</v>
      </c>
      <c r="D202" s="239">
        <v>46.8</v>
      </c>
      <c r="E202" s="239">
        <v>0</v>
      </c>
      <c r="F202" s="239">
        <f t="shared" si="10"/>
        <v>702</v>
      </c>
      <c r="G202" s="237">
        <v>42317</v>
      </c>
      <c r="H202" s="238">
        <v>150</v>
      </c>
      <c r="I202" s="239">
        <v>31.5</v>
      </c>
      <c r="J202" s="239">
        <v>0.09</v>
      </c>
      <c r="K202" s="239">
        <f t="shared" si="11"/>
        <v>4724.91</v>
      </c>
      <c r="L202" s="240"/>
      <c r="M202" s="239"/>
      <c r="N202" s="239"/>
      <c r="O202" s="241"/>
      <c r="P202" s="139" t="s">
        <v>133</v>
      </c>
    </row>
    <row r="203" spans="1:20" ht="18" customHeight="1" x14ac:dyDescent="0.25">
      <c r="A203" s="236"/>
      <c r="B203" s="237">
        <v>42233</v>
      </c>
      <c r="C203" s="238">
        <v>20</v>
      </c>
      <c r="D203" s="239">
        <v>47.45</v>
      </c>
      <c r="E203" s="239">
        <v>0</v>
      </c>
      <c r="F203" s="239">
        <f t="shared" si="10"/>
        <v>949</v>
      </c>
      <c r="G203" s="237">
        <v>42340</v>
      </c>
      <c r="H203" s="238">
        <v>150</v>
      </c>
      <c r="I203" s="239">
        <v>30.55</v>
      </c>
      <c r="J203" s="239">
        <v>0.08</v>
      </c>
      <c r="K203" s="239">
        <f t="shared" si="11"/>
        <v>4582.42</v>
      </c>
      <c r="L203" s="240"/>
      <c r="M203" s="239"/>
      <c r="N203" s="239"/>
      <c r="O203" s="241"/>
    </row>
    <row r="204" spans="1:20" ht="18" customHeight="1" x14ac:dyDescent="0.25">
      <c r="A204" s="236"/>
      <c r="B204" s="237">
        <v>42298</v>
      </c>
      <c r="C204" s="238">
        <v>35</v>
      </c>
      <c r="D204" s="239">
        <v>44.3</v>
      </c>
      <c r="E204" s="239">
        <v>0</v>
      </c>
      <c r="F204" s="239">
        <f t="shared" si="10"/>
        <v>1550.5</v>
      </c>
      <c r="G204" s="237">
        <v>42342</v>
      </c>
      <c r="H204" s="238">
        <v>150</v>
      </c>
      <c r="I204" s="239">
        <v>30.45</v>
      </c>
      <c r="J204" s="239">
        <v>0.08</v>
      </c>
      <c r="K204" s="239">
        <f t="shared" si="11"/>
        <v>4567.42</v>
      </c>
      <c r="L204" s="240"/>
      <c r="M204" s="239"/>
      <c r="N204" s="239"/>
      <c r="O204" s="241"/>
    </row>
    <row r="205" spans="1:20" ht="18" customHeight="1" x14ac:dyDescent="0.25">
      <c r="A205" s="236"/>
      <c r="B205" s="237">
        <v>42299</v>
      </c>
      <c r="C205" s="238">
        <v>70</v>
      </c>
      <c r="D205" s="239">
        <v>41.35</v>
      </c>
      <c r="E205" s="239">
        <v>0</v>
      </c>
      <c r="F205" s="239">
        <f t="shared" si="10"/>
        <v>2894.5</v>
      </c>
      <c r="G205" s="237">
        <v>42345</v>
      </c>
      <c r="H205" s="238">
        <v>100</v>
      </c>
      <c r="I205" s="239">
        <v>34.5</v>
      </c>
      <c r="J205" s="239">
        <v>0.06</v>
      </c>
      <c r="K205" s="239">
        <f t="shared" si="11"/>
        <v>3449.94</v>
      </c>
      <c r="L205" s="240"/>
      <c r="M205" s="239"/>
      <c r="N205" s="239"/>
      <c r="O205" s="241"/>
      <c r="P205" s="139"/>
    </row>
    <row r="206" spans="1:20" ht="18" customHeight="1" x14ac:dyDescent="0.25">
      <c r="A206" s="236"/>
      <c r="B206" s="237">
        <v>42299</v>
      </c>
      <c r="C206" s="238">
        <v>60</v>
      </c>
      <c r="D206" s="239">
        <v>40.229999999999997</v>
      </c>
      <c r="E206" s="239">
        <v>0</v>
      </c>
      <c r="F206" s="239">
        <f t="shared" si="10"/>
        <v>2413.7999999999997</v>
      </c>
      <c r="G206" s="237">
        <v>42356</v>
      </c>
      <c r="H206" s="238">
        <v>150</v>
      </c>
      <c r="I206" s="239">
        <v>43.25</v>
      </c>
      <c r="J206" s="239">
        <v>0.12</v>
      </c>
      <c r="K206" s="239">
        <f t="shared" si="11"/>
        <v>6487.38</v>
      </c>
      <c r="L206" s="240"/>
      <c r="M206" s="239"/>
      <c r="N206" s="239"/>
      <c r="O206" s="241"/>
      <c r="Q206" s="364" t="s">
        <v>217</v>
      </c>
      <c r="R206" s="363"/>
      <c r="S206" s="344" t="s">
        <v>212</v>
      </c>
      <c r="T206" s="342"/>
    </row>
    <row r="207" spans="1:20" ht="18" customHeight="1" x14ac:dyDescent="0.25">
      <c r="A207" s="236"/>
      <c r="B207" s="237">
        <v>42300</v>
      </c>
      <c r="C207" s="238">
        <v>100</v>
      </c>
      <c r="D207" s="239">
        <v>39.57</v>
      </c>
      <c r="E207" s="239">
        <v>0</v>
      </c>
      <c r="F207" s="239">
        <f t="shared" si="10"/>
        <v>3957</v>
      </c>
      <c r="G207" s="237">
        <v>42359</v>
      </c>
      <c r="H207" s="238">
        <v>20</v>
      </c>
      <c r="I207" s="239">
        <v>51.05</v>
      </c>
      <c r="J207" s="239">
        <v>0.02</v>
      </c>
      <c r="K207" s="239">
        <f t="shared" si="11"/>
        <v>1020.98</v>
      </c>
      <c r="L207" s="240"/>
      <c r="M207" s="239"/>
      <c r="N207" s="239"/>
      <c r="O207" s="241"/>
      <c r="Q207" s="284"/>
      <c r="R207" s="363"/>
      <c r="S207" s="342">
        <v>2015</v>
      </c>
      <c r="T207" s="342">
        <v>1003.28</v>
      </c>
    </row>
    <row r="208" spans="1:20" ht="18" customHeight="1" x14ac:dyDescent="0.25">
      <c r="A208" s="236"/>
      <c r="B208" s="237">
        <v>42304</v>
      </c>
      <c r="C208" s="238">
        <v>100</v>
      </c>
      <c r="D208" s="239">
        <v>37.950000000000003</v>
      </c>
      <c r="E208" s="239">
        <v>0</v>
      </c>
      <c r="F208" s="239">
        <f t="shared" si="10"/>
        <v>3795.0000000000005</v>
      </c>
      <c r="G208" s="237">
        <v>42361</v>
      </c>
      <c r="H208" s="238">
        <v>30</v>
      </c>
      <c r="I208" s="239">
        <v>57.95</v>
      </c>
      <c r="J208" s="239">
        <v>0.03</v>
      </c>
      <c r="K208" s="239">
        <f t="shared" si="11"/>
        <v>1738.47</v>
      </c>
      <c r="L208" s="240"/>
      <c r="M208" s="239"/>
      <c r="N208" s="239"/>
      <c r="O208" s="241"/>
      <c r="P208" s="139"/>
      <c r="Q208" s="284"/>
      <c r="R208" s="363">
        <v>1.5</v>
      </c>
      <c r="S208" s="382">
        <v>42278</v>
      </c>
      <c r="T208" s="342">
        <v>0.19</v>
      </c>
    </row>
    <row r="209" spans="1:20" ht="18" customHeight="1" x14ac:dyDescent="0.25">
      <c r="A209" s="236"/>
      <c r="B209" s="237">
        <v>42311</v>
      </c>
      <c r="C209" s="238">
        <v>150</v>
      </c>
      <c r="D209" s="239">
        <v>30.5</v>
      </c>
      <c r="E209" s="239">
        <v>6.95</v>
      </c>
      <c r="F209" s="239">
        <f t="shared" si="10"/>
        <v>4581.95</v>
      </c>
      <c r="G209" s="237">
        <v>42426</v>
      </c>
      <c r="H209" s="238">
        <v>50</v>
      </c>
      <c r="I209" s="239">
        <v>19.149999999999999</v>
      </c>
      <c r="J209" s="239">
        <v>0.02</v>
      </c>
      <c r="K209" s="239">
        <f t="shared" si="11"/>
        <v>957.4799999999999</v>
      </c>
      <c r="L209" s="240"/>
      <c r="M209" s="239"/>
      <c r="N209" s="239"/>
      <c r="O209" s="241"/>
      <c r="Q209" s="284"/>
      <c r="R209" s="363">
        <v>0.05</v>
      </c>
      <c r="S209" s="382">
        <v>42309</v>
      </c>
      <c r="T209" s="342">
        <v>0.26</v>
      </c>
    </row>
    <row r="210" spans="1:20" ht="18" customHeight="1" x14ac:dyDescent="0.25">
      <c r="A210" s="236"/>
      <c r="B210" s="237">
        <v>42314</v>
      </c>
      <c r="C210" s="238">
        <v>150</v>
      </c>
      <c r="D210" s="239">
        <v>30.65</v>
      </c>
      <c r="E210" s="239">
        <v>0</v>
      </c>
      <c r="F210" s="239">
        <f t="shared" si="10"/>
        <v>4597.5</v>
      </c>
      <c r="G210" s="237">
        <v>42430</v>
      </c>
      <c r="H210" s="238">
        <v>75</v>
      </c>
      <c r="I210" s="239">
        <v>18.350000000000001</v>
      </c>
      <c r="J210" s="239">
        <v>0.03</v>
      </c>
      <c r="K210" s="239">
        <f t="shared" si="11"/>
        <v>1376.22</v>
      </c>
      <c r="L210" s="240"/>
      <c r="M210" s="239"/>
      <c r="N210" s="239"/>
      <c r="O210" s="241"/>
      <c r="Q210" s="284"/>
      <c r="R210" s="363"/>
      <c r="S210" s="382">
        <v>42339</v>
      </c>
      <c r="T210" s="342">
        <v>0.23</v>
      </c>
    </row>
    <row r="211" spans="1:20" ht="18" customHeight="1" x14ac:dyDescent="0.25">
      <c r="A211" s="236"/>
      <c r="B211" s="237">
        <v>42317</v>
      </c>
      <c r="C211" s="238">
        <v>150</v>
      </c>
      <c r="D211" s="239">
        <v>30.65</v>
      </c>
      <c r="E211" s="239">
        <v>0</v>
      </c>
      <c r="F211" s="239">
        <f t="shared" si="10"/>
        <v>4597.5</v>
      </c>
      <c r="G211" s="237">
        <v>42432</v>
      </c>
      <c r="H211" s="238">
        <v>50</v>
      </c>
      <c r="I211" s="239">
        <v>20.67</v>
      </c>
      <c r="J211" s="239">
        <v>0.02</v>
      </c>
      <c r="K211" s="239">
        <f t="shared" si="11"/>
        <v>1033.48</v>
      </c>
      <c r="L211" s="240"/>
      <c r="M211" s="239"/>
      <c r="N211" s="239"/>
      <c r="O211" s="241"/>
      <c r="Q211" s="283"/>
      <c r="R211" s="363"/>
      <c r="S211" s="382">
        <v>42370</v>
      </c>
      <c r="T211" s="342">
        <v>0.08</v>
      </c>
    </row>
    <row r="212" spans="1:20" ht="18" customHeight="1" x14ac:dyDescent="0.25">
      <c r="A212" s="239"/>
      <c r="B212" s="237">
        <v>42340</v>
      </c>
      <c r="C212" s="238">
        <v>150</v>
      </c>
      <c r="D212" s="239">
        <v>30.21</v>
      </c>
      <c r="E212" s="239">
        <v>0</v>
      </c>
      <c r="F212" s="239">
        <f t="shared" si="10"/>
        <v>4531.5</v>
      </c>
      <c r="G212" s="237">
        <v>42437</v>
      </c>
      <c r="H212" s="238">
        <v>25</v>
      </c>
      <c r="I212" s="239">
        <v>26.85</v>
      </c>
      <c r="J212" s="239">
        <v>0.01</v>
      </c>
      <c r="K212" s="239">
        <f t="shared" si="11"/>
        <v>671.24</v>
      </c>
      <c r="L212" s="239"/>
      <c r="M212" s="239"/>
      <c r="N212" s="239"/>
      <c r="O212" s="239"/>
      <c r="Q212" s="283"/>
      <c r="R212" s="363"/>
      <c r="S212" s="382">
        <v>42401</v>
      </c>
      <c r="T212" s="342">
        <v>0.57999999999999996</v>
      </c>
    </row>
    <row r="213" spans="1:20" ht="18" customHeight="1" x14ac:dyDescent="0.25">
      <c r="A213" s="239"/>
      <c r="B213" s="237">
        <v>42408</v>
      </c>
      <c r="C213" s="238">
        <v>25</v>
      </c>
      <c r="D213" s="239">
        <v>26.59</v>
      </c>
      <c r="E213" s="239">
        <v>0</v>
      </c>
      <c r="F213" s="239">
        <f t="shared" si="10"/>
        <v>664.75</v>
      </c>
      <c r="G213" s="237">
        <v>42466</v>
      </c>
      <c r="H213" s="238">
        <v>30</v>
      </c>
      <c r="I213" s="239">
        <v>28.08</v>
      </c>
      <c r="J213" s="239">
        <v>0.02</v>
      </c>
      <c r="K213" s="239">
        <f t="shared" si="11"/>
        <v>842.38</v>
      </c>
      <c r="L213" s="239"/>
      <c r="M213" s="239"/>
      <c r="N213" s="239"/>
      <c r="O213" s="239"/>
      <c r="Q213" s="283"/>
      <c r="R213" s="363"/>
      <c r="S213" s="382">
        <v>42430</v>
      </c>
      <c r="T213" s="342">
        <v>0.68</v>
      </c>
    </row>
    <row r="214" spans="1:20" ht="18" customHeight="1" x14ac:dyDescent="0.25">
      <c r="A214" s="239"/>
      <c r="B214" s="237">
        <v>42423</v>
      </c>
      <c r="C214" s="238">
        <v>50</v>
      </c>
      <c r="D214" s="239">
        <v>18.149999999999999</v>
      </c>
      <c r="E214" s="239">
        <v>0</v>
      </c>
      <c r="F214" s="239">
        <f t="shared" si="10"/>
        <v>907.49999999999989</v>
      </c>
      <c r="G214" s="237">
        <v>42471</v>
      </c>
      <c r="H214" s="238">
        <v>30</v>
      </c>
      <c r="I214" s="239">
        <v>29.37</v>
      </c>
      <c r="J214" s="239">
        <v>0.02</v>
      </c>
      <c r="K214" s="239">
        <f t="shared" si="11"/>
        <v>881.08</v>
      </c>
      <c r="L214" s="239"/>
      <c r="M214" s="239"/>
      <c r="N214" s="239"/>
      <c r="O214" s="239"/>
      <c r="Q214" s="283"/>
      <c r="R214" s="363"/>
      <c r="S214" s="382">
        <v>42461</v>
      </c>
      <c r="T214" s="342">
        <v>0.37</v>
      </c>
    </row>
    <row r="215" spans="1:20" ht="18" customHeight="1" x14ac:dyDescent="0.25">
      <c r="A215" s="239"/>
      <c r="B215" s="237">
        <v>42426</v>
      </c>
      <c r="C215" s="238">
        <v>50</v>
      </c>
      <c r="D215" s="239">
        <v>18.7</v>
      </c>
      <c r="E215" s="239">
        <v>0</v>
      </c>
      <c r="F215" s="239">
        <f t="shared" si="10"/>
        <v>935</v>
      </c>
      <c r="G215" s="237">
        <v>42480</v>
      </c>
      <c r="H215" s="238">
        <v>100</v>
      </c>
      <c r="I215" s="239">
        <v>31.79</v>
      </c>
      <c r="J215" s="239">
        <v>7.0000000000000007E-2</v>
      </c>
      <c r="K215" s="239">
        <f t="shared" si="11"/>
        <v>3178.93</v>
      </c>
      <c r="L215" s="239"/>
      <c r="M215" s="239"/>
      <c r="N215" s="239"/>
      <c r="O215" s="239"/>
      <c r="Q215" s="283"/>
      <c r="R215" s="363"/>
      <c r="S215" s="382">
        <v>42491</v>
      </c>
      <c r="T215" s="342">
        <v>0.13</v>
      </c>
    </row>
    <row r="216" spans="1:20" ht="18" customHeight="1" x14ac:dyDescent="0.25">
      <c r="A216" s="239"/>
      <c r="B216" s="237">
        <v>42430</v>
      </c>
      <c r="C216" s="238">
        <v>75</v>
      </c>
      <c r="D216" s="239">
        <v>17.989999999999998</v>
      </c>
      <c r="E216" s="239">
        <v>0</v>
      </c>
      <c r="F216" s="239">
        <f t="shared" si="10"/>
        <v>1349.2499999999998</v>
      </c>
      <c r="G216" s="237">
        <v>42486</v>
      </c>
      <c r="H216" s="238">
        <v>60</v>
      </c>
      <c r="I216" s="239">
        <v>32.5</v>
      </c>
      <c r="J216" s="239">
        <v>0.04</v>
      </c>
      <c r="K216" s="239">
        <f t="shared" si="11"/>
        <v>1949.96</v>
      </c>
      <c r="L216" s="239"/>
      <c r="M216" s="239"/>
      <c r="N216" s="239"/>
      <c r="O216" s="239"/>
      <c r="Q216" s="283"/>
      <c r="R216" s="363"/>
      <c r="S216" s="382">
        <v>42552</v>
      </c>
      <c r="T216" s="342">
        <v>0.64</v>
      </c>
    </row>
    <row r="217" spans="1:20" ht="18" customHeight="1" x14ac:dyDescent="0.25">
      <c r="A217" s="239"/>
      <c r="B217" s="237">
        <v>42451</v>
      </c>
      <c r="C217" s="238">
        <v>30</v>
      </c>
      <c r="D217" s="239">
        <v>25.08</v>
      </c>
      <c r="E217" s="239">
        <v>0</v>
      </c>
      <c r="F217" s="239">
        <f t="shared" si="10"/>
        <v>752.4</v>
      </c>
      <c r="G217" s="237">
        <v>42500</v>
      </c>
      <c r="H217" s="238">
        <v>200</v>
      </c>
      <c r="I217" s="239">
        <v>18.649999999999999</v>
      </c>
      <c r="J217" s="239">
        <v>0.08</v>
      </c>
      <c r="K217" s="239">
        <f t="shared" si="11"/>
        <v>3729.9199999999996</v>
      </c>
      <c r="L217" s="239"/>
      <c r="M217" s="239"/>
      <c r="N217" s="239"/>
      <c r="O217" s="239"/>
      <c r="P217" s="139"/>
      <c r="Q217" s="283" t="s">
        <v>248</v>
      </c>
      <c r="R217" s="363"/>
      <c r="S217" s="382">
        <v>42580</v>
      </c>
      <c r="T217" s="342">
        <v>-0.66</v>
      </c>
    </row>
    <row r="218" spans="1:20" ht="18" customHeight="1" x14ac:dyDescent="0.25">
      <c r="A218" s="239"/>
      <c r="B218" s="237">
        <v>42471</v>
      </c>
      <c r="C218" s="238">
        <v>30</v>
      </c>
      <c r="D218" s="239">
        <v>28.67</v>
      </c>
      <c r="E218" s="239">
        <v>0</v>
      </c>
      <c r="F218" s="239">
        <f t="shared" si="10"/>
        <v>860.1</v>
      </c>
      <c r="G218" s="237">
        <v>42510</v>
      </c>
      <c r="H218" s="238">
        <v>130</v>
      </c>
      <c r="I218" s="239">
        <v>21.35</v>
      </c>
      <c r="J218" s="239">
        <v>0.06</v>
      </c>
      <c r="K218" s="239">
        <f t="shared" si="11"/>
        <v>2775.44</v>
      </c>
      <c r="L218" s="239"/>
      <c r="M218" s="239"/>
      <c r="N218" s="239"/>
      <c r="O218" s="239"/>
      <c r="Q218" s="283"/>
      <c r="R218" s="363"/>
      <c r="S218" s="382">
        <v>42582</v>
      </c>
      <c r="T218" s="342">
        <v>0.26</v>
      </c>
    </row>
    <row r="219" spans="1:20" ht="18" customHeight="1" x14ac:dyDescent="0.25">
      <c r="A219" s="239"/>
      <c r="B219" s="237">
        <v>42485</v>
      </c>
      <c r="C219" s="238">
        <v>100</v>
      </c>
      <c r="D219" s="239">
        <v>31.25</v>
      </c>
      <c r="E219" s="239">
        <v>0</v>
      </c>
      <c r="F219" s="239">
        <f t="shared" si="10"/>
        <v>3125</v>
      </c>
      <c r="G219" s="237">
        <v>42513</v>
      </c>
      <c r="H219" s="238">
        <v>70</v>
      </c>
      <c r="I219" s="239">
        <v>23.68</v>
      </c>
      <c r="J219" s="239">
        <v>0.04</v>
      </c>
      <c r="K219" s="239">
        <f t="shared" si="11"/>
        <v>1657.56</v>
      </c>
      <c r="L219" s="239"/>
      <c r="M219" s="239"/>
      <c r="N219" s="239"/>
      <c r="O219" s="239"/>
      <c r="Q219" s="283"/>
      <c r="R219" s="363"/>
      <c r="S219" s="382">
        <v>42608</v>
      </c>
      <c r="T219" s="342">
        <v>0.44</v>
      </c>
    </row>
    <row r="220" spans="1:20" ht="18" customHeight="1" x14ac:dyDescent="0.25">
      <c r="A220" s="239"/>
      <c r="B220" s="237">
        <v>42489</v>
      </c>
      <c r="C220" s="238">
        <v>60</v>
      </c>
      <c r="D220" s="239">
        <v>30.51</v>
      </c>
      <c r="E220" s="239">
        <v>0</v>
      </c>
      <c r="F220" s="239">
        <f t="shared" si="10"/>
        <v>1830.6000000000001</v>
      </c>
      <c r="G220" s="237">
        <v>42513</v>
      </c>
      <c r="H220" s="238">
        <v>40</v>
      </c>
      <c r="I220" s="239">
        <v>23.55</v>
      </c>
      <c r="J220" s="239">
        <v>0.02</v>
      </c>
      <c r="K220" s="239">
        <f t="shared" si="11"/>
        <v>941.98</v>
      </c>
      <c r="L220" s="239"/>
      <c r="M220" s="239"/>
      <c r="N220" s="239"/>
      <c r="O220" s="239"/>
      <c r="Q220" s="283"/>
      <c r="R220" s="363"/>
      <c r="S220" s="382">
        <v>42614</v>
      </c>
      <c r="T220" s="342">
        <v>0.23</v>
      </c>
    </row>
    <row r="221" spans="1:20" ht="18" customHeight="1" x14ac:dyDescent="0.25">
      <c r="A221" s="239"/>
      <c r="B221" s="237">
        <v>42493</v>
      </c>
      <c r="C221" s="238">
        <v>30</v>
      </c>
      <c r="D221" s="239">
        <v>26.75</v>
      </c>
      <c r="E221" s="239">
        <v>0</v>
      </c>
      <c r="F221" s="239">
        <f t="shared" si="10"/>
        <v>802.5</v>
      </c>
      <c r="G221" s="237">
        <v>42527</v>
      </c>
      <c r="H221" s="238">
        <v>60</v>
      </c>
      <c r="I221" s="239">
        <v>22.79</v>
      </c>
      <c r="J221" s="239">
        <v>0.03</v>
      </c>
      <c r="K221" s="239">
        <f t="shared" si="11"/>
        <v>1367.37</v>
      </c>
      <c r="L221" s="239"/>
      <c r="M221" s="239"/>
      <c r="N221" s="239"/>
      <c r="O221" s="239"/>
      <c r="Q221" s="283"/>
      <c r="R221" s="363"/>
      <c r="S221" s="382">
        <v>42639</v>
      </c>
      <c r="T221" s="342">
        <v>0.56999999999999995</v>
      </c>
    </row>
    <row r="222" spans="1:20" ht="18" customHeight="1" x14ac:dyDescent="0.25">
      <c r="A222" s="239"/>
      <c r="B222" s="237">
        <v>42495</v>
      </c>
      <c r="C222" s="238">
        <v>70</v>
      </c>
      <c r="D222" s="239">
        <v>21.65</v>
      </c>
      <c r="E222" s="239">
        <v>0</v>
      </c>
      <c r="F222" s="239">
        <f t="shared" si="10"/>
        <v>1515.5</v>
      </c>
      <c r="G222" s="237">
        <v>42541</v>
      </c>
      <c r="H222" s="238">
        <v>70</v>
      </c>
      <c r="I222" s="239">
        <v>22.45</v>
      </c>
      <c r="J222" s="239">
        <v>0.03</v>
      </c>
      <c r="K222" s="239">
        <f t="shared" si="11"/>
        <v>1571.47</v>
      </c>
      <c r="L222" s="239"/>
      <c r="M222" s="239"/>
      <c r="N222" s="239"/>
      <c r="O222" s="239"/>
      <c r="Q222" s="283"/>
      <c r="R222" s="363"/>
      <c r="S222" s="382">
        <v>42644</v>
      </c>
      <c r="T222" s="342">
        <v>0.14000000000000001</v>
      </c>
    </row>
    <row r="223" spans="1:20" ht="18" customHeight="1" x14ac:dyDescent="0.25">
      <c r="A223" s="239"/>
      <c r="B223" s="237">
        <v>42500</v>
      </c>
      <c r="C223" s="238">
        <v>200</v>
      </c>
      <c r="D223" s="239">
        <v>18.25</v>
      </c>
      <c r="E223" s="239">
        <v>0</v>
      </c>
      <c r="F223" s="239">
        <f t="shared" si="10"/>
        <v>3650</v>
      </c>
      <c r="G223" s="239"/>
      <c r="H223" s="239"/>
      <c r="I223" s="239"/>
      <c r="J223" s="239"/>
      <c r="K223" s="239"/>
      <c r="L223" s="239"/>
      <c r="M223" s="239"/>
      <c r="N223" s="239"/>
      <c r="O223" s="239"/>
      <c r="Q223" s="283"/>
      <c r="R223" s="363"/>
      <c r="S223" s="382">
        <v>42674</v>
      </c>
      <c r="T223" s="342">
        <v>0.45</v>
      </c>
    </row>
    <row r="224" spans="1:20" ht="18" customHeight="1" x14ac:dyDescent="0.25">
      <c r="A224" s="239"/>
      <c r="B224" s="237">
        <v>42500</v>
      </c>
      <c r="C224" s="238">
        <v>100</v>
      </c>
      <c r="D224" s="239">
        <v>16.510000000000002</v>
      </c>
      <c r="E224" s="239">
        <v>0</v>
      </c>
      <c r="F224" s="239">
        <f t="shared" si="10"/>
        <v>1651.0000000000002</v>
      </c>
      <c r="G224" s="239"/>
      <c r="H224" s="239"/>
      <c r="I224" s="239"/>
      <c r="J224" s="239"/>
      <c r="K224" s="239"/>
      <c r="L224" s="239"/>
      <c r="M224" s="239"/>
      <c r="N224" s="239"/>
      <c r="O224" s="239"/>
      <c r="P224" s="139"/>
      <c r="Q224" s="283"/>
      <c r="R224" s="363"/>
      <c r="S224" s="382">
        <v>42704</v>
      </c>
      <c r="T224" s="342">
        <v>0.43</v>
      </c>
    </row>
    <row r="225" spans="1:20" ht="18" customHeight="1" x14ac:dyDescent="0.25">
      <c r="A225" s="236"/>
      <c r="B225" s="265">
        <v>42531</v>
      </c>
      <c r="C225" s="238">
        <v>70</v>
      </c>
      <c r="D225" s="263">
        <v>21.65</v>
      </c>
      <c r="E225" s="239">
        <v>0</v>
      </c>
      <c r="F225" s="263">
        <f t="shared" si="10"/>
        <v>1515.5</v>
      </c>
      <c r="G225" s="265"/>
      <c r="H225" s="262"/>
      <c r="I225" s="263"/>
      <c r="J225" s="262"/>
      <c r="K225" s="263"/>
      <c r="L225" s="261"/>
      <c r="M225" s="263"/>
      <c r="N225" s="258"/>
      <c r="O225" s="260"/>
      <c r="Q225" s="283"/>
      <c r="R225" s="363"/>
      <c r="S225" s="382">
        <v>43099</v>
      </c>
      <c r="T225" s="342">
        <v>0.64</v>
      </c>
    </row>
    <row r="226" spans="1:20" ht="18" customHeight="1" x14ac:dyDescent="0.25">
      <c r="A226" s="255"/>
      <c r="B226" s="259"/>
      <c r="C226" s="257">
        <f>SUM(C199:C225)</f>
        <v>1925</v>
      </c>
      <c r="D226" s="258"/>
      <c r="E226" s="259"/>
      <c r="F226" s="258">
        <f>SUM(F199:F225)</f>
        <v>55975.85</v>
      </c>
      <c r="G226" s="259"/>
      <c r="H226" s="257">
        <f>SUM(H199:H225)</f>
        <v>1925</v>
      </c>
      <c r="I226" s="258"/>
      <c r="J226" s="257"/>
      <c r="K226" s="258">
        <f>SUM(K199:K225)</f>
        <v>56062.910000000011</v>
      </c>
      <c r="L226" s="259"/>
      <c r="M226" s="258"/>
      <c r="N226" s="258">
        <f>K226-F226</f>
        <v>87.060000000012224</v>
      </c>
      <c r="O226" s="260">
        <f>(N226+M226)/F226</f>
        <v>1.5553135861270928E-3</v>
      </c>
      <c r="Q226" s="283"/>
      <c r="R226" s="363"/>
      <c r="S226" s="382">
        <v>42760</v>
      </c>
      <c r="T226" s="342">
        <v>0.56999999999999995</v>
      </c>
    </row>
    <row r="227" spans="1:20" ht="18" customHeight="1" x14ac:dyDescent="0.25">
      <c r="B227" s="251"/>
      <c r="C227" s="252"/>
      <c r="D227" s="253"/>
      <c r="E227" s="24"/>
      <c r="F227" s="253"/>
      <c r="G227" s="251"/>
      <c r="H227" s="252"/>
      <c r="I227" s="253"/>
      <c r="K227" s="253"/>
      <c r="L227" s="251"/>
      <c r="M227" s="253"/>
      <c r="N227" s="352"/>
      <c r="O227" s="353"/>
      <c r="P227" s="139"/>
      <c r="Q227" s="283"/>
      <c r="R227" s="363"/>
      <c r="S227" s="382">
        <v>42767</v>
      </c>
      <c r="T227" s="342">
        <v>0.12</v>
      </c>
    </row>
    <row r="228" spans="1:20" ht="18" customHeight="1" x14ac:dyDescent="0.25">
      <c r="A228" s="236" t="s">
        <v>46</v>
      </c>
      <c r="B228" s="265">
        <v>42185</v>
      </c>
      <c r="C228" s="262">
        <v>20</v>
      </c>
      <c r="D228" s="263">
        <v>28.2</v>
      </c>
      <c r="E228" s="261"/>
      <c r="F228" s="263">
        <f>C228*D228</f>
        <v>564</v>
      </c>
      <c r="G228" s="265">
        <v>42187</v>
      </c>
      <c r="H228" s="262">
        <v>20</v>
      </c>
      <c r="I228" s="263">
        <v>28.75</v>
      </c>
      <c r="J228" s="262">
        <v>0.01</v>
      </c>
      <c r="K228" s="263">
        <f>H228*I228-J228</f>
        <v>574.99</v>
      </c>
      <c r="L228" s="261"/>
      <c r="M228" s="263"/>
      <c r="N228" s="258"/>
      <c r="O228" s="260"/>
      <c r="P228" s="139"/>
      <c r="Q228" s="283"/>
      <c r="R228" s="363"/>
      <c r="S228" s="382">
        <v>42794</v>
      </c>
      <c r="T228" s="342">
        <v>0.28000000000000003</v>
      </c>
    </row>
    <row r="229" spans="1:20" ht="18" customHeight="1" x14ac:dyDescent="0.25">
      <c r="A229" s="255"/>
      <c r="B229" s="259"/>
      <c r="C229" s="257">
        <f>SUM(C228)</f>
        <v>20</v>
      </c>
      <c r="D229" s="258"/>
      <c r="E229" s="259"/>
      <c r="F229" s="258">
        <f>SUM(F228)</f>
        <v>564</v>
      </c>
      <c r="G229" s="259"/>
      <c r="H229" s="257">
        <f>SUM(H228)</f>
        <v>20</v>
      </c>
      <c r="I229" s="258"/>
      <c r="J229" s="257"/>
      <c r="K229" s="258">
        <f>SUM(K228)</f>
        <v>574.99</v>
      </c>
      <c r="L229" s="259"/>
      <c r="M229" s="258"/>
      <c r="N229" s="258">
        <f>K229-F229</f>
        <v>10.990000000000009</v>
      </c>
      <c r="O229" s="260">
        <f>(N229+M229)/F229</f>
        <v>1.9485815602836895E-2</v>
      </c>
      <c r="Q229" s="283"/>
      <c r="R229" s="363"/>
      <c r="S229" s="382">
        <v>42824</v>
      </c>
      <c r="T229" s="342">
        <v>0.81</v>
      </c>
    </row>
    <row r="230" spans="1:20" ht="18" customHeight="1" x14ac:dyDescent="0.25">
      <c r="B230" s="251"/>
      <c r="C230" s="252"/>
      <c r="D230" s="253"/>
      <c r="E230" s="253"/>
      <c r="F230" s="253"/>
      <c r="G230" s="251"/>
      <c r="H230" s="252"/>
      <c r="I230" s="253"/>
      <c r="J230" s="253"/>
      <c r="K230" s="253"/>
      <c r="L230" s="251"/>
      <c r="M230" s="253"/>
      <c r="N230" s="253"/>
      <c r="O230" s="254"/>
      <c r="Q230" s="283"/>
      <c r="R230" s="363"/>
      <c r="S230" s="382">
        <v>42851</v>
      </c>
      <c r="T230" s="342">
        <v>0.93</v>
      </c>
    </row>
    <row r="231" spans="1:20" ht="18" customHeight="1" x14ac:dyDescent="0.25">
      <c r="A231" s="236" t="s">
        <v>28</v>
      </c>
      <c r="B231" s="237">
        <v>42164</v>
      </c>
      <c r="C231" s="238">
        <v>20</v>
      </c>
      <c r="D231" s="239">
        <v>29.9</v>
      </c>
      <c r="E231" s="239"/>
      <c r="F231" s="239">
        <f>C231*D231</f>
        <v>598</v>
      </c>
      <c r="G231" s="237">
        <v>42187</v>
      </c>
      <c r="H231" s="238">
        <v>40</v>
      </c>
      <c r="I231" s="239">
        <v>30.4</v>
      </c>
      <c r="J231" s="239">
        <v>0.02</v>
      </c>
      <c r="K231" s="239">
        <f>H231*I231-J231</f>
        <v>1215.98</v>
      </c>
      <c r="L231" s="240"/>
      <c r="M231" s="239"/>
      <c r="N231" s="239"/>
      <c r="O231" s="241"/>
      <c r="P231" s="139" t="s">
        <v>133</v>
      </c>
      <c r="Q231" s="283"/>
      <c r="R231" s="363"/>
      <c r="S231" s="382">
        <v>42853</v>
      </c>
      <c r="T231" s="342">
        <v>7.0000000000000007E-2</v>
      </c>
    </row>
    <row r="232" spans="1:20" ht="18" customHeight="1" x14ac:dyDescent="0.25">
      <c r="A232" s="236"/>
      <c r="B232" s="237">
        <v>42166</v>
      </c>
      <c r="C232" s="238">
        <v>20</v>
      </c>
      <c r="D232" s="239">
        <v>29.3</v>
      </c>
      <c r="E232" s="239"/>
      <c r="F232" s="239">
        <f>C232*D232</f>
        <v>586</v>
      </c>
      <c r="G232" s="240"/>
      <c r="H232" s="238"/>
      <c r="I232" s="239"/>
      <c r="J232" s="238"/>
      <c r="K232" s="239"/>
      <c r="L232" s="240"/>
      <c r="M232" s="239"/>
      <c r="N232" s="239"/>
      <c r="O232" s="241"/>
      <c r="Q232" s="283"/>
      <c r="R232" s="363"/>
      <c r="S232" s="382">
        <v>42877</v>
      </c>
      <c r="T232" s="342">
        <v>0.56000000000000005</v>
      </c>
    </row>
    <row r="233" spans="1:20" ht="18" customHeight="1" x14ac:dyDescent="0.25">
      <c r="A233" s="236"/>
      <c r="B233" s="242"/>
      <c r="C233" s="243">
        <f>SUM(C231:C232)</f>
        <v>40</v>
      </c>
      <c r="D233" s="244"/>
      <c r="E233" s="244"/>
      <c r="F233" s="244">
        <f>SUM(F231:F232)</f>
        <v>1184</v>
      </c>
      <c r="G233" s="245"/>
      <c r="H233" s="243">
        <f>SUM(H231:H232)</f>
        <v>40</v>
      </c>
      <c r="I233" s="244"/>
      <c r="J233" s="244"/>
      <c r="K233" s="244">
        <f>SUM(K231:K232)</f>
        <v>1215.98</v>
      </c>
      <c r="L233" s="245"/>
      <c r="M233" s="244"/>
      <c r="N233" s="244">
        <f>K233-F233</f>
        <v>31.980000000000018</v>
      </c>
      <c r="O233" s="246">
        <f>(N233+M233)/F233</f>
        <v>2.7010135135135151E-2</v>
      </c>
      <c r="P233" s="187"/>
      <c r="Q233" s="283"/>
      <c r="R233" s="363"/>
      <c r="S233" s="382">
        <v>42887</v>
      </c>
      <c r="T233" s="342">
        <v>0.24</v>
      </c>
    </row>
    <row r="234" spans="1:20" ht="18" customHeight="1" x14ac:dyDescent="0.25">
      <c r="B234" s="264"/>
      <c r="C234" s="252"/>
      <c r="D234" s="253"/>
      <c r="E234" s="252"/>
      <c r="F234" s="253"/>
      <c r="G234" s="251"/>
      <c r="H234" s="252"/>
      <c r="I234" s="253"/>
      <c r="J234" s="252"/>
      <c r="K234" s="253"/>
      <c r="L234" s="251"/>
      <c r="M234" s="253"/>
      <c r="N234" s="251"/>
      <c r="O234" s="251"/>
      <c r="Q234" s="283"/>
      <c r="R234" s="363"/>
      <c r="S234" s="382">
        <v>42908</v>
      </c>
      <c r="T234" s="342">
        <v>0.42</v>
      </c>
    </row>
    <row r="235" spans="1:20" ht="18" customHeight="1" x14ac:dyDescent="0.25">
      <c r="A235" s="236" t="s">
        <v>44</v>
      </c>
      <c r="B235" s="237">
        <v>42185</v>
      </c>
      <c r="C235" s="238">
        <v>10</v>
      </c>
      <c r="D235" s="239">
        <v>71.2</v>
      </c>
      <c r="E235" s="238"/>
      <c r="F235" s="239">
        <f>C235*D235</f>
        <v>712</v>
      </c>
      <c r="G235" s="237">
        <v>42228</v>
      </c>
      <c r="H235" s="238">
        <v>10</v>
      </c>
      <c r="I235" s="239">
        <v>75.5</v>
      </c>
      <c r="J235" s="238">
        <v>0.01</v>
      </c>
      <c r="K235" s="239">
        <f>H235*I235-J235</f>
        <v>754.99</v>
      </c>
      <c r="L235" s="237">
        <v>42277</v>
      </c>
      <c r="M235" s="239">
        <v>2.83</v>
      </c>
      <c r="N235" s="240"/>
      <c r="O235" s="240"/>
      <c r="Q235" s="283"/>
      <c r="R235" s="363"/>
      <c r="S235" s="382">
        <v>42916</v>
      </c>
      <c r="T235" s="342">
        <v>1.02</v>
      </c>
    </row>
    <row r="236" spans="1:20" ht="18" customHeight="1" x14ac:dyDescent="0.25">
      <c r="A236" s="236"/>
      <c r="B236" s="237">
        <v>42220</v>
      </c>
      <c r="C236" s="238">
        <v>5</v>
      </c>
      <c r="D236" s="239">
        <v>70.650000000000006</v>
      </c>
      <c r="E236" s="239"/>
      <c r="F236" s="239">
        <f>C236*D236</f>
        <v>353.25</v>
      </c>
      <c r="G236" s="237">
        <v>42283</v>
      </c>
      <c r="H236" s="238">
        <v>5</v>
      </c>
      <c r="I236" s="239">
        <v>71.25</v>
      </c>
      <c r="J236" s="238">
        <v>0.01</v>
      </c>
      <c r="K236" s="239">
        <f>H236*I236-J236</f>
        <v>356.24</v>
      </c>
      <c r="L236" s="240"/>
      <c r="M236" s="238"/>
      <c r="N236" s="240"/>
      <c r="O236" s="240"/>
      <c r="Q236" s="283"/>
      <c r="R236" s="363"/>
      <c r="S236" s="382">
        <v>42947</v>
      </c>
      <c r="T236" s="342">
        <v>7.97</v>
      </c>
    </row>
    <row r="237" spans="1:20" ht="18" customHeight="1" x14ac:dyDescent="0.25">
      <c r="A237" s="236"/>
      <c r="B237" s="245"/>
      <c r="C237" s="243">
        <f>SUM(C235:C236)</f>
        <v>15</v>
      </c>
      <c r="D237" s="244"/>
      <c r="E237" s="244"/>
      <c r="F237" s="244">
        <f>SUM(F235:F236)</f>
        <v>1065.25</v>
      </c>
      <c r="G237" s="245"/>
      <c r="H237" s="243">
        <f>SUM(H235:H236)</f>
        <v>15</v>
      </c>
      <c r="I237" s="244"/>
      <c r="J237" s="244"/>
      <c r="K237" s="244">
        <f>SUM(K235:K236)</f>
        <v>1111.23</v>
      </c>
      <c r="L237" s="269"/>
      <c r="M237" s="244">
        <f>SUM(M235:M236)</f>
        <v>2.83</v>
      </c>
      <c r="N237" s="244">
        <f>K237-F237</f>
        <v>45.980000000000018</v>
      </c>
      <c r="O237" s="270">
        <f>(N237+M237)/F237</f>
        <v>4.5820229992959413E-2</v>
      </c>
      <c r="Q237" s="283"/>
      <c r="R237" s="363"/>
      <c r="S237" s="382">
        <v>42965</v>
      </c>
      <c r="T237" s="342">
        <v>3.88</v>
      </c>
    </row>
    <row r="238" spans="1:20" ht="18" customHeight="1" x14ac:dyDescent="0.25">
      <c r="B238" s="251"/>
      <c r="C238" s="252"/>
      <c r="D238" s="253"/>
      <c r="E238" s="24"/>
      <c r="F238" s="253"/>
      <c r="G238" s="251"/>
      <c r="H238" s="252"/>
      <c r="I238" s="253"/>
      <c r="K238" s="253"/>
      <c r="L238" s="251"/>
      <c r="M238" s="253"/>
      <c r="N238" s="253"/>
      <c r="O238" s="254"/>
      <c r="Q238" s="283"/>
      <c r="R238" s="363"/>
      <c r="S238" s="382">
        <v>42978</v>
      </c>
      <c r="T238" s="342">
        <v>2.72</v>
      </c>
    </row>
    <row r="239" spans="1:20" ht="18" customHeight="1" x14ac:dyDescent="0.25">
      <c r="A239" s="236" t="s">
        <v>0</v>
      </c>
      <c r="B239" s="237">
        <v>42144</v>
      </c>
      <c r="C239" s="238">
        <v>50</v>
      </c>
      <c r="D239" s="239">
        <v>130.16999999999999</v>
      </c>
      <c r="E239" s="240"/>
      <c r="F239" s="239">
        <f>C239*D239</f>
        <v>6508.4999999999991</v>
      </c>
      <c r="G239" s="237">
        <v>42186</v>
      </c>
      <c r="H239" s="238">
        <v>50</v>
      </c>
      <c r="I239" s="239">
        <v>133.5</v>
      </c>
      <c r="J239" s="238">
        <v>0.12</v>
      </c>
      <c r="K239" s="239">
        <f>H239*I239-J239</f>
        <v>6674.88</v>
      </c>
      <c r="L239" s="237">
        <v>42200</v>
      </c>
      <c r="M239" s="239">
        <v>7.5</v>
      </c>
      <c r="N239" s="238"/>
      <c r="O239" s="238"/>
      <c r="Q239" s="283"/>
      <c r="R239" s="363"/>
      <c r="S239" s="382">
        <v>43007</v>
      </c>
      <c r="T239" s="342">
        <v>7.89</v>
      </c>
    </row>
    <row r="240" spans="1:20" ht="18" customHeight="1" x14ac:dyDescent="0.25">
      <c r="A240" s="236"/>
      <c r="B240" s="242"/>
      <c r="C240" s="243">
        <f>SUM(C239)</f>
        <v>50</v>
      </c>
      <c r="D240" s="244"/>
      <c r="E240" s="245"/>
      <c r="F240" s="244">
        <f>SUM(F239)</f>
        <v>6508.4999999999991</v>
      </c>
      <c r="G240" s="245"/>
      <c r="H240" s="243">
        <f>SUM(H239)</f>
        <v>50</v>
      </c>
      <c r="I240" s="244"/>
      <c r="J240" s="243"/>
      <c r="K240" s="244">
        <f>SUM(K239)</f>
        <v>6674.88</v>
      </c>
      <c r="L240" s="245"/>
      <c r="M240" s="244">
        <f>SUM(M239)</f>
        <v>7.5</v>
      </c>
      <c r="N240" s="244">
        <f>K240-F240</f>
        <v>166.38000000000102</v>
      </c>
      <c r="O240" s="246">
        <f>(N240+M240)/F240</f>
        <v>2.6715833141276953E-2</v>
      </c>
      <c r="Q240" s="283"/>
      <c r="R240" s="363"/>
      <c r="S240" s="382">
        <v>43035</v>
      </c>
      <c r="T240" s="342">
        <v>10.63</v>
      </c>
    </row>
    <row r="241" spans="1:20" ht="18" customHeight="1" x14ac:dyDescent="0.25">
      <c r="B241" s="251"/>
      <c r="C241" s="252"/>
      <c r="D241" s="253"/>
      <c r="E241" s="253"/>
      <c r="F241" s="253"/>
      <c r="G241" s="251"/>
      <c r="H241" s="252"/>
      <c r="I241" s="253"/>
      <c r="J241" s="253"/>
      <c r="K241" s="253"/>
      <c r="L241" s="251"/>
      <c r="M241" s="253"/>
      <c r="N241" s="253"/>
      <c r="O241" s="254"/>
      <c r="Q241" s="283"/>
      <c r="R241" s="363"/>
      <c r="S241" s="382">
        <v>43039</v>
      </c>
      <c r="T241" s="342">
        <v>0.96</v>
      </c>
    </row>
    <row r="242" spans="1:20" ht="18" customHeight="1" x14ac:dyDescent="0.25">
      <c r="A242" s="236" t="s">
        <v>49</v>
      </c>
      <c r="B242" s="237">
        <v>42186</v>
      </c>
      <c r="C242" s="238">
        <v>100</v>
      </c>
      <c r="D242" s="239">
        <v>27.5</v>
      </c>
      <c r="E242" s="239"/>
      <c r="F242" s="239">
        <f>C242*D242</f>
        <v>2750</v>
      </c>
      <c r="G242" s="237">
        <v>42219</v>
      </c>
      <c r="H242" s="238">
        <v>100</v>
      </c>
      <c r="I242" s="239">
        <v>29.5</v>
      </c>
      <c r="J242" s="238">
        <v>0.05</v>
      </c>
      <c r="K242" s="239">
        <f>H242*I242-J242</f>
        <v>2949.95</v>
      </c>
      <c r="L242" s="237">
        <v>42216</v>
      </c>
      <c r="M242" s="239">
        <v>11</v>
      </c>
      <c r="N242" s="239"/>
      <c r="O242" s="241"/>
      <c r="Q242" s="283"/>
      <c r="R242" s="363"/>
      <c r="S242" s="382">
        <v>11628</v>
      </c>
      <c r="T242" s="342">
        <v>5.66</v>
      </c>
    </row>
    <row r="243" spans="1:20" ht="18" customHeight="1" x14ac:dyDescent="0.25">
      <c r="A243" s="236"/>
      <c r="B243" s="242"/>
      <c r="C243" s="243">
        <f>SUM(C242)</f>
        <v>100</v>
      </c>
      <c r="D243" s="244"/>
      <c r="E243" s="245"/>
      <c r="F243" s="244">
        <f>SUM(F242)</f>
        <v>2750</v>
      </c>
      <c r="G243" s="245"/>
      <c r="H243" s="243">
        <f>SUM(H242)</f>
        <v>100</v>
      </c>
      <c r="I243" s="244"/>
      <c r="J243" s="244"/>
      <c r="K243" s="244">
        <f>SUM(K242)</f>
        <v>2949.95</v>
      </c>
      <c r="L243" s="245"/>
      <c r="M243" s="244">
        <v>11</v>
      </c>
      <c r="N243" s="244">
        <f>K243-F243</f>
        <v>199.94999999999982</v>
      </c>
      <c r="O243" s="246">
        <f>(N243+M243)/F243</f>
        <v>7.6709090909090838E-2</v>
      </c>
      <c r="Q243" s="283"/>
      <c r="R243" s="363"/>
      <c r="S243" s="382">
        <v>43098</v>
      </c>
      <c r="T243" s="342">
        <v>9.77</v>
      </c>
    </row>
    <row r="244" spans="1:20" ht="18" customHeight="1" x14ac:dyDescent="0.25">
      <c r="B244" s="251"/>
      <c r="C244" s="252"/>
      <c r="D244" s="253"/>
      <c r="E244" s="24"/>
      <c r="F244" s="253"/>
      <c r="G244" s="251"/>
      <c r="H244" s="252"/>
      <c r="I244" s="253"/>
      <c r="K244" s="253"/>
      <c r="L244" s="251"/>
      <c r="M244" s="253"/>
      <c r="N244" s="253"/>
      <c r="O244" s="252"/>
      <c r="Q244" s="283"/>
      <c r="R244" s="363"/>
      <c r="S244" s="382">
        <v>43132</v>
      </c>
      <c r="T244" s="342">
        <v>16.059999999999999</v>
      </c>
    </row>
    <row r="245" spans="1:20" ht="18" customHeight="1" x14ac:dyDescent="0.25">
      <c r="A245" s="236" t="s">
        <v>13</v>
      </c>
      <c r="B245" s="237">
        <v>42151</v>
      </c>
      <c r="C245" s="238">
        <v>5</v>
      </c>
      <c r="D245" s="239">
        <v>54.2</v>
      </c>
      <c r="E245" s="240"/>
      <c r="F245" s="239">
        <f t="shared" ref="F245:F251" si="12">C245*D245</f>
        <v>271</v>
      </c>
      <c r="G245" s="237">
        <v>42181</v>
      </c>
      <c r="H245" s="238">
        <v>25</v>
      </c>
      <c r="I245" s="239">
        <v>55.4</v>
      </c>
      <c r="J245" s="238">
        <v>0.03</v>
      </c>
      <c r="K245" s="239">
        <f>H245*I245-J245</f>
        <v>1384.97</v>
      </c>
      <c r="L245" s="240"/>
      <c r="M245" s="239"/>
      <c r="N245" s="239"/>
      <c r="O245" s="241"/>
      <c r="Q245" s="283"/>
      <c r="R245" s="363"/>
      <c r="S245" s="382">
        <v>43139</v>
      </c>
      <c r="T245" s="342">
        <v>4.05</v>
      </c>
    </row>
    <row r="246" spans="1:20" ht="18" customHeight="1" x14ac:dyDescent="0.25">
      <c r="A246" s="236"/>
      <c r="B246" s="237">
        <v>42152</v>
      </c>
      <c r="C246" s="238">
        <v>20</v>
      </c>
      <c r="D246" s="239">
        <v>53.35</v>
      </c>
      <c r="E246" s="240"/>
      <c r="F246" s="239">
        <f t="shared" si="12"/>
        <v>1067</v>
      </c>
      <c r="G246" s="237">
        <v>42200</v>
      </c>
      <c r="H246" s="238">
        <v>225</v>
      </c>
      <c r="I246" s="239">
        <v>55.56</v>
      </c>
      <c r="J246" s="238">
        <v>0.23</v>
      </c>
      <c r="K246" s="239">
        <f>H246*I246-J246</f>
        <v>12500.77</v>
      </c>
      <c r="L246" s="240"/>
      <c r="M246" s="239"/>
      <c r="N246" s="239"/>
      <c r="O246" s="241"/>
      <c r="Q246" s="283"/>
      <c r="R246" s="363"/>
      <c r="S246" s="382">
        <v>43149</v>
      </c>
      <c r="T246" s="342">
        <v>10.16</v>
      </c>
    </row>
    <row r="247" spans="1:20" ht="18" customHeight="1" x14ac:dyDescent="0.25">
      <c r="A247" s="236"/>
      <c r="B247" s="237">
        <v>42153</v>
      </c>
      <c r="C247" s="238">
        <v>25</v>
      </c>
      <c r="D247" s="239">
        <v>52.35</v>
      </c>
      <c r="E247" s="240"/>
      <c r="F247" s="239">
        <f t="shared" si="12"/>
        <v>1308.75</v>
      </c>
      <c r="G247" s="240"/>
      <c r="H247" s="238"/>
      <c r="I247" s="239"/>
      <c r="J247" s="238"/>
      <c r="K247" s="239"/>
      <c r="L247" s="240"/>
      <c r="M247" s="239"/>
      <c r="N247" s="239"/>
      <c r="O247" s="241"/>
      <c r="Q247" s="283"/>
      <c r="R247" s="363"/>
      <c r="S247" s="382">
        <v>43171</v>
      </c>
      <c r="T247" s="342">
        <v>4.3600000000000003</v>
      </c>
    </row>
    <row r="248" spans="1:20" ht="18" customHeight="1" x14ac:dyDescent="0.25">
      <c r="A248" s="236"/>
      <c r="B248" s="237">
        <v>42153</v>
      </c>
      <c r="C248" s="238">
        <v>25</v>
      </c>
      <c r="D248" s="239">
        <v>51.75</v>
      </c>
      <c r="E248" s="240"/>
      <c r="F248" s="239">
        <f t="shared" si="12"/>
        <v>1293.75</v>
      </c>
      <c r="G248" s="240"/>
      <c r="H248" s="238"/>
      <c r="I248" s="239"/>
      <c r="J248" s="238"/>
      <c r="K248" s="239"/>
      <c r="L248" s="240"/>
      <c r="M248" s="239"/>
      <c r="N248" s="239"/>
      <c r="O248" s="241"/>
      <c r="Q248" s="283"/>
      <c r="R248" s="363"/>
      <c r="S248" s="382">
        <v>43191</v>
      </c>
      <c r="T248" s="342">
        <v>2.91</v>
      </c>
    </row>
    <row r="249" spans="1:20" ht="18" customHeight="1" x14ac:dyDescent="0.25">
      <c r="A249" s="236"/>
      <c r="B249" s="237">
        <v>42166</v>
      </c>
      <c r="C249" s="238">
        <v>25</v>
      </c>
      <c r="D249" s="239">
        <v>52.1</v>
      </c>
      <c r="E249" s="240"/>
      <c r="F249" s="239">
        <f t="shared" si="12"/>
        <v>1302.5</v>
      </c>
      <c r="G249" s="240"/>
      <c r="H249" s="238"/>
      <c r="I249" s="239"/>
      <c r="J249" s="238"/>
      <c r="K249" s="239"/>
      <c r="L249" s="240"/>
      <c r="M249" s="239"/>
      <c r="N249" s="239"/>
      <c r="O249" s="241"/>
      <c r="Q249" s="283"/>
      <c r="R249" s="363"/>
      <c r="S249" s="382">
        <v>43220</v>
      </c>
      <c r="T249" s="342">
        <v>6.24</v>
      </c>
    </row>
    <row r="250" spans="1:20" ht="18" customHeight="1" x14ac:dyDescent="0.25">
      <c r="A250" s="236"/>
      <c r="B250" s="237">
        <v>42166</v>
      </c>
      <c r="C250" s="238">
        <v>50</v>
      </c>
      <c r="D250" s="239">
        <v>51.5</v>
      </c>
      <c r="E250" s="240"/>
      <c r="F250" s="239">
        <f t="shared" si="12"/>
        <v>2575</v>
      </c>
      <c r="G250" s="240"/>
      <c r="H250" s="238"/>
      <c r="I250" s="239"/>
      <c r="J250" s="238"/>
      <c r="K250" s="239"/>
      <c r="L250" s="240"/>
      <c r="M250" s="239"/>
      <c r="N250" s="239"/>
      <c r="O250" s="241"/>
      <c r="Q250" s="283"/>
      <c r="R250" s="363"/>
      <c r="S250" s="382">
        <v>43252</v>
      </c>
      <c r="T250" s="342">
        <v>11.14</v>
      </c>
    </row>
    <row r="251" spans="1:20" ht="18" customHeight="1" x14ac:dyDescent="0.25">
      <c r="A251" s="236"/>
      <c r="B251" s="237">
        <v>42166</v>
      </c>
      <c r="C251" s="238">
        <v>100</v>
      </c>
      <c r="D251" s="239">
        <v>51.35</v>
      </c>
      <c r="E251" s="240"/>
      <c r="F251" s="239">
        <f t="shared" si="12"/>
        <v>5135</v>
      </c>
      <c r="G251" s="240"/>
      <c r="H251" s="238"/>
      <c r="I251" s="239"/>
      <c r="J251" s="238"/>
      <c r="K251" s="239"/>
      <c r="L251" s="240"/>
      <c r="M251" s="239"/>
      <c r="N251" s="239"/>
      <c r="O251" s="241"/>
      <c r="Q251" s="283"/>
      <c r="R251" s="363"/>
      <c r="S251" s="382">
        <v>43281</v>
      </c>
      <c r="T251" s="342">
        <v>7.58</v>
      </c>
    </row>
    <row r="252" spans="1:20" ht="18" customHeight="1" x14ac:dyDescent="0.25">
      <c r="A252" s="236"/>
      <c r="B252" s="242"/>
      <c r="C252" s="243">
        <f>SUM(C245:C251)</f>
        <v>250</v>
      </c>
      <c r="D252" s="244"/>
      <c r="E252" s="245"/>
      <c r="F252" s="244">
        <f>SUM(F245:F251)</f>
        <v>12953</v>
      </c>
      <c r="G252" s="245"/>
      <c r="H252" s="243">
        <f>SUM(H245:H251)</f>
        <v>250</v>
      </c>
      <c r="I252" s="244"/>
      <c r="J252" s="243"/>
      <c r="K252" s="244">
        <f>SUM(K245:K251)</f>
        <v>13885.74</v>
      </c>
      <c r="L252" s="245"/>
      <c r="M252" s="244"/>
      <c r="N252" s="244">
        <f>K252-F252</f>
        <v>932.73999999999978</v>
      </c>
      <c r="O252" s="246">
        <f>(N252+M252)/F252</f>
        <v>7.2009573071875221E-2</v>
      </c>
      <c r="Q252" s="283"/>
      <c r="R252" s="363"/>
      <c r="S252" s="382">
        <v>43305</v>
      </c>
      <c r="T252" s="342">
        <v>12.01</v>
      </c>
    </row>
    <row r="253" spans="1:20" ht="18" customHeight="1" x14ac:dyDescent="0.25">
      <c r="B253" s="251"/>
      <c r="C253" s="252"/>
      <c r="D253" s="253"/>
      <c r="E253" s="253"/>
      <c r="F253" s="253"/>
      <c r="G253" s="251"/>
      <c r="H253" s="252"/>
      <c r="I253" s="253"/>
      <c r="J253" s="253"/>
      <c r="K253" s="253"/>
      <c r="L253" s="251"/>
      <c r="M253" s="253"/>
      <c r="N253" s="253"/>
      <c r="O253" s="254"/>
      <c r="Q253" s="283"/>
      <c r="R253" s="363"/>
      <c r="S253" s="382">
        <v>43312</v>
      </c>
      <c r="T253" s="342">
        <v>3.04</v>
      </c>
    </row>
    <row r="254" spans="1:20" ht="18" customHeight="1" x14ac:dyDescent="0.25">
      <c r="A254" s="236" t="s">
        <v>20</v>
      </c>
      <c r="B254" s="237">
        <v>42153</v>
      </c>
      <c r="C254" s="238">
        <v>50</v>
      </c>
      <c r="D254" s="239">
        <v>20.99</v>
      </c>
      <c r="E254" s="240"/>
      <c r="F254" s="239">
        <f>C254*D254</f>
        <v>1049.5</v>
      </c>
      <c r="G254" s="237">
        <v>42186</v>
      </c>
      <c r="H254" s="238">
        <v>297</v>
      </c>
      <c r="I254" s="239">
        <v>19.399999999999999</v>
      </c>
      <c r="J254" s="239">
        <v>0.11</v>
      </c>
      <c r="K254" s="239">
        <f>H254*I254-J254</f>
        <v>5761.69</v>
      </c>
      <c r="L254" s="240"/>
      <c r="M254" s="239"/>
      <c r="N254" s="239"/>
      <c r="O254" s="241"/>
      <c r="Q254" s="283"/>
      <c r="R254" s="363"/>
      <c r="S254" s="382">
        <v>43340</v>
      </c>
      <c r="T254" s="342">
        <v>9.67</v>
      </c>
    </row>
    <row r="255" spans="1:20" ht="18" customHeight="1" x14ac:dyDescent="0.25">
      <c r="A255" s="236"/>
      <c r="B255" s="237">
        <v>42185</v>
      </c>
      <c r="C255" s="238">
        <v>100</v>
      </c>
      <c r="D255" s="239">
        <v>20.6</v>
      </c>
      <c r="E255" s="239"/>
      <c r="F255" s="239">
        <f>C255*D255</f>
        <v>2060</v>
      </c>
      <c r="G255" s="237">
        <v>42186</v>
      </c>
      <c r="H255" s="238">
        <v>300</v>
      </c>
      <c r="I255" s="239">
        <v>20.28</v>
      </c>
      <c r="J255" s="239">
        <v>0.11</v>
      </c>
      <c r="K255" s="239">
        <f>H255*I255-J255</f>
        <v>6083.89</v>
      </c>
      <c r="L255" s="240"/>
      <c r="M255" s="239"/>
      <c r="N255" s="239"/>
      <c r="O255" s="241"/>
      <c r="Q255" s="283"/>
      <c r="R255" s="363"/>
      <c r="S255" s="382">
        <v>43343</v>
      </c>
      <c r="T255" s="342">
        <v>1.9</v>
      </c>
    </row>
    <row r="256" spans="1:20" ht="18" customHeight="1" x14ac:dyDescent="0.25">
      <c r="A256" s="236"/>
      <c r="B256" s="237">
        <v>42186</v>
      </c>
      <c r="C256" s="238">
        <v>150</v>
      </c>
      <c r="D256" s="239">
        <v>19.95</v>
      </c>
      <c r="E256" s="239"/>
      <c r="F256" s="239">
        <f>C256*D256</f>
        <v>2992.5</v>
      </c>
      <c r="G256" s="237">
        <v>42186</v>
      </c>
      <c r="H256" s="238">
        <v>300</v>
      </c>
      <c r="I256" s="239">
        <v>19.75</v>
      </c>
      <c r="J256" s="239">
        <v>0.11</v>
      </c>
      <c r="K256" s="239">
        <f>H256*I256-J256</f>
        <v>5924.89</v>
      </c>
      <c r="L256" s="240"/>
      <c r="M256" s="239"/>
      <c r="N256" s="239"/>
      <c r="O256" s="241"/>
      <c r="Q256" s="283"/>
      <c r="R256" s="363"/>
      <c r="S256" s="382">
        <v>43371</v>
      </c>
      <c r="T256" s="342">
        <v>11.84</v>
      </c>
    </row>
    <row r="257" spans="1:20" ht="18" customHeight="1" x14ac:dyDescent="0.25">
      <c r="A257" s="236"/>
      <c r="B257" s="237">
        <v>42186</v>
      </c>
      <c r="C257" s="238">
        <v>300</v>
      </c>
      <c r="D257" s="239">
        <v>19.7</v>
      </c>
      <c r="E257" s="240"/>
      <c r="F257" s="239">
        <f>C257*D257</f>
        <v>5910</v>
      </c>
      <c r="G257" s="240"/>
      <c r="H257" s="238"/>
      <c r="I257" s="239"/>
      <c r="J257" s="239"/>
      <c r="K257" s="239"/>
      <c r="L257" s="240"/>
      <c r="M257" s="239"/>
      <c r="N257" s="239"/>
      <c r="O257" s="241"/>
      <c r="Q257" s="283"/>
      <c r="R257" s="363"/>
      <c r="S257" s="382">
        <v>43399</v>
      </c>
      <c r="T257" s="342">
        <v>9.8699999999999992</v>
      </c>
    </row>
    <row r="258" spans="1:20" ht="18" customHeight="1" x14ac:dyDescent="0.25">
      <c r="A258" s="236"/>
      <c r="B258" s="237">
        <v>42186</v>
      </c>
      <c r="C258" s="238">
        <v>297</v>
      </c>
      <c r="D258" s="239">
        <v>19.13</v>
      </c>
      <c r="E258" s="239"/>
      <c r="F258" s="239">
        <f>C258*D258</f>
        <v>5681.61</v>
      </c>
      <c r="G258" s="240"/>
      <c r="H258" s="238"/>
      <c r="I258" s="239"/>
      <c r="J258" s="239"/>
      <c r="K258" s="239"/>
      <c r="L258" s="240"/>
      <c r="M258" s="239"/>
      <c r="N258" s="239"/>
      <c r="O258" s="241"/>
      <c r="Q258" s="283"/>
      <c r="R258" s="363"/>
      <c r="S258" s="382">
        <v>43404</v>
      </c>
      <c r="T258" s="342">
        <v>0.56999999999999995</v>
      </c>
    </row>
    <row r="259" spans="1:20" ht="18" customHeight="1" x14ac:dyDescent="0.25">
      <c r="A259" s="236"/>
      <c r="B259" s="242"/>
      <c r="C259" s="243">
        <f>SUM(C254:C258)</f>
        <v>897</v>
      </c>
      <c r="D259" s="244"/>
      <c r="E259" s="244"/>
      <c r="F259" s="244">
        <f>SUM(F254:F258)</f>
        <v>17693.61</v>
      </c>
      <c r="G259" s="245"/>
      <c r="H259" s="243">
        <f>SUM(H254:H258)</f>
        <v>897</v>
      </c>
      <c r="I259" s="244"/>
      <c r="J259" s="244"/>
      <c r="K259" s="244">
        <f>SUM(K254:K258)</f>
        <v>17770.47</v>
      </c>
      <c r="L259" s="245"/>
      <c r="M259" s="244"/>
      <c r="N259" s="244">
        <f>K259-F259</f>
        <v>76.860000000000582</v>
      </c>
      <c r="O259" s="246">
        <f>(N259+M259)/F259</f>
        <v>4.3439411177255841E-3</v>
      </c>
      <c r="Q259" s="283"/>
      <c r="R259" s="363"/>
      <c r="S259" s="382">
        <v>43436</v>
      </c>
      <c r="T259" s="342">
        <v>7.1</v>
      </c>
    </row>
    <row r="260" spans="1:20" ht="18" customHeight="1" x14ac:dyDescent="0.25">
      <c r="B260" s="251"/>
      <c r="C260" s="252"/>
      <c r="D260" s="253"/>
      <c r="E260" s="24"/>
      <c r="F260" s="253"/>
      <c r="G260" s="251"/>
      <c r="H260" s="252"/>
      <c r="I260" s="253"/>
      <c r="K260" s="253"/>
      <c r="L260" s="251"/>
      <c r="M260" s="253"/>
      <c r="N260" s="253"/>
      <c r="O260" s="254"/>
      <c r="Q260" s="283"/>
      <c r="R260" s="363"/>
      <c r="S260" s="382">
        <v>43436</v>
      </c>
      <c r="T260" s="342">
        <v>3.55</v>
      </c>
    </row>
    <row r="261" spans="1:20" ht="18" customHeight="1" x14ac:dyDescent="0.25">
      <c r="A261" s="236" t="s">
        <v>31</v>
      </c>
      <c r="B261" s="237">
        <v>42165</v>
      </c>
      <c r="C261" s="238">
        <v>1</v>
      </c>
      <c r="D261" s="239">
        <v>73.03</v>
      </c>
      <c r="E261" s="240"/>
      <c r="F261" s="239">
        <f>C261*D261</f>
        <v>73.03</v>
      </c>
      <c r="G261" s="237">
        <v>42195</v>
      </c>
      <c r="H261" s="238">
        <v>1</v>
      </c>
      <c r="I261" s="239">
        <v>73.5</v>
      </c>
      <c r="J261" s="238">
        <v>0.01</v>
      </c>
      <c r="K261" s="239">
        <f>H261*I261-J261</f>
        <v>73.489999999999995</v>
      </c>
      <c r="L261" s="240"/>
      <c r="M261" s="239"/>
      <c r="N261" s="239"/>
      <c r="O261" s="241"/>
      <c r="Q261" s="283"/>
      <c r="R261" s="363"/>
      <c r="S261" s="382">
        <v>43830</v>
      </c>
      <c r="T261" s="342">
        <v>1.1200000000000001</v>
      </c>
    </row>
    <row r="262" spans="1:20" ht="18" customHeight="1" x14ac:dyDescent="0.25">
      <c r="A262" s="236"/>
      <c r="B262" s="242"/>
      <c r="C262" s="243">
        <f>SUM(C261)</f>
        <v>1</v>
      </c>
      <c r="D262" s="244"/>
      <c r="E262" s="245"/>
      <c r="F262" s="244">
        <f>SUM(F261)</f>
        <v>73.03</v>
      </c>
      <c r="G262" s="245"/>
      <c r="H262" s="243">
        <f>SUM(H261)</f>
        <v>1</v>
      </c>
      <c r="I262" s="244"/>
      <c r="J262" s="243"/>
      <c r="K262" s="244">
        <f>SUM(K261)</f>
        <v>73.489999999999995</v>
      </c>
      <c r="L262" s="245"/>
      <c r="M262" s="244"/>
      <c r="N262" s="244">
        <f>K262-F262</f>
        <v>0.45999999999999375</v>
      </c>
      <c r="O262" s="246">
        <f>(N262+M262)/F262</f>
        <v>6.2987813227439919E-3</v>
      </c>
      <c r="Q262" s="283"/>
      <c r="R262" s="363"/>
      <c r="S262" s="382">
        <v>43473</v>
      </c>
      <c r="T262" s="342">
        <v>0.6</v>
      </c>
    </row>
    <row r="263" spans="1:20" ht="18" customHeight="1" x14ac:dyDescent="0.25">
      <c r="A263" s="142"/>
      <c r="B263" s="143"/>
      <c r="C263" s="144"/>
      <c r="D263" s="145"/>
      <c r="E263" s="24"/>
      <c r="F263" s="145"/>
      <c r="G263" s="146"/>
      <c r="H263" s="144"/>
      <c r="I263" s="145"/>
      <c r="K263" s="145"/>
      <c r="L263" s="146"/>
      <c r="M263" s="145"/>
      <c r="N263" s="145"/>
      <c r="O263" s="147"/>
      <c r="Q263" s="283"/>
      <c r="R263" s="363"/>
      <c r="S263" s="382">
        <v>43496</v>
      </c>
      <c r="T263" s="342">
        <v>3.66</v>
      </c>
    </row>
    <row r="264" spans="1:20" ht="18" customHeight="1" x14ac:dyDescent="0.25">
      <c r="M264" s="25" t="s">
        <v>38</v>
      </c>
      <c r="N264" s="140">
        <f>0.5*(SUM(M2:M263))</f>
        <v>824.45</v>
      </c>
      <c r="Q264" s="283"/>
      <c r="R264" s="363"/>
      <c r="S264" s="382">
        <v>43525</v>
      </c>
      <c r="T264" s="342">
        <v>11.45</v>
      </c>
    </row>
    <row r="265" spans="1:20" ht="18" customHeight="1" x14ac:dyDescent="0.25">
      <c r="M265" s="28" t="s">
        <v>130</v>
      </c>
      <c r="N265" s="141">
        <f>SUM(N1:N263)</f>
        <v>-3136.6299999999319</v>
      </c>
      <c r="Q265" s="283"/>
      <c r="R265" s="363"/>
      <c r="S265" s="382">
        <v>43552</v>
      </c>
      <c r="T265" s="342">
        <v>22.32</v>
      </c>
    </row>
    <row r="266" spans="1:20" ht="18" customHeight="1" x14ac:dyDescent="0.25">
      <c r="M266" s="25" t="s">
        <v>151</v>
      </c>
      <c r="N266" s="435">
        <f>T267</f>
        <v>1224.6400000000001</v>
      </c>
      <c r="Q266" s="283"/>
      <c r="R266" s="363"/>
      <c r="S266" s="382"/>
      <c r="T266" s="342"/>
    </row>
    <row r="267" spans="1:20" ht="18" customHeight="1" x14ac:dyDescent="0.25">
      <c r="M267" s="25" t="s">
        <v>129</v>
      </c>
      <c r="N267" s="141">
        <f>SUM(ACTIVE!M:M)</f>
        <v>115471.43466666821</v>
      </c>
      <c r="Q267" s="283" t="s">
        <v>81</v>
      </c>
      <c r="R267" s="363">
        <f>SUM(R207:R226)</f>
        <v>1.55</v>
      </c>
      <c r="S267" s="343" t="s">
        <v>81</v>
      </c>
      <c r="T267" s="342">
        <f>SUM(T207:T265)</f>
        <v>1224.6400000000001</v>
      </c>
    </row>
    <row r="269" spans="1:20" ht="18" customHeight="1" x14ac:dyDescent="0.25">
      <c r="M269" s="25" t="s">
        <v>142</v>
      </c>
      <c r="N269" s="141">
        <f>SUM(N264:N267) -R267</f>
        <v>114382.34466666827</v>
      </c>
    </row>
    <row r="270" spans="1:20" ht="18" customHeight="1" x14ac:dyDescent="0.25">
      <c r="M270" s="25" t="s">
        <v>143</v>
      </c>
      <c r="N270" s="141">
        <f>Balance!AA2</f>
        <v>114382.34000000003</v>
      </c>
    </row>
    <row r="271" spans="1:20" ht="18" customHeight="1" x14ac:dyDescent="0.25">
      <c r="M271" s="25"/>
      <c r="N271" s="26"/>
      <c r="O271" s="274"/>
    </row>
    <row r="273" spans="13:14" ht="18" customHeight="1" x14ac:dyDescent="0.25">
      <c r="M273" s="25" t="s">
        <v>131</v>
      </c>
      <c r="N273" s="436">
        <f>N269-N271-N270</f>
        <v>4.6666682465001941E-3</v>
      </c>
    </row>
    <row r="296" spans="1:1" ht="18" customHeight="1" x14ac:dyDescent="0.25">
      <c r="A296" s="412"/>
    </row>
    <row r="297" spans="1:1" ht="18" customHeight="1" x14ac:dyDescent="0.25">
      <c r="A297" s="413"/>
    </row>
    <row r="298" spans="1:1" ht="18" customHeight="1" x14ac:dyDescent="0.25">
      <c r="A298" s="413"/>
    </row>
    <row r="299" spans="1:1" ht="18" customHeight="1" x14ac:dyDescent="0.25">
      <c r="A299" s="412"/>
    </row>
    <row r="300" spans="1:1" ht="18" customHeight="1" x14ac:dyDescent="0.25">
      <c r="A300" s="413"/>
    </row>
    <row r="301" spans="1:1" ht="18" customHeight="1" x14ac:dyDescent="0.25">
      <c r="A301" s="413"/>
    </row>
    <row r="302" spans="1:1" ht="18" customHeight="1" x14ac:dyDescent="0.25">
      <c r="A302" s="412"/>
    </row>
    <row r="303" spans="1:1" ht="18" customHeight="1" x14ac:dyDescent="0.25">
      <c r="A303" s="413"/>
    </row>
    <row r="304" spans="1:1" ht="18" customHeight="1" x14ac:dyDescent="0.25">
      <c r="A304" s="413"/>
    </row>
    <row r="305" spans="1:1" ht="18" customHeight="1" x14ac:dyDescent="0.25">
      <c r="A305" s="413"/>
    </row>
  </sheetData>
  <mergeCells count="3">
    <mergeCell ref="B12:B13"/>
    <mergeCell ref="B14:B15"/>
    <mergeCell ref="B185:B186"/>
  </mergeCells>
  <conditionalFormatting sqref="Q13">
    <cfRule type="expression" dxfId="3780" priority="7">
      <formula>#REF!&gt;0</formula>
    </cfRule>
    <cfRule type="expression" dxfId="3779"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72"/>
      <c r="H2" s="161"/>
      <c r="I2" s="3"/>
      <c r="J2" s="3"/>
      <c r="K2" s="3"/>
      <c r="L2" s="4"/>
      <c r="O2" s="11" t="s">
        <v>57</v>
      </c>
      <c r="Q2">
        <f>C18-H18</f>
        <v>0</v>
      </c>
    </row>
    <row r="3" spans="1:29" x14ac:dyDescent="0.25">
      <c r="A3" s="22" t="s">
        <v>71</v>
      </c>
      <c r="G3" s="72"/>
      <c r="H3" s="161"/>
      <c r="I3" s="3"/>
      <c r="J3" s="3"/>
      <c r="K3" s="3"/>
      <c r="L3" s="4"/>
      <c r="O3" s="11" t="s">
        <v>58</v>
      </c>
      <c r="Q3" s="178">
        <f>IF(Q2=0, Q4, (F18-K18-M18)/Q2)</f>
        <v>327.86</v>
      </c>
      <c r="V3" s="1"/>
      <c r="Z3" s="182"/>
      <c r="AC3" s="182"/>
    </row>
    <row r="4" spans="1:29" x14ac:dyDescent="0.25">
      <c r="G4" s="72"/>
      <c r="H4" s="161"/>
      <c r="I4" s="3"/>
      <c r="J4" s="3"/>
      <c r="K4" s="3"/>
      <c r="L4" s="4"/>
      <c r="O4" s="11" t="s">
        <v>66</v>
      </c>
      <c r="Q4" s="54">
        <v>327.86</v>
      </c>
      <c r="R4" s="420"/>
      <c r="T4" s="1"/>
      <c r="Z4" s="182"/>
      <c r="AC4" s="182"/>
    </row>
    <row r="5" spans="1:29" x14ac:dyDescent="0.25">
      <c r="B5" s="72"/>
      <c r="C5" s="4"/>
      <c r="D5" s="3"/>
      <c r="E5" s="3"/>
      <c r="F5" s="3"/>
      <c r="G5" s="72"/>
      <c r="H5" s="161"/>
      <c r="I5" s="3"/>
      <c r="J5" s="3"/>
      <c r="K5" s="3"/>
      <c r="L5" s="4"/>
      <c r="O5" s="11" t="s">
        <v>67</v>
      </c>
      <c r="Q5" s="3">
        <f>Q4*Q2</f>
        <v>0</v>
      </c>
      <c r="T5" s="1"/>
      <c r="Z5" s="182"/>
      <c r="AC5" s="182"/>
    </row>
    <row r="6" spans="1:29" x14ac:dyDescent="0.25">
      <c r="B6" s="157"/>
      <c r="C6" s="4"/>
      <c r="D6" s="3"/>
      <c r="E6" s="3"/>
      <c r="F6" s="3"/>
      <c r="G6" s="72"/>
      <c r="H6" s="161"/>
      <c r="I6" s="3"/>
      <c r="J6" s="3"/>
      <c r="K6" s="3"/>
      <c r="L6" s="4"/>
      <c r="O6" s="11" t="s">
        <v>64</v>
      </c>
      <c r="Q6" s="2">
        <f>Q3*Q2</f>
        <v>0</v>
      </c>
      <c r="Z6" s="182"/>
      <c r="AC6" s="182"/>
    </row>
    <row r="7" spans="1:29" x14ac:dyDescent="0.25">
      <c r="B7" s="157"/>
      <c r="C7" s="4"/>
      <c r="D7" s="3"/>
      <c r="E7" s="3"/>
      <c r="F7" s="3"/>
      <c r="G7" s="72"/>
      <c r="H7" s="161"/>
      <c r="I7" s="3"/>
      <c r="J7" s="3"/>
      <c r="K7" s="3"/>
      <c r="L7" s="4"/>
      <c r="O7" s="11" t="s">
        <v>177</v>
      </c>
      <c r="Q7" s="2">
        <f>Q10+Q8</f>
        <v>1659.3600000000079</v>
      </c>
      <c r="R7">
        <v>0</v>
      </c>
      <c r="Z7" s="182"/>
      <c r="AC7" s="182"/>
    </row>
    <row r="8" spans="1:29" x14ac:dyDescent="0.25">
      <c r="B8" s="72"/>
      <c r="C8" s="4"/>
      <c r="D8" s="3"/>
      <c r="E8" s="3"/>
      <c r="F8" s="3"/>
      <c r="G8" s="72"/>
      <c r="H8" s="161"/>
      <c r="I8" s="3"/>
      <c r="J8" s="3"/>
      <c r="K8" s="3"/>
      <c r="L8" s="4"/>
      <c r="O8" s="11" t="s">
        <v>179</v>
      </c>
      <c r="P8" s="33"/>
      <c r="Q8" s="2">
        <f>K18+M18-F18+Q2*Q4</f>
        <v>0</v>
      </c>
      <c r="Z8" s="182"/>
      <c r="AC8" s="182"/>
    </row>
    <row r="9" spans="1:29" x14ac:dyDescent="0.25">
      <c r="B9" s="72"/>
      <c r="C9" s="4"/>
      <c r="D9" s="3"/>
      <c r="E9" s="3"/>
      <c r="F9" s="3"/>
      <c r="G9" s="72"/>
      <c r="H9" s="161"/>
      <c r="I9" s="3"/>
      <c r="J9" s="3"/>
      <c r="K9" s="3"/>
      <c r="L9" s="4"/>
      <c r="O9" s="11" t="s">
        <v>204</v>
      </c>
      <c r="Q9" s="134">
        <f>IF(Q2=0, 0, Q8/Q6)</f>
        <v>0</v>
      </c>
      <c r="T9" s="151"/>
    </row>
    <row r="10" spans="1:29" x14ac:dyDescent="0.25">
      <c r="B10" s="72"/>
      <c r="C10" s="4"/>
      <c r="D10" s="3"/>
      <c r="E10" s="3"/>
      <c r="F10" s="3"/>
      <c r="G10" s="72"/>
      <c r="H10" s="4"/>
      <c r="I10" s="4"/>
      <c r="J10" s="4"/>
      <c r="K10" s="3"/>
      <c r="L10" s="4"/>
      <c r="O10" s="11" t="s">
        <v>203</v>
      </c>
      <c r="P10" s="33"/>
      <c r="Q10" s="2">
        <f>M39</f>
        <v>1659.3600000000079</v>
      </c>
    </row>
    <row r="11" spans="1:29" x14ac:dyDescent="0.25">
      <c r="B11" s="72"/>
      <c r="C11" s="4"/>
      <c r="D11" s="3"/>
      <c r="E11" s="3"/>
      <c r="F11" s="3"/>
      <c r="G11" s="72"/>
      <c r="H11" s="4"/>
      <c r="I11" s="4"/>
      <c r="J11" s="4"/>
      <c r="K11" s="3"/>
      <c r="L11" s="4"/>
      <c r="O11" s="11" t="s">
        <v>175</v>
      </c>
      <c r="P11" s="33"/>
      <c r="Q11" s="134">
        <v>0</v>
      </c>
    </row>
    <row r="12" spans="1:29" x14ac:dyDescent="0.25">
      <c r="B12" s="72"/>
      <c r="C12" s="4"/>
      <c r="D12" s="3"/>
      <c r="E12" s="3"/>
      <c r="F12" s="3"/>
      <c r="G12" s="72"/>
      <c r="H12" s="4"/>
      <c r="I12" s="4"/>
      <c r="J12" s="4"/>
      <c r="K12" s="3"/>
      <c r="L12" s="4"/>
    </row>
    <row r="13" spans="1:29" x14ac:dyDescent="0.25">
      <c r="B13" s="72"/>
      <c r="C13" s="4"/>
      <c r="D13" s="3"/>
      <c r="E13" s="3"/>
      <c r="F13" s="3"/>
      <c r="G13" s="72"/>
      <c r="H13" s="4"/>
      <c r="I13" s="3"/>
      <c r="J13" s="4"/>
      <c r="K13" s="3"/>
      <c r="L13" s="4"/>
    </row>
    <row r="14" spans="1:29" x14ac:dyDescent="0.25">
      <c r="B14" s="72"/>
      <c r="C14" s="4"/>
      <c r="D14" s="3"/>
      <c r="E14" s="3"/>
      <c r="F14" s="3"/>
      <c r="G14" s="72"/>
      <c r="H14" s="4"/>
      <c r="I14" s="4"/>
      <c r="J14" s="4"/>
      <c r="K14" s="3"/>
      <c r="L14" s="4"/>
    </row>
    <row r="15" spans="1:29" x14ac:dyDescent="0.25">
      <c r="B15" s="4"/>
      <c r="C15" s="4"/>
      <c r="D15" s="3"/>
      <c r="E15" s="3"/>
      <c r="F15" s="3"/>
      <c r="G15" s="72"/>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62" t="s">
        <v>113</v>
      </c>
      <c r="C20" s="162" t="s">
        <v>145</v>
      </c>
      <c r="D20" s="163" t="s">
        <v>144</v>
      </c>
      <c r="E20" s="165" t="s">
        <v>146</v>
      </c>
      <c r="F20" s="166" t="s">
        <v>65</v>
      </c>
      <c r="G20" s="177" t="s">
        <v>150</v>
      </c>
      <c r="H20" s="166" t="s">
        <v>88</v>
      </c>
      <c r="I20" s="166" t="s">
        <v>153</v>
      </c>
    </row>
    <row r="21" spans="1:14" x14ac:dyDescent="0.25">
      <c r="B21" s="164"/>
      <c r="C21" s="10"/>
      <c r="D21" s="39"/>
      <c r="E21" s="39"/>
      <c r="F21" s="39"/>
      <c r="G21" s="39"/>
      <c r="H21" s="179"/>
      <c r="I21" s="179"/>
    </row>
    <row r="22" spans="1:14" x14ac:dyDescent="0.25">
      <c r="B22" s="164"/>
      <c r="C22" s="10"/>
      <c r="D22" s="39"/>
      <c r="E22" s="39"/>
      <c r="F22" s="39"/>
      <c r="G22" s="39"/>
      <c r="H22" s="179"/>
      <c r="I22" s="179"/>
    </row>
    <row r="23" spans="1:14" x14ac:dyDescent="0.25">
      <c r="B23" s="164"/>
      <c r="C23" s="10"/>
      <c r="D23" s="39"/>
      <c r="E23" s="39"/>
      <c r="F23" s="39"/>
      <c r="G23" s="39"/>
      <c r="H23" s="179"/>
      <c r="I23" s="179"/>
    </row>
    <row r="24" spans="1:14" x14ac:dyDescent="0.25">
      <c r="B24" s="164"/>
      <c r="C24" s="10"/>
      <c r="D24" s="39"/>
      <c r="E24" s="39"/>
      <c r="F24" s="39"/>
      <c r="G24" s="39"/>
      <c r="H24" s="179"/>
      <c r="I24" s="179"/>
    </row>
    <row r="25" spans="1:14" x14ac:dyDescent="0.25">
      <c r="B25" s="164"/>
      <c r="C25" s="10"/>
      <c r="D25" s="39"/>
      <c r="E25" s="39"/>
      <c r="F25" s="39"/>
      <c r="G25" s="39"/>
      <c r="H25" s="180"/>
      <c r="I25" s="180"/>
    </row>
    <row r="26" spans="1:14" x14ac:dyDescent="0.25">
      <c r="B26" s="164"/>
      <c r="C26" s="10"/>
      <c r="D26" s="39"/>
      <c r="E26" s="39"/>
      <c r="F26" s="39"/>
      <c r="G26" s="39"/>
      <c r="H26" s="180"/>
      <c r="I26" s="180"/>
    </row>
    <row r="27" spans="1:14" x14ac:dyDescent="0.25">
      <c r="B27" s="164"/>
      <c r="C27" s="10"/>
      <c r="D27" s="39"/>
      <c r="E27" s="39"/>
      <c r="F27" s="39"/>
      <c r="G27" s="39"/>
      <c r="H27" s="180"/>
      <c r="I27" s="180"/>
    </row>
    <row r="28" spans="1:14" x14ac:dyDescent="0.25">
      <c r="B28" s="164"/>
      <c r="C28" s="10"/>
      <c r="D28" s="39"/>
      <c r="E28" s="39"/>
      <c r="F28" s="39"/>
      <c r="G28" s="39"/>
      <c r="H28" s="180"/>
      <c r="I28" s="180"/>
    </row>
    <row r="29" spans="1:14" x14ac:dyDescent="0.25">
      <c r="B29" s="164"/>
      <c r="C29" s="10"/>
      <c r="D29" s="39"/>
      <c r="E29" s="39"/>
      <c r="F29" s="39"/>
      <c r="G29" s="39"/>
      <c r="H29" s="180"/>
      <c r="I29" s="180"/>
    </row>
    <row r="30" spans="1:14" x14ac:dyDescent="0.25">
      <c r="B30" s="164"/>
      <c r="C30" s="10"/>
      <c r="D30" s="39"/>
      <c r="E30" s="39"/>
      <c r="F30" s="39"/>
      <c r="G30" s="39"/>
      <c r="H30" s="180"/>
      <c r="I30" s="180"/>
    </row>
    <row r="31" spans="1:14" x14ac:dyDescent="0.25">
      <c r="B31" s="164"/>
      <c r="C31" s="10"/>
      <c r="D31" s="39"/>
      <c r="E31" s="39"/>
      <c r="F31" s="39"/>
      <c r="G31" s="39"/>
      <c r="H31" s="180"/>
      <c r="I31" s="180"/>
    </row>
    <row r="32" spans="1:14" x14ac:dyDescent="0.25">
      <c r="B32" s="164"/>
      <c r="C32" s="10"/>
      <c r="D32" s="39"/>
      <c r="E32" s="39"/>
      <c r="F32" s="39"/>
      <c r="G32" s="39"/>
      <c r="H32" s="180"/>
      <c r="I32" s="180"/>
    </row>
    <row r="33" spans="1:21" x14ac:dyDescent="0.25">
      <c r="B33" s="10"/>
      <c r="C33" s="10"/>
      <c r="D33" s="39"/>
      <c r="E33" s="39"/>
      <c r="F33" s="39"/>
      <c r="G33" s="39"/>
      <c r="H33" s="180"/>
      <c r="I33" s="180"/>
    </row>
    <row r="34" spans="1:21" x14ac:dyDescent="0.25">
      <c r="B34" s="10"/>
      <c r="C34" s="10"/>
      <c r="D34" s="39"/>
      <c r="E34" s="39"/>
      <c r="F34" s="39"/>
      <c r="G34" s="39"/>
      <c r="H34" s="180"/>
      <c r="I34" s="180"/>
    </row>
    <row r="35" spans="1:21" x14ac:dyDescent="0.25">
      <c r="B35" s="10"/>
      <c r="C35" s="10"/>
      <c r="D35" s="39"/>
      <c r="E35" s="39"/>
      <c r="F35" s="39"/>
      <c r="G35" s="39"/>
      <c r="H35" s="180"/>
      <c r="I35" s="180"/>
    </row>
    <row r="39" spans="1:21" x14ac:dyDescent="0.25">
      <c r="A39" s="197"/>
      <c r="B39" s="197"/>
      <c r="C39" s="197"/>
      <c r="D39" s="198"/>
      <c r="E39" s="198"/>
      <c r="F39" s="198"/>
      <c r="G39" s="197"/>
      <c r="H39" s="197"/>
      <c r="I39" s="197"/>
      <c r="J39" s="197"/>
      <c r="K39" s="199" t="s">
        <v>130</v>
      </c>
      <c r="L39" s="197"/>
      <c r="M39" s="198">
        <f>K57+M57-F57</f>
        <v>1659.3600000000079</v>
      </c>
      <c r="T39" s="346"/>
    </row>
    <row r="40" spans="1:21" x14ac:dyDescent="0.25">
      <c r="A40" s="199" t="s">
        <v>1</v>
      </c>
      <c r="B40" s="199" t="s">
        <v>2</v>
      </c>
      <c r="C40" s="199" t="s">
        <v>4</v>
      </c>
      <c r="D40" s="200" t="s">
        <v>5</v>
      </c>
      <c r="E40" s="200" t="s">
        <v>94</v>
      </c>
      <c r="F40" s="200" t="s">
        <v>60</v>
      </c>
      <c r="G40" s="199" t="s">
        <v>3</v>
      </c>
      <c r="H40" s="199" t="s">
        <v>6</v>
      </c>
      <c r="I40" s="199" t="s">
        <v>7</v>
      </c>
      <c r="J40" s="199" t="s">
        <v>95</v>
      </c>
      <c r="K40" s="200" t="s">
        <v>61</v>
      </c>
      <c r="L40" s="199" t="s">
        <v>77</v>
      </c>
      <c r="M40" s="199" t="s">
        <v>38</v>
      </c>
      <c r="T40" s="346"/>
    </row>
    <row r="41" spans="1:21" x14ac:dyDescent="0.25">
      <c r="A41" s="201" t="s">
        <v>62</v>
      </c>
      <c r="B41" s="202">
        <v>42222</v>
      </c>
      <c r="C41" s="197">
        <v>5</v>
      </c>
      <c r="D41" s="198">
        <v>320</v>
      </c>
      <c r="E41" s="198">
        <v>0</v>
      </c>
      <c r="F41" s="198">
        <f>C41*D41 + E41</f>
        <v>1600</v>
      </c>
      <c r="G41" s="202">
        <v>42257</v>
      </c>
      <c r="H41" s="203">
        <v>5</v>
      </c>
      <c r="I41" s="198">
        <v>303.60000000000002</v>
      </c>
      <c r="J41" s="198">
        <v>0.03</v>
      </c>
      <c r="K41" s="198">
        <f t="shared" ref="K41:K48" si="1">H41*I41-J41</f>
        <v>1517.97</v>
      </c>
      <c r="L41" s="197" t="s">
        <v>80</v>
      </c>
      <c r="M41" s="197"/>
      <c r="T41" s="346"/>
    </row>
    <row r="42" spans="1:21" ht="20.25" thickBot="1" x14ac:dyDescent="0.35">
      <c r="A42" s="204"/>
      <c r="B42" s="202">
        <v>42247</v>
      </c>
      <c r="C42" s="197">
        <v>5</v>
      </c>
      <c r="D42" s="198">
        <v>298.7</v>
      </c>
      <c r="E42" s="198">
        <v>0</v>
      </c>
      <c r="F42" s="198">
        <f>C42*D42 + E42</f>
        <v>1493.5</v>
      </c>
      <c r="G42" s="202">
        <v>42290</v>
      </c>
      <c r="H42" s="203">
        <v>5</v>
      </c>
      <c r="I42" s="198">
        <v>280.2</v>
      </c>
      <c r="J42" s="198">
        <v>0.03</v>
      </c>
      <c r="K42" s="198">
        <f t="shared" si="1"/>
        <v>1400.97</v>
      </c>
      <c r="L42" s="197"/>
      <c r="M42" s="197"/>
      <c r="O42" s="884" t="s">
        <v>78</v>
      </c>
      <c r="P42" s="884"/>
      <c r="T42" s="346"/>
      <c r="U42" s="4"/>
    </row>
    <row r="43" spans="1:21" ht="15.75" thickTop="1" x14ac:dyDescent="0.25">
      <c r="A43" s="197"/>
      <c r="B43" s="202">
        <v>42271</v>
      </c>
      <c r="C43" s="197">
        <v>10</v>
      </c>
      <c r="D43" s="198">
        <v>297</v>
      </c>
      <c r="E43" s="198">
        <v>0</v>
      </c>
      <c r="F43" s="198">
        <f>C43*D43 + E43</f>
        <v>2970</v>
      </c>
      <c r="G43" s="202">
        <v>42303</v>
      </c>
      <c r="H43" s="203">
        <v>10</v>
      </c>
      <c r="I43" s="198">
        <v>290</v>
      </c>
      <c r="J43" s="198">
        <v>0.05</v>
      </c>
      <c r="K43" s="198">
        <f t="shared" si="1"/>
        <v>2899.95</v>
      </c>
      <c r="L43" s="197"/>
      <c r="M43" s="197"/>
      <c r="O43" s="81">
        <v>1.1000000000000001</v>
      </c>
      <c r="P43" s="81">
        <f>O43*$Q$4</f>
        <v>360.64600000000007</v>
      </c>
      <c r="Q43" s="2"/>
      <c r="T43" s="346"/>
      <c r="U43" s="400"/>
    </row>
    <row r="44" spans="1:21" x14ac:dyDescent="0.25">
      <c r="A44" s="197"/>
      <c r="B44" s="202">
        <v>42285</v>
      </c>
      <c r="C44" s="197">
        <v>15</v>
      </c>
      <c r="D44" s="198">
        <v>283</v>
      </c>
      <c r="E44" s="198">
        <v>0</v>
      </c>
      <c r="F44" s="198">
        <f t="shared" ref="F44:F53" si="2">C44*D44 + E44</f>
        <v>4245</v>
      </c>
      <c r="G44" s="202">
        <v>42307</v>
      </c>
      <c r="H44" s="203">
        <v>10</v>
      </c>
      <c r="I44" s="198">
        <v>289.35000000000002</v>
      </c>
      <c r="J44" s="198">
        <v>7</v>
      </c>
      <c r="K44" s="198">
        <f t="shared" si="1"/>
        <v>2886.5</v>
      </c>
      <c r="L44" s="197"/>
      <c r="M44" s="197"/>
      <c r="O44" s="81">
        <v>1.0900000000000001</v>
      </c>
      <c r="P44" s="81">
        <f t="shared" ref="P44:P63" si="3">O44*$Q$4</f>
        <v>357.36740000000003</v>
      </c>
      <c r="Q44" s="2"/>
      <c r="T44" s="346"/>
      <c r="U44" s="400"/>
    </row>
    <row r="45" spans="1:21" x14ac:dyDescent="0.25">
      <c r="A45" s="197"/>
      <c r="B45" s="276">
        <v>42286</v>
      </c>
      <c r="C45" s="197">
        <v>5</v>
      </c>
      <c r="D45" s="198">
        <v>278.5</v>
      </c>
      <c r="E45" s="198">
        <v>0</v>
      </c>
      <c r="F45" s="198">
        <f t="shared" si="2"/>
        <v>1392.5</v>
      </c>
      <c r="G45" s="202">
        <v>42313</v>
      </c>
      <c r="H45" s="203">
        <v>10</v>
      </c>
      <c r="I45" s="198">
        <v>300</v>
      </c>
      <c r="J45" s="198">
        <v>0.06</v>
      </c>
      <c r="K45" s="198">
        <f t="shared" si="1"/>
        <v>2999.94</v>
      </c>
      <c r="L45" s="197"/>
      <c r="M45" s="197"/>
      <c r="O45" s="81">
        <v>1.08</v>
      </c>
      <c r="P45" s="81">
        <f t="shared" si="3"/>
        <v>354.08880000000005</v>
      </c>
      <c r="Q45" s="2"/>
      <c r="T45" s="346"/>
      <c r="U45" s="400"/>
    </row>
    <row r="46" spans="1:21" x14ac:dyDescent="0.25">
      <c r="A46" s="197"/>
      <c r="B46" s="276"/>
      <c r="C46" s="197">
        <v>5</v>
      </c>
      <c r="D46" s="198">
        <v>278.5</v>
      </c>
      <c r="E46" s="198">
        <v>0</v>
      </c>
      <c r="F46" s="198">
        <f t="shared" si="2"/>
        <v>1392.5</v>
      </c>
      <c r="G46" s="202">
        <v>42331</v>
      </c>
      <c r="H46" s="203">
        <v>40</v>
      </c>
      <c r="I46" s="198">
        <v>287.99</v>
      </c>
      <c r="J46" s="198">
        <v>0.21</v>
      </c>
      <c r="K46" s="198">
        <f t="shared" si="1"/>
        <v>11519.390000000001</v>
      </c>
      <c r="L46" s="197"/>
      <c r="M46" s="197"/>
      <c r="O46" s="81">
        <v>1.07</v>
      </c>
      <c r="P46" s="81">
        <f t="shared" si="3"/>
        <v>350.81020000000001</v>
      </c>
      <c r="Q46" s="2"/>
      <c r="T46" s="346"/>
      <c r="U46" s="400"/>
    </row>
    <row r="47" spans="1:21" x14ac:dyDescent="0.25">
      <c r="A47" s="197"/>
      <c r="B47" s="202">
        <v>42286</v>
      </c>
      <c r="C47" s="197">
        <v>10</v>
      </c>
      <c r="D47" s="198">
        <v>274</v>
      </c>
      <c r="E47" s="198">
        <v>0</v>
      </c>
      <c r="F47" s="198">
        <f t="shared" si="2"/>
        <v>2740</v>
      </c>
      <c r="G47" s="202">
        <v>42347</v>
      </c>
      <c r="H47" s="203">
        <v>35</v>
      </c>
      <c r="I47" s="198">
        <v>282.99</v>
      </c>
      <c r="J47" s="198">
        <v>0.18</v>
      </c>
      <c r="K47" s="198">
        <f t="shared" si="1"/>
        <v>9904.4699999999993</v>
      </c>
      <c r="L47" s="197"/>
      <c r="M47" s="197"/>
      <c r="O47" s="81">
        <v>1.06</v>
      </c>
      <c r="P47" s="81">
        <f t="shared" si="3"/>
        <v>347.53160000000003</v>
      </c>
      <c r="Q47" s="2"/>
      <c r="T47" s="346"/>
      <c r="U47" s="400"/>
    </row>
    <row r="48" spans="1:21" x14ac:dyDescent="0.25">
      <c r="A48" s="197"/>
      <c r="B48" s="202">
        <v>42286</v>
      </c>
      <c r="C48" s="197">
        <v>10</v>
      </c>
      <c r="D48" s="198">
        <v>269.8</v>
      </c>
      <c r="E48" s="198">
        <v>0</v>
      </c>
      <c r="F48" s="198">
        <f t="shared" si="2"/>
        <v>2698</v>
      </c>
      <c r="G48" s="202">
        <v>42359</v>
      </c>
      <c r="H48" s="203">
        <v>25</v>
      </c>
      <c r="I48" s="198">
        <v>295</v>
      </c>
      <c r="J48" s="198">
        <v>0.14000000000000001</v>
      </c>
      <c r="K48" s="198">
        <f t="shared" si="1"/>
        <v>7374.86</v>
      </c>
      <c r="L48" s="197"/>
      <c r="M48" s="197"/>
      <c r="O48" s="81">
        <v>1.05</v>
      </c>
      <c r="P48" s="81">
        <f t="shared" si="3"/>
        <v>344.25300000000004</v>
      </c>
      <c r="Q48" s="2"/>
      <c r="T48" s="346"/>
      <c r="U48" s="400"/>
    </row>
    <row r="49" spans="1:21" x14ac:dyDescent="0.25">
      <c r="A49" s="197"/>
      <c r="B49" s="202">
        <v>42292</v>
      </c>
      <c r="C49" s="197">
        <v>25</v>
      </c>
      <c r="D49" s="198">
        <v>268.5</v>
      </c>
      <c r="E49" s="198">
        <v>0</v>
      </c>
      <c r="F49" s="198">
        <f t="shared" si="2"/>
        <v>6712.5</v>
      </c>
      <c r="G49" s="202">
        <v>42447</v>
      </c>
      <c r="H49" s="203">
        <v>5</v>
      </c>
      <c r="I49" s="198">
        <v>249.59</v>
      </c>
      <c r="J49" s="198">
        <v>0.03</v>
      </c>
      <c r="K49" s="198">
        <v>1247.92</v>
      </c>
      <c r="L49" s="197"/>
      <c r="M49" s="197"/>
      <c r="O49" s="81">
        <v>1.04</v>
      </c>
      <c r="P49" s="81">
        <f t="shared" si="3"/>
        <v>340.9744</v>
      </c>
      <c r="Q49" s="2"/>
      <c r="T49" s="346"/>
      <c r="U49" s="400"/>
    </row>
    <row r="50" spans="1:21" x14ac:dyDescent="0.25">
      <c r="A50" s="197"/>
      <c r="B50" s="202">
        <v>42293</v>
      </c>
      <c r="C50" s="197">
        <v>10</v>
      </c>
      <c r="D50" s="198">
        <v>262.25</v>
      </c>
      <c r="E50" s="198">
        <v>0</v>
      </c>
      <c r="F50" s="198">
        <f t="shared" si="2"/>
        <v>2622.5</v>
      </c>
      <c r="G50" s="202">
        <v>42460</v>
      </c>
      <c r="H50" s="203">
        <v>5</v>
      </c>
      <c r="I50" s="198">
        <v>261.22000000000003</v>
      </c>
      <c r="J50" s="198">
        <v>0.03</v>
      </c>
      <c r="K50" s="198">
        <v>1306.0700000000002</v>
      </c>
      <c r="L50" s="197"/>
      <c r="M50" s="197"/>
      <c r="O50" s="81">
        <v>1.03</v>
      </c>
      <c r="P50" s="81">
        <f t="shared" si="3"/>
        <v>337.69580000000002</v>
      </c>
      <c r="Q50" s="2"/>
      <c r="T50" s="346"/>
      <c r="U50" s="400"/>
    </row>
    <row r="51" spans="1:21" x14ac:dyDescent="0.25">
      <c r="A51" s="197"/>
      <c r="B51" s="202">
        <v>42293</v>
      </c>
      <c r="C51" s="197">
        <v>10</v>
      </c>
      <c r="D51" s="198">
        <v>255.4</v>
      </c>
      <c r="E51" s="198">
        <v>0</v>
      </c>
      <c r="F51" s="198">
        <f t="shared" si="2"/>
        <v>2554</v>
      </c>
      <c r="G51" s="202">
        <v>42482</v>
      </c>
      <c r="H51" s="203">
        <v>5</v>
      </c>
      <c r="I51" s="198">
        <v>282.95</v>
      </c>
      <c r="J51" s="198">
        <v>0.03</v>
      </c>
      <c r="K51" s="198">
        <v>1414.72</v>
      </c>
      <c r="L51" s="197"/>
      <c r="M51" s="197"/>
      <c r="O51" s="81">
        <v>1.02</v>
      </c>
      <c r="P51" s="81">
        <f t="shared" si="3"/>
        <v>334.41720000000004</v>
      </c>
      <c r="Q51" s="2"/>
      <c r="T51" s="346"/>
      <c r="U51" s="400"/>
    </row>
    <row r="52" spans="1:21" x14ac:dyDescent="0.25">
      <c r="A52" s="197"/>
      <c r="B52" s="202">
        <v>42314</v>
      </c>
      <c r="C52" s="197">
        <v>10</v>
      </c>
      <c r="D52" s="198">
        <v>298.81</v>
      </c>
      <c r="E52" s="198">
        <v>0</v>
      </c>
      <c r="F52" s="198">
        <f t="shared" si="2"/>
        <v>2988.1</v>
      </c>
      <c r="G52" s="202"/>
      <c r="H52" s="197"/>
      <c r="I52" s="198"/>
      <c r="J52" s="197"/>
      <c r="K52" s="198"/>
      <c r="L52" s="197"/>
      <c r="M52" s="197"/>
      <c r="O52" s="81">
        <v>1.01</v>
      </c>
      <c r="P52" s="81">
        <f t="shared" si="3"/>
        <v>331.1386</v>
      </c>
      <c r="Q52" s="2"/>
      <c r="T52" s="346"/>
      <c r="U52" s="400"/>
    </row>
    <row r="53" spans="1:21" x14ac:dyDescent="0.25">
      <c r="A53" s="197"/>
      <c r="B53" s="202">
        <v>42341</v>
      </c>
      <c r="C53" s="197">
        <v>20</v>
      </c>
      <c r="D53" s="198">
        <v>286.08999999999997</v>
      </c>
      <c r="E53" s="198">
        <v>0</v>
      </c>
      <c r="F53" s="198">
        <f t="shared" si="2"/>
        <v>5721.7999999999993</v>
      </c>
      <c r="G53" s="202"/>
      <c r="H53" s="197"/>
      <c r="I53" s="197"/>
      <c r="J53" s="197"/>
      <c r="K53" s="198"/>
      <c r="L53" s="197"/>
      <c r="M53" s="197"/>
      <c r="O53" s="81">
        <v>1</v>
      </c>
      <c r="P53" s="81">
        <f t="shared" si="3"/>
        <v>327.86</v>
      </c>
      <c r="Q53" s="2"/>
      <c r="U53" s="401"/>
    </row>
    <row r="54" spans="1:21" x14ac:dyDescent="0.25">
      <c r="A54" s="197"/>
      <c r="B54" s="202">
        <v>42408</v>
      </c>
      <c r="C54" s="197">
        <v>5</v>
      </c>
      <c r="D54" s="198">
        <v>251.5</v>
      </c>
      <c r="E54" s="198">
        <v>0</v>
      </c>
      <c r="F54" s="198">
        <f>C54*D54 + E54</f>
        <v>1257.5</v>
      </c>
      <c r="G54" s="202"/>
      <c r="H54" s="197"/>
      <c r="I54" s="197"/>
      <c r="J54" s="197"/>
      <c r="K54" s="198"/>
      <c r="L54" s="197"/>
      <c r="M54" s="197"/>
      <c r="O54" s="81">
        <v>0.99</v>
      </c>
      <c r="P54" s="81">
        <f t="shared" si="3"/>
        <v>324.58140000000003</v>
      </c>
      <c r="Q54" s="2"/>
      <c r="U54" s="401"/>
    </row>
    <row r="55" spans="1:21" x14ac:dyDescent="0.25">
      <c r="A55" s="197"/>
      <c r="B55" s="202">
        <v>42446</v>
      </c>
      <c r="C55" s="197">
        <v>5</v>
      </c>
      <c r="D55" s="198">
        <v>242.55</v>
      </c>
      <c r="E55" s="198">
        <v>0</v>
      </c>
      <c r="F55" s="198">
        <f>C55*D55 + E55</f>
        <v>1212.75</v>
      </c>
      <c r="G55" s="202"/>
      <c r="H55" s="197"/>
      <c r="I55" s="197"/>
      <c r="J55" s="197"/>
      <c r="K55" s="198"/>
      <c r="L55" s="197"/>
      <c r="M55" s="197"/>
      <c r="O55" s="81">
        <v>0.98</v>
      </c>
      <c r="P55" s="81">
        <f t="shared" si="3"/>
        <v>321.30279999999999</v>
      </c>
      <c r="Q55" s="2"/>
      <c r="U55" s="400"/>
    </row>
    <row r="56" spans="1:21" x14ac:dyDescent="0.25">
      <c r="A56" s="197"/>
      <c r="B56" s="202"/>
      <c r="C56" s="197">
        <v>5</v>
      </c>
      <c r="D56" s="198">
        <v>242.55</v>
      </c>
      <c r="E56" s="198">
        <v>0</v>
      </c>
      <c r="F56" s="198">
        <f>C56*D56 + E56</f>
        <v>1212.75</v>
      </c>
      <c r="G56" s="202"/>
      <c r="H56" s="197"/>
      <c r="I56" s="197"/>
      <c r="J56" s="197"/>
      <c r="K56" s="198"/>
      <c r="L56" s="197"/>
      <c r="M56" s="197"/>
      <c r="O56" s="81">
        <v>0.97</v>
      </c>
      <c r="P56" s="81">
        <f t="shared" si="3"/>
        <v>318.02420000000001</v>
      </c>
      <c r="U56" s="400"/>
    </row>
    <row r="57" spans="1:21" x14ac:dyDescent="0.25">
      <c r="A57" s="31" t="s">
        <v>81</v>
      </c>
      <c r="B57" s="14"/>
      <c r="C57" s="14">
        <f>SUM(C41:C56)</f>
        <v>155</v>
      </c>
      <c r="D57" s="18"/>
      <c r="E57" s="18"/>
      <c r="F57" s="18">
        <f>SUM(F41:F56)</f>
        <v>42813.399999999994</v>
      </c>
      <c r="G57" s="14"/>
      <c r="H57" s="71">
        <f>SUM(H41:H53)</f>
        <v>155</v>
      </c>
      <c r="I57" s="18"/>
      <c r="J57" s="18"/>
      <c r="K57" s="18">
        <f>SUM(K41:K53)</f>
        <v>44472.76</v>
      </c>
      <c r="L57" s="14"/>
      <c r="M57" s="14"/>
      <c r="O57" s="81">
        <v>0.96</v>
      </c>
      <c r="P57" s="81">
        <f t="shared" si="3"/>
        <v>314.74560000000002</v>
      </c>
      <c r="U57" s="400"/>
    </row>
    <row r="58" spans="1:21" x14ac:dyDescent="0.25">
      <c r="O58" s="81">
        <v>0.95</v>
      </c>
      <c r="P58" s="81">
        <f t="shared" si="3"/>
        <v>311.46699999999998</v>
      </c>
      <c r="U58" s="400"/>
    </row>
    <row r="59" spans="1:21" x14ac:dyDescent="0.25">
      <c r="O59" s="81">
        <v>0.94</v>
      </c>
      <c r="P59" s="81">
        <f t="shared" si="3"/>
        <v>308.1884</v>
      </c>
    </row>
    <row r="60" spans="1:21" x14ac:dyDescent="0.25">
      <c r="B60" s="205" t="s">
        <v>113</v>
      </c>
      <c r="C60" s="205" t="s">
        <v>145</v>
      </c>
      <c r="D60" s="206" t="s">
        <v>144</v>
      </c>
      <c r="E60" s="207" t="s">
        <v>146</v>
      </c>
      <c r="F60" s="208" t="s">
        <v>65</v>
      </c>
      <c r="G60" s="209" t="s">
        <v>150</v>
      </c>
      <c r="H60" s="208" t="s">
        <v>88</v>
      </c>
      <c r="O60" s="81">
        <v>0.93</v>
      </c>
      <c r="P60" s="81">
        <f t="shared" si="3"/>
        <v>304.90980000000002</v>
      </c>
    </row>
    <row r="61" spans="1:21" x14ac:dyDescent="0.25">
      <c r="B61" s="202">
        <v>42304</v>
      </c>
      <c r="C61" s="197">
        <v>80</v>
      </c>
      <c r="D61" s="198">
        <v>271.44</v>
      </c>
      <c r="E61" s="198">
        <v>293.69</v>
      </c>
      <c r="F61" s="198">
        <v>1780.09</v>
      </c>
      <c r="G61" s="198">
        <f t="shared" ref="G61:G66" si="4">IF(C61=0, 0,D61*C61)</f>
        <v>21715.200000000001</v>
      </c>
      <c r="H61" s="210">
        <f t="shared" ref="H61:H66" si="5">IF(C61=0, D61, (E61-D61)/D61)</f>
        <v>8.1970232832301801E-2</v>
      </c>
      <c r="O61" s="81">
        <v>0.92</v>
      </c>
      <c r="P61" s="81">
        <f t="shared" si="3"/>
        <v>301.63120000000004</v>
      </c>
    </row>
    <row r="62" spans="1:21" x14ac:dyDescent="0.25">
      <c r="B62" s="202">
        <v>42310</v>
      </c>
      <c r="C62" s="197">
        <v>70</v>
      </c>
      <c r="D62" s="198">
        <v>267.36</v>
      </c>
      <c r="E62" s="198">
        <v>303.08</v>
      </c>
      <c r="F62" s="198">
        <v>2500.4299999999998</v>
      </c>
      <c r="G62" s="198">
        <f t="shared" si="4"/>
        <v>18715.2</v>
      </c>
      <c r="H62" s="210">
        <f t="shared" si="5"/>
        <v>0.1336026331538</v>
      </c>
      <c r="O62" s="81">
        <v>0.91</v>
      </c>
      <c r="P62" s="81">
        <f t="shared" si="3"/>
        <v>298.3526</v>
      </c>
    </row>
    <row r="63" spans="1:21" x14ac:dyDescent="0.25">
      <c r="B63" s="202">
        <v>42314</v>
      </c>
      <c r="C63" s="197">
        <v>80</v>
      </c>
      <c r="D63" s="198">
        <v>271.29000000000002</v>
      </c>
      <c r="E63" s="198">
        <v>299.14</v>
      </c>
      <c r="F63" s="198">
        <v>2227.9299999999998</v>
      </c>
      <c r="G63" s="198">
        <f t="shared" si="4"/>
        <v>21703.200000000001</v>
      </c>
      <c r="H63" s="210">
        <f t="shared" si="5"/>
        <v>0.10265767260127526</v>
      </c>
      <c r="O63" s="81">
        <v>0.9</v>
      </c>
      <c r="P63" s="81">
        <f t="shared" si="3"/>
        <v>295.07400000000001</v>
      </c>
    </row>
    <row r="64" spans="1:21" x14ac:dyDescent="0.25">
      <c r="B64" s="202">
        <v>42326</v>
      </c>
      <c r="C64" s="197">
        <v>40</v>
      </c>
      <c r="D64" s="198">
        <v>254.6</v>
      </c>
      <c r="E64" s="198">
        <v>291.98</v>
      </c>
      <c r="F64" s="198">
        <v>1495.32</v>
      </c>
      <c r="G64" s="198">
        <f t="shared" si="4"/>
        <v>10184</v>
      </c>
      <c r="H64" s="210">
        <f t="shared" si="5"/>
        <v>0.14681853888452484</v>
      </c>
    </row>
    <row r="65" spans="2:9" x14ac:dyDescent="0.25">
      <c r="B65" s="202">
        <v>42338</v>
      </c>
      <c r="C65" s="197">
        <v>60</v>
      </c>
      <c r="D65" s="198">
        <v>265.08999999999997</v>
      </c>
      <c r="E65" s="198">
        <v>286.86</v>
      </c>
      <c r="F65" s="198">
        <v>1305.92</v>
      </c>
      <c r="G65" s="198">
        <f t="shared" si="4"/>
        <v>15905.399999999998</v>
      </c>
      <c r="H65" s="210">
        <f t="shared" si="5"/>
        <v>8.2123052548191328E-2</v>
      </c>
    </row>
    <row r="66" spans="2:9" x14ac:dyDescent="0.25">
      <c r="B66" s="202">
        <v>42342</v>
      </c>
      <c r="C66" s="197">
        <v>25</v>
      </c>
      <c r="D66" s="198">
        <v>240.05</v>
      </c>
      <c r="E66" s="198">
        <v>284.45</v>
      </c>
      <c r="F66" s="198">
        <v>1110</v>
      </c>
      <c r="G66" s="198">
        <f t="shared" si="4"/>
        <v>6001.25</v>
      </c>
      <c r="H66" s="210">
        <f t="shared" si="5"/>
        <v>0.18496146636117466</v>
      </c>
    </row>
    <row r="67" spans="2:9" x14ac:dyDescent="0.25">
      <c r="B67" s="202">
        <v>42355</v>
      </c>
      <c r="C67" s="197">
        <v>0</v>
      </c>
      <c r="D67" s="198">
        <v>0</v>
      </c>
      <c r="E67" s="198">
        <v>297.17</v>
      </c>
      <c r="F67" s="198">
        <v>1373.65</v>
      </c>
      <c r="G67" s="198"/>
      <c r="H67" s="210"/>
    </row>
    <row r="69" spans="2:9" x14ac:dyDescent="0.25">
      <c r="B69" s="297">
        <v>42408</v>
      </c>
      <c r="C69" s="298">
        <v>5</v>
      </c>
      <c r="D69" s="299">
        <v>251.5</v>
      </c>
      <c r="E69" s="299">
        <v>256.52</v>
      </c>
      <c r="F69" s="299">
        <f>C69*(E69-D69)</f>
        <v>25.099999999999909</v>
      </c>
      <c r="G69" s="299">
        <f>D69*C69</f>
        <v>1257.5</v>
      </c>
      <c r="H69" s="300">
        <f>(E69-D69)/D69</f>
        <v>1.9960238568588397E-2</v>
      </c>
      <c r="I69" s="300"/>
    </row>
    <row r="70" spans="2:9" x14ac:dyDescent="0.25">
      <c r="B70" s="297">
        <v>42422</v>
      </c>
      <c r="C70" s="298">
        <v>5</v>
      </c>
      <c r="D70" s="299">
        <v>251.5</v>
      </c>
      <c r="E70" s="299">
        <v>265.83</v>
      </c>
      <c r="F70" s="299">
        <f t="shared" ref="F70:F79" si="6">C70*(E70-D70)</f>
        <v>71.64999999999992</v>
      </c>
      <c r="G70" s="299">
        <f t="shared" ref="G70:G80" si="7">D70*C70</f>
        <v>1257.5</v>
      </c>
      <c r="H70" s="300">
        <f t="shared" ref="H70:H79" si="8">(E70-D70)/D70</f>
        <v>5.6978131212723597E-2</v>
      </c>
      <c r="I70" s="300"/>
    </row>
    <row r="71" spans="2:9" x14ac:dyDescent="0.25">
      <c r="B71" s="297">
        <v>42431</v>
      </c>
      <c r="C71" s="298">
        <v>5</v>
      </c>
      <c r="D71" s="299">
        <v>251.5</v>
      </c>
      <c r="E71" s="299">
        <v>273.66000000000003</v>
      </c>
      <c r="F71" s="299">
        <f t="shared" si="6"/>
        <v>110.80000000000013</v>
      </c>
      <c r="G71" s="299">
        <f t="shared" si="7"/>
        <v>1257.5</v>
      </c>
      <c r="H71" s="300">
        <f t="shared" si="8"/>
        <v>8.8111332007952389E-2</v>
      </c>
      <c r="I71" s="300"/>
    </row>
    <row r="72" spans="2:9" x14ac:dyDescent="0.25">
      <c r="B72" s="297">
        <v>42433</v>
      </c>
      <c r="C72" s="298">
        <v>5</v>
      </c>
      <c r="D72" s="299">
        <v>251.5</v>
      </c>
      <c r="E72" s="299">
        <v>263.94</v>
      </c>
      <c r="F72" s="299">
        <f t="shared" si="6"/>
        <v>62.199999999999989</v>
      </c>
      <c r="G72" s="299">
        <f t="shared" si="7"/>
        <v>1257.5</v>
      </c>
      <c r="H72" s="300">
        <f t="shared" si="8"/>
        <v>4.9463220675944324E-2</v>
      </c>
      <c r="I72" s="300"/>
    </row>
    <row r="73" spans="2:9" x14ac:dyDescent="0.25">
      <c r="B73" s="297">
        <v>42439</v>
      </c>
      <c r="C73" s="298">
        <v>5</v>
      </c>
      <c r="D73" s="299">
        <v>251.5</v>
      </c>
      <c r="E73" s="299">
        <v>251.97</v>
      </c>
      <c r="F73" s="299">
        <f t="shared" si="6"/>
        <v>2.3499999999999943</v>
      </c>
      <c r="G73" s="299">
        <f t="shared" si="7"/>
        <v>1257.5</v>
      </c>
      <c r="H73" s="301">
        <f t="shared" si="8"/>
        <v>1.8687872763419437E-3</v>
      </c>
      <c r="I73" s="301"/>
    </row>
    <row r="74" spans="2:9" x14ac:dyDescent="0.25">
      <c r="B74" s="297">
        <v>42444</v>
      </c>
      <c r="C74" s="298">
        <v>5</v>
      </c>
      <c r="D74" s="299">
        <v>251.5</v>
      </c>
      <c r="E74" s="299">
        <v>250.33</v>
      </c>
      <c r="F74" s="299">
        <f t="shared" si="6"/>
        <v>-5.8499999999999375</v>
      </c>
      <c r="G74" s="299">
        <f t="shared" si="7"/>
        <v>1257.5</v>
      </c>
      <c r="H74" s="301">
        <f t="shared" si="8"/>
        <v>-4.6520874751490556E-3</v>
      </c>
      <c r="I74" s="301"/>
    </row>
    <row r="75" spans="2:9" x14ac:dyDescent="0.25">
      <c r="B75" s="297">
        <v>42446</v>
      </c>
      <c r="C75" s="298">
        <v>15</v>
      </c>
      <c r="D75" s="299">
        <v>245.5333</v>
      </c>
      <c r="E75" s="299">
        <v>246.31</v>
      </c>
      <c r="F75" s="299">
        <f t="shared" si="6"/>
        <v>11.650500000000079</v>
      </c>
      <c r="G75" s="299">
        <f t="shared" si="7"/>
        <v>3682.9994999999999</v>
      </c>
      <c r="H75" s="301">
        <f t="shared" si="8"/>
        <v>3.1633183767741701E-3</v>
      </c>
      <c r="I75" s="301"/>
    </row>
    <row r="76" spans="2:9" x14ac:dyDescent="0.25">
      <c r="B76" s="297">
        <v>42447</v>
      </c>
      <c r="C76" s="298">
        <v>10</v>
      </c>
      <c r="D76" s="299">
        <v>243.50800000000001</v>
      </c>
      <c r="E76" s="299">
        <v>250.78</v>
      </c>
      <c r="F76" s="299">
        <f t="shared" si="6"/>
        <v>72.719999999999914</v>
      </c>
      <c r="G76" s="299">
        <f t="shared" si="7"/>
        <v>2435.08</v>
      </c>
      <c r="H76" s="301">
        <f t="shared" si="8"/>
        <v>2.9863495244509385E-2</v>
      </c>
      <c r="I76" s="301" t="s">
        <v>188</v>
      </c>
    </row>
    <row r="77" spans="2:9" x14ac:dyDescent="0.25">
      <c r="B77" s="297">
        <v>42458</v>
      </c>
      <c r="C77" s="298">
        <v>10</v>
      </c>
      <c r="D77" s="299">
        <v>243.50800000000001</v>
      </c>
      <c r="E77" s="299">
        <v>254.68</v>
      </c>
      <c r="F77" s="299">
        <f t="shared" si="6"/>
        <v>111.71999999999997</v>
      </c>
      <c r="G77" s="299">
        <f t="shared" si="7"/>
        <v>2435.08</v>
      </c>
      <c r="H77" s="301">
        <f t="shared" si="8"/>
        <v>4.587939615946908E-2</v>
      </c>
      <c r="I77" s="301"/>
    </row>
    <row r="78" spans="2:9" x14ac:dyDescent="0.25">
      <c r="B78" s="297">
        <v>42460</v>
      </c>
      <c r="C78" s="298">
        <v>5</v>
      </c>
      <c r="D78" s="299">
        <v>225.80199999999999</v>
      </c>
      <c r="E78" s="299">
        <v>260.32</v>
      </c>
      <c r="F78" s="299">
        <f t="shared" si="6"/>
        <v>172.59</v>
      </c>
      <c r="G78" s="299">
        <f t="shared" si="7"/>
        <v>1129.01</v>
      </c>
      <c r="H78" s="301">
        <f t="shared" si="8"/>
        <v>0.15286844226357607</v>
      </c>
      <c r="I78" s="301"/>
    </row>
    <row r="79" spans="2:9" x14ac:dyDescent="0.25">
      <c r="B79" s="297">
        <v>42469</v>
      </c>
      <c r="C79" s="298">
        <v>5</v>
      </c>
      <c r="D79" s="299">
        <v>225.80199999999999</v>
      </c>
      <c r="E79" s="299">
        <v>270.83</v>
      </c>
      <c r="F79" s="299">
        <f t="shared" si="6"/>
        <v>225.13999999999996</v>
      </c>
      <c r="G79" s="299">
        <f t="shared" si="7"/>
        <v>1129.01</v>
      </c>
      <c r="H79" s="301">
        <f t="shared" si="8"/>
        <v>0.1994136455832986</v>
      </c>
      <c r="I79" s="301"/>
    </row>
    <row r="80" spans="2:9" x14ac:dyDescent="0.25">
      <c r="B80" s="297">
        <v>42482</v>
      </c>
      <c r="C80" s="298">
        <v>0</v>
      </c>
      <c r="D80" s="299">
        <v>0</v>
      </c>
      <c r="E80" s="299">
        <v>0</v>
      </c>
      <c r="F80" s="299">
        <v>285.70999999999998</v>
      </c>
      <c r="G80" s="299">
        <f t="shared" si="7"/>
        <v>0</v>
      </c>
      <c r="H80" s="301"/>
      <c r="I80" s="301"/>
    </row>
    <row r="81" spans="2:9" x14ac:dyDescent="0.25">
      <c r="B81" s="298"/>
      <c r="C81" s="298"/>
      <c r="D81" s="299"/>
      <c r="E81" s="299"/>
      <c r="F81" s="299"/>
      <c r="G81" s="299"/>
      <c r="H81" s="301"/>
      <c r="I81" s="301"/>
    </row>
    <row r="82" spans="2:9" x14ac:dyDescent="0.25">
      <c r="B82" s="298"/>
      <c r="C82" s="298"/>
      <c r="D82" s="299"/>
      <c r="E82" s="299"/>
      <c r="F82" s="299"/>
      <c r="G82" s="299"/>
      <c r="H82" s="301"/>
      <c r="I82" s="301"/>
    </row>
  </sheetData>
  <mergeCells count="1">
    <mergeCell ref="O42:P42"/>
  </mergeCells>
  <conditionalFormatting sqref="N19 F25:F35">
    <cfRule type="expression" dxfId="3778" priority="58">
      <formula>F19&gt;0</formula>
    </cfRule>
    <cfRule type="expression" dxfId="3777"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3776" priority="47">
      <formula>H25&gt;0</formula>
    </cfRule>
    <cfRule type="expression" dxfId="3775" priority="48">
      <formula>H25&lt;0</formula>
    </cfRule>
  </conditionalFormatting>
  <conditionalFormatting sqref="M39">
    <cfRule type="expression" dxfId="3774" priority="45">
      <formula>M39&gt;0</formula>
    </cfRule>
    <cfRule type="expression" dxfId="3773" priority="46">
      <formula>M39&lt;0</formula>
    </cfRule>
  </conditionalFormatting>
  <conditionalFormatting sqref="F61:F67">
    <cfRule type="expression" dxfId="3772" priority="43">
      <formula>F61&gt;0</formula>
    </cfRule>
    <cfRule type="expression" dxfId="3771" priority="44">
      <formula>F61&lt;0</formula>
    </cfRule>
  </conditionalFormatting>
  <conditionalFormatting sqref="H61:H67">
    <cfRule type="expression" dxfId="3770" priority="41">
      <formula>H61&gt;0</formula>
    </cfRule>
    <cfRule type="expression" dxfId="3769" priority="42">
      <formula>H61&lt;0</formula>
    </cfRule>
  </conditionalFormatting>
  <conditionalFormatting sqref="F21:F24">
    <cfRule type="expression" dxfId="3768" priority="39">
      <formula>F21&gt;0</formula>
    </cfRule>
    <cfRule type="expression" dxfId="3767" priority="40">
      <formula>F21&lt;0</formula>
    </cfRule>
  </conditionalFormatting>
  <conditionalFormatting sqref="H21:H24">
    <cfRule type="expression" dxfId="3766" priority="37">
      <formula>H21&gt;0</formula>
    </cfRule>
    <cfRule type="expression" dxfId="3765" priority="38">
      <formula>H21&lt;0</formula>
    </cfRule>
  </conditionalFormatting>
  <conditionalFormatting sqref="I25:I28">
    <cfRule type="expression" dxfId="3764" priority="31">
      <formula>I25&gt;0</formula>
    </cfRule>
    <cfRule type="expression" dxfId="3763" priority="32">
      <formula>I25&lt;0</formula>
    </cfRule>
  </conditionalFormatting>
  <conditionalFormatting sqref="I21:I24">
    <cfRule type="expression" dxfId="3762" priority="29">
      <formula>I21&gt;0</formula>
    </cfRule>
    <cfRule type="expression" dxfId="3761" priority="30">
      <formula>I21&lt;0</formula>
    </cfRule>
  </conditionalFormatting>
  <conditionalFormatting sqref="H29">
    <cfRule type="expression" dxfId="3760" priority="27">
      <formula>H29&gt;0</formula>
    </cfRule>
    <cfRule type="expression" dxfId="3759" priority="28">
      <formula>H29&lt;0</formula>
    </cfRule>
  </conditionalFormatting>
  <conditionalFormatting sqref="H30">
    <cfRule type="expression" dxfId="3758" priority="25">
      <formula>H30&gt;0</formula>
    </cfRule>
    <cfRule type="expression" dxfId="3757" priority="26">
      <formula>H30&lt;0</formula>
    </cfRule>
  </conditionalFormatting>
  <conditionalFormatting sqref="H31">
    <cfRule type="expression" dxfId="3756" priority="23">
      <formula>H31&gt;0</formula>
    </cfRule>
    <cfRule type="expression" dxfId="3755" priority="24">
      <formula>H31&lt;0</formula>
    </cfRule>
  </conditionalFormatting>
  <conditionalFormatting sqref="Q7">
    <cfRule type="expression" dxfId="3754" priority="21">
      <formula>Q7&gt;0</formula>
    </cfRule>
    <cfRule type="expression" dxfId="3753" priority="22">
      <formula>Q7&lt;0</formula>
    </cfRule>
  </conditionalFormatting>
  <conditionalFormatting sqref="Q8">
    <cfRule type="expression" dxfId="3752" priority="19">
      <formula>Q8&gt;0</formula>
    </cfRule>
    <cfRule type="expression" dxfId="3751" priority="20">
      <formula>Q8&lt;0</formula>
    </cfRule>
  </conditionalFormatting>
  <conditionalFormatting sqref="F73:F82">
    <cfRule type="expression" dxfId="3750" priority="17">
      <formula>F73&gt;0</formula>
    </cfRule>
    <cfRule type="expression" dxfId="3749" priority="18">
      <formula>F73&lt;0</formula>
    </cfRule>
  </conditionalFormatting>
  <conditionalFormatting sqref="H73:H76">
    <cfRule type="expression" dxfId="3748" priority="15">
      <formula>H73&gt;0</formula>
    </cfRule>
    <cfRule type="expression" dxfId="3747" priority="16">
      <formula>H73&lt;0</formula>
    </cfRule>
  </conditionalFormatting>
  <conditionalFormatting sqref="F69:F72">
    <cfRule type="expression" dxfId="3746" priority="13">
      <formula>F69&gt;0</formula>
    </cfRule>
    <cfRule type="expression" dxfId="3745" priority="14">
      <formula>F69&lt;0</formula>
    </cfRule>
  </conditionalFormatting>
  <conditionalFormatting sqref="H69:H72">
    <cfRule type="expression" dxfId="3744" priority="11">
      <formula>H69&gt;0</formula>
    </cfRule>
    <cfRule type="expression" dxfId="3743" priority="12">
      <formula>H69&lt;0</formula>
    </cfRule>
  </conditionalFormatting>
  <conditionalFormatting sqref="I73:I76">
    <cfRule type="expression" dxfId="3742" priority="9">
      <formula>I73&gt;0</formula>
    </cfRule>
    <cfRule type="expression" dxfId="3741" priority="10">
      <formula>I73&lt;0</formula>
    </cfRule>
  </conditionalFormatting>
  <conditionalFormatting sqref="I69:I72">
    <cfRule type="expression" dxfId="3740" priority="7">
      <formula>I69&gt;0</formula>
    </cfRule>
    <cfRule type="expression" dxfId="3739" priority="8">
      <formula>I69&lt;0</formula>
    </cfRule>
  </conditionalFormatting>
  <conditionalFormatting sqref="H77">
    <cfRule type="expression" dxfId="3738" priority="5">
      <formula>H77&gt;0</formula>
    </cfRule>
    <cfRule type="expression" dxfId="3737" priority="6">
      <formula>H77&lt;0</formula>
    </cfRule>
  </conditionalFormatting>
  <conditionalFormatting sqref="H78">
    <cfRule type="expression" dxfId="3736" priority="3">
      <formula>H78&gt;0</formula>
    </cfRule>
    <cfRule type="expression" dxfId="3735" priority="4">
      <formula>H78&lt;0</formula>
    </cfRule>
  </conditionalFormatting>
  <conditionalFormatting sqref="H79">
    <cfRule type="expression" dxfId="3734" priority="1">
      <formula>H79&gt;0</formula>
    </cfRule>
    <cfRule type="expression" dxfId="3733"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92" activePane="bottomLeft" state="frozen"/>
      <selection activeCell="A2" sqref="A2"/>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91" t="s">
        <v>113</v>
      </c>
      <c r="X1" s="91" t="s">
        <v>114</v>
      </c>
      <c r="Y1" s="91" t="s">
        <v>115</v>
      </c>
      <c r="Z1" s="91" t="s">
        <v>116</v>
      </c>
      <c r="AA1" s="91" t="s">
        <v>117</v>
      </c>
      <c r="AB1" s="91" t="s">
        <v>118</v>
      </c>
      <c r="AC1" s="91" t="s">
        <v>119</v>
      </c>
      <c r="AD1" s="11" t="s">
        <v>125</v>
      </c>
      <c r="AE1" s="11" t="s">
        <v>127</v>
      </c>
    </row>
    <row r="2" spans="1:40" x14ac:dyDescent="0.25">
      <c r="A2" s="6" t="s">
        <v>200</v>
      </c>
      <c r="B2" s="72"/>
      <c r="C2" s="4"/>
      <c r="D2" s="3"/>
      <c r="E2" s="3"/>
      <c r="F2" s="3"/>
      <c r="G2" s="72"/>
      <c r="H2" s="4"/>
      <c r="I2" s="3"/>
      <c r="J2" s="3"/>
      <c r="K2" s="3"/>
      <c r="L2" s="4"/>
      <c r="O2" s="11" t="s">
        <v>57</v>
      </c>
      <c r="Q2">
        <f>C18-H18</f>
        <v>0</v>
      </c>
      <c r="W2" s="130">
        <v>42830</v>
      </c>
      <c r="X2" s="10">
        <v>38.74</v>
      </c>
      <c r="Y2" s="10">
        <v>39.24</v>
      </c>
      <c r="Z2" s="10">
        <v>38.590000000000003</v>
      </c>
      <c r="AA2" s="10">
        <v>38.82</v>
      </c>
      <c r="AB2" s="93">
        <v>5371900</v>
      </c>
      <c r="AC2" s="10">
        <v>38.82</v>
      </c>
      <c r="AD2" s="2">
        <f>Y2-Z2</f>
        <v>0.64999999999999858</v>
      </c>
      <c r="AE2" s="134">
        <f>AC2/AC3-1</f>
        <v>3.1007751937983663E-3</v>
      </c>
    </row>
    <row r="3" spans="1:40" x14ac:dyDescent="0.25">
      <c r="A3" s="22" t="s">
        <v>71</v>
      </c>
      <c r="B3" s="157"/>
      <c r="C3" s="4"/>
      <c r="D3" s="3"/>
      <c r="E3" s="3"/>
      <c r="F3" s="3"/>
      <c r="G3" s="72"/>
      <c r="H3" s="161"/>
      <c r="I3" s="3"/>
      <c r="J3" s="3"/>
      <c r="K3" s="3"/>
      <c r="L3" s="4"/>
      <c r="O3" s="11" t="s">
        <v>58</v>
      </c>
      <c r="Q3" s="178">
        <f>IF(Q2=0, Q4, (F18-K18-M18)/Q2)</f>
        <v>30.82</v>
      </c>
      <c r="W3" s="130">
        <v>42829</v>
      </c>
      <c r="X3" s="10">
        <v>38.979999999999997</v>
      </c>
      <c r="Y3" s="10">
        <v>39.020000000000003</v>
      </c>
      <c r="Z3" s="10">
        <v>38.340000000000003</v>
      </c>
      <c r="AA3" s="10">
        <v>38.700000000000003</v>
      </c>
      <c r="AB3" s="93">
        <v>5412500</v>
      </c>
      <c r="AC3" s="10">
        <v>38.700000000000003</v>
      </c>
      <c r="AD3" s="2">
        <f t="shared" ref="AD3:AD66" si="0">Y3-Z3</f>
        <v>0.67999999999999972</v>
      </c>
      <c r="AE3" s="134">
        <f t="shared" ref="AE3:AE66" si="1">AC3/AC4-1</f>
        <v>-7.9466803383746454E-3</v>
      </c>
      <c r="AG3" s="1"/>
      <c r="AK3" s="182"/>
      <c r="AN3" s="182"/>
    </row>
    <row r="4" spans="1:40" x14ac:dyDescent="0.25">
      <c r="B4" s="157"/>
      <c r="C4" s="4"/>
      <c r="D4" s="3"/>
      <c r="E4" s="3"/>
      <c r="F4" s="3"/>
      <c r="G4" s="72"/>
      <c r="H4" s="161"/>
      <c r="I4" s="3"/>
      <c r="J4" s="3"/>
      <c r="K4" s="3"/>
      <c r="L4" s="4"/>
      <c r="O4" s="11" t="s">
        <v>66</v>
      </c>
      <c r="Q4" s="54">
        <v>30.82</v>
      </c>
      <c r="R4" s="420">
        <v>4.7999999999999996E-3</v>
      </c>
      <c r="T4" s="1"/>
      <c r="W4" s="130">
        <v>42828</v>
      </c>
      <c r="X4" s="10">
        <v>38.630000000000003</v>
      </c>
      <c r="Y4" s="10">
        <v>39.159999999999997</v>
      </c>
      <c r="Z4" s="10">
        <v>38.57</v>
      </c>
      <c r="AA4" s="10">
        <v>39.01</v>
      </c>
      <c r="AB4" s="93">
        <v>7571700</v>
      </c>
      <c r="AC4" s="10">
        <v>39.01</v>
      </c>
      <c r="AD4" s="2">
        <f t="shared" si="0"/>
        <v>0.58999999999999631</v>
      </c>
      <c r="AE4" s="134">
        <f t="shared" si="1"/>
        <v>5.129520389841602E-4</v>
      </c>
      <c r="AK4" s="182"/>
      <c r="AN4" s="182"/>
    </row>
    <row r="5" spans="1:40" x14ac:dyDescent="0.25">
      <c r="B5" s="72"/>
      <c r="C5" s="4"/>
      <c r="D5" s="3"/>
      <c r="E5" s="3"/>
      <c r="F5" s="3"/>
      <c r="G5" s="72"/>
      <c r="H5" s="161"/>
      <c r="I5" s="3"/>
      <c r="J5" s="3"/>
      <c r="K5" s="3"/>
      <c r="L5" s="4"/>
      <c r="O5" s="11" t="s">
        <v>67</v>
      </c>
      <c r="Q5" s="3">
        <f>Q4*Q2</f>
        <v>0</v>
      </c>
      <c r="T5" s="1"/>
      <c r="W5" s="130">
        <v>42825</v>
      </c>
      <c r="X5" s="10">
        <v>39.479999999999997</v>
      </c>
      <c r="Y5" s="10">
        <v>39.659999999999997</v>
      </c>
      <c r="Z5" s="10">
        <v>38.950000000000003</v>
      </c>
      <c r="AA5" s="10">
        <v>38.99</v>
      </c>
      <c r="AB5" s="93">
        <v>6547000</v>
      </c>
      <c r="AC5" s="10">
        <v>38.99</v>
      </c>
      <c r="AD5" s="2">
        <f t="shared" si="0"/>
        <v>0.70999999999999375</v>
      </c>
      <c r="AE5" s="134">
        <f t="shared" si="1"/>
        <v>-1.5155342258146076E-2</v>
      </c>
      <c r="AK5" s="182"/>
      <c r="AN5" s="182"/>
    </row>
    <row r="6" spans="1:40" x14ac:dyDescent="0.25">
      <c r="B6" s="157"/>
      <c r="C6" s="4"/>
      <c r="D6" s="3"/>
      <c r="E6" s="3"/>
      <c r="F6" s="3"/>
      <c r="G6" s="72"/>
      <c r="H6" s="161"/>
      <c r="I6" s="3"/>
      <c r="J6" s="3"/>
      <c r="K6" s="3"/>
      <c r="L6" s="4"/>
      <c r="O6" s="11" t="s">
        <v>64</v>
      </c>
      <c r="Q6" s="2">
        <f>Q3*Q2</f>
        <v>0</v>
      </c>
      <c r="W6" s="130">
        <v>42824</v>
      </c>
      <c r="X6" s="10">
        <v>40.21</v>
      </c>
      <c r="Y6" s="10">
        <v>40.43</v>
      </c>
      <c r="Z6" s="10">
        <v>39.5</v>
      </c>
      <c r="AA6" s="10">
        <v>39.590000000000003</v>
      </c>
      <c r="AB6" s="93">
        <v>7330600</v>
      </c>
      <c r="AC6" s="10">
        <v>39.590000000000003</v>
      </c>
      <c r="AD6" s="2">
        <f t="shared" si="0"/>
        <v>0.92999999999999972</v>
      </c>
      <c r="AE6" s="134">
        <f t="shared" si="1"/>
        <v>-1.883519206939277E-2</v>
      </c>
      <c r="AK6" s="182"/>
      <c r="AN6" s="182"/>
    </row>
    <row r="7" spans="1:40" x14ac:dyDescent="0.25">
      <c r="B7" s="157"/>
      <c r="C7" s="4"/>
      <c r="D7" s="3"/>
      <c r="E7" s="3"/>
      <c r="F7" s="3"/>
      <c r="G7" s="72"/>
      <c r="H7" s="161"/>
      <c r="I7" s="3"/>
      <c r="J7" s="3"/>
      <c r="K7" s="3"/>
      <c r="L7" s="4"/>
      <c r="O7" s="11" t="s">
        <v>177</v>
      </c>
      <c r="Q7" s="2">
        <f>Q10+Q8</f>
        <v>555.54</v>
      </c>
      <c r="R7">
        <v>0</v>
      </c>
      <c r="W7" s="130">
        <v>42823</v>
      </c>
      <c r="X7" s="10">
        <v>41.5</v>
      </c>
      <c r="Y7" s="10">
        <v>41.89</v>
      </c>
      <c r="Z7" s="10">
        <v>40.130000000000003</v>
      </c>
      <c r="AA7" s="10">
        <v>40.35</v>
      </c>
      <c r="AB7" s="93">
        <v>10190700</v>
      </c>
      <c r="AC7" s="10">
        <v>40.35</v>
      </c>
      <c r="AD7" s="2">
        <f t="shared" si="0"/>
        <v>1.759999999999998</v>
      </c>
      <c r="AE7" s="134">
        <f t="shared" si="1"/>
        <v>-3.2837967401725732E-2</v>
      </c>
      <c r="AK7" s="182"/>
      <c r="AN7" s="182"/>
    </row>
    <row r="8" spans="1:40" x14ac:dyDescent="0.25">
      <c r="B8" s="72"/>
      <c r="C8" s="4"/>
      <c r="D8" s="3"/>
      <c r="E8" s="3"/>
      <c r="F8" s="3"/>
      <c r="G8" s="72"/>
      <c r="H8" s="161"/>
      <c r="I8" s="3"/>
      <c r="J8" s="3"/>
      <c r="K8" s="3"/>
      <c r="L8" s="4"/>
      <c r="O8" s="11" t="s">
        <v>179</v>
      </c>
      <c r="P8" s="33"/>
      <c r="Q8" s="2">
        <f>K18+M18-F18+Q2*Q4</f>
        <v>0</v>
      </c>
      <c r="W8" s="130">
        <v>42822</v>
      </c>
      <c r="X8" s="10">
        <v>41.94</v>
      </c>
      <c r="Y8" s="10">
        <v>42.48</v>
      </c>
      <c r="Z8" s="10">
        <v>41.55</v>
      </c>
      <c r="AA8" s="10">
        <v>41.72</v>
      </c>
      <c r="AB8" s="93">
        <v>4381200</v>
      </c>
      <c r="AC8" s="10">
        <v>41.72</v>
      </c>
      <c r="AD8" s="2">
        <f t="shared" si="0"/>
        <v>0.92999999999999972</v>
      </c>
      <c r="AE8" s="134">
        <f t="shared" si="1"/>
        <v>2.397506593143639E-4</v>
      </c>
      <c r="AK8" s="182"/>
      <c r="AN8" s="182"/>
    </row>
    <row r="9" spans="1:40" x14ac:dyDescent="0.25">
      <c r="B9" s="72"/>
      <c r="C9" s="4"/>
      <c r="D9" s="3"/>
      <c r="E9" s="3"/>
      <c r="F9" s="3"/>
      <c r="G9" s="72"/>
      <c r="H9" s="161"/>
      <c r="I9" s="3"/>
      <c r="J9" s="3"/>
      <c r="K9" s="3"/>
      <c r="L9" s="4"/>
      <c r="O9" s="11" t="s">
        <v>204</v>
      </c>
      <c r="Q9" s="134">
        <f>IF(Q2=0, 0, Q8/Q6)</f>
        <v>0</v>
      </c>
      <c r="T9" s="151"/>
      <c r="W9" s="130">
        <v>42821</v>
      </c>
      <c r="X9" s="10">
        <v>40.86</v>
      </c>
      <c r="Y9" s="10">
        <v>41.75</v>
      </c>
      <c r="Z9" s="10">
        <v>40.79</v>
      </c>
      <c r="AA9" s="10">
        <v>41.71</v>
      </c>
      <c r="AB9" s="93">
        <v>8048700</v>
      </c>
      <c r="AC9" s="10">
        <v>41.71</v>
      </c>
      <c r="AD9" s="2">
        <f t="shared" si="0"/>
        <v>0.96000000000000085</v>
      </c>
      <c r="AE9" s="134">
        <f t="shared" si="1"/>
        <v>1.8310546875E-2</v>
      </c>
    </row>
    <row r="10" spans="1:40" x14ac:dyDescent="0.25">
      <c r="B10" s="72"/>
      <c r="C10" s="4"/>
      <c r="D10" s="3"/>
      <c r="E10" s="3"/>
      <c r="F10" s="3"/>
      <c r="G10" s="72"/>
      <c r="H10" s="4"/>
      <c r="I10" s="4"/>
      <c r="J10" s="4"/>
      <c r="K10" s="3"/>
      <c r="L10" s="4"/>
      <c r="O10" s="11" t="s">
        <v>203</v>
      </c>
      <c r="P10" s="33"/>
      <c r="Q10" s="2">
        <f>M35</f>
        <v>555.54</v>
      </c>
      <c r="W10" s="130">
        <v>42818</v>
      </c>
      <c r="X10" s="10">
        <v>40.28</v>
      </c>
      <c r="Y10" s="10">
        <v>41.27</v>
      </c>
      <c r="Z10" s="10">
        <v>40.25</v>
      </c>
      <c r="AA10" s="10">
        <v>40.96</v>
      </c>
      <c r="AB10" s="93">
        <v>24449000</v>
      </c>
      <c r="AC10" s="10">
        <v>40.96</v>
      </c>
      <c r="AD10" s="2">
        <f t="shared" si="0"/>
        <v>1.0200000000000031</v>
      </c>
      <c r="AE10" s="134">
        <f t="shared" si="1"/>
        <v>-1.5621244893054498E-2</v>
      </c>
    </row>
    <row r="11" spans="1:40" x14ac:dyDescent="0.25">
      <c r="B11" s="72"/>
      <c r="C11" s="4"/>
      <c r="D11" s="3"/>
      <c r="E11" s="3"/>
      <c r="F11" s="3"/>
      <c r="G11" s="72"/>
      <c r="H11" s="4"/>
      <c r="I11" s="4"/>
      <c r="J11" s="4"/>
      <c r="K11" s="3"/>
      <c r="L11" s="4"/>
      <c r="O11" s="11" t="s">
        <v>175</v>
      </c>
      <c r="P11" s="33"/>
      <c r="Q11" s="134">
        <f>IF(U58="N/A (N/A)", 0, VALUE(TRIM(CLEAN(MID(U58, FIND("(", U58)+1, 5)))))</f>
        <v>0</v>
      </c>
      <c r="W11" s="130">
        <v>42817</v>
      </c>
      <c r="X11" s="10">
        <v>41.2</v>
      </c>
      <c r="Y11" s="10">
        <v>42.06</v>
      </c>
      <c r="Z11" s="10">
        <v>41.12</v>
      </c>
      <c r="AA11" s="10">
        <v>41.61</v>
      </c>
      <c r="AB11" s="93">
        <v>4924900</v>
      </c>
      <c r="AC11" s="10">
        <v>41.61</v>
      </c>
      <c r="AD11" s="2">
        <f t="shared" si="0"/>
        <v>0.94000000000000483</v>
      </c>
      <c r="AE11" s="134">
        <f t="shared" si="1"/>
        <v>-2.1582733812950394E-3</v>
      </c>
    </row>
    <row r="12" spans="1:40" x14ac:dyDescent="0.25">
      <c r="B12" s="72"/>
      <c r="C12" s="4"/>
      <c r="D12" s="3"/>
      <c r="E12" s="3"/>
      <c r="F12" s="3"/>
      <c r="G12" s="72"/>
      <c r="H12" s="4"/>
      <c r="I12" s="4"/>
      <c r="J12" s="4"/>
      <c r="K12" s="3"/>
      <c r="L12" s="4"/>
      <c r="W12" s="130">
        <v>42816</v>
      </c>
      <c r="X12" s="10">
        <v>41.6</v>
      </c>
      <c r="Y12" s="10">
        <v>41.86</v>
      </c>
      <c r="Z12" s="10">
        <v>41.37</v>
      </c>
      <c r="AA12" s="10">
        <v>41.7</v>
      </c>
      <c r="AB12" s="93">
        <v>4355800</v>
      </c>
      <c r="AC12" s="10">
        <v>41.7</v>
      </c>
      <c r="AD12" s="2">
        <f t="shared" si="0"/>
        <v>0.49000000000000199</v>
      </c>
      <c r="AE12" s="134">
        <f t="shared" si="1"/>
        <v>7.1994240460759862E-4</v>
      </c>
    </row>
    <row r="13" spans="1:40" x14ac:dyDescent="0.25">
      <c r="B13" s="72"/>
      <c r="C13" s="4"/>
      <c r="D13" s="3"/>
      <c r="E13" s="3"/>
      <c r="F13" s="3"/>
      <c r="G13" s="72"/>
      <c r="H13" s="4"/>
      <c r="I13" s="3"/>
      <c r="J13" s="4"/>
      <c r="K13" s="3"/>
      <c r="L13" s="4"/>
      <c r="W13" s="130">
        <v>42815</v>
      </c>
      <c r="X13" s="10">
        <v>42.17</v>
      </c>
      <c r="Y13" s="10">
        <v>42.17</v>
      </c>
      <c r="Z13" s="10">
        <v>41.58</v>
      </c>
      <c r="AA13" s="10">
        <v>41.67</v>
      </c>
      <c r="AB13" s="93">
        <v>4211200</v>
      </c>
      <c r="AC13" s="10">
        <v>41.67</v>
      </c>
      <c r="AD13" s="2">
        <f t="shared" si="0"/>
        <v>0.59000000000000341</v>
      </c>
      <c r="AE13" s="134">
        <f t="shared" si="1"/>
        <v>-1.1856770215793233E-2</v>
      </c>
    </row>
    <row r="14" spans="1:40" x14ac:dyDescent="0.25">
      <c r="B14" s="72"/>
      <c r="C14" s="4"/>
      <c r="D14" s="3"/>
      <c r="E14" s="3"/>
      <c r="F14" s="3"/>
      <c r="G14" s="72"/>
      <c r="H14" s="4"/>
      <c r="I14" s="4"/>
      <c r="J14" s="4"/>
      <c r="K14" s="3"/>
      <c r="L14" s="4"/>
      <c r="W14" s="130">
        <v>42814</v>
      </c>
      <c r="X14" s="10">
        <v>42.1</v>
      </c>
      <c r="Y14" s="10">
        <v>42.52</v>
      </c>
      <c r="Z14" s="10">
        <v>41.95</v>
      </c>
      <c r="AA14" s="10">
        <v>42.17</v>
      </c>
      <c r="AB14" s="93">
        <v>4965300</v>
      </c>
      <c r="AC14" s="10">
        <v>42.17</v>
      </c>
      <c r="AD14" s="2">
        <f t="shared" si="0"/>
        <v>0.57000000000000028</v>
      </c>
      <c r="AE14" s="134">
        <f t="shared" si="1"/>
        <v>3.3309540804187243E-3</v>
      </c>
    </row>
    <row r="15" spans="1:40" x14ac:dyDescent="0.25">
      <c r="B15" s="4"/>
      <c r="C15" s="4"/>
      <c r="D15" s="3"/>
      <c r="E15" s="3"/>
      <c r="F15" s="3"/>
      <c r="G15" s="72"/>
      <c r="H15" s="4"/>
      <c r="I15" s="4"/>
      <c r="J15" s="4"/>
      <c r="K15" s="3"/>
      <c r="L15" s="4"/>
      <c r="W15" s="130">
        <v>42811</v>
      </c>
      <c r="X15" s="10">
        <v>42.59</v>
      </c>
      <c r="Y15" s="10">
        <v>42.63</v>
      </c>
      <c r="Z15" s="10">
        <v>41.94</v>
      </c>
      <c r="AA15" s="10">
        <v>42.03</v>
      </c>
      <c r="AB15" s="93">
        <v>6065600</v>
      </c>
      <c r="AC15" s="10">
        <v>42.03</v>
      </c>
      <c r="AD15" s="2">
        <f t="shared" si="0"/>
        <v>0.69000000000000483</v>
      </c>
      <c r="AE15" s="134">
        <f t="shared" si="1"/>
        <v>-1.0826076723935096E-2</v>
      </c>
    </row>
    <row r="16" spans="1:40" x14ac:dyDescent="0.25">
      <c r="G16" s="1"/>
      <c r="W16" s="130">
        <v>42810</v>
      </c>
      <c r="X16" s="10">
        <v>42.71</v>
      </c>
      <c r="Y16" s="10">
        <v>42.89</v>
      </c>
      <c r="Z16" s="10">
        <v>42.3</v>
      </c>
      <c r="AA16" s="10">
        <v>42.49</v>
      </c>
      <c r="AB16" s="93">
        <v>4343000</v>
      </c>
      <c r="AC16" s="10">
        <v>42.49</v>
      </c>
      <c r="AD16" s="2">
        <f t="shared" si="0"/>
        <v>0.59000000000000341</v>
      </c>
      <c r="AE16" s="134">
        <f t="shared" si="1"/>
        <v>-7.9383609619424478E-3</v>
      </c>
    </row>
    <row r="17" spans="1:31" x14ac:dyDescent="0.25">
      <c r="G17" s="1"/>
      <c r="W17" s="130">
        <v>42809</v>
      </c>
      <c r="X17" s="10">
        <v>42.89</v>
      </c>
      <c r="Y17" s="10">
        <v>43</v>
      </c>
      <c r="Z17" s="10">
        <v>42.6</v>
      </c>
      <c r="AA17" s="10">
        <v>42.83</v>
      </c>
      <c r="AB17" s="93">
        <v>6843500</v>
      </c>
      <c r="AC17" s="10">
        <v>42.83</v>
      </c>
      <c r="AD17" s="2">
        <f t="shared" si="0"/>
        <v>0.39999999999999858</v>
      </c>
      <c r="AE17" s="134">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30">
        <v>42808</v>
      </c>
      <c r="X18" s="10">
        <v>42.68</v>
      </c>
      <c r="Y18" s="10">
        <v>42.93</v>
      </c>
      <c r="Z18" s="10">
        <v>42.32</v>
      </c>
      <c r="AA18" s="10">
        <v>42.77</v>
      </c>
      <c r="AB18" s="93">
        <v>3593100</v>
      </c>
      <c r="AC18" s="10">
        <v>42.77</v>
      </c>
      <c r="AD18" s="2">
        <f t="shared" si="0"/>
        <v>0.60999999999999943</v>
      </c>
      <c r="AE18" s="134">
        <f t="shared" si="1"/>
        <v>-4.8859934853419107E-3</v>
      </c>
    </row>
    <row r="19" spans="1:31" x14ac:dyDescent="0.25">
      <c r="N19" s="2"/>
      <c r="W19" s="130">
        <v>42807</v>
      </c>
      <c r="X19" s="10">
        <v>43.5</v>
      </c>
      <c r="Y19" s="10">
        <v>43.5</v>
      </c>
      <c r="Z19" s="10">
        <v>42.89</v>
      </c>
      <c r="AA19" s="10">
        <v>42.98</v>
      </c>
      <c r="AB19" s="93">
        <v>3180800</v>
      </c>
      <c r="AC19" s="10">
        <v>42.98</v>
      </c>
      <c r="AD19" s="2">
        <f t="shared" si="0"/>
        <v>0.60999999999999943</v>
      </c>
      <c r="AE19" s="134">
        <f t="shared" si="1"/>
        <v>-9.6774193548387899E-3</v>
      </c>
    </row>
    <row r="20" spans="1:31" x14ac:dyDescent="0.25">
      <c r="B20" s="162" t="s">
        <v>113</v>
      </c>
      <c r="C20" s="162" t="s">
        <v>145</v>
      </c>
      <c r="D20" s="163" t="s">
        <v>144</v>
      </c>
      <c r="E20" s="165" t="s">
        <v>146</v>
      </c>
      <c r="F20" s="166" t="s">
        <v>65</v>
      </c>
      <c r="G20" s="177" t="s">
        <v>150</v>
      </c>
      <c r="H20" s="166" t="s">
        <v>88</v>
      </c>
      <c r="I20" s="166" t="s">
        <v>153</v>
      </c>
      <c r="J20" s="166" t="s">
        <v>149</v>
      </c>
      <c r="W20" s="130">
        <v>42804</v>
      </c>
      <c r="X20" s="10">
        <v>43.68</v>
      </c>
      <c r="Y20" s="10">
        <v>43.73</v>
      </c>
      <c r="Z20" s="10">
        <v>42.97</v>
      </c>
      <c r="AA20" s="10">
        <v>43.4</v>
      </c>
      <c r="AB20" s="93">
        <v>3670700</v>
      </c>
      <c r="AC20" s="10">
        <v>43.4</v>
      </c>
      <c r="AD20" s="2">
        <f t="shared" si="0"/>
        <v>0.75999999999999801</v>
      </c>
      <c r="AE20" s="134">
        <f t="shared" si="1"/>
        <v>3.9324543141336932E-3</v>
      </c>
    </row>
    <row r="21" spans="1:31" x14ac:dyDescent="0.25">
      <c r="B21" s="164">
        <v>42998</v>
      </c>
      <c r="C21" s="10">
        <v>60</v>
      </c>
      <c r="D21" s="39">
        <v>30.15</v>
      </c>
      <c r="E21" s="39">
        <v>31.39</v>
      </c>
      <c r="F21" s="39">
        <f>C21*(E21-D21)</f>
        <v>74.400000000000119</v>
      </c>
      <c r="G21" s="39">
        <f>D21*C21</f>
        <v>1809</v>
      </c>
      <c r="H21" s="179">
        <f>(E21-D21)/D21</f>
        <v>4.1127694859038208E-2</v>
      </c>
      <c r="I21" s="179"/>
      <c r="J21" s="179"/>
      <c r="W21" s="130">
        <v>42803</v>
      </c>
      <c r="X21" s="10">
        <v>43.62</v>
      </c>
      <c r="Y21" s="10">
        <v>43.66</v>
      </c>
      <c r="Z21" s="10">
        <v>42.9</v>
      </c>
      <c r="AA21" s="10">
        <v>43.23</v>
      </c>
      <c r="AB21" s="93">
        <v>4386400</v>
      </c>
      <c r="AC21" s="10">
        <v>43.23</v>
      </c>
      <c r="AD21" s="2">
        <f t="shared" si="0"/>
        <v>0.75999999999999801</v>
      </c>
      <c r="AE21" s="134">
        <f t="shared" si="1"/>
        <v>-5.521048999309941E-3</v>
      </c>
    </row>
    <row r="22" spans="1:31" x14ac:dyDescent="0.25">
      <c r="B22" s="164">
        <v>43007</v>
      </c>
      <c r="C22" s="10">
        <v>0</v>
      </c>
      <c r="D22" s="39"/>
      <c r="E22" s="39"/>
      <c r="F22" s="39">
        <v>115.8</v>
      </c>
      <c r="G22" s="39"/>
      <c r="H22" s="179"/>
      <c r="I22" s="179"/>
      <c r="J22" s="652">
        <v>555.58000000000004</v>
      </c>
      <c r="W22" s="130">
        <v>42802</v>
      </c>
      <c r="X22" s="10">
        <v>43.32</v>
      </c>
      <c r="Y22" s="10">
        <v>43.88</v>
      </c>
      <c r="Z22" s="10">
        <v>43.07</v>
      </c>
      <c r="AA22" s="10">
        <v>43.47</v>
      </c>
      <c r="AB22" s="93">
        <v>4298400</v>
      </c>
      <c r="AC22" s="10">
        <v>43.47</v>
      </c>
      <c r="AD22" s="2">
        <f t="shared" si="0"/>
        <v>0.81000000000000227</v>
      </c>
      <c r="AE22" s="134">
        <f t="shared" si="1"/>
        <v>3.2310177705976439E-3</v>
      </c>
    </row>
    <row r="23" spans="1:31" x14ac:dyDescent="0.25">
      <c r="B23" s="164"/>
      <c r="C23" s="10"/>
      <c r="D23" s="39"/>
      <c r="E23" s="39"/>
      <c r="F23" s="39"/>
      <c r="G23" s="39"/>
      <c r="H23" s="179"/>
      <c r="I23" s="179"/>
      <c r="J23" s="179"/>
      <c r="W23" s="130">
        <v>42801</v>
      </c>
      <c r="X23" s="10">
        <v>43.45</v>
      </c>
      <c r="Y23" s="10">
        <v>43.75</v>
      </c>
      <c r="Z23" s="10">
        <v>42.79</v>
      </c>
      <c r="AA23" s="10">
        <v>43.33</v>
      </c>
      <c r="AB23" s="93">
        <v>6581200</v>
      </c>
      <c r="AC23" s="10">
        <v>43.33</v>
      </c>
      <c r="AD23" s="2">
        <f t="shared" si="0"/>
        <v>0.96000000000000085</v>
      </c>
      <c r="AE23" s="134">
        <f t="shared" si="1"/>
        <v>-1.6121707538601315E-2</v>
      </c>
    </row>
    <row r="24" spans="1:31" x14ac:dyDescent="0.25">
      <c r="B24" s="164"/>
      <c r="C24" s="10"/>
      <c r="D24" s="39"/>
      <c r="E24" s="39"/>
      <c r="F24" s="39"/>
      <c r="G24" s="39"/>
      <c r="H24" s="179"/>
      <c r="I24" s="179"/>
      <c r="J24" s="179"/>
      <c r="W24" s="130">
        <v>42800</v>
      </c>
      <c r="X24" s="10">
        <v>45.31</v>
      </c>
      <c r="Y24" s="10">
        <v>45.44</v>
      </c>
      <c r="Z24" s="10">
        <v>43.98</v>
      </c>
      <c r="AA24" s="10">
        <v>44.04</v>
      </c>
      <c r="AB24" s="93">
        <v>5192900</v>
      </c>
      <c r="AC24" s="10">
        <v>44.04</v>
      </c>
      <c r="AD24" s="2">
        <f t="shared" si="0"/>
        <v>1.4600000000000009</v>
      </c>
      <c r="AE24" s="134">
        <f t="shared" si="1"/>
        <v>-2.5232403718459473E-2</v>
      </c>
    </row>
    <row r="25" spans="1:31" x14ac:dyDescent="0.25">
      <c r="B25" s="164"/>
      <c r="C25" s="10"/>
      <c r="D25" s="39"/>
      <c r="E25" s="39"/>
      <c r="F25" s="39"/>
      <c r="G25" s="39"/>
      <c r="H25" s="179"/>
      <c r="I25" s="179"/>
      <c r="J25" s="179"/>
      <c r="W25" s="130">
        <v>42797</v>
      </c>
      <c r="X25" s="10">
        <v>45.21</v>
      </c>
      <c r="Y25" s="10">
        <v>45.75</v>
      </c>
      <c r="Z25" s="10">
        <v>44.91</v>
      </c>
      <c r="AA25" s="10">
        <v>45.18</v>
      </c>
      <c r="AB25" s="93">
        <v>5382300</v>
      </c>
      <c r="AC25" s="10">
        <v>45.18</v>
      </c>
      <c r="AD25" s="2">
        <f t="shared" si="0"/>
        <v>0.84000000000000341</v>
      </c>
      <c r="AE25" s="134">
        <f t="shared" si="1"/>
        <v>-2.2084805653710404E-3</v>
      </c>
    </row>
    <row r="26" spans="1:31" x14ac:dyDescent="0.25">
      <c r="B26" s="164"/>
      <c r="C26" s="10"/>
      <c r="D26" s="39"/>
      <c r="E26" s="39"/>
      <c r="F26" s="39"/>
      <c r="G26" s="39"/>
      <c r="H26" s="179"/>
      <c r="I26" s="179"/>
      <c r="J26" s="179"/>
      <c r="W26" s="130">
        <v>42796</v>
      </c>
      <c r="X26" s="10">
        <v>44.67</v>
      </c>
      <c r="Y26" s="10">
        <v>45.73</v>
      </c>
      <c r="Z26" s="10">
        <v>44.4</v>
      </c>
      <c r="AA26" s="10">
        <v>45.28</v>
      </c>
      <c r="AB26" s="93">
        <v>7208200</v>
      </c>
      <c r="AC26" s="10">
        <v>45.28</v>
      </c>
      <c r="AD26" s="2">
        <f t="shared" si="0"/>
        <v>1.3299999999999983</v>
      </c>
      <c r="AE26" s="134">
        <f t="shared" si="1"/>
        <v>9.1375083574771754E-3</v>
      </c>
    </row>
    <row r="27" spans="1:31" x14ac:dyDescent="0.25">
      <c r="B27" s="164"/>
      <c r="C27" s="10"/>
      <c r="D27" s="39"/>
      <c r="E27" s="39"/>
      <c r="F27" s="39"/>
      <c r="G27" s="39"/>
      <c r="H27" s="179"/>
      <c r="I27" s="179"/>
      <c r="J27" s="179"/>
      <c r="W27" s="130">
        <v>42795</v>
      </c>
      <c r="X27" s="10">
        <v>44.34</v>
      </c>
      <c r="Y27" s="10">
        <v>45.87</v>
      </c>
      <c r="Z27" s="10">
        <v>44.1</v>
      </c>
      <c r="AA27" s="10">
        <v>44.87</v>
      </c>
      <c r="AB27" s="93">
        <v>15915900</v>
      </c>
      <c r="AC27" s="10">
        <v>44.87</v>
      </c>
      <c r="AD27" s="2">
        <f t="shared" si="0"/>
        <v>1.769999999999996</v>
      </c>
      <c r="AE27" s="134">
        <f t="shared" si="1"/>
        <v>7.2162485065710769E-2</v>
      </c>
    </row>
    <row r="28" spans="1:31" x14ac:dyDescent="0.25">
      <c r="B28" s="164"/>
      <c r="C28" s="10"/>
      <c r="D28" s="39"/>
      <c r="E28" s="39"/>
      <c r="F28" s="39"/>
      <c r="G28" s="39"/>
      <c r="H28" s="179"/>
      <c r="I28" s="179"/>
      <c r="J28" s="179"/>
      <c r="W28" s="130">
        <v>42794</v>
      </c>
      <c r="X28" s="10">
        <v>42.45</v>
      </c>
      <c r="Y28" s="10">
        <v>42.48</v>
      </c>
      <c r="Z28" s="10">
        <v>41.42</v>
      </c>
      <c r="AA28" s="10">
        <v>41.85</v>
      </c>
      <c r="AB28" s="93">
        <v>6809700</v>
      </c>
      <c r="AC28" s="10">
        <v>41.85</v>
      </c>
      <c r="AD28" s="2">
        <f t="shared" si="0"/>
        <v>1.0599999999999952</v>
      </c>
      <c r="AE28" s="134">
        <f t="shared" si="1"/>
        <v>-1.3901979264844377E-2</v>
      </c>
    </row>
    <row r="29" spans="1:31" x14ac:dyDescent="0.25">
      <c r="B29" s="164"/>
      <c r="C29" s="10"/>
      <c r="D29" s="39"/>
      <c r="E29" s="39"/>
      <c r="F29" s="39"/>
      <c r="G29" s="39"/>
      <c r="H29" s="179"/>
      <c r="I29" s="179"/>
      <c r="J29" s="179"/>
      <c r="W29" s="130">
        <v>42793</v>
      </c>
      <c r="X29" s="10">
        <v>42.04</v>
      </c>
      <c r="Y29" s="10">
        <v>42.5</v>
      </c>
      <c r="Z29" s="10">
        <v>41.77</v>
      </c>
      <c r="AA29" s="10">
        <v>42.44</v>
      </c>
      <c r="AB29" s="93">
        <v>4057000</v>
      </c>
      <c r="AC29" s="10">
        <v>42.44</v>
      </c>
      <c r="AD29" s="2">
        <f t="shared" si="0"/>
        <v>0.72999999999999687</v>
      </c>
      <c r="AE29" s="134">
        <f t="shared" si="1"/>
        <v>6.6413662239088733E-3</v>
      </c>
    </row>
    <row r="30" spans="1:31" x14ac:dyDescent="0.25">
      <c r="B30" s="164"/>
      <c r="C30" s="10"/>
      <c r="D30" s="39"/>
      <c r="E30" s="39"/>
      <c r="F30" s="39"/>
      <c r="G30" s="39"/>
      <c r="H30" s="179"/>
      <c r="I30" s="179"/>
      <c r="J30" s="179"/>
      <c r="W30" s="130">
        <v>42790</v>
      </c>
      <c r="X30" s="10">
        <v>42.31</v>
      </c>
      <c r="Y30" s="10">
        <v>42.35</v>
      </c>
      <c r="Z30" s="10">
        <v>41.76</v>
      </c>
      <c r="AA30" s="10">
        <v>42.16</v>
      </c>
      <c r="AB30" s="93">
        <v>4853600</v>
      </c>
      <c r="AC30" s="10">
        <v>42.16</v>
      </c>
      <c r="AD30" s="2">
        <f t="shared" si="0"/>
        <v>0.59000000000000341</v>
      </c>
      <c r="AE30" s="134">
        <f t="shared" si="1"/>
        <v>-4.0160642570281624E-3</v>
      </c>
    </row>
    <row r="31" spans="1:31" x14ac:dyDescent="0.25">
      <c r="B31" s="164"/>
      <c r="C31" s="10"/>
      <c r="D31" s="39"/>
      <c r="E31" s="39"/>
      <c r="F31" s="39"/>
      <c r="G31" s="39"/>
      <c r="H31" s="179"/>
      <c r="I31" s="179"/>
      <c r="J31" s="179"/>
      <c r="W31" s="130">
        <v>42789</v>
      </c>
      <c r="X31" s="10">
        <v>42.03</v>
      </c>
      <c r="Y31" s="10">
        <v>42.54</v>
      </c>
      <c r="Z31" s="10">
        <v>41.77</v>
      </c>
      <c r="AA31" s="10">
        <v>42.33</v>
      </c>
      <c r="AB31" s="93">
        <v>4395100</v>
      </c>
      <c r="AC31" s="10">
        <v>42.33</v>
      </c>
      <c r="AD31" s="2">
        <f t="shared" si="0"/>
        <v>0.76999999999999602</v>
      </c>
      <c r="AE31" s="134">
        <f t="shared" si="1"/>
        <v>7.8571428571427848E-3</v>
      </c>
    </row>
    <row r="32" spans="1:31" x14ac:dyDescent="0.25">
      <c r="W32" s="130">
        <v>42788</v>
      </c>
      <c r="X32" s="10">
        <v>42.21</v>
      </c>
      <c r="Y32" s="10">
        <v>42.3</v>
      </c>
      <c r="Z32" s="10">
        <v>41.86</v>
      </c>
      <c r="AA32" s="10">
        <v>42</v>
      </c>
      <c r="AB32" s="93">
        <v>5059300</v>
      </c>
      <c r="AC32" s="10">
        <v>42</v>
      </c>
      <c r="AD32" s="2">
        <f t="shared" si="0"/>
        <v>0.43999999999999773</v>
      </c>
      <c r="AE32" s="134">
        <f t="shared" si="1"/>
        <v>-7.0921985815601829E-3</v>
      </c>
    </row>
    <row r="33" spans="1:31" x14ac:dyDescent="0.25">
      <c r="W33" s="130">
        <v>42787</v>
      </c>
      <c r="X33" s="10">
        <v>42.46</v>
      </c>
      <c r="Y33" s="10">
        <v>42.7</v>
      </c>
      <c r="Z33" s="10">
        <v>42.07</v>
      </c>
      <c r="AA33" s="10">
        <v>42.3</v>
      </c>
      <c r="AB33" s="93">
        <v>7352100</v>
      </c>
      <c r="AC33" s="10">
        <v>42.3</v>
      </c>
      <c r="AD33" s="2">
        <f t="shared" si="0"/>
        <v>0.63000000000000256</v>
      </c>
      <c r="AE33" s="134">
        <f t="shared" si="1"/>
        <v>5.9453032104637149E-3</v>
      </c>
    </row>
    <row r="34" spans="1:31" x14ac:dyDescent="0.25">
      <c r="W34" s="130">
        <v>42783</v>
      </c>
      <c r="X34" s="10">
        <v>41.86</v>
      </c>
      <c r="Y34" s="10">
        <v>42.33</v>
      </c>
      <c r="Z34" s="10">
        <v>41.78</v>
      </c>
      <c r="AA34" s="10">
        <v>42.05</v>
      </c>
      <c r="AB34" s="93">
        <v>6135400</v>
      </c>
      <c r="AC34" s="10">
        <v>42.05</v>
      </c>
      <c r="AD34" s="2">
        <f t="shared" si="0"/>
        <v>0.54999999999999716</v>
      </c>
      <c r="AE34" s="134">
        <f t="shared" si="1"/>
        <v>1.1904761904761862E-3</v>
      </c>
    </row>
    <row r="35" spans="1:31" x14ac:dyDescent="0.25">
      <c r="L35" t="s">
        <v>203</v>
      </c>
      <c r="M35" s="2">
        <f>K53+M53-F53</f>
        <v>555.54</v>
      </c>
      <c r="W35" s="130">
        <v>42782</v>
      </c>
      <c r="X35" s="10">
        <v>42.6</v>
      </c>
      <c r="Y35" s="10">
        <v>42.65</v>
      </c>
      <c r="Z35" s="10">
        <v>41.56</v>
      </c>
      <c r="AA35" s="10">
        <v>42</v>
      </c>
      <c r="AB35" s="93">
        <v>4437500</v>
      </c>
      <c r="AC35" s="10">
        <v>42</v>
      </c>
      <c r="AD35" s="2">
        <f t="shared" si="0"/>
        <v>1.0899999999999963</v>
      </c>
      <c r="AE35" s="134">
        <f t="shared" si="1"/>
        <v>-1.0367577756833168E-2</v>
      </c>
    </row>
    <row r="36" spans="1:31" x14ac:dyDescent="0.25">
      <c r="A36" s="304" t="s">
        <v>1</v>
      </c>
      <c r="B36" s="304" t="s">
        <v>2</v>
      </c>
      <c r="C36" s="304" t="s">
        <v>4</v>
      </c>
      <c r="D36" s="306" t="s">
        <v>5</v>
      </c>
      <c r="E36" s="306" t="s">
        <v>94</v>
      </c>
      <c r="F36" s="306" t="s">
        <v>60</v>
      </c>
      <c r="G36" s="304" t="s">
        <v>3</v>
      </c>
      <c r="H36" s="304" t="s">
        <v>6</v>
      </c>
      <c r="I36" s="304" t="s">
        <v>7</v>
      </c>
      <c r="J36" s="304" t="s">
        <v>95</v>
      </c>
      <c r="K36" s="306" t="s">
        <v>61</v>
      </c>
      <c r="L36" s="304" t="s">
        <v>77</v>
      </c>
      <c r="M36" s="304" t="s">
        <v>38</v>
      </c>
      <c r="W36" s="130">
        <v>42781</v>
      </c>
      <c r="X36" s="10">
        <v>40.67</v>
      </c>
      <c r="Y36" s="10">
        <v>42.59</v>
      </c>
      <c r="Z36" s="10">
        <v>40.590000000000003</v>
      </c>
      <c r="AA36" s="10">
        <v>42.44</v>
      </c>
      <c r="AB36" s="93">
        <v>10630400</v>
      </c>
      <c r="AC36" s="10">
        <v>42.44</v>
      </c>
      <c r="AD36" s="2">
        <f t="shared" si="0"/>
        <v>2</v>
      </c>
      <c r="AE36" s="134">
        <f t="shared" si="1"/>
        <v>4.1472392638036704E-2</v>
      </c>
    </row>
    <row r="37" spans="1:31" x14ac:dyDescent="0.25">
      <c r="A37" s="307" t="s">
        <v>200</v>
      </c>
      <c r="B37" s="297">
        <v>42502</v>
      </c>
      <c r="C37" s="298">
        <v>60</v>
      </c>
      <c r="D37" s="299">
        <v>38.25</v>
      </c>
      <c r="E37" s="299">
        <v>0</v>
      </c>
      <c r="F37" s="299">
        <f>C37*D37 + E37</f>
        <v>2295</v>
      </c>
      <c r="G37" s="297">
        <v>42528</v>
      </c>
      <c r="H37" s="302">
        <v>30</v>
      </c>
      <c r="I37" s="299">
        <v>45.25</v>
      </c>
      <c r="J37" s="299">
        <v>0.03</v>
      </c>
      <c r="K37" s="299">
        <f>H37*I37 - J37</f>
        <v>1357.47</v>
      </c>
      <c r="L37" s="298"/>
      <c r="M37" s="298"/>
      <c r="W37" s="130">
        <v>42780</v>
      </c>
      <c r="X37" s="10">
        <v>39.590000000000003</v>
      </c>
      <c r="Y37" s="10">
        <v>40.909999999999997</v>
      </c>
      <c r="Z37" s="10">
        <v>39.56</v>
      </c>
      <c r="AA37" s="10">
        <v>40.75</v>
      </c>
      <c r="AB37" s="93">
        <v>5497900</v>
      </c>
      <c r="AC37" s="10">
        <v>40.75</v>
      </c>
      <c r="AD37" s="2">
        <f t="shared" si="0"/>
        <v>1.3499999999999943</v>
      </c>
      <c r="AE37" s="134">
        <f t="shared" si="1"/>
        <v>2.438411261940665E-2</v>
      </c>
    </row>
    <row r="38" spans="1:31" x14ac:dyDescent="0.25">
      <c r="A38" s="308" t="s">
        <v>71</v>
      </c>
      <c r="B38" s="309"/>
      <c r="C38" s="298"/>
      <c r="D38" s="299"/>
      <c r="E38" s="299"/>
      <c r="F38" s="299"/>
      <c r="G38" s="297">
        <v>42544</v>
      </c>
      <c r="H38" s="302">
        <v>30</v>
      </c>
      <c r="I38" s="299">
        <v>45.91</v>
      </c>
      <c r="J38" s="299">
        <v>-0.01</v>
      </c>
      <c r="K38" s="299">
        <f>H38*I38 - J38</f>
        <v>1377.31</v>
      </c>
      <c r="L38" s="298"/>
      <c r="M38" s="298"/>
      <c r="W38" s="130">
        <v>42779</v>
      </c>
      <c r="X38" s="10">
        <v>39.71</v>
      </c>
      <c r="Y38" s="10">
        <v>39.89</v>
      </c>
      <c r="Z38" s="10">
        <v>39.56</v>
      </c>
      <c r="AA38" s="10">
        <v>39.78</v>
      </c>
      <c r="AB38" s="93">
        <v>3872500</v>
      </c>
      <c r="AC38" s="10">
        <v>39.78</v>
      </c>
      <c r="AD38" s="2">
        <f t="shared" si="0"/>
        <v>0.32999999999999829</v>
      </c>
      <c r="AE38" s="134">
        <f t="shared" si="1"/>
        <v>1.1956245230221318E-2</v>
      </c>
    </row>
    <row r="39" spans="1:31" x14ac:dyDescent="0.25">
      <c r="A39" s="298"/>
      <c r="B39" s="309"/>
      <c r="C39" s="298"/>
      <c r="D39" s="299"/>
      <c r="E39" s="299"/>
      <c r="F39" s="299"/>
      <c r="G39" s="297"/>
      <c r="H39" s="302"/>
      <c r="I39" s="299"/>
      <c r="J39" s="299"/>
      <c r="K39" s="299"/>
      <c r="L39" s="298"/>
      <c r="M39" s="298"/>
      <c r="W39" s="130">
        <v>42776</v>
      </c>
      <c r="X39" s="10">
        <v>39.090000000000003</v>
      </c>
      <c r="Y39" s="10">
        <v>39.46</v>
      </c>
      <c r="Z39" s="10">
        <v>39</v>
      </c>
      <c r="AA39" s="10">
        <v>39.31</v>
      </c>
      <c r="AB39" s="93">
        <v>2521900</v>
      </c>
      <c r="AC39" s="10">
        <v>39.31</v>
      </c>
      <c r="AD39" s="2">
        <f t="shared" si="0"/>
        <v>0.46000000000000085</v>
      </c>
      <c r="AE39" s="134">
        <f t="shared" si="1"/>
        <v>2.5445292620873694E-4</v>
      </c>
    </row>
    <row r="40" spans="1:31" x14ac:dyDescent="0.25">
      <c r="A40" s="298"/>
      <c r="B40" s="72">
        <v>42963</v>
      </c>
      <c r="C40" s="4">
        <v>60</v>
      </c>
      <c r="D40" s="3">
        <v>30.15</v>
      </c>
      <c r="E40" s="3">
        <v>0</v>
      </c>
      <c r="F40" s="3">
        <f>C40*D40+E40</f>
        <v>1809</v>
      </c>
      <c r="G40" s="72">
        <v>43007</v>
      </c>
      <c r="H40" s="4">
        <v>60</v>
      </c>
      <c r="I40" s="3">
        <v>32.08</v>
      </c>
      <c r="J40" s="3">
        <v>0.04</v>
      </c>
      <c r="K40" s="3">
        <f>H40*I40-J40</f>
        <v>1924.76</v>
      </c>
      <c r="L40" s="4"/>
      <c r="M40" s="298"/>
      <c r="W40" s="130">
        <v>42775</v>
      </c>
      <c r="X40" s="10">
        <v>39.36</v>
      </c>
      <c r="Y40" s="10">
        <v>39.6</v>
      </c>
      <c r="Z40" s="10">
        <v>39</v>
      </c>
      <c r="AA40" s="10">
        <v>39.299999999999997</v>
      </c>
      <c r="AB40" s="93">
        <v>5517100</v>
      </c>
      <c r="AC40" s="10">
        <v>39.299999999999997</v>
      </c>
      <c r="AD40" s="2">
        <f t="shared" si="0"/>
        <v>0.60000000000000142</v>
      </c>
      <c r="AE40" s="134">
        <f t="shared" si="1"/>
        <v>2.8068384792039325E-3</v>
      </c>
    </row>
    <row r="41" spans="1:31" x14ac:dyDescent="0.25">
      <c r="A41" s="298"/>
      <c r="B41" s="309"/>
      <c r="C41" s="298"/>
      <c r="D41" s="299"/>
      <c r="E41" s="299"/>
      <c r="F41" s="299"/>
      <c r="G41" s="297"/>
      <c r="H41" s="302"/>
      <c r="I41" s="299"/>
      <c r="J41" s="299"/>
      <c r="K41" s="299"/>
      <c r="L41" s="298"/>
      <c r="M41" s="298"/>
      <c r="W41" s="130">
        <v>42774</v>
      </c>
      <c r="X41" s="10">
        <v>39.22</v>
      </c>
      <c r="Y41" s="10">
        <v>39.65</v>
      </c>
      <c r="Z41" s="10">
        <v>39</v>
      </c>
      <c r="AA41" s="10">
        <v>39.19</v>
      </c>
      <c r="AB41" s="93">
        <v>5932000</v>
      </c>
      <c r="AC41" s="10">
        <v>39.19</v>
      </c>
      <c r="AD41" s="2">
        <f t="shared" si="0"/>
        <v>0.64999999999999858</v>
      </c>
      <c r="AE41" s="134">
        <f t="shared" si="1"/>
        <v>-5.0774308200051133E-3</v>
      </c>
    </row>
    <row r="42" spans="1:31" ht="20.25" thickBot="1" x14ac:dyDescent="0.35">
      <c r="A42" s="298"/>
      <c r="B42" s="309"/>
      <c r="C42" s="298"/>
      <c r="D42" s="299"/>
      <c r="E42" s="299"/>
      <c r="F42" s="299"/>
      <c r="G42" s="297"/>
      <c r="H42" s="302"/>
      <c r="I42" s="299"/>
      <c r="J42" s="299"/>
      <c r="K42" s="299"/>
      <c r="L42" s="298"/>
      <c r="M42" s="298"/>
      <c r="O42" s="884" t="s">
        <v>78</v>
      </c>
      <c r="P42" s="884"/>
      <c r="T42" s="110" t="s">
        <v>112</v>
      </c>
      <c r="U42" s="9"/>
      <c r="W42" s="130">
        <v>42773</v>
      </c>
      <c r="X42" s="10">
        <v>40.26</v>
      </c>
      <c r="Y42" s="10">
        <v>40.299999999999997</v>
      </c>
      <c r="Z42" s="10">
        <v>39.21</v>
      </c>
      <c r="AA42" s="10">
        <v>39.39</v>
      </c>
      <c r="AB42" s="93">
        <v>5989000</v>
      </c>
      <c r="AC42" s="10">
        <v>39.39</v>
      </c>
      <c r="AD42" s="2">
        <f t="shared" si="0"/>
        <v>1.0899999999999963</v>
      </c>
      <c r="AE42" s="134">
        <f t="shared" si="1"/>
        <v>-1.4757378689344569E-2</v>
      </c>
    </row>
    <row r="43" spans="1:31" ht="15.75" thickTop="1" x14ac:dyDescent="0.25">
      <c r="A43" s="298"/>
      <c r="B43" s="297"/>
      <c r="C43" s="298"/>
      <c r="D43" s="299"/>
      <c r="E43" s="299"/>
      <c r="F43" s="299"/>
      <c r="G43" s="297"/>
      <c r="H43" s="302"/>
      <c r="I43" s="299"/>
      <c r="J43" s="299"/>
      <c r="K43" s="299"/>
      <c r="L43" s="298"/>
      <c r="M43" s="298"/>
      <c r="O43" s="81">
        <v>1.1000000000000001</v>
      </c>
      <c r="P43" s="81">
        <f>O43*$Q$4</f>
        <v>33.902000000000001</v>
      </c>
      <c r="Q43" s="2"/>
      <c r="T43" s="135" t="s">
        <v>97</v>
      </c>
      <c r="U43" s="287">
        <v>38.700000000000003</v>
      </c>
      <c r="W43" s="130">
        <v>42772</v>
      </c>
      <c r="X43" s="10">
        <v>39.36</v>
      </c>
      <c r="Y43" s="10">
        <v>40.25</v>
      </c>
      <c r="Z43" s="10">
        <v>39.340000000000003</v>
      </c>
      <c r="AA43" s="10">
        <v>39.979999999999997</v>
      </c>
      <c r="AB43" s="93">
        <v>6050000</v>
      </c>
      <c r="AC43" s="10">
        <v>39.979999999999997</v>
      </c>
      <c r="AD43" s="2">
        <f t="shared" si="0"/>
        <v>0.90999999999999659</v>
      </c>
      <c r="AE43" s="134">
        <f t="shared" si="1"/>
        <v>1.9637847487885551E-2</v>
      </c>
    </row>
    <row r="44" spans="1:31" x14ac:dyDescent="0.25">
      <c r="A44" s="298"/>
      <c r="B44" s="297"/>
      <c r="C44" s="298"/>
      <c r="D44" s="299"/>
      <c r="E44" s="299"/>
      <c r="F44" s="299"/>
      <c r="G44" s="297"/>
      <c r="H44" s="302"/>
      <c r="I44" s="299"/>
      <c r="J44" s="299"/>
      <c r="K44" s="299"/>
      <c r="L44" s="298"/>
      <c r="M44" s="298"/>
      <c r="O44" s="81">
        <v>1.0900000000000001</v>
      </c>
      <c r="P44" s="81">
        <f t="shared" ref="P44:P63" si="3">O44*$Q$4</f>
        <v>33.593800000000002</v>
      </c>
      <c r="Q44" s="2"/>
      <c r="T44" s="106" t="s">
        <v>98</v>
      </c>
      <c r="U44" s="288">
        <v>38.74</v>
      </c>
      <c r="W44" s="130">
        <v>42769</v>
      </c>
      <c r="X44" s="10">
        <v>39.270000000000003</v>
      </c>
      <c r="Y44" s="10">
        <v>39.5</v>
      </c>
      <c r="Z44" s="10">
        <v>38.520000000000003</v>
      </c>
      <c r="AA44" s="10">
        <v>39.21</v>
      </c>
      <c r="AB44" s="93">
        <v>5677900</v>
      </c>
      <c r="AC44" s="10">
        <v>39.21</v>
      </c>
      <c r="AD44" s="2">
        <f t="shared" si="0"/>
        <v>0.97999999999999687</v>
      </c>
      <c r="AE44" s="134">
        <f t="shared" si="1"/>
        <v>5.3846153846153211E-3</v>
      </c>
    </row>
    <row r="45" spans="1:31" x14ac:dyDescent="0.25">
      <c r="A45" s="298"/>
      <c r="B45" s="297"/>
      <c r="C45" s="298"/>
      <c r="D45" s="299"/>
      <c r="E45" s="299"/>
      <c r="F45" s="299"/>
      <c r="G45" s="297"/>
      <c r="H45" s="298"/>
      <c r="I45" s="298"/>
      <c r="J45" s="298"/>
      <c r="K45" s="299"/>
      <c r="L45" s="298"/>
      <c r="M45" s="298"/>
      <c r="O45" s="81">
        <v>1.08</v>
      </c>
      <c r="P45" s="81">
        <f t="shared" si="3"/>
        <v>33.285600000000002</v>
      </c>
      <c r="Q45" s="2"/>
      <c r="T45" s="106" t="s">
        <v>99</v>
      </c>
      <c r="U45" s="288" t="s">
        <v>545</v>
      </c>
      <c r="W45" s="130">
        <v>42768</v>
      </c>
      <c r="X45" s="10">
        <v>38.26</v>
      </c>
      <c r="Y45" s="10">
        <v>39.35</v>
      </c>
      <c r="Z45" s="10">
        <v>38.159999999999997</v>
      </c>
      <c r="AA45" s="10">
        <v>39</v>
      </c>
      <c r="AB45" s="93">
        <v>6173200</v>
      </c>
      <c r="AC45" s="10">
        <v>39</v>
      </c>
      <c r="AD45" s="2">
        <f t="shared" si="0"/>
        <v>1.1900000000000048</v>
      </c>
      <c r="AE45" s="134">
        <f t="shared" si="1"/>
        <v>8.7946197620281108E-3</v>
      </c>
    </row>
    <row r="46" spans="1:31" x14ac:dyDescent="0.25">
      <c r="A46" s="298"/>
      <c r="B46" s="297"/>
      <c r="C46" s="298"/>
      <c r="D46" s="299"/>
      <c r="E46" s="299"/>
      <c r="F46" s="299"/>
      <c r="G46" s="297"/>
      <c r="H46" s="298"/>
      <c r="I46" s="298"/>
      <c r="J46" s="298"/>
      <c r="K46" s="299"/>
      <c r="L46" s="298"/>
      <c r="M46" s="298"/>
      <c r="O46" s="81">
        <v>1.07</v>
      </c>
      <c r="P46" s="81">
        <f t="shared" si="3"/>
        <v>32.977400000000003</v>
      </c>
      <c r="Q46" s="2"/>
      <c r="T46" s="106" t="s">
        <v>100</v>
      </c>
      <c r="U46" s="288" t="s">
        <v>546</v>
      </c>
      <c r="W46" s="130">
        <v>42767</v>
      </c>
      <c r="X46" s="10">
        <v>38.68</v>
      </c>
      <c r="Y46" s="10">
        <v>38.75</v>
      </c>
      <c r="Z46" s="10">
        <v>38.07</v>
      </c>
      <c r="AA46" s="10">
        <v>38.659999999999997</v>
      </c>
      <c r="AB46" s="93">
        <v>5822400</v>
      </c>
      <c r="AC46" s="10">
        <v>38.659999999999997</v>
      </c>
      <c r="AD46" s="2">
        <f t="shared" si="0"/>
        <v>0.67999999999999972</v>
      </c>
      <c r="AE46" s="134">
        <f t="shared" si="1"/>
        <v>1.6031537450722722E-2</v>
      </c>
    </row>
    <row r="47" spans="1:31" x14ac:dyDescent="0.25">
      <c r="A47" s="298"/>
      <c r="B47" s="297"/>
      <c r="C47" s="298"/>
      <c r="D47" s="299"/>
      <c r="E47" s="299"/>
      <c r="F47" s="299"/>
      <c r="G47" s="297"/>
      <c r="H47" s="298"/>
      <c r="I47" s="298"/>
      <c r="J47" s="298"/>
      <c r="K47" s="299"/>
      <c r="L47" s="298"/>
      <c r="M47" s="298"/>
      <c r="O47" s="81">
        <v>1.06</v>
      </c>
      <c r="P47" s="81">
        <f t="shared" si="3"/>
        <v>32.669200000000004</v>
      </c>
      <c r="Q47" s="2"/>
      <c r="T47" s="106" t="s">
        <v>101</v>
      </c>
      <c r="U47" s="288">
        <v>51.71</v>
      </c>
      <c r="W47" s="130">
        <v>42766</v>
      </c>
      <c r="X47" s="10">
        <v>37.020000000000003</v>
      </c>
      <c r="Y47" s="10">
        <v>38.090000000000003</v>
      </c>
      <c r="Z47" s="10">
        <v>36.409999999999997</v>
      </c>
      <c r="AA47" s="10">
        <v>38.049999999999997</v>
      </c>
      <c r="AB47" s="93">
        <v>7342100</v>
      </c>
      <c r="AC47" s="10">
        <v>38.049999999999997</v>
      </c>
      <c r="AD47" s="2">
        <f t="shared" si="0"/>
        <v>1.6800000000000068</v>
      </c>
      <c r="AE47" s="134">
        <f t="shared" si="1"/>
        <v>4.7055586130984928E-2</v>
      </c>
    </row>
    <row r="48" spans="1:31" x14ac:dyDescent="0.25">
      <c r="A48" s="298"/>
      <c r="B48" s="297"/>
      <c r="C48" s="298"/>
      <c r="D48" s="299"/>
      <c r="E48" s="299"/>
      <c r="F48" s="299"/>
      <c r="G48" s="297"/>
      <c r="H48" s="298"/>
      <c r="I48" s="299"/>
      <c r="J48" s="298"/>
      <c r="K48" s="299"/>
      <c r="L48" s="298"/>
      <c r="M48" s="298"/>
      <c r="O48" s="81">
        <v>1.05</v>
      </c>
      <c r="P48" s="81">
        <f t="shared" si="3"/>
        <v>32.361000000000004</v>
      </c>
      <c r="Q48" s="2"/>
      <c r="T48" s="106" t="s">
        <v>102</v>
      </c>
      <c r="U48" s="288">
        <v>1.4483900000000001</v>
      </c>
      <c r="W48" s="130">
        <v>42765</v>
      </c>
      <c r="X48" s="10">
        <v>36.57</v>
      </c>
      <c r="Y48" s="10">
        <v>36.729999999999997</v>
      </c>
      <c r="Z48" s="10">
        <v>35.5</v>
      </c>
      <c r="AA48" s="10">
        <v>36.340000000000003</v>
      </c>
      <c r="AB48" s="93">
        <v>5214500</v>
      </c>
      <c r="AC48" s="10">
        <v>36.340000000000003</v>
      </c>
      <c r="AD48" s="2">
        <f t="shared" si="0"/>
        <v>1.2299999999999969</v>
      </c>
      <c r="AE48" s="134">
        <f t="shared" si="1"/>
        <v>-8.7288597926894473E-3</v>
      </c>
    </row>
    <row r="49" spans="1:31" x14ac:dyDescent="0.25">
      <c r="A49" s="298"/>
      <c r="B49" s="297"/>
      <c r="C49" s="298"/>
      <c r="D49" s="299"/>
      <c r="E49" s="299"/>
      <c r="F49" s="299"/>
      <c r="G49" s="297"/>
      <c r="H49" s="298"/>
      <c r="I49" s="298"/>
      <c r="J49" s="298"/>
      <c r="K49" s="299"/>
      <c r="L49" s="298"/>
      <c r="M49" s="298"/>
      <c r="O49" s="81">
        <v>1.04</v>
      </c>
      <c r="P49" s="81">
        <f t="shared" si="3"/>
        <v>32.052800000000005</v>
      </c>
      <c r="Q49" s="2"/>
      <c r="T49" s="106" t="s">
        <v>121</v>
      </c>
      <c r="U49" s="288" t="s">
        <v>413</v>
      </c>
      <c r="W49" s="130">
        <v>42762</v>
      </c>
      <c r="X49" s="10">
        <v>36.159999999999997</v>
      </c>
      <c r="Y49" s="10">
        <v>36.83</v>
      </c>
      <c r="Z49" s="10">
        <v>36.01</v>
      </c>
      <c r="AA49" s="10">
        <v>36.659999999999997</v>
      </c>
      <c r="AB49" s="93">
        <v>2950600</v>
      </c>
      <c r="AC49" s="10">
        <v>36.659999999999997</v>
      </c>
      <c r="AD49" s="2">
        <f t="shared" si="0"/>
        <v>0.82000000000000028</v>
      </c>
      <c r="AE49" s="134">
        <f t="shared" si="1"/>
        <v>1.5512465373961115E-2</v>
      </c>
    </row>
    <row r="50" spans="1:31" x14ac:dyDescent="0.25">
      <c r="A50" s="298"/>
      <c r="B50" s="298"/>
      <c r="C50" s="298"/>
      <c r="D50" s="299"/>
      <c r="E50" s="299"/>
      <c r="F50" s="299"/>
      <c r="G50" s="297"/>
      <c r="H50" s="298"/>
      <c r="I50" s="298"/>
      <c r="J50" s="298"/>
      <c r="K50" s="299"/>
      <c r="L50" s="298"/>
      <c r="M50" s="298"/>
      <c r="O50" s="81">
        <v>1.03</v>
      </c>
      <c r="P50" s="81">
        <f t="shared" si="3"/>
        <v>31.744600000000002</v>
      </c>
      <c r="Q50" s="2"/>
      <c r="T50" s="106"/>
      <c r="U50" s="288"/>
      <c r="W50" s="130">
        <v>42761</v>
      </c>
      <c r="X50" s="10">
        <v>36.54</v>
      </c>
      <c r="Y50" s="10">
        <v>36.590000000000003</v>
      </c>
      <c r="Z50" s="10">
        <v>35.83</v>
      </c>
      <c r="AA50" s="10">
        <v>36.1</v>
      </c>
      <c r="AB50" s="93">
        <v>3517400</v>
      </c>
      <c r="AC50" s="10">
        <v>36.1</v>
      </c>
      <c r="AD50" s="2">
        <f t="shared" si="0"/>
        <v>0.76000000000000512</v>
      </c>
      <c r="AE50" s="134">
        <f t="shared" si="1"/>
        <v>-1.0416666666666519E-2</v>
      </c>
    </row>
    <row r="51" spans="1:31" x14ac:dyDescent="0.25">
      <c r="A51" s="298"/>
      <c r="B51" s="298"/>
      <c r="C51" s="298"/>
      <c r="D51" s="299"/>
      <c r="E51" s="299"/>
      <c r="F51" s="299"/>
      <c r="G51" s="297"/>
      <c r="H51" s="298"/>
      <c r="I51" s="298"/>
      <c r="J51" s="298"/>
      <c r="K51" s="299"/>
      <c r="L51" s="298"/>
      <c r="M51" s="298"/>
      <c r="O51" s="81">
        <v>1.02</v>
      </c>
      <c r="P51" s="81">
        <f t="shared" si="3"/>
        <v>31.436400000000003</v>
      </c>
      <c r="Q51" s="2"/>
      <c r="T51" s="106" t="s">
        <v>104</v>
      </c>
      <c r="U51" s="288" t="s">
        <v>547</v>
      </c>
      <c r="W51" s="130">
        <v>42760</v>
      </c>
      <c r="X51" s="10">
        <v>36</v>
      </c>
      <c r="Y51" s="10">
        <v>36.64</v>
      </c>
      <c r="Z51" s="10">
        <v>35.979999999999997</v>
      </c>
      <c r="AA51" s="10">
        <v>36.479999999999997</v>
      </c>
      <c r="AB51" s="93">
        <v>5124900</v>
      </c>
      <c r="AC51" s="10">
        <v>36.479999999999997</v>
      </c>
      <c r="AD51" s="2">
        <f t="shared" si="0"/>
        <v>0.66000000000000369</v>
      </c>
      <c r="AE51" s="134">
        <f t="shared" si="1"/>
        <v>1.8709857581680867E-2</v>
      </c>
    </row>
    <row r="52" spans="1:31" x14ac:dyDescent="0.25">
      <c r="A52" s="298"/>
      <c r="B52" s="298"/>
      <c r="C52" s="298"/>
      <c r="D52" s="299"/>
      <c r="E52" s="299"/>
      <c r="F52" s="299"/>
      <c r="G52" s="297"/>
      <c r="H52" s="298"/>
      <c r="I52" s="298"/>
      <c r="J52" s="298"/>
      <c r="K52" s="299"/>
      <c r="L52" s="298"/>
      <c r="M52" s="298"/>
      <c r="O52" s="81">
        <v>1.01</v>
      </c>
      <c r="P52" s="81">
        <f t="shared" si="3"/>
        <v>31.1282</v>
      </c>
      <c r="Q52" s="2"/>
      <c r="T52" s="106" t="s">
        <v>105</v>
      </c>
      <c r="U52" s="288" t="s">
        <v>403</v>
      </c>
      <c r="W52" s="130">
        <v>42759</v>
      </c>
      <c r="X52" s="10">
        <v>36.03</v>
      </c>
      <c r="Y52" s="10">
        <v>36.130000000000003</v>
      </c>
      <c r="Z52" s="10">
        <v>35.159999999999997</v>
      </c>
      <c r="AA52" s="10">
        <v>35.81</v>
      </c>
      <c r="AB52" s="93">
        <v>5067200</v>
      </c>
      <c r="AC52" s="10">
        <v>35.81</v>
      </c>
      <c r="AD52" s="2">
        <f t="shared" si="0"/>
        <v>0.97000000000000597</v>
      </c>
      <c r="AE52" s="134">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81">
        <v>1</v>
      </c>
      <c r="P53" s="81">
        <f t="shared" si="3"/>
        <v>30.82</v>
      </c>
      <c r="Q53" s="2"/>
      <c r="T53" s="106" t="s">
        <v>106</v>
      </c>
      <c r="U53" s="289">
        <v>5372521</v>
      </c>
      <c r="W53" s="130">
        <v>42758</v>
      </c>
      <c r="X53" s="10">
        <v>36.869999999999997</v>
      </c>
      <c r="Y53" s="10">
        <v>37.19</v>
      </c>
      <c r="Z53" s="10">
        <v>35.82</v>
      </c>
      <c r="AA53" s="10">
        <v>36.03</v>
      </c>
      <c r="AB53" s="93">
        <v>4732200</v>
      </c>
      <c r="AC53" s="10">
        <v>36.03</v>
      </c>
      <c r="AD53" s="2">
        <f t="shared" si="0"/>
        <v>1.3699999999999974</v>
      </c>
      <c r="AE53" s="134">
        <f t="shared" si="1"/>
        <v>-2.8055031022390042E-2</v>
      </c>
    </row>
    <row r="54" spans="1:31" x14ac:dyDescent="0.25">
      <c r="O54" s="81">
        <v>0.99</v>
      </c>
      <c r="P54" s="81">
        <f t="shared" si="3"/>
        <v>30.511800000000001</v>
      </c>
      <c r="Q54" s="2"/>
      <c r="T54" s="106" t="s">
        <v>109</v>
      </c>
      <c r="U54" s="289">
        <v>5969030</v>
      </c>
      <c r="W54" s="130">
        <v>42755</v>
      </c>
      <c r="X54" s="10">
        <v>36.93</v>
      </c>
      <c r="Y54" s="10">
        <v>37.35</v>
      </c>
      <c r="Z54" s="10">
        <v>36.799999999999997</v>
      </c>
      <c r="AA54" s="10">
        <v>37.07</v>
      </c>
      <c r="AB54" s="93">
        <v>3554200</v>
      </c>
      <c r="AC54" s="10">
        <v>37.07</v>
      </c>
      <c r="AD54" s="2">
        <f t="shared" si="0"/>
        <v>0.55000000000000426</v>
      </c>
      <c r="AE54" s="134">
        <f t="shared" si="1"/>
        <v>3.2476319350474014E-3</v>
      </c>
    </row>
    <row r="55" spans="1:31" x14ac:dyDescent="0.25">
      <c r="B55" s="162" t="s">
        <v>113</v>
      </c>
      <c r="C55" s="162" t="s">
        <v>145</v>
      </c>
      <c r="D55" s="163" t="s">
        <v>144</v>
      </c>
      <c r="E55" s="165" t="s">
        <v>146</v>
      </c>
      <c r="F55" s="166" t="s">
        <v>65</v>
      </c>
      <c r="G55" s="177" t="s">
        <v>150</v>
      </c>
      <c r="H55" s="166" t="s">
        <v>88</v>
      </c>
      <c r="I55" s="166" t="s">
        <v>153</v>
      </c>
      <c r="O55" s="81">
        <v>0.98</v>
      </c>
      <c r="P55" s="81">
        <f t="shared" si="3"/>
        <v>30.203599999999998</v>
      </c>
      <c r="Q55" s="2"/>
      <c r="T55" s="106" t="s">
        <v>107</v>
      </c>
      <c r="U55" s="288" t="s">
        <v>548</v>
      </c>
      <c r="W55" s="130">
        <v>42754</v>
      </c>
      <c r="X55" s="10">
        <v>37.11</v>
      </c>
      <c r="Y55" s="10">
        <v>37.299999999999997</v>
      </c>
      <c r="Z55" s="10">
        <v>36.71</v>
      </c>
      <c r="AA55" s="10">
        <v>36.950000000000003</v>
      </c>
      <c r="AB55" s="93">
        <v>4062700</v>
      </c>
      <c r="AC55" s="10">
        <v>36.950000000000003</v>
      </c>
      <c r="AD55" s="2">
        <f t="shared" si="0"/>
        <v>0.58999999999999631</v>
      </c>
      <c r="AE55" s="134">
        <f t="shared" si="1"/>
        <v>-6.4533476741057694E-3</v>
      </c>
    </row>
    <row r="56" spans="1:31" x14ac:dyDescent="0.25">
      <c r="B56" s="164">
        <v>42502</v>
      </c>
      <c r="C56" s="10">
        <v>60</v>
      </c>
      <c r="D56" s="39">
        <v>38.25</v>
      </c>
      <c r="E56" s="39">
        <v>41.02</v>
      </c>
      <c r="F56" s="39">
        <f>C56*(E56-D56)</f>
        <v>166.20000000000019</v>
      </c>
      <c r="G56" s="39">
        <f>D56*C56</f>
        <v>2295</v>
      </c>
      <c r="H56" s="179">
        <f>(E56-D56)/D56</f>
        <v>7.241830065359485E-2</v>
      </c>
      <c r="I56" s="179"/>
      <c r="O56" s="81">
        <v>0.97</v>
      </c>
      <c r="P56" s="81">
        <f t="shared" si="3"/>
        <v>29.895399999999999</v>
      </c>
      <c r="T56" s="106" t="s">
        <v>110</v>
      </c>
      <c r="U56" s="288">
        <v>42.2</v>
      </c>
      <c r="W56" s="130">
        <v>42753</v>
      </c>
      <c r="X56" s="10">
        <v>37.18</v>
      </c>
      <c r="Y56" s="10">
        <v>37.380000000000003</v>
      </c>
      <c r="Z56" s="10">
        <v>36.71</v>
      </c>
      <c r="AA56" s="10">
        <v>37.19</v>
      </c>
      <c r="AB56" s="93">
        <v>4247600</v>
      </c>
      <c r="AC56" s="10">
        <v>37.19</v>
      </c>
      <c r="AD56" s="2">
        <f t="shared" si="0"/>
        <v>0.67000000000000171</v>
      </c>
      <c r="AE56" s="134">
        <f t="shared" si="1"/>
        <v>3.2371189641218212E-3</v>
      </c>
    </row>
    <row r="57" spans="1:31" x14ac:dyDescent="0.25">
      <c r="B57" s="164">
        <v>42509</v>
      </c>
      <c r="C57" s="10">
        <v>60</v>
      </c>
      <c r="D57" s="39">
        <v>38.25</v>
      </c>
      <c r="E57" s="39">
        <v>42.04</v>
      </c>
      <c r="F57" s="39">
        <f>C57*(E57-D57)</f>
        <v>227.39999999999995</v>
      </c>
      <c r="G57" s="39">
        <f>D57*C57</f>
        <v>2295</v>
      </c>
      <c r="H57" s="179">
        <f>(E57-D57)/D57</f>
        <v>9.9084967320261411E-2</v>
      </c>
      <c r="I57" s="179"/>
      <c r="O57" s="81">
        <v>0.96</v>
      </c>
      <c r="P57" s="81">
        <f t="shared" si="3"/>
        <v>29.587199999999999</v>
      </c>
      <c r="T57" s="106" t="s">
        <v>111</v>
      </c>
      <c r="U57" s="288">
        <v>0.92</v>
      </c>
      <c r="W57" s="130">
        <v>42752</v>
      </c>
      <c r="X57" s="10">
        <v>36.86</v>
      </c>
      <c r="Y57" s="10">
        <v>37.36</v>
      </c>
      <c r="Z57" s="10">
        <v>36.450000000000003</v>
      </c>
      <c r="AA57" s="10">
        <v>37.07</v>
      </c>
      <c r="AB57" s="93">
        <v>4540500</v>
      </c>
      <c r="AC57" s="10">
        <v>37.07</v>
      </c>
      <c r="AD57" s="2">
        <f t="shared" si="0"/>
        <v>0.90999999999999659</v>
      </c>
      <c r="AE57" s="134">
        <f t="shared" si="1"/>
        <v>9.2567383610129284E-3</v>
      </c>
    </row>
    <row r="58" spans="1:31" x14ac:dyDescent="0.25">
      <c r="B58" s="164">
        <v>42527</v>
      </c>
      <c r="C58" s="10">
        <v>60</v>
      </c>
      <c r="D58" s="39">
        <v>38.25</v>
      </c>
      <c r="E58" s="39">
        <v>46.52</v>
      </c>
      <c r="F58" s="39">
        <f>C58*(E58-D58)</f>
        <v>496.20000000000016</v>
      </c>
      <c r="G58" s="39">
        <f>D58*C58</f>
        <v>2295</v>
      </c>
      <c r="H58" s="179">
        <f>(E58-D58)/D58</f>
        <v>0.21620915032679747</v>
      </c>
      <c r="I58" s="179"/>
      <c r="O58" s="81">
        <v>0.95</v>
      </c>
      <c r="P58" s="81">
        <f t="shared" si="3"/>
        <v>29.279</v>
      </c>
      <c r="T58" s="106" t="s">
        <v>108</v>
      </c>
      <c r="U58" s="288" t="s">
        <v>122</v>
      </c>
      <c r="W58" s="130">
        <v>42748</v>
      </c>
      <c r="X58" s="10">
        <v>36.79</v>
      </c>
      <c r="Y58" s="10">
        <v>37.020000000000003</v>
      </c>
      <c r="Z58" s="10">
        <v>36.35</v>
      </c>
      <c r="AA58" s="10">
        <v>36.729999999999997</v>
      </c>
      <c r="AB58" s="93">
        <v>5031400</v>
      </c>
      <c r="AC58" s="10">
        <v>36.729999999999997</v>
      </c>
      <c r="AD58" s="2">
        <f t="shared" si="0"/>
        <v>0.67000000000000171</v>
      </c>
      <c r="AE58" s="134">
        <f t="shared" si="1"/>
        <v>-1.0878433505576712E-3</v>
      </c>
    </row>
    <row r="59" spans="1:31" x14ac:dyDescent="0.25">
      <c r="B59" s="164">
        <v>42538</v>
      </c>
      <c r="C59" s="10">
        <v>30</v>
      </c>
      <c r="D59" s="39">
        <v>31.251000000000001</v>
      </c>
      <c r="E59" s="39">
        <v>45.1</v>
      </c>
      <c r="F59" s="39">
        <f>C59*(E59-D59)</f>
        <v>415.47</v>
      </c>
      <c r="G59" s="39">
        <f>D59*C59</f>
        <v>937.53000000000009</v>
      </c>
      <c r="H59" s="179">
        <f>(E59-D59)/D59</f>
        <v>0.4431538190777895</v>
      </c>
      <c r="I59" s="179"/>
      <c r="O59" s="81">
        <v>0.94</v>
      </c>
      <c r="P59" s="81">
        <f t="shared" si="3"/>
        <v>28.970799999999997</v>
      </c>
      <c r="W59" s="130">
        <v>42747</v>
      </c>
      <c r="X59" s="10">
        <v>37.44</v>
      </c>
      <c r="Y59" s="10">
        <v>37.44</v>
      </c>
      <c r="Z59" s="10">
        <v>36.17</v>
      </c>
      <c r="AA59" s="10">
        <v>36.770000000000003</v>
      </c>
      <c r="AB59" s="93">
        <v>7165400</v>
      </c>
      <c r="AC59" s="10">
        <v>36.770000000000003</v>
      </c>
      <c r="AD59" s="2">
        <f t="shared" si="0"/>
        <v>1.269999999999996</v>
      </c>
      <c r="AE59" s="134">
        <f t="shared" si="1"/>
        <v>-1.3680257510729543E-2</v>
      </c>
    </row>
    <row r="60" spans="1:31" x14ac:dyDescent="0.25">
      <c r="B60" s="164">
        <v>42544</v>
      </c>
      <c r="C60" s="10">
        <v>0</v>
      </c>
      <c r="D60" s="39"/>
      <c r="E60" s="39">
        <v>46.16</v>
      </c>
      <c r="F60" s="39">
        <v>439.78</v>
      </c>
      <c r="G60" s="39"/>
      <c r="H60" s="179"/>
      <c r="I60" s="179"/>
      <c r="O60" s="81">
        <v>0.93</v>
      </c>
      <c r="P60" s="81">
        <f t="shared" si="3"/>
        <v>28.662600000000001</v>
      </c>
      <c r="W60" s="130">
        <v>42746</v>
      </c>
      <c r="X60" s="10">
        <v>39.549999999999997</v>
      </c>
      <c r="Y60" s="10">
        <v>39.58</v>
      </c>
      <c r="Z60" s="10">
        <v>37.08</v>
      </c>
      <c r="AA60" s="10">
        <v>37.28</v>
      </c>
      <c r="AB60" s="93">
        <v>11748800</v>
      </c>
      <c r="AC60" s="10">
        <v>37.28</v>
      </c>
      <c r="AD60" s="2">
        <f t="shared" si="0"/>
        <v>2.5</v>
      </c>
      <c r="AE60" s="134">
        <f t="shared" si="1"/>
        <v>-4.2875481386392855E-2</v>
      </c>
    </row>
    <row r="61" spans="1:31" x14ac:dyDescent="0.25">
      <c r="B61" s="164"/>
      <c r="C61" s="10"/>
      <c r="D61" s="39"/>
      <c r="E61" s="39"/>
      <c r="F61" s="39"/>
      <c r="G61" s="39"/>
      <c r="H61" s="179"/>
      <c r="I61" s="179"/>
      <c r="O61" s="81">
        <v>0.92</v>
      </c>
      <c r="P61" s="81">
        <f t="shared" si="3"/>
        <v>28.354400000000002</v>
      </c>
      <c r="W61" s="130">
        <v>42745</v>
      </c>
      <c r="X61" s="10">
        <v>39.229999999999997</v>
      </c>
      <c r="Y61" s="10">
        <v>39.369999999999997</v>
      </c>
      <c r="Z61" s="10">
        <v>38.67</v>
      </c>
      <c r="AA61" s="10">
        <v>38.950000000000003</v>
      </c>
      <c r="AB61" s="93">
        <v>3409800</v>
      </c>
      <c r="AC61" s="10">
        <v>38.950000000000003</v>
      </c>
      <c r="AD61" s="2">
        <f t="shared" si="0"/>
        <v>0.69999999999999574</v>
      </c>
      <c r="AE61" s="134">
        <f t="shared" si="1"/>
        <v>0</v>
      </c>
    </row>
    <row r="62" spans="1:31" x14ac:dyDescent="0.25">
      <c r="B62" s="164"/>
      <c r="C62" s="10"/>
      <c r="D62" s="39"/>
      <c r="E62" s="39"/>
      <c r="F62" s="39"/>
      <c r="G62" s="39"/>
      <c r="H62" s="179"/>
      <c r="I62" s="179"/>
      <c r="O62" s="81">
        <v>0.91</v>
      </c>
      <c r="P62" s="81">
        <f t="shared" si="3"/>
        <v>28.046200000000002</v>
      </c>
      <c r="W62" s="130">
        <v>42744</v>
      </c>
      <c r="X62" s="10">
        <v>38.5</v>
      </c>
      <c r="Y62" s="10">
        <v>39.130000000000003</v>
      </c>
      <c r="Z62" s="10">
        <v>38.409999999999997</v>
      </c>
      <c r="AA62" s="10">
        <v>38.950000000000003</v>
      </c>
      <c r="AB62" s="93">
        <v>3382200</v>
      </c>
      <c r="AC62" s="10">
        <v>38.950000000000003</v>
      </c>
      <c r="AD62" s="2">
        <f t="shared" si="0"/>
        <v>0.72000000000000597</v>
      </c>
      <c r="AE62" s="134">
        <f t="shared" si="1"/>
        <v>1.1688311688311748E-2</v>
      </c>
    </row>
    <row r="63" spans="1:31" x14ac:dyDescent="0.25">
      <c r="B63" s="164"/>
      <c r="C63" s="10"/>
      <c r="D63" s="39"/>
      <c r="E63" s="39"/>
      <c r="F63" s="39"/>
      <c r="G63" s="39"/>
      <c r="H63" s="179"/>
      <c r="I63" s="179"/>
      <c r="O63" s="81">
        <v>0.9</v>
      </c>
      <c r="P63" s="81">
        <f t="shared" si="3"/>
        <v>27.738</v>
      </c>
      <c r="W63" s="130">
        <v>42741</v>
      </c>
      <c r="X63" s="10">
        <v>38.869999999999997</v>
      </c>
      <c r="Y63" s="10">
        <v>39.08</v>
      </c>
      <c r="Z63" s="10">
        <v>37.950000000000003</v>
      </c>
      <c r="AA63" s="10">
        <v>38.5</v>
      </c>
      <c r="AB63" s="93">
        <v>5640000</v>
      </c>
      <c r="AC63" s="10">
        <v>38.5</v>
      </c>
      <c r="AD63" s="2">
        <f t="shared" si="0"/>
        <v>1.1299999999999955</v>
      </c>
      <c r="AE63" s="134">
        <f t="shared" si="1"/>
        <v>-1.6853932584269593E-2</v>
      </c>
    </row>
    <row r="64" spans="1:31" x14ac:dyDescent="0.25">
      <c r="B64" s="164"/>
      <c r="C64" s="10"/>
      <c r="D64" s="39"/>
      <c r="E64" s="39"/>
      <c r="F64" s="39"/>
      <c r="G64" s="39"/>
      <c r="H64" s="179"/>
      <c r="I64" s="179"/>
      <c r="W64" s="130">
        <v>42740</v>
      </c>
      <c r="X64" s="10">
        <v>38.950000000000003</v>
      </c>
      <c r="Y64" s="10">
        <v>39.47</v>
      </c>
      <c r="Z64" s="10">
        <v>38.770000000000003</v>
      </c>
      <c r="AA64" s="10">
        <v>39.159999999999997</v>
      </c>
      <c r="AB64" s="93">
        <v>5799300</v>
      </c>
      <c r="AC64" s="10">
        <v>39.159999999999997</v>
      </c>
      <c r="AD64" s="2">
        <f t="shared" si="0"/>
        <v>0.69999999999999574</v>
      </c>
      <c r="AE64" s="134">
        <f t="shared" si="1"/>
        <v>-1.1859702245773596E-2</v>
      </c>
    </row>
    <row r="65" spans="2:31" x14ac:dyDescent="0.25">
      <c r="B65" s="164"/>
      <c r="C65" s="10"/>
      <c r="D65" s="39"/>
      <c r="E65" s="39"/>
      <c r="F65" s="39"/>
      <c r="G65" s="39"/>
      <c r="H65" s="179"/>
      <c r="I65" s="179"/>
      <c r="W65" s="130">
        <v>42739</v>
      </c>
      <c r="X65" s="10">
        <v>39.32</v>
      </c>
      <c r="Y65" s="10">
        <v>40.08</v>
      </c>
      <c r="Z65" s="10">
        <v>39.25</v>
      </c>
      <c r="AA65" s="10">
        <v>39.630000000000003</v>
      </c>
      <c r="AB65" s="93">
        <v>6490300</v>
      </c>
      <c r="AC65" s="10">
        <v>39.630000000000003</v>
      </c>
      <c r="AD65" s="2">
        <f t="shared" si="0"/>
        <v>0.82999999999999829</v>
      </c>
      <c r="AE65" s="134">
        <f t="shared" si="1"/>
        <v>1.329583226796216E-2</v>
      </c>
    </row>
    <row r="66" spans="2:31" x14ac:dyDescent="0.25">
      <c r="B66" s="164"/>
      <c r="C66" s="10"/>
      <c r="D66" s="39"/>
      <c r="E66" s="39"/>
      <c r="F66" s="39"/>
      <c r="G66" s="39"/>
      <c r="H66" s="179"/>
      <c r="I66" s="179"/>
      <c r="W66" s="130">
        <v>42738</v>
      </c>
      <c r="X66" s="10">
        <v>38.479999999999997</v>
      </c>
      <c r="Y66" s="10">
        <v>39.28</v>
      </c>
      <c r="Z66" s="10">
        <v>38.42</v>
      </c>
      <c r="AA66" s="10">
        <v>39.11</v>
      </c>
      <c r="AB66" s="93">
        <v>5030200</v>
      </c>
      <c r="AC66" s="10">
        <v>39.11</v>
      </c>
      <c r="AD66" s="2">
        <f t="shared" si="0"/>
        <v>0.85999999999999943</v>
      </c>
      <c r="AE66" s="134">
        <f t="shared" si="1"/>
        <v>2.5163826998689354E-2</v>
      </c>
    </row>
    <row r="67" spans="2:31" x14ac:dyDescent="0.25">
      <c r="W67" s="130">
        <v>42734</v>
      </c>
      <c r="X67" s="10">
        <v>37.979999999999997</v>
      </c>
      <c r="Y67" s="10">
        <v>38.79</v>
      </c>
      <c r="Z67" s="10">
        <v>37.840000000000003</v>
      </c>
      <c r="AA67" s="10">
        <v>38.15</v>
      </c>
      <c r="AB67" s="93">
        <v>6311000</v>
      </c>
      <c r="AC67" s="10">
        <v>38.15</v>
      </c>
      <c r="AD67" s="2">
        <f>Y67-Z67</f>
        <v>0.94999999999999574</v>
      </c>
      <c r="AE67" s="134" t="e">
        <f>AC67/AC68-1</f>
        <v>#DIV/0!</v>
      </c>
    </row>
    <row r="68" spans="2:31" x14ac:dyDescent="0.25">
      <c r="W68" s="10" t="s">
        <v>120</v>
      </c>
      <c r="X68" s="10"/>
      <c r="Y68" s="10"/>
      <c r="Z68" s="10"/>
      <c r="AA68" s="10"/>
      <c r="AB68" s="10"/>
      <c r="AC68" s="10"/>
      <c r="AD68" s="2">
        <f>Y68-Z68</f>
        <v>0</v>
      </c>
      <c r="AE68" s="134" t="e">
        <f>AC68/AC69-1</f>
        <v>#DIV/0!</v>
      </c>
    </row>
  </sheetData>
  <mergeCells count="1">
    <mergeCell ref="O42:P42"/>
  </mergeCells>
  <conditionalFormatting sqref="N19">
    <cfRule type="expression" dxfId="3732" priority="29">
      <formula>N19&gt;0</formula>
    </cfRule>
    <cfRule type="expression" dxfId="3731"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3730" priority="23">
      <formula>F22&gt;0</formula>
    </cfRule>
    <cfRule type="expression" dxfId="3729" priority="24">
      <formula>F22&lt;0</formula>
    </cfRule>
  </conditionalFormatting>
  <conditionalFormatting sqref="H22:H31">
    <cfRule type="expression" dxfId="3728" priority="21">
      <formula>H22&gt;0</formula>
    </cfRule>
    <cfRule type="expression" dxfId="3727" priority="22">
      <formula>H22&lt;0</formula>
    </cfRule>
  </conditionalFormatting>
  <conditionalFormatting sqref="I21:J31">
    <cfRule type="expression" dxfId="3726" priority="19">
      <formula>I21&gt;0</formula>
    </cfRule>
    <cfRule type="expression" dxfId="3725" priority="20">
      <formula>I21&lt;0</formula>
    </cfRule>
  </conditionalFormatting>
  <conditionalFormatting sqref="Q8">
    <cfRule type="expression" dxfId="3724" priority="11">
      <formula>Q8&gt;0</formula>
    </cfRule>
    <cfRule type="expression" dxfId="3723" priority="12">
      <formula>Q8&lt;0</formula>
    </cfRule>
  </conditionalFormatting>
  <conditionalFormatting sqref="Q7">
    <cfRule type="expression" dxfId="3722" priority="13">
      <formula>Q7&gt;0</formula>
    </cfRule>
    <cfRule type="expression" dxfId="3721" priority="14">
      <formula>Q7&lt;0</formula>
    </cfRule>
  </conditionalFormatting>
  <conditionalFormatting sqref="F56:F66">
    <cfRule type="expression" dxfId="3720" priority="9">
      <formula>F56&gt;0</formula>
    </cfRule>
    <cfRule type="expression" dxfId="3719" priority="10">
      <formula>F56&lt;0</formula>
    </cfRule>
  </conditionalFormatting>
  <conditionalFormatting sqref="H56:H66">
    <cfRule type="expression" dxfId="3718" priority="7">
      <formula>H56&gt;0</formula>
    </cfRule>
    <cfRule type="expression" dxfId="3717" priority="8">
      <formula>H56&lt;0</formula>
    </cfRule>
  </conditionalFormatting>
  <conditionalFormatting sqref="I56:I66">
    <cfRule type="expression" dxfId="3716" priority="5">
      <formula>I56&gt;0</formula>
    </cfRule>
    <cfRule type="expression" dxfId="3715" priority="6">
      <formula>I56&lt;0</formula>
    </cfRule>
  </conditionalFormatting>
  <conditionalFormatting sqref="F21">
    <cfRule type="expression" dxfId="3714" priority="3">
      <formula>F21&gt;0</formula>
    </cfRule>
    <cfRule type="expression" dxfId="3713" priority="4">
      <formula>F21&lt;0</formula>
    </cfRule>
  </conditionalFormatting>
  <conditionalFormatting sqref="H21">
    <cfRule type="expression" dxfId="3712" priority="1">
      <formula>H21&gt;0</formula>
    </cfRule>
    <cfRule type="expression" dxfId="3711"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209</v>
      </c>
      <c r="B2" s="368">
        <v>42998</v>
      </c>
      <c r="C2" s="7">
        <v>50</v>
      </c>
      <c r="D2" s="43">
        <v>65.680000000000007</v>
      </c>
      <c r="E2" s="43">
        <v>0</v>
      </c>
      <c r="F2" s="43">
        <f t="shared" ref="F2:F13" si="0">C2*D2+E2</f>
        <v>3284.0000000000005</v>
      </c>
      <c r="G2" s="368">
        <v>43028</v>
      </c>
      <c r="H2" s="7">
        <v>50</v>
      </c>
      <c r="I2" s="43">
        <v>65.28</v>
      </c>
      <c r="J2" s="43">
        <v>0.08</v>
      </c>
      <c r="K2" s="43">
        <f t="shared" ref="K2:K12" si="1">H2*I2-J2</f>
        <v>3263.92</v>
      </c>
      <c r="L2" s="72">
        <v>43069</v>
      </c>
      <c r="M2" s="43">
        <v>31</v>
      </c>
      <c r="O2" s="11" t="s">
        <v>57</v>
      </c>
      <c r="Q2" s="7">
        <f>C22-H22</f>
        <v>0</v>
      </c>
      <c r="T2" s="1">
        <v>42568</v>
      </c>
      <c r="U2" t="s">
        <v>234</v>
      </c>
    </row>
    <row r="3" spans="1:31" x14ac:dyDescent="0.25">
      <c r="A3" s="22" t="s">
        <v>71</v>
      </c>
      <c r="B3" s="368">
        <v>42998</v>
      </c>
      <c r="C3" s="7">
        <v>50</v>
      </c>
      <c r="D3" s="43">
        <v>64.98</v>
      </c>
      <c r="E3" s="43">
        <v>0</v>
      </c>
      <c r="F3" s="43">
        <f t="shared" si="0"/>
        <v>3249</v>
      </c>
      <c r="G3" s="368">
        <v>43028</v>
      </c>
      <c r="H3" s="80">
        <v>50</v>
      </c>
      <c r="I3" s="43">
        <v>66.08</v>
      </c>
      <c r="J3" s="43">
        <v>0.08</v>
      </c>
      <c r="K3" s="43">
        <f t="shared" si="1"/>
        <v>3303.92</v>
      </c>
      <c r="L3" s="72">
        <v>43160</v>
      </c>
      <c r="M3" s="43">
        <v>46.5</v>
      </c>
      <c r="O3" s="11" t="s">
        <v>58</v>
      </c>
      <c r="Q3" s="178">
        <f>IF(Q2=0, Q4, (F22-K22-M22)/Q2)</f>
        <v>24.3</v>
      </c>
      <c r="T3" s="1">
        <v>43112</v>
      </c>
      <c r="U3" t="s">
        <v>857</v>
      </c>
      <c r="X3" s="1"/>
      <c r="AB3" s="182"/>
      <c r="AE3" s="182"/>
    </row>
    <row r="4" spans="1:31" x14ac:dyDescent="0.25">
      <c r="B4" s="368">
        <v>43019</v>
      </c>
      <c r="C4" s="7">
        <v>50</v>
      </c>
      <c r="D4" s="43">
        <v>64.38</v>
      </c>
      <c r="E4" s="43">
        <v>0</v>
      </c>
      <c r="F4" s="43">
        <f t="shared" si="0"/>
        <v>3219</v>
      </c>
      <c r="G4" s="368">
        <v>43069</v>
      </c>
      <c r="H4" s="80">
        <v>50</v>
      </c>
      <c r="I4" s="43">
        <v>52.58</v>
      </c>
      <c r="J4" s="43">
        <v>0.06</v>
      </c>
      <c r="K4" s="43">
        <f t="shared" si="1"/>
        <v>2628.94</v>
      </c>
      <c r="L4" s="72">
        <v>43252</v>
      </c>
      <c r="M4" s="43">
        <v>92.5</v>
      </c>
      <c r="O4" s="11" t="s">
        <v>66</v>
      </c>
      <c r="Q4" s="54">
        <v>24.3</v>
      </c>
      <c r="R4" s="179">
        <v>1.47E-2</v>
      </c>
      <c r="T4" s="1">
        <v>43114</v>
      </c>
      <c r="U4" t="s">
        <v>856</v>
      </c>
      <c r="AB4" s="182"/>
      <c r="AE4" s="182"/>
    </row>
    <row r="5" spans="1:31" x14ac:dyDescent="0.25">
      <c r="B5" s="368">
        <v>43033</v>
      </c>
      <c r="C5" s="7">
        <v>50</v>
      </c>
      <c r="D5" s="43">
        <v>64.2</v>
      </c>
      <c r="E5" s="43">
        <v>0</v>
      </c>
      <c r="F5" s="43">
        <f t="shared" si="0"/>
        <v>3210</v>
      </c>
      <c r="G5" s="368">
        <v>43140</v>
      </c>
      <c r="H5" s="80">
        <v>50</v>
      </c>
      <c r="I5" s="43">
        <v>49.32</v>
      </c>
      <c r="J5" s="43">
        <v>0.06</v>
      </c>
      <c r="K5" s="43">
        <f t="shared" si="1"/>
        <v>2465.94</v>
      </c>
      <c r="L5" s="4"/>
      <c r="M5" s="4"/>
      <c r="O5" s="11" t="s">
        <v>67</v>
      </c>
      <c r="Q5" s="3">
        <f>Q4*Q2</f>
        <v>0</v>
      </c>
      <c r="T5" s="1">
        <v>43117</v>
      </c>
      <c r="U5" t="s">
        <v>867</v>
      </c>
      <c r="AB5" s="182"/>
      <c r="AE5" s="182"/>
    </row>
    <row r="6" spans="1:31" x14ac:dyDescent="0.25">
      <c r="B6" s="368">
        <v>43063</v>
      </c>
      <c r="C6" s="7">
        <v>50</v>
      </c>
      <c r="D6" s="43">
        <v>50.08</v>
      </c>
      <c r="E6" s="43">
        <v>0</v>
      </c>
      <c r="F6" s="43">
        <f t="shared" si="0"/>
        <v>2504</v>
      </c>
      <c r="G6" s="368">
        <v>43145</v>
      </c>
      <c r="H6" s="80">
        <v>50</v>
      </c>
      <c r="I6" s="43">
        <v>51.92</v>
      </c>
      <c r="J6" s="43">
        <v>0.06</v>
      </c>
      <c r="K6" s="43">
        <f t="shared" si="1"/>
        <v>2595.94</v>
      </c>
      <c r="L6" s="4"/>
      <c r="M6" s="4"/>
      <c r="O6" s="11" t="s">
        <v>64</v>
      </c>
      <c r="Q6" s="2">
        <f>Q3*Q2</f>
        <v>0</v>
      </c>
      <c r="AB6" s="182"/>
      <c r="AE6" s="182"/>
    </row>
    <row r="7" spans="1:31" x14ac:dyDescent="0.25">
      <c r="A7" t="s">
        <v>758</v>
      </c>
      <c r="B7" s="368">
        <v>43130</v>
      </c>
      <c r="C7" s="7">
        <v>50</v>
      </c>
      <c r="D7" s="43">
        <v>53.28</v>
      </c>
      <c r="E7" s="43">
        <v>0</v>
      </c>
      <c r="F7" s="43">
        <f t="shared" si="0"/>
        <v>2664</v>
      </c>
      <c r="G7" s="368">
        <v>43154</v>
      </c>
      <c r="H7" s="80">
        <v>50</v>
      </c>
      <c r="I7" s="43">
        <v>51.68</v>
      </c>
      <c r="J7" s="43">
        <v>0.06</v>
      </c>
      <c r="K7" s="43">
        <f t="shared" si="1"/>
        <v>2583.94</v>
      </c>
      <c r="L7" s="4"/>
      <c r="M7" s="4"/>
      <c r="O7" s="11" t="s">
        <v>177</v>
      </c>
      <c r="Q7" s="2">
        <f>Q10+Q8</f>
        <v>2131.6999999999971</v>
      </c>
      <c r="R7">
        <v>0</v>
      </c>
      <c r="AB7" s="182"/>
      <c r="AE7" s="182"/>
    </row>
    <row r="8" spans="1:31" x14ac:dyDescent="0.25">
      <c r="B8" s="368">
        <v>43140</v>
      </c>
      <c r="C8" s="7">
        <v>50</v>
      </c>
      <c r="D8" s="43">
        <v>47.88</v>
      </c>
      <c r="E8" s="43">
        <v>0</v>
      </c>
      <c r="F8" s="43">
        <f t="shared" si="0"/>
        <v>2394</v>
      </c>
      <c r="G8" s="368">
        <v>43180</v>
      </c>
      <c r="H8" s="80">
        <v>100</v>
      </c>
      <c r="I8" s="43">
        <v>39.700000000000003</v>
      </c>
      <c r="J8" s="43">
        <v>0.09</v>
      </c>
      <c r="K8" s="43">
        <f t="shared" si="1"/>
        <v>3969.9100000000003</v>
      </c>
      <c r="L8" s="4"/>
      <c r="M8" s="4"/>
      <c r="O8" s="11" t="s">
        <v>179</v>
      </c>
      <c r="P8" s="33"/>
      <c r="Q8" s="2">
        <f>K22+M22-F22+Q2*Q4</f>
        <v>973.83000000000175</v>
      </c>
      <c r="T8" s="693">
        <v>43173</v>
      </c>
      <c r="U8" t="s">
        <v>930</v>
      </c>
      <c r="AB8" s="182"/>
      <c r="AE8" s="182"/>
    </row>
    <row r="9" spans="1:31" x14ac:dyDescent="0.25">
      <c r="B9" s="368">
        <v>43143</v>
      </c>
      <c r="C9" s="7">
        <v>50</v>
      </c>
      <c r="D9" s="43">
        <v>47.2</v>
      </c>
      <c r="E9" s="43">
        <v>0</v>
      </c>
      <c r="F9" s="43">
        <f t="shared" si="0"/>
        <v>2360</v>
      </c>
      <c r="G9" s="368">
        <v>43257</v>
      </c>
      <c r="H9" s="80">
        <v>50</v>
      </c>
      <c r="I9" s="43">
        <v>53</v>
      </c>
      <c r="J9" s="43">
        <v>0.03</v>
      </c>
      <c r="K9" s="43">
        <f t="shared" si="1"/>
        <v>2649.97</v>
      </c>
      <c r="L9" s="4"/>
      <c r="M9" s="4"/>
      <c r="O9" s="11" t="s">
        <v>204</v>
      </c>
      <c r="Q9" s="179">
        <f>IF(Q2=0, 0, Q8/Q6)</f>
        <v>0</v>
      </c>
      <c r="T9" s="151"/>
      <c r="U9" t="s">
        <v>955</v>
      </c>
    </row>
    <row r="10" spans="1:31" x14ac:dyDescent="0.25">
      <c r="B10" s="368">
        <v>43151</v>
      </c>
      <c r="C10" s="7">
        <v>50</v>
      </c>
      <c r="D10" s="43">
        <v>50.35</v>
      </c>
      <c r="E10" s="43">
        <v>0</v>
      </c>
      <c r="F10" s="43">
        <f t="shared" si="0"/>
        <v>2517.5</v>
      </c>
      <c r="G10" s="368">
        <v>43259</v>
      </c>
      <c r="H10" s="80">
        <v>100</v>
      </c>
      <c r="I10" s="43">
        <v>55.26</v>
      </c>
      <c r="J10" s="43">
        <v>7.0000000000000007E-2</v>
      </c>
      <c r="K10" s="43">
        <f t="shared" si="1"/>
        <v>5525.93</v>
      </c>
      <c r="L10" s="4"/>
      <c r="M10" s="4"/>
      <c r="O10" s="11" t="s">
        <v>203</v>
      </c>
      <c r="P10" s="33"/>
      <c r="Q10" s="2">
        <f>M177</f>
        <v>1157.8699999999953</v>
      </c>
      <c r="U10" t="s">
        <v>953</v>
      </c>
    </row>
    <row r="11" spans="1:31" x14ac:dyDescent="0.25">
      <c r="B11" s="368">
        <v>43151</v>
      </c>
      <c r="C11" s="7">
        <v>50</v>
      </c>
      <c r="D11" s="43">
        <v>49.38</v>
      </c>
      <c r="E11" s="43">
        <v>0</v>
      </c>
      <c r="F11" s="43">
        <f t="shared" si="0"/>
        <v>2469</v>
      </c>
      <c r="G11" s="368">
        <v>43264</v>
      </c>
      <c r="H11" s="80">
        <v>50</v>
      </c>
      <c r="I11" s="43">
        <v>58.88</v>
      </c>
      <c r="J11" s="43">
        <v>0.04</v>
      </c>
      <c r="K11" s="43">
        <f t="shared" si="1"/>
        <v>2943.96</v>
      </c>
      <c r="L11" s="4"/>
      <c r="M11" s="4"/>
      <c r="O11" s="11" t="s">
        <v>175</v>
      </c>
      <c r="P11" s="33"/>
      <c r="Q11" s="134">
        <f>R11*4/Q4</f>
        <v>6.0905349794238679E-2</v>
      </c>
      <c r="R11" s="33">
        <f>1.48/4</f>
        <v>0.37</v>
      </c>
      <c r="U11" t="s">
        <v>954</v>
      </c>
    </row>
    <row r="12" spans="1:31" x14ac:dyDescent="0.25">
      <c r="B12" s="368">
        <v>43165</v>
      </c>
      <c r="C12" s="7">
        <v>50</v>
      </c>
      <c r="D12" s="43">
        <v>48.68</v>
      </c>
      <c r="E12" s="43">
        <v>0</v>
      </c>
      <c r="F12" s="43">
        <f t="shared" si="0"/>
        <v>2434</v>
      </c>
      <c r="G12" s="368">
        <v>43287</v>
      </c>
      <c r="H12" s="80">
        <v>50</v>
      </c>
      <c r="I12" s="43">
        <v>59</v>
      </c>
      <c r="J12" s="43">
        <v>0.04</v>
      </c>
      <c r="K12" s="43">
        <f t="shared" si="1"/>
        <v>2949.96</v>
      </c>
      <c r="L12" s="4"/>
      <c r="M12" s="4"/>
      <c r="O12" s="11" t="s">
        <v>921</v>
      </c>
      <c r="Q12" s="1"/>
    </row>
    <row r="13" spans="1:31" x14ac:dyDescent="0.25">
      <c r="B13" s="368">
        <v>43173</v>
      </c>
      <c r="C13" s="7">
        <v>100</v>
      </c>
      <c r="D13" s="43">
        <v>37.74</v>
      </c>
      <c r="E13" s="43">
        <v>0</v>
      </c>
      <c r="F13" s="43">
        <f t="shared" si="0"/>
        <v>3774</v>
      </c>
      <c r="G13" s="72"/>
      <c r="H13" s="161"/>
      <c r="I13" s="3"/>
      <c r="J13" s="4"/>
      <c r="K13" s="3"/>
      <c r="L13" s="4"/>
      <c r="M13" s="4"/>
      <c r="O13" s="11" t="s">
        <v>947</v>
      </c>
      <c r="Q13">
        <f>Q4/4</f>
        <v>6.0750000000000002</v>
      </c>
      <c r="T13" s="1">
        <v>43212</v>
      </c>
      <c r="U13" t="s">
        <v>997</v>
      </c>
    </row>
    <row r="14" spans="1:31" x14ac:dyDescent="0.25">
      <c r="B14" s="72"/>
      <c r="C14" s="4"/>
      <c r="D14" s="3"/>
      <c r="E14" s="3"/>
      <c r="F14" s="3"/>
      <c r="G14" s="72"/>
      <c r="H14" s="161"/>
      <c r="I14" s="4"/>
      <c r="J14" s="4"/>
      <c r="K14" s="3"/>
      <c r="L14" s="4"/>
      <c r="M14" s="4"/>
      <c r="O14" s="4"/>
      <c r="P14" s="4"/>
      <c r="Q14" s="4"/>
      <c r="R14" s="107"/>
      <c r="S14" s="4"/>
      <c r="T14" s="4"/>
      <c r="U14" s="4"/>
      <c r="V14" s="4"/>
      <c r="W14" s="4"/>
    </row>
    <row r="15" spans="1:31" x14ac:dyDescent="0.25">
      <c r="B15" s="72"/>
      <c r="C15" s="4"/>
      <c r="D15" s="3"/>
      <c r="E15" s="3"/>
      <c r="F15" s="3"/>
      <c r="G15" s="72"/>
      <c r="H15" s="161"/>
      <c r="I15" s="4"/>
      <c r="J15" s="4"/>
      <c r="K15" s="3"/>
      <c r="L15" s="4"/>
      <c r="M15" s="4"/>
      <c r="O15" s="346"/>
      <c r="P15" s="346"/>
      <c r="Q15" s="346"/>
      <c r="R15" s="346"/>
      <c r="S15" s="346"/>
      <c r="T15" s="117">
        <v>43243</v>
      </c>
      <c r="U15" s="17" t="s">
        <v>1069</v>
      </c>
      <c r="V15" s="346"/>
      <c r="W15" s="688"/>
    </row>
    <row r="16" spans="1:31" x14ac:dyDescent="0.25">
      <c r="B16" s="72"/>
      <c r="C16" s="4"/>
      <c r="D16" s="3"/>
      <c r="E16" s="3"/>
      <c r="F16" s="3"/>
      <c r="G16" s="72"/>
      <c r="H16" s="161"/>
      <c r="I16" s="4"/>
      <c r="J16" s="4"/>
      <c r="K16" s="3"/>
      <c r="L16" s="4"/>
      <c r="M16" s="4"/>
      <c r="O16" s="689"/>
      <c r="P16" s="4"/>
      <c r="Q16" s="4"/>
      <c r="R16" s="188"/>
      <c r="S16" s="188"/>
      <c r="V16" s="4"/>
      <c r="W16" s="222"/>
    </row>
    <row r="17" spans="1:23" x14ac:dyDescent="0.25">
      <c r="B17" s="72"/>
      <c r="C17" s="4"/>
      <c r="D17" s="3"/>
      <c r="E17" s="3"/>
      <c r="F17" s="3"/>
      <c r="G17" s="4"/>
      <c r="H17" s="4"/>
      <c r="I17" s="4"/>
      <c r="J17" s="4"/>
      <c r="K17" s="3"/>
      <c r="L17" s="4"/>
      <c r="M17" s="4"/>
      <c r="O17" s="690"/>
      <c r="P17" s="4"/>
      <c r="Q17" s="4"/>
      <c r="R17" s="188"/>
      <c r="S17" s="4"/>
      <c r="T17" s="117">
        <v>43257</v>
      </c>
      <c r="U17" s="17" t="s">
        <v>1090</v>
      </c>
      <c r="V17" s="4"/>
      <c r="W17" s="222"/>
    </row>
    <row r="18" spans="1:23" x14ac:dyDescent="0.25">
      <c r="O18" s="4"/>
      <c r="P18" s="4"/>
      <c r="Q18" s="4"/>
      <c r="R18" s="4"/>
      <c r="S18" s="4"/>
      <c r="T18" s="72">
        <v>43258</v>
      </c>
      <c r="U18" s="4" t="s">
        <v>1092</v>
      </c>
      <c r="V18" s="4"/>
      <c r="W18" s="222"/>
    </row>
    <row r="19" spans="1:23" x14ac:dyDescent="0.25">
      <c r="O19" s="4"/>
      <c r="P19" s="4"/>
      <c r="Q19" s="4"/>
      <c r="R19" s="4"/>
      <c r="S19" s="4"/>
      <c r="T19" s="4"/>
      <c r="U19" s="4"/>
      <c r="V19" s="4"/>
      <c r="W19" s="222"/>
    </row>
    <row r="20" spans="1:23" x14ac:dyDescent="0.25">
      <c r="O20" s="4"/>
      <c r="P20" s="4"/>
      <c r="Q20" s="4"/>
      <c r="R20" s="4"/>
      <c r="S20" s="4"/>
      <c r="T20" s="4"/>
      <c r="U20" s="4"/>
      <c r="V20" s="4"/>
      <c r="W20" s="222"/>
    </row>
    <row r="21" spans="1:23" x14ac:dyDescent="0.25">
      <c r="G21" s="1"/>
      <c r="H21" s="70"/>
      <c r="O21" s="4"/>
      <c r="P21" s="4"/>
      <c r="Q21" s="4"/>
      <c r="R21" s="4"/>
      <c r="S21" s="4"/>
      <c r="T21" s="4"/>
      <c r="U21" s="4"/>
      <c r="V21" s="4"/>
      <c r="W21" s="222"/>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22"/>
    </row>
    <row r="23" spans="1:23" ht="15.75" thickBot="1" x14ac:dyDescent="0.3">
      <c r="A23" s="277" t="s">
        <v>191</v>
      </c>
      <c r="B23" s="278"/>
      <c r="C23" s="279">
        <f>SumByColor($A$23,C2:C21)</f>
        <v>650</v>
      </c>
      <c r="D23" s="279"/>
      <c r="E23" s="279"/>
      <c r="F23" s="280">
        <f>SumByColor($A$23,F2:F21)</f>
        <v>34079</v>
      </c>
      <c r="G23" s="279"/>
      <c r="H23" s="279">
        <f>SumByColor($A$23,H2:H21)</f>
        <v>650</v>
      </c>
      <c r="I23" s="279"/>
      <c r="J23" s="279"/>
      <c r="K23" s="280">
        <f>SumByColor($A$23,K2:K21)</f>
        <v>34883</v>
      </c>
      <c r="L23" s="279"/>
      <c r="M23" s="280">
        <f>SumByColor($A$23,M2:M21)</f>
        <v>170</v>
      </c>
      <c r="N23" s="2"/>
      <c r="O23" s="4"/>
      <c r="P23" s="4"/>
      <c r="Q23" s="4"/>
      <c r="R23" s="4"/>
      <c r="S23" s="4"/>
      <c r="T23" s="4"/>
      <c r="U23" s="4"/>
      <c r="V23" s="4"/>
      <c r="W23" s="222"/>
    </row>
    <row r="24" spans="1:23" x14ac:dyDescent="0.25">
      <c r="O24" s="4"/>
      <c r="P24" s="4"/>
      <c r="Q24" s="4"/>
      <c r="R24" s="4"/>
      <c r="S24" s="4"/>
      <c r="T24" s="4"/>
      <c r="U24" s="4"/>
      <c r="V24" s="4"/>
      <c r="W24" s="222"/>
    </row>
    <row r="25" spans="1:23" x14ac:dyDescent="0.25">
      <c r="O25" s="4"/>
      <c r="P25" s="4"/>
      <c r="Q25" s="4"/>
      <c r="R25" s="4"/>
      <c r="S25" s="4"/>
      <c r="T25" s="4"/>
      <c r="U25" s="4"/>
      <c r="V25" s="4"/>
      <c r="W25" s="222"/>
    </row>
    <row r="26" spans="1:23" x14ac:dyDescent="0.25">
      <c r="O26" s="4"/>
      <c r="P26" s="4"/>
      <c r="Q26" s="4"/>
      <c r="R26" s="4"/>
      <c r="S26" s="4"/>
      <c r="T26" s="4"/>
      <c r="U26" s="4"/>
      <c r="V26" s="4"/>
      <c r="W26" s="222"/>
    </row>
    <row r="27" spans="1:23" x14ac:dyDescent="0.25">
      <c r="O27" s="4"/>
      <c r="P27" s="4"/>
      <c r="Q27" s="4"/>
      <c r="R27" s="107"/>
      <c r="S27" s="4"/>
      <c r="T27" s="4"/>
      <c r="U27" s="4"/>
      <c r="V27" s="4"/>
      <c r="W27" s="4"/>
    </row>
    <row r="28" spans="1:23" x14ac:dyDescent="0.25">
      <c r="B28" s="414" t="s">
        <v>113</v>
      </c>
      <c r="C28" s="414" t="s">
        <v>145</v>
      </c>
      <c r="D28" s="415" t="s">
        <v>144</v>
      </c>
      <c r="E28" s="416" t="s">
        <v>146</v>
      </c>
      <c r="F28" s="417" t="s">
        <v>65</v>
      </c>
      <c r="G28" s="418" t="s">
        <v>150</v>
      </c>
      <c r="H28" s="417" t="s">
        <v>88</v>
      </c>
      <c r="I28" s="417" t="s">
        <v>153</v>
      </c>
      <c r="J28" s="417" t="s">
        <v>149</v>
      </c>
      <c r="K28" s="417" t="s">
        <v>947</v>
      </c>
      <c r="O28" s="4"/>
      <c r="P28" s="4"/>
      <c r="Q28" s="4"/>
      <c r="R28" s="107"/>
      <c r="S28" s="4"/>
      <c r="T28" s="4"/>
      <c r="U28" s="4"/>
      <c r="V28" s="4"/>
      <c r="W28" s="4"/>
    </row>
    <row r="29" spans="1:23" x14ac:dyDescent="0.25">
      <c r="B29" s="164">
        <v>43005</v>
      </c>
      <c r="C29" s="10">
        <v>100</v>
      </c>
      <c r="D29" s="39">
        <v>65.33</v>
      </c>
      <c r="E29" s="39">
        <v>66.55</v>
      </c>
      <c r="F29" s="39">
        <f t="shared" ref="F29:F38" si="2">C29*(E29-D29)</f>
        <v>121.99999999999989</v>
      </c>
      <c r="G29" s="39">
        <f t="shared" ref="G29:G38" si="3">D29*C29</f>
        <v>6533</v>
      </c>
      <c r="H29" s="179">
        <f t="shared" ref="H29:H38" si="4">(E29-D29)/D29</f>
        <v>1.8674422164396125E-2</v>
      </c>
      <c r="I29" s="39">
        <v>65</v>
      </c>
      <c r="J29" s="10"/>
      <c r="K29" s="10"/>
    </row>
    <row r="30" spans="1:23" x14ac:dyDescent="0.25">
      <c r="B30" s="164">
        <v>43019</v>
      </c>
      <c r="C30" s="10">
        <v>150</v>
      </c>
      <c r="D30" s="39">
        <v>65.013300000000001</v>
      </c>
      <c r="E30" s="39">
        <v>64.09</v>
      </c>
      <c r="F30" s="39">
        <f t="shared" si="2"/>
        <v>-138.49499999999964</v>
      </c>
      <c r="G30" s="39">
        <f t="shared" si="3"/>
        <v>9751.9950000000008</v>
      </c>
      <c r="H30" s="179">
        <f t="shared" si="4"/>
        <v>-1.4201709496364552E-2</v>
      </c>
      <c r="I30" s="39">
        <v>64.5</v>
      </c>
      <c r="J30" s="10"/>
      <c r="K30" s="10"/>
    </row>
    <row r="31" spans="1:23" x14ac:dyDescent="0.25">
      <c r="B31" s="164">
        <v>43028</v>
      </c>
      <c r="C31" s="10">
        <v>100</v>
      </c>
      <c r="D31" s="39">
        <v>64.880799999999994</v>
      </c>
      <c r="E31" s="39">
        <v>65.28</v>
      </c>
      <c r="F31" s="39">
        <f t="shared" si="2"/>
        <v>39.920000000000755</v>
      </c>
      <c r="G31" s="39">
        <f t="shared" si="3"/>
        <v>6488.079999999999</v>
      </c>
      <c r="H31" s="179">
        <f t="shared" si="4"/>
        <v>6.1528217901136786E-3</v>
      </c>
      <c r="I31" s="173" t="s">
        <v>729</v>
      </c>
      <c r="J31" s="39">
        <v>1198</v>
      </c>
      <c r="K31" s="39"/>
    </row>
    <row r="32" spans="1:23" x14ac:dyDescent="0.25">
      <c r="B32" s="164">
        <v>43028</v>
      </c>
      <c r="C32" s="10">
        <v>50</v>
      </c>
      <c r="D32" s="39">
        <v>63.683199999999999</v>
      </c>
      <c r="E32" s="39">
        <v>65.959999999999994</v>
      </c>
      <c r="F32" s="39">
        <f t="shared" si="2"/>
        <v>113.83999999999972</v>
      </c>
      <c r="G32" s="39">
        <f t="shared" si="3"/>
        <v>3184.16</v>
      </c>
      <c r="H32" s="179">
        <f t="shared" si="4"/>
        <v>3.5751972262700278E-2</v>
      </c>
      <c r="I32" s="39">
        <v>63.2</v>
      </c>
      <c r="J32" s="39">
        <v>1272</v>
      </c>
      <c r="K32" s="39"/>
    </row>
    <row r="33" spans="1:17" x14ac:dyDescent="0.25">
      <c r="B33" s="164">
        <v>43033</v>
      </c>
      <c r="C33" s="10">
        <v>100</v>
      </c>
      <c r="D33" s="39">
        <v>63.941600000000001</v>
      </c>
      <c r="E33" s="39">
        <v>65.5</v>
      </c>
      <c r="F33" s="39">
        <f t="shared" si="2"/>
        <v>155.83999999999989</v>
      </c>
      <c r="G33" s="39">
        <f t="shared" si="3"/>
        <v>6394.16</v>
      </c>
      <c r="H33" s="179">
        <f t="shared" si="4"/>
        <v>2.4372239668697671E-2</v>
      </c>
      <c r="I33" s="173" t="s">
        <v>731</v>
      </c>
      <c r="J33" s="39">
        <v>1314</v>
      </c>
      <c r="K33" s="39"/>
    </row>
    <row r="34" spans="1:17" x14ac:dyDescent="0.25">
      <c r="B34" s="164">
        <v>43048</v>
      </c>
      <c r="C34" s="10">
        <v>100</v>
      </c>
      <c r="D34" s="39">
        <v>63.94</v>
      </c>
      <c r="E34" s="39">
        <v>70.849999999999994</v>
      </c>
      <c r="F34" s="39">
        <f t="shared" si="2"/>
        <v>690.99999999999966</v>
      </c>
      <c r="G34" s="39">
        <f t="shared" si="3"/>
        <v>6394</v>
      </c>
      <c r="H34" s="179">
        <f t="shared" si="4"/>
        <v>0.10807006568658112</v>
      </c>
      <c r="I34" s="10"/>
      <c r="J34" s="39">
        <v>1849</v>
      </c>
      <c r="K34" s="39"/>
    </row>
    <row r="35" spans="1:17" x14ac:dyDescent="0.25">
      <c r="B35" s="164">
        <v>43063</v>
      </c>
      <c r="C35" s="10">
        <v>150</v>
      </c>
      <c r="D35" s="39">
        <v>59.320099999999996</v>
      </c>
      <c r="E35" s="39">
        <v>49.8</v>
      </c>
      <c r="F35" s="39">
        <f t="shared" si="2"/>
        <v>-1428.0149999999999</v>
      </c>
      <c r="G35" s="39">
        <f t="shared" si="3"/>
        <v>8898.0149999999994</v>
      </c>
      <c r="H35" s="179">
        <f t="shared" si="4"/>
        <v>-0.16048691758779907</v>
      </c>
      <c r="I35" s="10"/>
      <c r="J35" s="39">
        <v>-270</v>
      </c>
      <c r="K35" s="39"/>
    </row>
    <row r="36" spans="1:17" x14ac:dyDescent="0.25">
      <c r="A36">
        <v>50</v>
      </c>
      <c r="B36" s="164">
        <v>43069</v>
      </c>
      <c r="C36" s="10">
        <v>100</v>
      </c>
      <c r="D36" s="39">
        <v>62.6922</v>
      </c>
      <c r="E36" s="39">
        <v>52.38</v>
      </c>
      <c r="F36" s="39">
        <f t="shared" si="2"/>
        <v>-1031.2199999999998</v>
      </c>
      <c r="G36" s="39">
        <f t="shared" si="3"/>
        <v>6269.22</v>
      </c>
      <c r="H36" s="179">
        <f t="shared" si="4"/>
        <v>-0.16448936231301498</v>
      </c>
      <c r="I36" s="127" t="s">
        <v>743</v>
      </c>
      <c r="J36" s="39">
        <v>127</v>
      </c>
      <c r="K36" s="39"/>
    </row>
    <row r="37" spans="1:17" x14ac:dyDescent="0.25">
      <c r="A37">
        <v>50</v>
      </c>
      <c r="B37" s="164">
        <v>43070</v>
      </c>
      <c r="C37" s="10">
        <v>100</v>
      </c>
      <c r="D37" s="39">
        <v>62.382199999999997</v>
      </c>
      <c r="E37" s="39">
        <v>51.99</v>
      </c>
      <c r="F37" s="39">
        <f t="shared" si="2"/>
        <v>-1039.2199999999996</v>
      </c>
      <c r="G37" s="39">
        <f t="shared" si="3"/>
        <v>6238.2199999999993</v>
      </c>
      <c r="H37" s="179">
        <f t="shared" si="4"/>
        <v>-0.1665891873002234</v>
      </c>
      <c r="I37" s="173">
        <v>62.2</v>
      </c>
      <c r="J37" s="39">
        <v>119</v>
      </c>
      <c r="K37" s="39"/>
    </row>
    <row r="38" spans="1:17" x14ac:dyDescent="0.25">
      <c r="A38">
        <v>100</v>
      </c>
      <c r="B38" s="164">
        <v>43102</v>
      </c>
      <c r="C38" s="10">
        <v>100</v>
      </c>
      <c r="D38" s="39">
        <v>62.38</v>
      </c>
      <c r="E38" s="39">
        <v>55.29</v>
      </c>
      <c r="F38" s="39">
        <f t="shared" si="2"/>
        <v>-709.00000000000034</v>
      </c>
      <c r="G38" s="39">
        <f t="shared" si="3"/>
        <v>6238</v>
      </c>
      <c r="H38" s="179">
        <f t="shared" si="4"/>
        <v>-0.11365822378967623</v>
      </c>
      <c r="I38" s="10"/>
      <c r="J38" s="39">
        <v>449</v>
      </c>
      <c r="K38" s="39"/>
    </row>
    <row r="39" spans="1:17" ht="20.25" thickBot="1" x14ac:dyDescent="0.35">
      <c r="A39">
        <v>100</v>
      </c>
      <c r="B39" s="164">
        <v>43105</v>
      </c>
      <c r="C39" s="10">
        <v>100</v>
      </c>
      <c r="D39" s="39">
        <v>62.38</v>
      </c>
      <c r="E39" s="39">
        <v>56.93</v>
      </c>
      <c r="F39" s="39">
        <f t="shared" ref="F39:F51" si="5">C39*(E39-D39)</f>
        <v>-545.00000000000023</v>
      </c>
      <c r="G39" s="39">
        <f t="shared" ref="G39:G51" si="6">D39*C39</f>
        <v>6238</v>
      </c>
      <c r="H39" s="179">
        <f t="shared" ref="H39:H51" si="7">(E39-D39)/D39</f>
        <v>-8.736774607245916E-2</v>
      </c>
      <c r="I39" s="10"/>
      <c r="J39" s="39">
        <v>613</v>
      </c>
      <c r="K39" s="39"/>
      <c r="O39" s="597" t="s">
        <v>78</v>
      </c>
      <c r="P39" s="597"/>
    </row>
    <row r="40" spans="1:17" ht="15.75" thickTop="1" x14ac:dyDescent="0.25">
      <c r="B40" s="164">
        <v>43121</v>
      </c>
      <c r="C40" s="10">
        <v>100</v>
      </c>
      <c r="D40" s="39">
        <v>62.38</v>
      </c>
      <c r="E40" s="39">
        <v>55.07</v>
      </c>
      <c r="F40" s="39">
        <f t="shared" si="5"/>
        <v>-731.00000000000023</v>
      </c>
      <c r="G40" s="39">
        <f t="shared" si="6"/>
        <v>6238</v>
      </c>
      <c r="H40" s="179">
        <f t="shared" si="7"/>
        <v>-0.11718499519076631</v>
      </c>
      <c r="I40" s="10"/>
      <c r="J40" s="39">
        <v>427</v>
      </c>
      <c r="K40" s="39"/>
      <c r="O40" s="81">
        <v>1.1000000000000001</v>
      </c>
      <c r="P40" s="81">
        <f>O40*$Q$4</f>
        <v>26.730000000000004</v>
      </c>
    </row>
    <row r="41" spans="1:17" x14ac:dyDescent="0.25">
      <c r="A41">
        <v>100</v>
      </c>
      <c r="B41" s="164">
        <v>43123</v>
      </c>
      <c r="C41" s="10">
        <v>100</v>
      </c>
      <c r="D41" s="39">
        <v>62.38</v>
      </c>
      <c r="E41" s="39">
        <v>57.28</v>
      </c>
      <c r="F41" s="39">
        <f t="shared" si="5"/>
        <v>-510.00000000000011</v>
      </c>
      <c r="G41" s="39">
        <f t="shared" si="6"/>
        <v>6238</v>
      </c>
      <c r="H41" s="179">
        <f t="shared" si="7"/>
        <v>-8.1756973388906723E-2</v>
      </c>
      <c r="I41" s="10"/>
      <c r="J41" s="39">
        <v>648</v>
      </c>
      <c r="K41" s="39"/>
      <c r="O41" s="81">
        <v>1.0900000000000001</v>
      </c>
      <c r="P41" s="81">
        <f t="shared" ref="P41:P60" si="8">O41*$Q$4</f>
        <v>26.487000000000002</v>
      </c>
    </row>
    <row r="42" spans="1:17" x14ac:dyDescent="0.25">
      <c r="A42">
        <v>100</v>
      </c>
      <c r="B42" s="164">
        <v>43124</v>
      </c>
      <c r="C42" s="10">
        <v>100</v>
      </c>
      <c r="D42" s="39">
        <v>62.38</v>
      </c>
      <c r="E42" s="39">
        <v>55.92</v>
      </c>
      <c r="F42" s="39">
        <f t="shared" si="5"/>
        <v>-646.00000000000011</v>
      </c>
      <c r="G42" s="39">
        <f t="shared" si="6"/>
        <v>6238</v>
      </c>
      <c r="H42" s="179">
        <f t="shared" si="7"/>
        <v>-0.10355883295928182</v>
      </c>
      <c r="I42" s="10"/>
      <c r="J42" s="39">
        <v>512</v>
      </c>
      <c r="K42" s="39"/>
      <c r="O42" s="81">
        <v>1.08</v>
      </c>
      <c r="P42" s="81">
        <f t="shared" si="8"/>
        <v>26.244000000000003</v>
      </c>
    </row>
    <row r="43" spans="1:17" x14ac:dyDescent="0.25">
      <c r="B43" s="164">
        <v>43130</v>
      </c>
      <c r="C43" s="10">
        <v>150</v>
      </c>
      <c r="D43" s="39">
        <v>59.347999999999999</v>
      </c>
      <c r="E43" s="39">
        <v>52.86</v>
      </c>
      <c r="F43" s="39">
        <f t="shared" si="5"/>
        <v>-973.19999999999993</v>
      </c>
      <c r="G43" s="39">
        <f t="shared" si="6"/>
        <v>8902.2000000000007</v>
      </c>
      <c r="H43" s="179">
        <f t="shared" si="7"/>
        <v>-0.10932129136617914</v>
      </c>
      <c r="I43" s="10"/>
      <c r="J43" s="39">
        <v>185</v>
      </c>
      <c r="K43" s="39"/>
      <c r="O43" s="81">
        <v>1.07</v>
      </c>
      <c r="P43" s="81">
        <f t="shared" si="8"/>
        <v>26.001000000000001</v>
      </c>
      <c r="Q43" s="2"/>
    </row>
    <row r="44" spans="1:17" x14ac:dyDescent="0.25">
      <c r="A44">
        <v>50</v>
      </c>
      <c r="B44" s="164">
        <v>43140</v>
      </c>
      <c r="C44" s="10">
        <v>150</v>
      </c>
      <c r="D44" s="39">
        <v>58.869</v>
      </c>
      <c r="E44" s="39">
        <v>48.96</v>
      </c>
      <c r="F44" s="39">
        <f t="shared" si="5"/>
        <v>-1486.35</v>
      </c>
      <c r="G44" s="39">
        <f t="shared" si="6"/>
        <v>8830.35</v>
      </c>
      <c r="H44" s="179">
        <f t="shared" si="7"/>
        <v>-0.16832288640880597</v>
      </c>
      <c r="I44" s="10"/>
      <c r="J44" s="39">
        <v>-328</v>
      </c>
      <c r="K44" s="39"/>
      <c r="O44" s="81">
        <v>1.06</v>
      </c>
      <c r="P44" s="81">
        <f t="shared" si="8"/>
        <v>25.758000000000003</v>
      </c>
      <c r="Q44" s="2"/>
    </row>
    <row r="45" spans="1:17" x14ac:dyDescent="0.25">
      <c r="A45">
        <v>50</v>
      </c>
      <c r="B45" s="164">
        <v>43143</v>
      </c>
      <c r="C45" s="10">
        <v>200</v>
      </c>
      <c r="D45" s="39">
        <v>55.9514</v>
      </c>
      <c r="E45" s="39">
        <v>48.49</v>
      </c>
      <c r="F45" s="39">
        <f t="shared" si="5"/>
        <v>-1492.2799999999995</v>
      </c>
      <c r="G45" s="39">
        <f t="shared" si="6"/>
        <v>11190.28</v>
      </c>
      <c r="H45" s="179">
        <f t="shared" si="7"/>
        <v>-0.13335501881990439</v>
      </c>
      <c r="I45" s="10"/>
      <c r="J45" s="39">
        <v>-334</v>
      </c>
      <c r="K45" s="39"/>
      <c r="O45" s="81">
        <v>1.05</v>
      </c>
      <c r="P45" s="81">
        <f t="shared" si="8"/>
        <v>25.515000000000001</v>
      </c>
      <c r="Q45" s="2"/>
    </row>
    <row r="46" spans="1:17" x14ac:dyDescent="0.25">
      <c r="A46">
        <v>0</v>
      </c>
      <c r="B46" s="164">
        <v>43145</v>
      </c>
      <c r="C46" s="10">
        <v>150</v>
      </c>
      <c r="D46" s="39">
        <v>57.295999999999999</v>
      </c>
      <c r="E46" s="39">
        <v>51.12</v>
      </c>
      <c r="F46" s="39">
        <f t="shared" si="5"/>
        <v>-926.40000000000032</v>
      </c>
      <c r="G46" s="39">
        <f t="shared" si="6"/>
        <v>8594.4</v>
      </c>
      <c r="H46" s="179">
        <f t="shared" si="7"/>
        <v>-0.10779111979893888</v>
      </c>
      <c r="I46" s="10"/>
      <c r="J46" s="39">
        <v>234</v>
      </c>
      <c r="K46" s="39"/>
      <c r="O46" s="81">
        <v>1.04</v>
      </c>
      <c r="P46" s="81">
        <f t="shared" si="8"/>
        <v>25.272000000000002</v>
      </c>
      <c r="Q46" s="2"/>
    </row>
    <row r="47" spans="1:17" x14ac:dyDescent="0.25">
      <c r="B47" s="164">
        <v>43151</v>
      </c>
      <c r="C47" s="10">
        <v>200</v>
      </c>
      <c r="D47" s="39">
        <v>55.56</v>
      </c>
      <c r="E47" s="39">
        <v>50</v>
      </c>
      <c r="F47" s="39">
        <f t="shared" si="5"/>
        <v>-1112.0000000000005</v>
      </c>
      <c r="G47" s="39">
        <f t="shared" si="6"/>
        <v>11112</v>
      </c>
      <c r="H47" s="179">
        <f t="shared" si="7"/>
        <v>-0.1000719942404608</v>
      </c>
      <c r="I47" s="10"/>
      <c r="J47" s="39">
        <v>46</v>
      </c>
      <c r="K47" s="39"/>
      <c r="O47" s="81">
        <v>1.03</v>
      </c>
      <c r="P47" s="81">
        <f t="shared" si="8"/>
        <v>25.029</v>
      </c>
      <c r="Q47" s="2"/>
    </row>
    <row r="48" spans="1:17" x14ac:dyDescent="0.25">
      <c r="A48">
        <v>0</v>
      </c>
      <c r="B48" s="164">
        <v>43151</v>
      </c>
      <c r="C48" s="10">
        <v>250</v>
      </c>
      <c r="D48" s="39">
        <v>54.323399999999999</v>
      </c>
      <c r="E48" s="39">
        <v>49.38</v>
      </c>
      <c r="F48" s="39">
        <f t="shared" si="5"/>
        <v>-1235.8499999999992</v>
      </c>
      <c r="G48" s="39">
        <f t="shared" si="6"/>
        <v>13580.85</v>
      </c>
      <c r="H48" s="179">
        <f t="shared" si="7"/>
        <v>-9.0999458796761565E-2</v>
      </c>
      <c r="I48" s="10"/>
      <c r="J48" s="39">
        <v>-78</v>
      </c>
      <c r="K48" s="39"/>
      <c r="O48" s="81">
        <v>1.02</v>
      </c>
      <c r="P48" s="81">
        <f t="shared" si="8"/>
        <v>24.786000000000001</v>
      </c>
      <c r="Q48" s="2"/>
    </row>
    <row r="49" spans="1:17" x14ac:dyDescent="0.25">
      <c r="A49">
        <v>0</v>
      </c>
      <c r="B49" s="164">
        <v>43154</v>
      </c>
      <c r="C49" s="10">
        <v>200</v>
      </c>
      <c r="D49" s="39">
        <v>54.984499999999997</v>
      </c>
      <c r="E49" s="39">
        <v>52.25</v>
      </c>
      <c r="F49" s="39">
        <f t="shared" si="5"/>
        <v>-546.89999999999941</v>
      </c>
      <c r="G49" s="39">
        <f t="shared" si="6"/>
        <v>10996.9</v>
      </c>
      <c r="H49" s="179">
        <f t="shared" si="7"/>
        <v>-4.9732197255590159E-2</v>
      </c>
      <c r="I49" s="10"/>
      <c r="J49" s="39">
        <v>611</v>
      </c>
      <c r="K49" s="39"/>
      <c r="O49" s="81">
        <v>1.01</v>
      </c>
      <c r="P49" s="81">
        <f t="shared" si="8"/>
        <v>24.542999999999999</v>
      </c>
      <c r="Q49" s="2"/>
    </row>
    <row r="50" spans="1:17" x14ac:dyDescent="0.25">
      <c r="B50" s="164">
        <v>43162</v>
      </c>
      <c r="C50" s="10">
        <v>200</v>
      </c>
      <c r="D50" s="39">
        <v>54.752000000000002</v>
      </c>
      <c r="E50" s="39">
        <v>51.07</v>
      </c>
      <c r="F50" s="39">
        <f t="shared" si="5"/>
        <v>-736.40000000000043</v>
      </c>
      <c r="G50" s="39">
        <f t="shared" si="6"/>
        <v>10950.4</v>
      </c>
      <c r="H50" s="179">
        <f t="shared" si="7"/>
        <v>-6.7248684979544157E-2</v>
      </c>
      <c r="I50" s="10"/>
      <c r="J50" s="39">
        <v>421</v>
      </c>
      <c r="K50" s="39"/>
      <c r="O50" s="81">
        <v>1</v>
      </c>
      <c r="P50" s="81">
        <f t="shared" si="8"/>
        <v>24.3</v>
      </c>
      <c r="Q50" s="2"/>
    </row>
    <row r="51" spans="1:17" x14ac:dyDescent="0.25">
      <c r="A51">
        <v>0</v>
      </c>
      <c r="B51" s="164">
        <v>43165</v>
      </c>
      <c r="C51" s="10">
        <v>250</v>
      </c>
      <c r="D51" s="39">
        <v>53.54</v>
      </c>
      <c r="E51" s="39">
        <v>48.75</v>
      </c>
      <c r="F51" s="39">
        <f t="shared" si="5"/>
        <v>-1197.4999999999998</v>
      </c>
      <c r="G51" s="39">
        <f t="shared" si="6"/>
        <v>13385</v>
      </c>
      <c r="H51" s="179">
        <f t="shared" si="7"/>
        <v>-8.9465819947702641E-2</v>
      </c>
      <c r="I51" s="10"/>
      <c r="J51" s="39">
        <v>-39</v>
      </c>
      <c r="K51" s="39"/>
      <c r="O51" s="81">
        <v>0.99</v>
      </c>
      <c r="P51" s="81">
        <f t="shared" si="8"/>
        <v>24.057000000000002</v>
      </c>
      <c r="Q51" s="2"/>
    </row>
    <row r="52" spans="1:17" x14ac:dyDescent="0.25">
      <c r="B52" s="164">
        <v>43167</v>
      </c>
      <c r="C52" s="10">
        <v>250</v>
      </c>
      <c r="D52" s="39">
        <v>53.54</v>
      </c>
      <c r="E52" s="39">
        <v>47.86</v>
      </c>
      <c r="F52" s="39">
        <f t="shared" ref="F52:F63" si="9">C52*(E52-D52)</f>
        <v>-1420</v>
      </c>
      <c r="G52" s="39">
        <f t="shared" ref="G52:G63" si="10">D52*C52</f>
        <v>13385</v>
      </c>
      <c r="H52" s="179">
        <f t="shared" ref="H52:H63" si="11">(E52-D52)/D52</f>
        <v>-0.10608890549122152</v>
      </c>
      <c r="I52" s="10"/>
      <c r="J52" s="39">
        <v>-262</v>
      </c>
      <c r="K52" s="39"/>
      <c r="O52" s="81">
        <v>0.98</v>
      </c>
      <c r="P52" s="81">
        <f t="shared" si="8"/>
        <v>23.814</v>
      </c>
      <c r="Q52" s="2"/>
    </row>
    <row r="53" spans="1:17" x14ac:dyDescent="0.25">
      <c r="B53" s="164">
        <v>43168</v>
      </c>
      <c r="C53" s="10">
        <v>250</v>
      </c>
      <c r="D53" s="39">
        <v>53.54</v>
      </c>
      <c r="E53" s="39">
        <v>48.9</v>
      </c>
      <c r="F53" s="39">
        <f t="shared" si="9"/>
        <v>-1160.0000000000002</v>
      </c>
      <c r="G53" s="39">
        <f t="shared" si="10"/>
        <v>13385</v>
      </c>
      <c r="H53" s="179">
        <f t="shared" si="11"/>
        <v>-8.666417631677252E-2</v>
      </c>
      <c r="I53" s="10"/>
      <c r="J53" s="39">
        <v>-2</v>
      </c>
      <c r="K53" s="39"/>
      <c r="O53" s="81">
        <v>0.97</v>
      </c>
      <c r="P53" s="81">
        <f t="shared" si="8"/>
        <v>23.571000000000002</v>
      </c>
      <c r="Q53" s="2"/>
    </row>
    <row r="54" spans="1:17" x14ac:dyDescent="0.25">
      <c r="B54" s="164">
        <v>43172</v>
      </c>
      <c r="C54" s="10">
        <v>250</v>
      </c>
      <c r="D54" s="39">
        <v>53.54</v>
      </c>
      <c r="E54" s="39">
        <v>47.91</v>
      </c>
      <c r="F54" s="39">
        <f t="shared" si="9"/>
        <v>-1407.5000000000007</v>
      </c>
      <c r="G54" s="39">
        <f t="shared" si="10"/>
        <v>13385</v>
      </c>
      <c r="H54" s="179">
        <f t="shared" si="11"/>
        <v>-0.10515502428091152</v>
      </c>
      <c r="I54" s="10"/>
      <c r="J54" s="39">
        <v>-249</v>
      </c>
      <c r="K54" s="39"/>
      <c r="O54" s="81">
        <v>0.96</v>
      </c>
      <c r="P54" s="81">
        <f t="shared" si="8"/>
        <v>23.327999999999999</v>
      </c>
      <c r="Q54" s="2"/>
    </row>
    <row r="55" spans="1:17" x14ac:dyDescent="0.25">
      <c r="B55" s="164">
        <v>43173</v>
      </c>
      <c r="C55" s="10">
        <v>350</v>
      </c>
      <c r="D55" s="39">
        <v>49.02</v>
      </c>
      <c r="E55" s="39">
        <v>38.22</v>
      </c>
      <c r="F55" s="39">
        <f t="shared" si="9"/>
        <v>-3780.0000000000014</v>
      </c>
      <c r="G55" s="39">
        <f t="shared" si="10"/>
        <v>17157</v>
      </c>
      <c r="H55" s="179">
        <f t="shared" si="11"/>
        <v>-0.22031823745410045</v>
      </c>
      <c r="I55" s="10"/>
      <c r="J55" s="39">
        <v>-2624</v>
      </c>
      <c r="K55" s="39"/>
      <c r="O55" s="81">
        <v>0.95</v>
      </c>
      <c r="P55" s="81">
        <f t="shared" si="8"/>
        <v>23.085000000000001</v>
      </c>
      <c r="Q55" s="2"/>
    </row>
    <row r="56" spans="1:17" x14ac:dyDescent="0.25">
      <c r="B56" s="164">
        <v>43180</v>
      </c>
      <c r="C56" s="7">
        <v>250</v>
      </c>
      <c r="D56" s="43">
        <v>52.753999999999998</v>
      </c>
      <c r="E56" s="39">
        <v>39.92</v>
      </c>
      <c r="F56" s="39">
        <f t="shared" si="9"/>
        <v>-3208.4999999999991</v>
      </c>
      <c r="G56" s="39">
        <f t="shared" si="10"/>
        <v>13188.5</v>
      </c>
      <c r="H56" s="179">
        <f t="shared" si="11"/>
        <v>-0.24328013041665081</v>
      </c>
      <c r="I56" s="10"/>
      <c r="J56" s="39">
        <v>-2051</v>
      </c>
      <c r="K56" s="39"/>
      <c r="O56" s="81">
        <v>0.94</v>
      </c>
      <c r="P56" s="81">
        <f t="shared" si="8"/>
        <v>22.841999999999999</v>
      </c>
    </row>
    <row r="57" spans="1:17" x14ac:dyDescent="0.25">
      <c r="A57">
        <v>150</v>
      </c>
      <c r="B57" s="164">
        <v>43198</v>
      </c>
      <c r="C57" s="10">
        <v>250</v>
      </c>
      <c r="D57" s="39">
        <v>52.753999999999998</v>
      </c>
      <c r="E57" s="39">
        <v>37.43</v>
      </c>
      <c r="F57" s="39">
        <f t="shared" si="9"/>
        <v>-3830.9999999999995</v>
      </c>
      <c r="G57" s="39">
        <f t="shared" si="10"/>
        <v>13188.5</v>
      </c>
      <c r="H57" s="179">
        <f t="shared" si="11"/>
        <v>-0.29048034272282669</v>
      </c>
      <c r="I57" s="10"/>
      <c r="J57" s="39">
        <v>-2673</v>
      </c>
      <c r="K57" s="39"/>
      <c r="O57" s="81">
        <v>0.93</v>
      </c>
      <c r="P57" s="81">
        <f t="shared" si="8"/>
        <v>22.599</v>
      </c>
    </row>
    <row r="58" spans="1:17" x14ac:dyDescent="0.25">
      <c r="A58">
        <v>250</v>
      </c>
      <c r="B58" s="164">
        <v>43216</v>
      </c>
      <c r="C58" s="10">
        <v>250</v>
      </c>
      <c r="D58" s="39">
        <v>52.753999999999998</v>
      </c>
      <c r="E58" s="39">
        <v>40.18</v>
      </c>
      <c r="F58" s="39">
        <f t="shared" si="9"/>
        <v>-3143.4999999999995</v>
      </c>
      <c r="G58" s="39">
        <f t="shared" si="10"/>
        <v>13188.5</v>
      </c>
      <c r="H58" s="179">
        <f t="shared" si="11"/>
        <v>-0.2383515941919096</v>
      </c>
      <c r="I58" s="10"/>
      <c r="J58" s="39">
        <v>-1986</v>
      </c>
      <c r="K58" s="39"/>
      <c r="O58" s="81">
        <v>0.92</v>
      </c>
      <c r="P58" s="81">
        <f t="shared" si="8"/>
        <v>22.356000000000002</v>
      </c>
    </row>
    <row r="59" spans="1:17" x14ac:dyDescent="0.25">
      <c r="A59">
        <v>250</v>
      </c>
      <c r="B59" s="164">
        <v>43250</v>
      </c>
      <c r="C59" s="10">
        <v>250</v>
      </c>
      <c r="D59" s="39">
        <v>52.75</v>
      </c>
      <c r="E59" s="39">
        <v>43.05</v>
      </c>
      <c r="F59" s="39">
        <f t="shared" si="9"/>
        <v>-2425.0000000000009</v>
      </c>
      <c r="G59" s="39">
        <f t="shared" si="10"/>
        <v>13187.5</v>
      </c>
      <c r="H59" s="179">
        <f t="shared" si="11"/>
        <v>-0.18388625592417068</v>
      </c>
      <c r="I59" s="39"/>
      <c r="J59" s="39">
        <v>-1268</v>
      </c>
      <c r="K59" s="39"/>
      <c r="O59" s="81">
        <v>0.91</v>
      </c>
      <c r="P59" s="81">
        <f t="shared" si="8"/>
        <v>22.113000000000003</v>
      </c>
    </row>
    <row r="60" spans="1:17" x14ac:dyDescent="0.25">
      <c r="A60">
        <v>250</v>
      </c>
      <c r="B60" s="164">
        <v>43253</v>
      </c>
      <c r="C60" s="7">
        <v>250</v>
      </c>
      <c r="D60" s="43">
        <v>52.384</v>
      </c>
      <c r="E60" s="39">
        <v>42.61</v>
      </c>
      <c r="F60" s="39">
        <f t="shared" si="9"/>
        <v>-2443.5</v>
      </c>
      <c r="G60" s="39">
        <f t="shared" si="10"/>
        <v>13096</v>
      </c>
      <c r="H60" s="179">
        <f t="shared" si="11"/>
        <v>-0.18658368967623704</v>
      </c>
      <c r="I60" s="10"/>
      <c r="J60" s="39">
        <v>-1286</v>
      </c>
      <c r="K60" s="39"/>
      <c r="O60" s="81">
        <v>0.9</v>
      </c>
      <c r="P60" s="81">
        <f t="shared" si="8"/>
        <v>21.87</v>
      </c>
    </row>
    <row r="61" spans="1:17" x14ac:dyDescent="0.25">
      <c r="A61">
        <v>200</v>
      </c>
      <c r="B61" s="164">
        <v>43257</v>
      </c>
      <c r="C61" s="10">
        <v>200</v>
      </c>
      <c r="D61" s="39">
        <v>52.2301</v>
      </c>
      <c r="E61" s="39">
        <v>52.2699</v>
      </c>
      <c r="F61" s="39">
        <f t="shared" si="9"/>
        <v>7.9599999999999227</v>
      </c>
      <c r="G61" s="39">
        <f t="shared" si="10"/>
        <v>10446.02</v>
      </c>
      <c r="H61" s="179">
        <f t="shared" si="11"/>
        <v>7.6201270914663406E-4</v>
      </c>
      <c r="I61" s="10"/>
      <c r="J61" s="39">
        <v>1166</v>
      </c>
      <c r="K61" s="39"/>
    </row>
    <row r="62" spans="1:17" x14ac:dyDescent="0.25">
      <c r="A62">
        <v>100</v>
      </c>
      <c r="B62" s="164">
        <v>43259</v>
      </c>
      <c r="C62" s="10">
        <v>100</v>
      </c>
      <c r="D62" s="39">
        <v>49.2</v>
      </c>
      <c r="E62" s="39">
        <v>55.41</v>
      </c>
      <c r="F62" s="39">
        <f t="shared" si="9"/>
        <v>620.99999999999932</v>
      </c>
      <c r="G62" s="39">
        <f t="shared" si="10"/>
        <v>4920</v>
      </c>
      <c r="H62" s="179">
        <f t="shared" si="11"/>
        <v>0.12621951219512181</v>
      </c>
      <c r="I62" s="10"/>
      <c r="J62" s="39">
        <v>1779</v>
      </c>
      <c r="K62" s="39"/>
    </row>
    <row r="63" spans="1:17" x14ac:dyDescent="0.25">
      <c r="A63">
        <v>50</v>
      </c>
      <c r="B63" s="164">
        <v>43264</v>
      </c>
      <c r="C63" s="10">
        <v>50</v>
      </c>
      <c r="D63" s="39">
        <v>39.522599999999997</v>
      </c>
      <c r="E63" s="39">
        <v>57.09</v>
      </c>
      <c r="F63" s="39">
        <f t="shared" si="9"/>
        <v>878.37000000000035</v>
      </c>
      <c r="G63" s="39">
        <f t="shared" si="10"/>
        <v>1976.1299999999999</v>
      </c>
      <c r="H63" s="179">
        <f t="shared" si="11"/>
        <v>0.44448998800686207</v>
      </c>
      <c r="I63" s="10"/>
      <c r="J63" s="39">
        <v>2036</v>
      </c>
      <c r="K63" s="39"/>
    </row>
    <row r="64" spans="1:17" x14ac:dyDescent="0.25">
      <c r="B64" s="164">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7">
        <v>42516</v>
      </c>
      <c r="C75" s="298">
        <v>20</v>
      </c>
      <c r="D75" s="299">
        <v>96.2</v>
      </c>
      <c r="E75" s="299">
        <v>97</v>
      </c>
      <c r="F75" s="299">
        <f t="shared" ref="F75:F83" si="12">C75*(E75-D75)</f>
        <v>15.999999999999943</v>
      </c>
      <c r="G75" s="299">
        <f t="shared" ref="G75:G83" si="13">D75*C75</f>
        <v>1924</v>
      </c>
      <c r="H75" s="300">
        <f t="shared" ref="H75:H83" si="14">(E75-D75)/D75</f>
        <v>8.316008316008287E-3</v>
      </c>
      <c r="I75" s="300"/>
    </row>
    <row r="76" spans="2:11" x14ac:dyDescent="0.25">
      <c r="B76" s="297">
        <v>42522</v>
      </c>
      <c r="C76" s="298">
        <v>20</v>
      </c>
      <c r="D76" s="299">
        <v>96.2</v>
      </c>
      <c r="E76" s="299">
        <v>98.73</v>
      </c>
      <c r="F76" s="299">
        <f t="shared" si="12"/>
        <v>50.600000000000023</v>
      </c>
      <c r="G76" s="299">
        <f t="shared" si="13"/>
        <v>1924</v>
      </c>
      <c r="H76" s="300">
        <f t="shared" si="14"/>
        <v>2.6299376299376311E-2</v>
      </c>
      <c r="I76" s="300"/>
    </row>
    <row r="77" spans="2:11" x14ac:dyDescent="0.25">
      <c r="B77" s="297">
        <v>42527</v>
      </c>
      <c r="C77" s="298">
        <v>45</v>
      </c>
      <c r="D77" s="299">
        <v>90.305599999999998</v>
      </c>
      <c r="E77" s="299">
        <v>86.39</v>
      </c>
      <c r="F77" s="299">
        <f t="shared" si="12"/>
        <v>-176.20199999999988</v>
      </c>
      <c r="G77" s="299">
        <f t="shared" si="13"/>
        <v>4063.752</v>
      </c>
      <c r="H77" s="300">
        <f t="shared" si="14"/>
        <v>-4.3359437288495929E-2</v>
      </c>
      <c r="I77" s="301"/>
    </row>
    <row r="78" spans="2:11" x14ac:dyDescent="0.25">
      <c r="B78" s="297">
        <v>42529</v>
      </c>
      <c r="C78" s="298">
        <v>25</v>
      </c>
      <c r="D78" s="299">
        <v>91.3596</v>
      </c>
      <c r="E78" s="299">
        <v>89.31</v>
      </c>
      <c r="F78" s="299">
        <f t="shared" si="12"/>
        <v>-51.239999999999952</v>
      </c>
      <c r="G78" s="299">
        <f t="shared" si="13"/>
        <v>2283.9899999999998</v>
      </c>
      <c r="H78" s="300">
        <f t="shared" si="14"/>
        <v>-2.2434423968581276E-2</v>
      </c>
      <c r="I78" s="300"/>
    </row>
    <row r="79" spans="2:11" x14ac:dyDescent="0.25">
      <c r="B79" s="297">
        <v>42534</v>
      </c>
      <c r="C79" s="298">
        <v>25</v>
      </c>
      <c r="D79" s="299">
        <v>91.3596</v>
      </c>
      <c r="E79" s="299">
        <v>85.51</v>
      </c>
      <c r="F79" s="299">
        <f t="shared" si="12"/>
        <v>-146.2399999999999</v>
      </c>
      <c r="G79" s="299">
        <f t="shared" si="13"/>
        <v>2283.9899999999998</v>
      </c>
      <c r="H79" s="300">
        <f t="shared" si="14"/>
        <v>-6.402830134983073E-2</v>
      </c>
      <c r="I79" s="300"/>
    </row>
    <row r="80" spans="2:11" x14ac:dyDescent="0.25">
      <c r="B80" s="297">
        <v>42535</v>
      </c>
      <c r="C80" s="298">
        <v>50</v>
      </c>
      <c r="D80" s="299">
        <v>87.0548</v>
      </c>
      <c r="E80" s="299">
        <v>83.87</v>
      </c>
      <c r="F80" s="299">
        <f t="shared" si="12"/>
        <v>-159.23999999999978</v>
      </c>
      <c r="G80" s="299">
        <f t="shared" si="13"/>
        <v>4352.74</v>
      </c>
      <c r="H80" s="300">
        <f t="shared" si="14"/>
        <v>-3.6583852929419118E-2</v>
      </c>
      <c r="I80" s="300"/>
    </row>
    <row r="81" spans="2:9" x14ac:dyDescent="0.25">
      <c r="B81" s="297">
        <v>42541</v>
      </c>
      <c r="C81" s="298">
        <v>25</v>
      </c>
      <c r="D81" s="299">
        <v>87.521600000000007</v>
      </c>
      <c r="E81" s="299">
        <v>86.01</v>
      </c>
      <c r="F81" s="299">
        <f t="shared" si="12"/>
        <v>-37.790000000000035</v>
      </c>
      <c r="G81" s="299">
        <f t="shared" si="13"/>
        <v>2188.04</v>
      </c>
      <c r="H81" s="300">
        <f t="shared" si="14"/>
        <v>-1.7271165060967823E-2</v>
      </c>
      <c r="I81" s="300"/>
    </row>
    <row r="82" spans="2:9" x14ac:dyDescent="0.25">
      <c r="B82" s="297">
        <v>42546</v>
      </c>
      <c r="C82" s="298">
        <v>25</v>
      </c>
      <c r="D82" s="299">
        <v>87.521600000000007</v>
      </c>
      <c r="E82" s="299">
        <v>82.02</v>
      </c>
      <c r="F82" s="299">
        <f t="shared" si="12"/>
        <v>-137.54000000000025</v>
      </c>
      <c r="G82" s="299">
        <f t="shared" si="13"/>
        <v>2188.04</v>
      </c>
      <c r="H82" s="300">
        <f t="shared" si="14"/>
        <v>-6.285991115336112E-2</v>
      </c>
      <c r="I82" s="300"/>
    </row>
    <row r="83" spans="2:9" x14ac:dyDescent="0.25">
      <c r="B83" s="297">
        <v>42548</v>
      </c>
      <c r="C83" s="298">
        <v>75</v>
      </c>
      <c r="D83" s="299">
        <v>81.493899999999996</v>
      </c>
      <c r="E83" s="299">
        <v>79.260000000000005</v>
      </c>
      <c r="F83" s="299">
        <f t="shared" si="12"/>
        <v>-167.54249999999934</v>
      </c>
      <c r="G83" s="299">
        <f t="shared" si="13"/>
        <v>6112.0424999999996</v>
      </c>
      <c r="H83" s="300">
        <f t="shared" si="14"/>
        <v>-2.7411867636718715E-2</v>
      </c>
      <c r="I83" s="300"/>
    </row>
    <row r="84" spans="2:9" x14ac:dyDescent="0.25">
      <c r="B84" s="297">
        <v>42549</v>
      </c>
      <c r="C84" s="298">
        <v>75</v>
      </c>
      <c r="D84" s="299">
        <v>81.493899999999996</v>
      </c>
      <c r="E84" s="299">
        <v>80.72</v>
      </c>
      <c r="F84" s="299">
        <f t="shared" ref="F84:F96" si="15">C84*(E84-D84)</f>
        <v>-58.042499999999819</v>
      </c>
      <c r="G84" s="299">
        <f t="shared" ref="G84:G96" si="16">D84*C84</f>
        <v>6112.0424999999996</v>
      </c>
      <c r="H84" s="300">
        <f t="shared" ref="H84:H96" si="17">(E84-D84)/D84</f>
        <v>-9.4964162961890114E-3</v>
      </c>
      <c r="I84" s="300"/>
    </row>
    <row r="85" spans="2:9" x14ac:dyDescent="0.25">
      <c r="B85" s="297">
        <v>42552</v>
      </c>
      <c r="C85" s="298">
        <v>55</v>
      </c>
      <c r="D85" s="299">
        <v>80.590500000000006</v>
      </c>
      <c r="E85" s="299">
        <v>84.15</v>
      </c>
      <c r="F85" s="299">
        <f t="shared" si="15"/>
        <v>195.77249999999998</v>
      </c>
      <c r="G85" s="299">
        <f t="shared" si="16"/>
        <v>4432.4775</v>
      </c>
      <c r="H85" s="300">
        <f t="shared" si="17"/>
        <v>4.4167736892065435E-2</v>
      </c>
      <c r="I85" s="300"/>
    </row>
    <row r="86" spans="2:9" x14ac:dyDescent="0.25">
      <c r="B86" s="297">
        <v>42556</v>
      </c>
      <c r="C86" s="298">
        <v>55</v>
      </c>
      <c r="D86" s="299">
        <v>80.590500000000006</v>
      </c>
      <c r="E86" s="299">
        <v>81.290000000000006</v>
      </c>
      <c r="F86" s="299">
        <f t="shared" si="15"/>
        <v>38.472500000000025</v>
      </c>
      <c r="G86" s="299">
        <f t="shared" si="16"/>
        <v>4432.4775</v>
      </c>
      <c r="H86" s="300">
        <f t="shared" si="17"/>
        <v>8.6796830891978632E-3</v>
      </c>
      <c r="I86" s="300"/>
    </row>
    <row r="87" spans="2:9" x14ac:dyDescent="0.25">
      <c r="B87" s="297">
        <v>42563</v>
      </c>
      <c r="C87" s="298">
        <v>55</v>
      </c>
      <c r="D87" s="299">
        <v>80.590500000000006</v>
      </c>
      <c r="E87" s="299">
        <v>89.07</v>
      </c>
      <c r="F87" s="299">
        <f t="shared" si="15"/>
        <v>466.37249999999932</v>
      </c>
      <c r="G87" s="299">
        <f t="shared" si="16"/>
        <v>4432.4775</v>
      </c>
      <c r="H87" s="300">
        <f t="shared" si="17"/>
        <v>0.10521711616133399</v>
      </c>
      <c r="I87" s="300"/>
    </row>
    <row r="88" spans="2:9" x14ac:dyDescent="0.25">
      <c r="B88" s="297">
        <v>42566</v>
      </c>
      <c r="C88" s="298">
        <v>55</v>
      </c>
      <c r="D88" s="299">
        <v>80.590500000000006</v>
      </c>
      <c r="E88" s="299">
        <v>90.34</v>
      </c>
      <c r="F88" s="299">
        <f t="shared" si="15"/>
        <v>536.22249999999985</v>
      </c>
      <c r="G88" s="299">
        <f t="shared" si="16"/>
        <v>4432.4775</v>
      </c>
      <c r="H88" s="300">
        <f t="shared" si="17"/>
        <v>0.12097579739547462</v>
      </c>
      <c r="I88" s="300"/>
    </row>
    <row r="89" spans="2:9" x14ac:dyDescent="0.25">
      <c r="B89" s="297">
        <v>42569</v>
      </c>
      <c r="C89" s="298">
        <v>50</v>
      </c>
      <c r="D89" s="299">
        <v>79.449799999999996</v>
      </c>
      <c r="E89" s="299">
        <v>92.26</v>
      </c>
      <c r="F89" s="299">
        <f t="shared" si="15"/>
        <v>640.51000000000045</v>
      </c>
      <c r="G89" s="299">
        <f t="shared" si="16"/>
        <v>3972.49</v>
      </c>
      <c r="H89" s="300">
        <f t="shared" si="17"/>
        <v>0.16123640336413697</v>
      </c>
      <c r="I89" s="300"/>
    </row>
    <row r="90" spans="2:9" x14ac:dyDescent="0.25">
      <c r="B90" s="297">
        <v>42570</v>
      </c>
      <c r="C90" s="298">
        <v>50</v>
      </c>
      <c r="D90" s="299">
        <v>79.449799999999996</v>
      </c>
      <c r="E90" s="299">
        <v>90.39</v>
      </c>
      <c r="F90" s="299">
        <f t="shared" si="15"/>
        <v>547.01000000000022</v>
      </c>
      <c r="G90" s="299">
        <f t="shared" si="16"/>
        <v>3972.49</v>
      </c>
      <c r="H90" s="300">
        <f t="shared" si="17"/>
        <v>0.13769952850730907</v>
      </c>
      <c r="I90" s="300"/>
    </row>
    <row r="91" spans="2:9" x14ac:dyDescent="0.25">
      <c r="B91" s="297">
        <v>42571</v>
      </c>
      <c r="C91" s="298">
        <v>50</v>
      </c>
      <c r="D91" s="299">
        <v>79.449799999999996</v>
      </c>
      <c r="E91" s="299">
        <v>89.55</v>
      </c>
      <c r="F91" s="299">
        <f t="shared" si="15"/>
        <v>505.01000000000005</v>
      </c>
      <c r="G91" s="299">
        <f t="shared" si="16"/>
        <v>3972.49</v>
      </c>
      <c r="H91" s="300">
        <f t="shared" si="17"/>
        <v>0.12712681466787834</v>
      </c>
      <c r="I91" s="300"/>
    </row>
    <row r="92" spans="2:9" x14ac:dyDescent="0.25">
      <c r="B92" s="297">
        <v>42572</v>
      </c>
      <c r="C92" s="298">
        <v>50</v>
      </c>
      <c r="D92" s="299">
        <v>79.449799999999996</v>
      </c>
      <c r="E92" s="299">
        <v>87.46</v>
      </c>
      <c r="F92" s="299">
        <f t="shared" si="15"/>
        <v>400.50999999999988</v>
      </c>
      <c r="G92" s="299">
        <f t="shared" si="16"/>
        <v>3972.49</v>
      </c>
      <c r="H92" s="300">
        <f t="shared" si="17"/>
        <v>0.1008208957102472</v>
      </c>
      <c r="I92" s="300"/>
    </row>
    <row r="93" spans="2:9" x14ac:dyDescent="0.25">
      <c r="B93" s="297">
        <v>42575</v>
      </c>
      <c r="C93" s="298">
        <v>50</v>
      </c>
      <c r="D93" s="299">
        <v>79.449799999999996</v>
      </c>
      <c r="E93" s="299">
        <v>89.53</v>
      </c>
      <c r="F93" s="299">
        <f t="shared" si="15"/>
        <v>504.01000000000022</v>
      </c>
      <c r="G93" s="299">
        <f t="shared" si="16"/>
        <v>3972.49</v>
      </c>
      <c r="H93" s="300">
        <f t="shared" si="17"/>
        <v>0.12687508338598719</v>
      </c>
      <c r="I93" s="300"/>
    </row>
    <row r="94" spans="2:9" x14ac:dyDescent="0.25">
      <c r="B94" s="297">
        <v>42576</v>
      </c>
      <c r="C94" s="298">
        <v>50</v>
      </c>
      <c r="D94" s="299">
        <v>79.449799999999996</v>
      </c>
      <c r="E94" s="299">
        <v>88.86</v>
      </c>
      <c r="F94" s="299">
        <f t="shared" si="15"/>
        <v>470.51000000000016</v>
      </c>
      <c r="G94" s="299">
        <f t="shared" si="16"/>
        <v>3972.49</v>
      </c>
      <c r="H94" s="300">
        <f t="shared" si="17"/>
        <v>0.11844208544263174</v>
      </c>
      <c r="I94" s="300"/>
    </row>
    <row r="95" spans="2:9" x14ac:dyDescent="0.25">
      <c r="B95" s="297">
        <v>42577</v>
      </c>
      <c r="C95" s="298">
        <v>50</v>
      </c>
      <c r="D95" s="299">
        <v>79.449799999999996</v>
      </c>
      <c r="E95" s="299">
        <v>89.46</v>
      </c>
      <c r="F95" s="299">
        <f t="shared" si="15"/>
        <v>500.50999999999988</v>
      </c>
      <c r="G95" s="299">
        <f t="shared" si="16"/>
        <v>3972.49</v>
      </c>
      <c r="H95" s="300">
        <f t="shared" si="17"/>
        <v>0.12599402389936787</v>
      </c>
      <c r="I95" s="300"/>
    </row>
    <row r="96" spans="2:9" x14ac:dyDescent="0.25">
      <c r="B96" s="297">
        <v>42580</v>
      </c>
      <c r="C96" s="298">
        <v>30</v>
      </c>
      <c r="D96" s="299">
        <v>73.937700000000007</v>
      </c>
      <c r="E96" s="299">
        <v>87.72</v>
      </c>
      <c r="F96" s="299">
        <f t="shared" si="15"/>
        <v>413.46899999999977</v>
      </c>
      <c r="G96" s="299">
        <f t="shared" si="16"/>
        <v>2218.1310000000003</v>
      </c>
      <c r="H96" s="300">
        <f t="shared" si="17"/>
        <v>0.18640422950673324</v>
      </c>
      <c r="I96" s="300"/>
    </row>
    <row r="97" spans="2:9" x14ac:dyDescent="0.25">
      <c r="B97" s="297">
        <v>42580</v>
      </c>
      <c r="C97" s="298">
        <v>0</v>
      </c>
      <c r="D97" s="299"/>
      <c r="E97" s="299"/>
      <c r="F97" s="299">
        <v>420.99</v>
      </c>
      <c r="G97" s="299"/>
      <c r="H97" s="300"/>
      <c r="I97" s="300"/>
    </row>
    <row r="98" spans="2:9" x14ac:dyDescent="0.25">
      <c r="B98" s="298"/>
      <c r="C98" s="298"/>
      <c r="D98" s="299"/>
      <c r="E98" s="299"/>
      <c r="F98" s="299"/>
      <c r="G98" s="298"/>
      <c r="H98" s="298"/>
      <c r="I98" s="298"/>
    </row>
    <row r="99" spans="2:9" x14ac:dyDescent="0.25">
      <c r="B99" s="414" t="s">
        <v>113</v>
      </c>
      <c r="C99" s="414" t="s">
        <v>145</v>
      </c>
      <c r="D99" s="415" t="s">
        <v>144</v>
      </c>
      <c r="E99" s="416" t="s">
        <v>146</v>
      </c>
      <c r="F99" s="417" t="s">
        <v>65</v>
      </c>
      <c r="G99" s="418" t="s">
        <v>150</v>
      </c>
      <c r="H99" s="417" t="s">
        <v>88</v>
      </c>
      <c r="I99" s="417" t="s">
        <v>153</v>
      </c>
    </row>
    <row r="100" spans="2:9" x14ac:dyDescent="0.25">
      <c r="B100" s="297">
        <v>42608</v>
      </c>
      <c r="C100" s="298">
        <v>25</v>
      </c>
      <c r="D100" s="299">
        <v>78.95</v>
      </c>
      <c r="E100" s="299">
        <v>80.650000000000006</v>
      </c>
      <c r="F100" s="299">
        <f t="shared" ref="F100:F116" si="18">C100*(E100-D100)</f>
        <v>42.500000000000071</v>
      </c>
      <c r="G100" s="299">
        <f t="shared" ref="G100:G116" si="19">D100*C100</f>
        <v>1973.75</v>
      </c>
      <c r="H100" s="300">
        <f t="shared" ref="H100:H116" si="20">(E100-D100)/D100</f>
        <v>2.1532615579480718E-2</v>
      </c>
      <c r="I100" s="300"/>
    </row>
    <row r="101" spans="2:9" x14ac:dyDescent="0.25">
      <c r="B101" s="297">
        <v>42609</v>
      </c>
      <c r="C101" s="298">
        <v>25</v>
      </c>
      <c r="D101" s="299">
        <v>78.95</v>
      </c>
      <c r="E101" s="299">
        <v>80.180000000000007</v>
      </c>
      <c r="F101" s="299">
        <f t="shared" si="18"/>
        <v>30.750000000000099</v>
      </c>
      <c r="G101" s="299">
        <f t="shared" si="19"/>
        <v>1973.75</v>
      </c>
      <c r="H101" s="300">
        <f t="shared" si="20"/>
        <v>1.5579480683977251E-2</v>
      </c>
      <c r="I101" s="300"/>
    </row>
    <row r="102" spans="2:9" x14ac:dyDescent="0.25">
      <c r="B102" s="297">
        <v>42613</v>
      </c>
      <c r="C102" s="298">
        <v>25</v>
      </c>
      <c r="D102" s="299">
        <v>78.95</v>
      </c>
      <c r="E102" s="299">
        <v>81.98</v>
      </c>
      <c r="F102" s="299">
        <f t="shared" si="18"/>
        <v>75.750000000000028</v>
      </c>
      <c r="G102" s="299">
        <f t="shared" si="19"/>
        <v>1973.75</v>
      </c>
      <c r="H102" s="300">
        <f t="shared" si="20"/>
        <v>3.8378720709309699E-2</v>
      </c>
      <c r="I102" s="300"/>
    </row>
    <row r="103" spans="2:9" x14ac:dyDescent="0.25">
      <c r="B103" s="297">
        <v>42619</v>
      </c>
      <c r="C103" s="298">
        <v>25</v>
      </c>
      <c r="D103" s="299">
        <v>78.95</v>
      </c>
      <c r="E103" s="299">
        <v>81.099999999999994</v>
      </c>
      <c r="F103" s="299">
        <f t="shared" si="18"/>
        <v>53.749999999999787</v>
      </c>
      <c r="G103" s="299">
        <f t="shared" si="19"/>
        <v>1973.75</v>
      </c>
      <c r="H103" s="300">
        <f t="shared" si="20"/>
        <v>2.7232425585813697E-2</v>
      </c>
      <c r="I103" s="300"/>
    </row>
    <row r="104" spans="2:9" x14ac:dyDescent="0.25">
      <c r="B104" s="297">
        <v>42620</v>
      </c>
      <c r="C104" s="298">
        <v>25</v>
      </c>
      <c r="D104" s="299">
        <v>78.95</v>
      </c>
      <c r="E104" s="299">
        <v>82.48</v>
      </c>
      <c r="F104" s="299">
        <f t="shared" si="18"/>
        <v>88.250000000000028</v>
      </c>
      <c r="G104" s="299">
        <f t="shared" si="19"/>
        <v>1973.75</v>
      </c>
      <c r="H104" s="300">
        <f t="shared" si="20"/>
        <v>4.4711842938568724E-2</v>
      </c>
      <c r="I104" s="300"/>
    </row>
    <row r="105" spans="2:9" x14ac:dyDescent="0.25">
      <c r="B105" s="297">
        <v>42621</v>
      </c>
      <c r="C105" s="298">
        <v>25</v>
      </c>
      <c r="D105" s="299">
        <v>78.95</v>
      </c>
      <c r="E105" s="299">
        <v>81.77</v>
      </c>
      <c r="F105" s="299">
        <f t="shared" si="18"/>
        <v>70.499999999999829</v>
      </c>
      <c r="G105" s="299">
        <f t="shared" si="19"/>
        <v>1973.75</v>
      </c>
      <c r="H105" s="300">
        <f t="shared" si="20"/>
        <v>3.5718809373020813E-2</v>
      </c>
      <c r="I105" s="300"/>
    </row>
    <row r="106" spans="2:9" x14ac:dyDescent="0.25">
      <c r="B106" s="297">
        <v>42622</v>
      </c>
      <c r="C106" s="298">
        <v>25</v>
      </c>
      <c r="D106" s="299">
        <v>78.95</v>
      </c>
      <c r="E106" s="299">
        <v>76.900000000000006</v>
      </c>
      <c r="F106" s="299">
        <f t="shared" si="18"/>
        <v>-51.249999999999929</v>
      </c>
      <c r="G106" s="299">
        <f t="shared" si="19"/>
        <v>1973.75</v>
      </c>
      <c r="H106" s="300">
        <f t="shared" si="20"/>
        <v>-2.5965801139961966E-2</v>
      </c>
      <c r="I106" s="300"/>
    </row>
    <row r="107" spans="2:9" x14ac:dyDescent="0.25">
      <c r="B107" s="297">
        <v>42629</v>
      </c>
      <c r="C107" s="298">
        <v>25</v>
      </c>
      <c r="D107" s="299">
        <v>78.95</v>
      </c>
      <c r="E107" s="299">
        <v>77.77</v>
      </c>
      <c r="F107" s="299">
        <f t="shared" si="18"/>
        <v>-29.500000000000171</v>
      </c>
      <c r="G107" s="299">
        <f t="shared" si="19"/>
        <v>1973.75</v>
      </c>
      <c r="H107" s="300">
        <f t="shared" si="20"/>
        <v>-1.4946168461051384E-2</v>
      </c>
      <c r="I107" s="300"/>
    </row>
    <row r="108" spans="2:9" x14ac:dyDescent="0.25">
      <c r="B108" s="297">
        <v>42633</v>
      </c>
      <c r="C108" s="298">
        <v>25</v>
      </c>
      <c r="D108" s="299">
        <v>78.95</v>
      </c>
      <c r="E108" s="299">
        <v>75.52</v>
      </c>
      <c r="F108" s="299">
        <f t="shared" si="18"/>
        <v>-85.750000000000171</v>
      </c>
      <c r="G108" s="299">
        <f t="shared" si="19"/>
        <v>1973.75</v>
      </c>
      <c r="H108" s="300">
        <f t="shared" si="20"/>
        <v>-4.3445218492716993E-2</v>
      </c>
      <c r="I108" s="300"/>
    </row>
    <row r="109" spans="2:9" x14ac:dyDescent="0.25">
      <c r="B109" s="297">
        <v>42635</v>
      </c>
      <c r="C109" s="298">
        <v>25</v>
      </c>
      <c r="D109" s="299">
        <v>78.95</v>
      </c>
      <c r="E109" s="299">
        <v>77.27</v>
      </c>
      <c r="F109" s="299">
        <f t="shared" si="18"/>
        <v>-42.000000000000171</v>
      </c>
      <c r="G109" s="299">
        <f t="shared" si="19"/>
        <v>1973.75</v>
      </c>
      <c r="H109" s="300">
        <f t="shared" si="20"/>
        <v>-2.1279290690310409E-2</v>
      </c>
      <c r="I109" s="300"/>
    </row>
    <row r="110" spans="2:9" x14ac:dyDescent="0.25">
      <c r="B110" s="297">
        <v>42636</v>
      </c>
      <c r="C110" s="298">
        <v>25</v>
      </c>
      <c r="D110" s="299">
        <v>78.95</v>
      </c>
      <c r="E110" s="299">
        <v>78.97</v>
      </c>
      <c r="F110" s="299">
        <f t="shared" si="18"/>
        <v>0.49999999999990052</v>
      </c>
      <c r="G110" s="299">
        <f t="shared" si="19"/>
        <v>1973.75</v>
      </c>
      <c r="H110" s="300">
        <f t="shared" si="20"/>
        <v>2.533248891703106E-4</v>
      </c>
      <c r="I110" s="300"/>
    </row>
    <row r="111" spans="2:9" x14ac:dyDescent="0.25">
      <c r="B111" s="297">
        <v>42639</v>
      </c>
      <c r="C111" s="298">
        <v>55</v>
      </c>
      <c r="D111" s="299">
        <v>76.400000000000006</v>
      </c>
      <c r="E111" s="299">
        <v>76.31</v>
      </c>
      <c r="F111" s="299">
        <f t="shared" si="18"/>
        <v>-4.9500000000001876</v>
      </c>
      <c r="G111" s="299">
        <f t="shared" si="19"/>
        <v>4202</v>
      </c>
      <c r="H111" s="300">
        <f t="shared" si="20"/>
        <v>-1.1780104712042331E-3</v>
      </c>
      <c r="I111" s="300"/>
    </row>
    <row r="112" spans="2:9" x14ac:dyDescent="0.25">
      <c r="B112" s="297">
        <v>42643</v>
      </c>
      <c r="C112" s="298">
        <v>55</v>
      </c>
      <c r="D112" s="299">
        <v>76.402699999999996</v>
      </c>
      <c r="E112" s="299">
        <v>74.53</v>
      </c>
      <c r="F112" s="299">
        <f t="shared" si="18"/>
        <v>-102.99849999999971</v>
      </c>
      <c r="G112" s="299">
        <f t="shared" si="19"/>
        <v>4202.1484999999993</v>
      </c>
      <c r="H112" s="300">
        <f t="shared" si="20"/>
        <v>-2.4510913881315644E-2</v>
      </c>
      <c r="I112" s="300"/>
    </row>
    <row r="113" spans="1:10" x14ac:dyDescent="0.25">
      <c r="B113" s="297">
        <v>42646</v>
      </c>
      <c r="C113" s="298">
        <v>55</v>
      </c>
      <c r="D113" s="299">
        <v>76.402699999999996</v>
      </c>
      <c r="E113" s="299">
        <v>75.72</v>
      </c>
      <c r="F113" s="299">
        <f t="shared" si="18"/>
        <v>-37.548499999999834</v>
      </c>
      <c r="G113" s="299">
        <f t="shared" si="19"/>
        <v>4202.1484999999993</v>
      </c>
      <c r="H113" s="300">
        <f t="shared" si="20"/>
        <v>-8.9355480892690572E-3</v>
      </c>
      <c r="I113" s="300"/>
    </row>
    <row r="114" spans="1:10" x14ac:dyDescent="0.25">
      <c r="B114" s="297">
        <v>42647</v>
      </c>
      <c r="C114" s="298">
        <v>55</v>
      </c>
      <c r="D114" s="299">
        <v>76.402699999999996</v>
      </c>
      <c r="E114" s="299">
        <v>77.819999999999993</v>
      </c>
      <c r="F114" s="299">
        <f t="shared" si="18"/>
        <v>77.951499999999854</v>
      </c>
      <c r="G114" s="299">
        <f t="shared" si="19"/>
        <v>4202.1484999999993</v>
      </c>
      <c r="H114" s="300">
        <f t="shared" si="20"/>
        <v>1.8550391543754308E-2</v>
      </c>
      <c r="I114" s="300"/>
    </row>
    <row r="115" spans="1:10" x14ac:dyDescent="0.25">
      <c r="B115" s="297">
        <v>42648</v>
      </c>
      <c r="C115" s="298">
        <v>30</v>
      </c>
      <c r="D115" s="299">
        <v>74.272999999999996</v>
      </c>
      <c r="E115" s="299">
        <v>81.430000000000007</v>
      </c>
      <c r="F115" s="299">
        <f t="shared" si="18"/>
        <v>214.71000000000032</v>
      </c>
      <c r="G115" s="299">
        <f t="shared" si="19"/>
        <v>2228.19</v>
      </c>
      <c r="H115" s="300">
        <f t="shared" si="20"/>
        <v>9.6360723277638047E-2</v>
      </c>
      <c r="I115" s="300"/>
    </row>
    <row r="116" spans="1:10" x14ac:dyDescent="0.25">
      <c r="B116" s="297">
        <v>42649</v>
      </c>
      <c r="C116" s="298">
        <v>30</v>
      </c>
      <c r="D116" s="299">
        <v>74.272999999999996</v>
      </c>
      <c r="E116" s="299">
        <v>80.069999999999993</v>
      </c>
      <c r="F116" s="299">
        <f t="shared" si="18"/>
        <v>173.90999999999991</v>
      </c>
      <c r="G116" s="299">
        <f t="shared" si="19"/>
        <v>2228.19</v>
      </c>
      <c r="H116" s="300">
        <f t="shared" si="20"/>
        <v>7.8049897001602156E-2</v>
      </c>
      <c r="I116" s="300"/>
    </row>
    <row r="117" spans="1:10" x14ac:dyDescent="0.25">
      <c r="B117" s="297">
        <v>42671</v>
      </c>
      <c r="C117" s="298">
        <v>0</v>
      </c>
      <c r="D117" s="299"/>
      <c r="E117" s="299"/>
      <c r="F117" s="299">
        <v>234.16</v>
      </c>
      <c r="G117" s="299"/>
      <c r="H117" s="300"/>
      <c r="I117" s="300"/>
    </row>
    <row r="118" spans="1:10" x14ac:dyDescent="0.25">
      <c r="B118" s="297"/>
      <c r="C118" s="298"/>
      <c r="D118" s="299"/>
      <c r="E118" s="299"/>
      <c r="F118" s="299"/>
      <c r="G118" s="299"/>
      <c r="H118" s="300"/>
      <c r="I118" s="300"/>
    </row>
    <row r="120" spans="1:10" x14ac:dyDescent="0.25">
      <c r="B120" s="164">
        <v>42746</v>
      </c>
      <c r="C120" s="10">
        <v>30</v>
      </c>
      <c r="D120" s="39">
        <v>81.81</v>
      </c>
      <c r="E120" s="39">
        <v>84.7</v>
      </c>
      <c r="F120" s="39">
        <f t="shared" ref="F120:F150" si="21">C120*(E120-D120)</f>
        <v>86.700000000000017</v>
      </c>
      <c r="G120" s="39">
        <f t="shared" ref="G120:G150" si="22">D120*C120</f>
        <v>2454.3000000000002</v>
      </c>
      <c r="H120" s="179">
        <f t="shared" ref="H120:H150" si="23">(E120-D120)/D120</f>
        <v>3.5325754797701996E-2</v>
      </c>
      <c r="I120" s="10"/>
      <c r="J120" s="10"/>
    </row>
    <row r="121" spans="1:10" x14ac:dyDescent="0.25">
      <c r="B121" s="164">
        <v>42748</v>
      </c>
      <c r="C121" s="10">
        <v>50</v>
      </c>
      <c r="D121" s="39">
        <v>81.09</v>
      </c>
      <c r="E121" s="39">
        <v>80.78</v>
      </c>
      <c r="F121" s="39">
        <f t="shared" si="21"/>
        <v>-15.500000000000114</v>
      </c>
      <c r="G121" s="39">
        <f t="shared" si="22"/>
        <v>4054.5</v>
      </c>
      <c r="H121" s="179">
        <f t="shared" si="23"/>
        <v>-3.8229128129239395E-3</v>
      </c>
      <c r="I121" s="10"/>
      <c r="J121" s="10"/>
    </row>
    <row r="122" spans="1:10" x14ac:dyDescent="0.25">
      <c r="B122" s="164">
        <v>42753</v>
      </c>
      <c r="C122" s="10">
        <v>20</v>
      </c>
      <c r="D122" s="39">
        <v>80.327500000000001</v>
      </c>
      <c r="E122" s="39">
        <v>81.599999999999994</v>
      </c>
      <c r="F122" s="39">
        <f t="shared" si="21"/>
        <v>25.449999999999875</v>
      </c>
      <c r="G122" s="39">
        <f t="shared" si="22"/>
        <v>1606.55</v>
      </c>
      <c r="H122" s="179">
        <f t="shared" si="23"/>
        <v>1.5841399271731272E-2</v>
      </c>
      <c r="I122" s="10"/>
      <c r="J122" s="10"/>
    </row>
    <row r="123" spans="1:10" x14ac:dyDescent="0.25">
      <c r="A123" t="s">
        <v>334</v>
      </c>
      <c r="B123" s="164">
        <v>42754</v>
      </c>
      <c r="C123" s="10">
        <v>50</v>
      </c>
      <c r="D123" s="39">
        <v>80.659000000000006</v>
      </c>
      <c r="E123" s="39">
        <v>80.77</v>
      </c>
      <c r="F123" s="39">
        <f t="shared" si="21"/>
        <v>5.5499999999994998</v>
      </c>
      <c r="G123" s="39">
        <f t="shared" si="22"/>
        <v>4032.9500000000003</v>
      </c>
      <c r="H123" s="179">
        <f t="shared" si="23"/>
        <v>1.3761638502831674E-3</v>
      </c>
      <c r="I123" s="10"/>
      <c r="J123" s="10"/>
    </row>
    <row r="124" spans="1:10" x14ac:dyDescent="0.25">
      <c r="A124" t="s">
        <v>334</v>
      </c>
      <c r="B124" s="164">
        <v>42760</v>
      </c>
      <c r="C124" s="10">
        <v>50</v>
      </c>
      <c r="D124" s="39">
        <v>80.659000000000006</v>
      </c>
      <c r="E124" s="39">
        <v>82.98</v>
      </c>
      <c r="F124" s="39">
        <f t="shared" si="21"/>
        <v>116.0499999999999</v>
      </c>
      <c r="G124" s="39">
        <f t="shared" si="22"/>
        <v>4032.9500000000003</v>
      </c>
      <c r="H124" s="179">
        <f t="shared" si="23"/>
        <v>2.8775462130698346E-2</v>
      </c>
      <c r="I124" s="10"/>
      <c r="J124" s="10"/>
    </row>
    <row r="125" spans="1:10" x14ac:dyDescent="0.25">
      <c r="A125" t="s">
        <v>371</v>
      </c>
      <c r="B125" s="164">
        <v>42766</v>
      </c>
      <c r="C125" s="10">
        <v>75</v>
      </c>
      <c r="D125" s="39">
        <v>79.439300000000003</v>
      </c>
      <c r="E125" s="39">
        <v>77.67</v>
      </c>
      <c r="F125" s="39">
        <f t="shared" si="21"/>
        <v>-132.6975000000001</v>
      </c>
      <c r="G125" s="39">
        <f t="shared" si="22"/>
        <v>5957.9475000000002</v>
      </c>
      <c r="H125" s="179">
        <f t="shared" si="23"/>
        <v>-2.2272351342471561E-2</v>
      </c>
      <c r="I125" s="10"/>
      <c r="J125" s="10"/>
    </row>
    <row r="126" spans="1:10" x14ac:dyDescent="0.25">
      <c r="A126" t="s">
        <v>330</v>
      </c>
      <c r="B126" s="164">
        <v>42772</v>
      </c>
      <c r="C126" s="185">
        <v>100</v>
      </c>
      <c r="D126" s="186">
        <v>78.391999999999996</v>
      </c>
      <c r="E126" s="39">
        <v>74.06</v>
      </c>
      <c r="F126" s="39">
        <f t="shared" si="21"/>
        <v>-433.19999999999936</v>
      </c>
      <c r="G126" s="39">
        <f t="shared" si="22"/>
        <v>7839.2</v>
      </c>
      <c r="H126" s="179">
        <f t="shared" si="23"/>
        <v>-5.5260740891927666E-2</v>
      </c>
      <c r="I126" s="10"/>
      <c r="J126" s="10"/>
    </row>
    <row r="127" spans="1:10" x14ac:dyDescent="0.25">
      <c r="A127" t="s">
        <v>394</v>
      </c>
      <c r="B127" s="164">
        <v>42773</v>
      </c>
      <c r="C127" s="10">
        <v>125</v>
      </c>
      <c r="D127" s="39">
        <v>77.329599999999999</v>
      </c>
      <c r="E127" s="39">
        <v>71.95</v>
      </c>
      <c r="F127" s="39">
        <f t="shared" si="21"/>
        <v>-672.44999999999959</v>
      </c>
      <c r="G127" s="39">
        <f t="shared" si="22"/>
        <v>9666.2000000000007</v>
      </c>
      <c r="H127" s="179">
        <f t="shared" si="23"/>
        <v>-6.9567151517659423E-2</v>
      </c>
      <c r="I127" s="10"/>
      <c r="J127" s="10"/>
    </row>
    <row r="128" spans="1:10" x14ac:dyDescent="0.25">
      <c r="A128" t="s">
        <v>435</v>
      </c>
      <c r="B128" s="164">
        <v>42788</v>
      </c>
      <c r="C128" s="10">
        <v>125</v>
      </c>
      <c r="D128" s="39">
        <v>77.329599999999999</v>
      </c>
      <c r="E128" s="39">
        <v>73.61</v>
      </c>
      <c r="F128" s="39">
        <f t="shared" si="21"/>
        <v>-464.95</v>
      </c>
      <c r="G128" s="39">
        <f t="shared" si="22"/>
        <v>9666.2000000000007</v>
      </c>
      <c r="H128" s="179">
        <f t="shared" si="23"/>
        <v>-4.8100597959901507E-2</v>
      </c>
      <c r="I128" s="10"/>
      <c r="J128" s="10"/>
    </row>
    <row r="129" spans="1:10" x14ac:dyDescent="0.25">
      <c r="A129" t="s">
        <v>455</v>
      </c>
      <c r="B129" s="164">
        <v>42794</v>
      </c>
      <c r="C129" s="10">
        <v>300</v>
      </c>
      <c r="D129" s="39">
        <v>71.360699999999994</v>
      </c>
      <c r="E129" s="39">
        <v>63.59</v>
      </c>
      <c r="F129" s="39">
        <f t="shared" si="21"/>
        <v>-2331.2099999999973</v>
      </c>
      <c r="G129" s="39">
        <f t="shared" si="22"/>
        <v>21408.21</v>
      </c>
      <c r="H129" s="179">
        <f t="shared" si="23"/>
        <v>-0.1088932703855202</v>
      </c>
      <c r="I129" s="10"/>
      <c r="J129" s="39"/>
    </row>
    <row r="130" spans="1:10" x14ac:dyDescent="0.25">
      <c r="A130" t="s">
        <v>455</v>
      </c>
      <c r="B130" s="164">
        <v>42795</v>
      </c>
      <c r="C130" s="10">
        <v>300</v>
      </c>
      <c r="D130" s="39">
        <v>71.317300000000003</v>
      </c>
      <c r="E130" s="39">
        <v>64.88</v>
      </c>
      <c r="F130" s="39">
        <f t="shared" si="21"/>
        <v>-1931.1900000000023</v>
      </c>
      <c r="G130" s="39">
        <f t="shared" si="22"/>
        <v>21395.190000000002</v>
      </c>
      <c r="H130" s="179">
        <f t="shared" si="23"/>
        <v>-9.0262811407610874E-2</v>
      </c>
      <c r="I130" s="10" t="s">
        <v>184</v>
      </c>
      <c r="J130" s="39"/>
    </row>
    <row r="131" spans="1:10" x14ac:dyDescent="0.25">
      <c r="A131">
        <v>75</v>
      </c>
      <c r="B131" s="164">
        <v>42800</v>
      </c>
      <c r="C131" s="10">
        <v>300</v>
      </c>
      <c r="D131" s="39">
        <v>71.317300000000003</v>
      </c>
      <c r="E131" s="39">
        <v>65.599999999999994</v>
      </c>
      <c r="F131" s="39">
        <f t="shared" si="21"/>
        <v>-1715.1900000000026</v>
      </c>
      <c r="G131" s="39">
        <f t="shared" si="22"/>
        <v>21395.190000000002</v>
      </c>
      <c r="H131" s="179">
        <f t="shared" si="23"/>
        <v>-8.0167084283897572E-2</v>
      </c>
      <c r="I131" s="10"/>
      <c r="J131" s="39"/>
    </row>
    <row r="132" spans="1:10" x14ac:dyDescent="0.25">
      <c r="A132">
        <v>0</v>
      </c>
      <c r="B132" s="164">
        <v>42803</v>
      </c>
      <c r="C132" s="10">
        <v>200</v>
      </c>
      <c r="D132" s="39">
        <v>72.186800000000005</v>
      </c>
      <c r="E132" s="39">
        <v>70.02</v>
      </c>
      <c r="F132" s="39">
        <f t="shared" si="21"/>
        <v>-433.36000000000183</v>
      </c>
      <c r="G132" s="39">
        <f t="shared" si="22"/>
        <v>14437.36</v>
      </c>
      <c r="H132" s="179">
        <f t="shared" si="23"/>
        <v>-3.0016568126028705E-2</v>
      </c>
      <c r="I132" s="10"/>
      <c r="J132" s="39"/>
    </row>
    <row r="133" spans="1:10" x14ac:dyDescent="0.25">
      <c r="A133">
        <v>0</v>
      </c>
      <c r="B133" s="164">
        <v>42804</v>
      </c>
      <c r="C133" s="10">
        <v>175</v>
      </c>
      <c r="D133" s="39">
        <v>72.130799999999994</v>
      </c>
      <c r="E133" s="39">
        <v>69.81</v>
      </c>
      <c r="F133" s="39">
        <f t="shared" si="21"/>
        <v>-406.13999999999851</v>
      </c>
      <c r="G133" s="39">
        <f t="shared" si="22"/>
        <v>12622.89</v>
      </c>
      <c r="H133" s="179">
        <f t="shared" si="23"/>
        <v>-3.2174882297160041E-2</v>
      </c>
      <c r="I133" s="10"/>
      <c r="J133" s="39">
        <v>269.81</v>
      </c>
    </row>
    <row r="134" spans="1:10" x14ac:dyDescent="0.25">
      <c r="A134">
        <v>0</v>
      </c>
      <c r="B134" s="164">
        <v>42808</v>
      </c>
      <c r="C134" s="7">
        <v>200</v>
      </c>
      <c r="D134" s="43">
        <v>71.599500000000006</v>
      </c>
      <c r="E134" s="39">
        <v>67.83</v>
      </c>
      <c r="F134" s="39">
        <f t="shared" si="21"/>
        <v>-753.90000000000157</v>
      </c>
      <c r="G134" s="39">
        <f t="shared" si="22"/>
        <v>14319.900000000001</v>
      </c>
      <c r="H134" s="179">
        <f t="shared" si="23"/>
        <v>-5.2647015691450465E-2</v>
      </c>
      <c r="I134" s="10"/>
      <c r="J134" s="39">
        <v>-78</v>
      </c>
    </row>
    <row r="135" spans="1:10" x14ac:dyDescent="0.25">
      <c r="A135">
        <v>0</v>
      </c>
      <c r="B135" s="164">
        <v>42809</v>
      </c>
      <c r="C135" s="10">
        <v>200</v>
      </c>
      <c r="D135" s="39">
        <v>71.599500000000006</v>
      </c>
      <c r="E135" s="39">
        <v>68.36</v>
      </c>
      <c r="F135" s="39">
        <f t="shared" si="21"/>
        <v>-647.90000000000134</v>
      </c>
      <c r="G135" s="39">
        <f t="shared" si="22"/>
        <v>14319.900000000001</v>
      </c>
      <c r="H135" s="179">
        <f t="shared" si="23"/>
        <v>-4.5244729362635301E-2</v>
      </c>
      <c r="I135" s="10"/>
      <c r="J135" s="39">
        <v>28.06</v>
      </c>
    </row>
    <row r="136" spans="1:10" x14ac:dyDescent="0.25">
      <c r="A136">
        <v>0</v>
      </c>
      <c r="B136" s="164">
        <v>42821</v>
      </c>
      <c r="C136" s="10">
        <v>200</v>
      </c>
      <c r="D136" s="39">
        <v>71.599500000000006</v>
      </c>
      <c r="E136" s="39">
        <v>69.66</v>
      </c>
      <c r="F136" s="39">
        <f t="shared" si="21"/>
        <v>-387.90000000000191</v>
      </c>
      <c r="G136" s="39">
        <f t="shared" si="22"/>
        <v>14319.900000000001</v>
      </c>
      <c r="H136" s="179">
        <f t="shared" si="23"/>
        <v>-2.7088177990069896E-2</v>
      </c>
      <c r="I136" s="10"/>
      <c r="J136" s="39">
        <v>288</v>
      </c>
    </row>
    <row r="137" spans="1:10" x14ac:dyDescent="0.25">
      <c r="A137">
        <v>200</v>
      </c>
      <c r="B137" s="164">
        <v>42862</v>
      </c>
      <c r="C137" s="10">
        <v>200</v>
      </c>
      <c r="D137" s="39">
        <v>71.599999999999994</v>
      </c>
      <c r="E137" s="39">
        <v>65.010000000000005</v>
      </c>
      <c r="F137" s="39">
        <f t="shared" si="21"/>
        <v>-1317.9999999999977</v>
      </c>
      <c r="G137" s="39">
        <f t="shared" si="22"/>
        <v>14319.999999999998</v>
      </c>
      <c r="H137" s="179">
        <f t="shared" si="23"/>
        <v>-9.2039106145251251E-2</v>
      </c>
      <c r="I137" s="10"/>
      <c r="J137" s="39">
        <v>-642</v>
      </c>
    </row>
    <row r="138" spans="1:10" x14ac:dyDescent="0.25">
      <c r="A138">
        <v>200</v>
      </c>
      <c r="B138" s="164">
        <v>42865</v>
      </c>
      <c r="C138" s="10">
        <v>300</v>
      </c>
      <c r="D138" s="39">
        <v>69.02</v>
      </c>
      <c r="E138" s="39">
        <v>63.04</v>
      </c>
      <c r="F138" s="39">
        <f t="shared" si="21"/>
        <v>-1793.9999999999991</v>
      </c>
      <c r="G138" s="39">
        <f t="shared" si="22"/>
        <v>20706</v>
      </c>
      <c r="H138" s="179">
        <f t="shared" si="23"/>
        <v>-8.6641553172993296E-2</v>
      </c>
      <c r="I138" s="10"/>
      <c r="J138" s="39">
        <v>-1117</v>
      </c>
    </row>
    <row r="139" spans="1:10" x14ac:dyDescent="0.25">
      <c r="A139">
        <v>200</v>
      </c>
      <c r="B139" s="164">
        <v>42866</v>
      </c>
      <c r="C139" s="10">
        <v>350</v>
      </c>
      <c r="D139" s="39">
        <v>67.884799999999998</v>
      </c>
      <c r="E139" s="39">
        <v>61.68</v>
      </c>
      <c r="F139" s="39">
        <f t="shared" si="21"/>
        <v>-2171.6799999999994</v>
      </c>
      <c r="G139" s="39">
        <f t="shared" si="22"/>
        <v>23759.68</v>
      </c>
      <c r="H139" s="179">
        <f t="shared" si="23"/>
        <v>-9.1401904402752879E-2</v>
      </c>
      <c r="I139" s="10"/>
      <c r="J139" s="39">
        <v>-1496</v>
      </c>
    </row>
    <row r="140" spans="1:10" x14ac:dyDescent="0.25">
      <c r="A140">
        <v>200</v>
      </c>
      <c r="B140" s="164">
        <v>42887</v>
      </c>
      <c r="C140" s="10">
        <v>400</v>
      </c>
      <c r="D140" s="39">
        <v>65.906700000000001</v>
      </c>
      <c r="E140" s="39">
        <v>52.41</v>
      </c>
      <c r="F140" s="39">
        <f t="shared" si="21"/>
        <v>-5398.6800000000021</v>
      </c>
      <c r="G140" s="39">
        <f t="shared" si="22"/>
        <v>26362.68</v>
      </c>
      <c r="H140" s="179">
        <f t="shared" si="23"/>
        <v>-0.20478494599183397</v>
      </c>
      <c r="I140" s="10"/>
      <c r="J140" s="39">
        <v>-4723</v>
      </c>
    </row>
    <row r="141" spans="1:10" x14ac:dyDescent="0.25">
      <c r="A141">
        <v>150</v>
      </c>
      <c r="B141" s="164">
        <v>42894</v>
      </c>
      <c r="C141" s="10">
        <v>350</v>
      </c>
      <c r="D141" s="39">
        <v>67.179299999999998</v>
      </c>
      <c r="E141" s="39">
        <v>56.97</v>
      </c>
      <c r="F141" s="39">
        <f t="shared" si="21"/>
        <v>-3573.2549999999997</v>
      </c>
      <c r="G141" s="39">
        <f t="shared" si="22"/>
        <v>23512.755000000001</v>
      </c>
      <c r="H141" s="179">
        <f t="shared" si="23"/>
        <v>-0.15197091961363096</v>
      </c>
      <c r="I141" s="10"/>
      <c r="J141" s="39">
        <v>-2897</v>
      </c>
    </row>
    <row r="142" spans="1:10" x14ac:dyDescent="0.25">
      <c r="A142">
        <v>250</v>
      </c>
      <c r="B142" s="164">
        <v>42917</v>
      </c>
      <c r="C142" s="10">
        <v>250</v>
      </c>
      <c r="D142" s="39">
        <v>68.349999999999994</v>
      </c>
      <c r="E142" s="39">
        <v>63.24</v>
      </c>
      <c r="F142" s="39">
        <f t="shared" si="21"/>
        <v>-1277.4999999999982</v>
      </c>
      <c r="G142" s="39">
        <f t="shared" si="22"/>
        <v>17087.5</v>
      </c>
      <c r="H142" s="179">
        <f t="shared" si="23"/>
        <v>-7.47622531089977E-2</v>
      </c>
      <c r="I142" s="10"/>
      <c r="J142" s="39">
        <v>-602</v>
      </c>
    </row>
    <row r="143" spans="1:10" x14ac:dyDescent="0.25">
      <c r="A143">
        <v>250</v>
      </c>
      <c r="B143" s="164">
        <v>42949</v>
      </c>
      <c r="C143" s="10">
        <v>300</v>
      </c>
      <c r="D143" s="39">
        <v>66.836299999999994</v>
      </c>
      <c r="E143" s="39">
        <v>58.88</v>
      </c>
      <c r="F143" s="39">
        <f t="shared" si="21"/>
        <v>-2386.8899999999976</v>
      </c>
      <c r="G143" s="39">
        <f t="shared" si="22"/>
        <v>20050.89</v>
      </c>
      <c r="H143" s="179">
        <f t="shared" si="23"/>
        <v>-0.11904159865222928</v>
      </c>
      <c r="I143" s="10"/>
      <c r="J143" s="39">
        <v>-1711</v>
      </c>
    </row>
    <row r="144" spans="1:10" x14ac:dyDescent="0.25">
      <c r="A144">
        <v>250</v>
      </c>
      <c r="B144" s="164">
        <v>42957</v>
      </c>
      <c r="C144" s="10">
        <v>350</v>
      </c>
      <c r="D144" s="39">
        <v>65.256900000000002</v>
      </c>
      <c r="E144" s="39">
        <v>55.65</v>
      </c>
      <c r="F144" s="39">
        <f t="shared" si="21"/>
        <v>-3362.4150000000009</v>
      </c>
      <c r="G144" s="39">
        <f t="shared" si="22"/>
        <v>22839.915000000001</v>
      </c>
      <c r="H144" s="179">
        <f t="shared" si="23"/>
        <v>-0.14721661617392187</v>
      </c>
      <c r="I144" s="10"/>
      <c r="J144" s="39">
        <v>-2686</v>
      </c>
    </row>
    <row r="145" spans="1:10" x14ac:dyDescent="0.25">
      <c r="A145">
        <v>150</v>
      </c>
      <c r="B145" s="164">
        <v>42972</v>
      </c>
      <c r="C145" s="10">
        <v>350</v>
      </c>
      <c r="D145" s="39">
        <v>64.94</v>
      </c>
      <c r="E145" s="39">
        <v>62.68</v>
      </c>
      <c r="F145" s="39">
        <f t="shared" si="21"/>
        <v>-790.99999999999932</v>
      </c>
      <c r="G145" s="39">
        <f t="shared" si="22"/>
        <v>22729</v>
      </c>
      <c r="H145" s="179">
        <f t="shared" si="23"/>
        <v>-3.4801355097012598E-2</v>
      </c>
      <c r="I145" s="10"/>
      <c r="J145" s="39">
        <v>-114</v>
      </c>
    </row>
    <row r="146" spans="1:10" x14ac:dyDescent="0.25">
      <c r="A146">
        <v>150</v>
      </c>
      <c r="B146" s="164">
        <v>42978</v>
      </c>
      <c r="C146" s="10">
        <v>350</v>
      </c>
      <c r="D146" s="39">
        <v>64.715999999999994</v>
      </c>
      <c r="E146" s="39">
        <v>62.68</v>
      </c>
      <c r="F146" s="39">
        <f t="shared" si="21"/>
        <v>-712.59999999999798</v>
      </c>
      <c r="G146" s="39">
        <f t="shared" si="22"/>
        <v>22650.6</v>
      </c>
      <c r="H146" s="179">
        <f t="shared" si="23"/>
        <v>-3.1460535261758987E-2</v>
      </c>
      <c r="I146" s="10"/>
      <c r="J146" s="39">
        <v>-576</v>
      </c>
    </row>
    <row r="147" spans="1:10" x14ac:dyDescent="0.25">
      <c r="A147">
        <v>200</v>
      </c>
      <c r="B147" s="164">
        <v>42980</v>
      </c>
      <c r="C147" s="10">
        <v>350</v>
      </c>
      <c r="D147" s="39">
        <v>64.715999999999994</v>
      </c>
      <c r="E147" s="39">
        <v>64.36</v>
      </c>
      <c r="F147" s="39">
        <f t="shared" si="21"/>
        <v>-124.59999999999809</v>
      </c>
      <c r="G147" s="39">
        <f t="shared" si="22"/>
        <v>22650.6</v>
      </c>
      <c r="H147" s="179">
        <f t="shared" si="23"/>
        <v>-5.500958032016728E-3</v>
      </c>
      <c r="I147" s="10"/>
      <c r="J147" s="39">
        <v>551</v>
      </c>
    </row>
    <row r="148" spans="1:10" x14ac:dyDescent="0.25">
      <c r="A148">
        <v>50</v>
      </c>
      <c r="B148" s="164">
        <v>42984</v>
      </c>
      <c r="C148" s="7">
        <v>200</v>
      </c>
      <c r="D148" s="43">
        <v>64.218900000000005</v>
      </c>
      <c r="E148" s="39">
        <v>65.2</v>
      </c>
      <c r="F148" s="39">
        <f t="shared" si="21"/>
        <v>196.21999999999957</v>
      </c>
      <c r="G148" s="39">
        <f t="shared" si="22"/>
        <v>12843.78</v>
      </c>
      <c r="H148" s="179">
        <f t="shared" si="23"/>
        <v>1.5277433901857519E-2</v>
      </c>
      <c r="I148" s="10"/>
      <c r="J148" s="39">
        <v>872</v>
      </c>
    </row>
    <row r="149" spans="1:10" x14ac:dyDescent="0.25">
      <c r="A149">
        <v>0</v>
      </c>
      <c r="B149" s="164">
        <v>42989</v>
      </c>
      <c r="C149" s="185">
        <v>100</v>
      </c>
      <c r="D149" s="186">
        <v>61.66</v>
      </c>
      <c r="E149" s="39">
        <v>66.239999999999995</v>
      </c>
      <c r="F149" s="39">
        <f t="shared" si="21"/>
        <v>457.99999999999983</v>
      </c>
      <c r="G149" s="39">
        <f t="shared" si="22"/>
        <v>6166</v>
      </c>
      <c r="H149" s="179">
        <f t="shared" si="23"/>
        <v>7.4278300356795307E-2</v>
      </c>
      <c r="I149" s="10"/>
      <c r="J149" s="39">
        <v>1134</v>
      </c>
    </row>
    <row r="150" spans="1:10" x14ac:dyDescent="0.25">
      <c r="A150" s="1">
        <v>43003</v>
      </c>
      <c r="B150" s="164">
        <v>42998</v>
      </c>
      <c r="C150" s="7">
        <v>200</v>
      </c>
      <c r="D150" s="43">
        <v>63.494700000000002</v>
      </c>
      <c r="E150" s="39">
        <v>64.91</v>
      </c>
      <c r="F150" s="39">
        <f t="shared" si="21"/>
        <v>283.05999999999898</v>
      </c>
      <c r="G150" s="39">
        <f t="shared" si="22"/>
        <v>12698.94</v>
      </c>
      <c r="H150" s="179">
        <f t="shared" si="23"/>
        <v>2.2290049405698346E-2</v>
      </c>
      <c r="I150" s="39">
        <v>63</v>
      </c>
      <c r="J150" s="39">
        <v>959</v>
      </c>
    </row>
    <row r="151" spans="1:10" x14ac:dyDescent="0.25">
      <c r="B151" s="10"/>
      <c r="C151" s="10"/>
      <c r="D151" s="39"/>
      <c r="E151" s="39"/>
      <c r="F151" s="39"/>
      <c r="G151" s="39"/>
      <c r="H151" s="179"/>
      <c r="I151" s="10"/>
      <c r="J151" s="39"/>
    </row>
    <row r="152" spans="1:10" x14ac:dyDescent="0.25">
      <c r="B152" s="10"/>
      <c r="C152" s="10"/>
      <c r="D152" s="39"/>
      <c r="E152" s="39"/>
      <c r="F152" s="39"/>
      <c r="G152" s="39"/>
      <c r="H152" s="179"/>
      <c r="I152" s="10"/>
      <c r="J152" s="39"/>
    </row>
    <row r="153" spans="1:10" x14ac:dyDescent="0.25">
      <c r="B153" s="10"/>
      <c r="C153" s="10"/>
      <c r="D153" s="39"/>
      <c r="E153" s="39"/>
      <c r="F153" s="39"/>
      <c r="G153" s="39"/>
      <c r="H153" s="179"/>
      <c r="I153" s="10"/>
      <c r="J153" s="39"/>
    </row>
    <row r="154" spans="1:10" x14ac:dyDescent="0.25">
      <c r="B154" s="10"/>
      <c r="C154" s="10"/>
      <c r="D154" s="39"/>
      <c r="E154" s="39"/>
      <c r="F154" s="39"/>
      <c r="G154" s="39"/>
      <c r="H154" s="179"/>
      <c r="I154" s="10"/>
      <c r="J154" s="39"/>
    </row>
    <row r="155" spans="1:10" x14ac:dyDescent="0.25">
      <c r="B155" s="10"/>
      <c r="C155" s="10"/>
      <c r="D155" s="39"/>
      <c r="E155" s="39"/>
      <c r="F155" s="39"/>
      <c r="G155" s="39"/>
      <c r="H155" s="179"/>
      <c r="I155" s="10"/>
      <c r="J155" s="39"/>
    </row>
    <row r="156" spans="1:10" x14ac:dyDescent="0.25">
      <c r="B156" s="10"/>
      <c r="C156" s="10"/>
      <c r="D156" s="39"/>
      <c r="E156" s="39"/>
      <c r="F156" s="39"/>
      <c r="G156" s="39"/>
      <c r="H156" s="179"/>
      <c r="I156" s="10"/>
      <c r="J156" s="39"/>
    </row>
    <row r="157" spans="1:10" x14ac:dyDescent="0.25">
      <c r="B157" s="10"/>
      <c r="C157" s="10"/>
      <c r="D157" s="39"/>
      <c r="E157" s="39"/>
      <c r="F157" s="39"/>
      <c r="G157" s="39"/>
      <c r="H157" s="179"/>
      <c r="I157" s="10"/>
      <c r="J157" s="39"/>
    </row>
    <row r="158" spans="1:10" x14ac:dyDescent="0.25">
      <c r="B158" s="10"/>
      <c r="C158" s="10"/>
      <c r="D158" s="39"/>
      <c r="E158" s="39"/>
      <c r="F158" s="39"/>
      <c r="G158" s="39"/>
      <c r="H158" s="179"/>
      <c r="I158" s="10"/>
      <c r="J158" s="39"/>
    </row>
    <row r="159" spans="1:10" x14ac:dyDescent="0.25">
      <c r="B159" s="10"/>
      <c r="C159" s="10"/>
      <c r="D159" s="39"/>
      <c r="E159" s="39"/>
      <c r="F159" s="39"/>
      <c r="G159" s="39"/>
      <c r="H159" s="179"/>
      <c r="I159" s="10"/>
      <c r="J159" s="39"/>
    </row>
    <row r="160" spans="1:10" x14ac:dyDescent="0.25">
      <c r="B160" s="10"/>
      <c r="C160" s="10"/>
      <c r="D160" s="39"/>
      <c r="E160" s="39"/>
      <c r="F160" s="39"/>
      <c r="G160" s="39"/>
      <c r="H160" s="179"/>
      <c r="I160" s="10"/>
      <c r="J160" s="39"/>
    </row>
    <row r="177" spans="1:13" x14ac:dyDescent="0.25">
      <c r="L177" t="s">
        <v>65</v>
      </c>
      <c r="M177" s="2">
        <f>K212+M212-F212</f>
        <v>1157.8699999999953</v>
      </c>
    </row>
    <row r="178" spans="1:13" x14ac:dyDescent="0.25">
      <c r="A178" s="199" t="s">
        <v>1</v>
      </c>
      <c r="B178" s="199" t="s">
        <v>2</v>
      </c>
      <c r="C178" s="199" t="s">
        <v>4</v>
      </c>
      <c r="D178" s="200" t="s">
        <v>5</v>
      </c>
      <c r="E178" s="200" t="s">
        <v>94</v>
      </c>
      <c r="F178" s="200" t="s">
        <v>60</v>
      </c>
      <c r="G178" s="199" t="s">
        <v>3</v>
      </c>
      <c r="H178" s="199" t="s">
        <v>6</v>
      </c>
      <c r="I178" s="199" t="s">
        <v>7</v>
      </c>
      <c r="J178" s="199" t="s">
        <v>95</v>
      </c>
      <c r="K178" s="200" t="s">
        <v>61</v>
      </c>
      <c r="L178" s="199" t="s">
        <v>77</v>
      </c>
      <c r="M178" s="199" t="s">
        <v>38</v>
      </c>
    </row>
    <row r="179" spans="1:13" x14ac:dyDescent="0.25">
      <c r="A179" s="201" t="s">
        <v>209</v>
      </c>
      <c r="B179" s="202">
        <v>42516</v>
      </c>
      <c r="C179" s="197">
        <v>20</v>
      </c>
      <c r="D179" s="198">
        <v>96.2</v>
      </c>
      <c r="E179" s="198">
        <v>0</v>
      </c>
      <c r="F179" s="198">
        <f t="shared" ref="F179:F184" si="24">C179*D179 + E179</f>
        <v>1924</v>
      </c>
      <c r="G179" s="202">
        <v>42516</v>
      </c>
      <c r="H179" s="197">
        <v>20</v>
      </c>
      <c r="I179" s="198">
        <v>88.99</v>
      </c>
      <c r="J179" s="198">
        <v>0.04</v>
      </c>
      <c r="K179" s="198">
        <f t="shared" ref="K179:K184" si="25">H179*I179 - J179</f>
        <v>1779.76</v>
      </c>
      <c r="L179" s="202">
        <v>42608</v>
      </c>
      <c r="M179" s="197">
        <v>13</v>
      </c>
    </row>
    <row r="180" spans="1:13" x14ac:dyDescent="0.25">
      <c r="A180" s="204" t="s">
        <v>71</v>
      </c>
      <c r="B180" s="371">
        <v>42527</v>
      </c>
      <c r="C180" s="197">
        <v>25</v>
      </c>
      <c r="D180" s="198">
        <v>85.59</v>
      </c>
      <c r="E180" s="198">
        <v>0</v>
      </c>
      <c r="F180" s="198">
        <f t="shared" si="24"/>
        <v>2139.75</v>
      </c>
      <c r="G180" s="202">
        <v>42541</v>
      </c>
      <c r="H180" s="203">
        <v>25</v>
      </c>
      <c r="I180" s="198">
        <v>86.59</v>
      </c>
      <c r="J180" s="198">
        <v>0.05</v>
      </c>
      <c r="K180" s="198">
        <f t="shared" si="25"/>
        <v>2164.6999999999998</v>
      </c>
      <c r="L180" s="202">
        <v>42702</v>
      </c>
      <c r="M180" s="197">
        <v>7.8</v>
      </c>
    </row>
    <row r="181" spans="1:13" x14ac:dyDescent="0.25">
      <c r="A181" s="197"/>
      <c r="B181" s="371">
        <v>42535</v>
      </c>
      <c r="C181" s="197">
        <v>20</v>
      </c>
      <c r="D181" s="198">
        <v>82.75</v>
      </c>
      <c r="E181" s="198">
        <v>0</v>
      </c>
      <c r="F181" s="198">
        <f t="shared" si="24"/>
        <v>1655</v>
      </c>
      <c r="G181" s="202">
        <v>42552</v>
      </c>
      <c r="H181" s="203">
        <v>20</v>
      </c>
      <c r="I181" s="198">
        <v>83.98</v>
      </c>
      <c r="J181" s="198">
        <v>0.04</v>
      </c>
      <c r="K181" s="198">
        <f t="shared" si="25"/>
        <v>1679.5600000000002</v>
      </c>
      <c r="L181" s="197"/>
      <c r="M181" s="197"/>
    </row>
    <row r="182" spans="1:13" x14ac:dyDescent="0.25">
      <c r="A182" s="197"/>
      <c r="B182" s="202">
        <v>42535</v>
      </c>
      <c r="C182" s="197">
        <v>5</v>
      </c>
      <c r="D182" s="198">
        <v>82.75</v>
      </c>
      <c r="E182" s="198">
        <v>0</v>
      </c>
      <c r="F182" s="198">
        <f t="shared" si="24"/>
        <v>413.75</v>
      </c>
      <c r="G182" s="202">
        <v>42569</v>
      </c>
      <c r="H182" s="203">
        <v>5</v>
      </c>
      <c r="I182" s="198">
        <v>92</v>
      </c>
      <c r="J182" s="198">
        <v>0.01</v>
      </c>
      <c r="K182" s="198">
        <f t="shared" si="25"/>
        <v>459.99</v>
      </c>
      <c r="L182" s="197"/>
      <c r="M182" s="197"/>
    </row>
    <row r="183" spans="1:13" x14ac:dyDescent="0.25">
      <c r="A183" s="197"/>
      <c r="B183" s="202">
        <v>42548</v>
      </c>
      <c r="C183" s="197">
        <v>20</v>
      </c>
      <c r="D183" s="198">
        <v>78.48</v>
      </c>
      <c r="E183" s="198">
        <v>0</v>
      </c>
      <c r="F183" s="198">
        <f t="shared" si="24"/>
        <v>1569.6000000000001</v>
      </c>
      <c r="G183" s="202">
        <v>42580</v>
      </c>
      <c r="H183" s="203">
        <v>20</v>
      </c>
      <c r="I183" s="198">
        <v>87.72</v>
      </c>
      <c r="J183" s="198">
        <v>0.04</v>
      </c>
      <c r="K183" s="198">
        <f t="shared" si="25"/>
        <v>1754.3600000000001</v>
      </c>
      <c r="L183" s="197"/>
      <c r="M183" s="197"/>
    </row>
    <row r="184" spans="1:13" x14ac:dyDescent="0.25">
      <c r="A184" s="197"/>
      <c r="B184" s="202">
        <v>42548</v>
      </c>
      <c r="C184" s="197">
        <v>30</v>
      </c>
      <c r="D184" s="198">
        <v>78.48</v>
      </c>
      <c r="E184" s="198">
        <v>0</v>
      </c>
      <c r="F184" s="198">
        <f t="shared" si="24"/>
        <v>2354.4</v>
      </c>
      <c r="G184" s="202">
        <v>42580</v>
      </c>
      <c r="H184" s="203">
        <v>30</v>
      </c>
      <c r="I184" s="198">
        <v>87.97</v>
      </c>
      <c r="J184" s="198">
        <v>-0.02</v>
      </c>
      <c r="K184" s="198">
        <f t="shared" si="25"/>
        <v>2639.12</v>
      </c>
      <c r="L184" s="197"/>
      <c r="M184" s="197"/>
    </row>
    <row r="185" spans="1:13" x14ac:dyDescent="0.25">
      <c r="A185" s="197"/>
      <c r="B185" s="202">
        <v>42608</v>
      </c>
      <c r="C185" s="197">
        <v>25</v>
      </c>
      <c r="D185" s="198">
        <v>78.95</v>
      </c>
      <c r="E185" s="198">
        <v>0</v>
      </c>
      <c r="F185" s="198">
        <v>1973.75</v>
      </c>
      <c r="G185" s="202">
        <v>42648</v>
      </c>
      <c r="H185" s="203">
        <v>25</v>
      </c>
      <c r="I185" s="198">
        <v>78.959999999999994</v>
      </c>
      <c r="J185" s="198">
        <v>0.04</v>
      </c>
      <c r="K185" s="198">
        <v>1973.9599999999998</v>
      </c>
      <c r="L185" s="197"/>
      <c r="M185" s="197"/>
    </row>
    <row r="186" spans="1:13" x14ac:dyDescent="0.25">
      <c r="A186" s="197"/>
      <c r="B186" s="202">
        <v>42640</v>
      </c>
      <c r="C186" s="197">
        <v>30</v>
      </c>
      <c r="D186" s="198">
        <v>74.28</v>
      </c>
      <c r="E186" s="198">
        <v>0</v>
      </c>
      <c r="F186" s="198">
        <v>2228.4</v>
      </c>
      <c r="G186" s="202">
        <v>42671</v>
      </c>
      <c r="H186" s="203">
        <v>30</v>
      </c>
      <c r="I186" s="198">
        <v>82.08</v>
      </c>
      <c r="J186" s="198">
        <v>0.05</v>
      </c>
      <c r="K186" s="198">
        <v>2462.35</v>
      </c>
      <c r="L186" s="197"/>
      <c r="M186" s="197"/>
    </row>
    <row r="187" spans="1:13" x14ac:dyDescent="0.25">
      <c r="A187" s="197"/>
      <c r="B187" s="202"/>
      <c r="C187" s="197"/>
      <c r="D187" s="198"/>
      <c r="E187" s="198"/>
      <c r="F187" s="198"/>
      <c r="G187" s="202"/>
      <c r="H187" s="203"/>
      <c r="I187" s="197"/>
      <c r="J187" s="197"/>
      <c r="K187" s="198"/>
      <c r="L187" s="197"/>
      <c r="M187" s="197"/>
    </row>
    <row r="188" spans="1:13" x14ac:dyDescent="0.25">
      <c r="A188" s="197"/>
      <c r="B188" s="561">
        <v>42746</v>
      </c>
      <c r="C188" s="560">
        <v>30</v>
      </c>
      <c r="D188" s="562">
        <v>81.81</v>
      </c>
      <c r="E188" s="562">
        <v>0</v>
      </c>
      <c r="F188" s="562">
        <f t="shared" ref="F188:F203" si="26">C188*D188+E188</f>
        <v>2454.3000000000002</v>
      </c>
      <c r="G188" s="561">
        <v>42746</v>
      </c>
      <c r="H188" s="560">
        <v>30</v>
      </c>
      <c r="I188" s="562">
        <v>81.599999999999994</v>
      </c>
      <c r="J188" s="562">
        <v>0.05</v>
      </c>
      <c r="K188" s="562">
        <f t="shared" ref="K188:K196" si="27">H188*I188-J188</f>
        <v>2447.9499999999998</v>
      </c>
      <c r="L188" s="561">
        <v>42794</v>
      </c>
      <c r="M188" s="562">
        <v>13</v>
      </c>
    </row>
    <row r="189" spans="1:13" x14ac:dyDescent="0.25">
      <c r="A189" s="197"/>
      <c r="B189" s="648">
        <v>42748</v>
      </c>
      <c r="C189" s="560">
        <v>20</v>
      </c>
      <c r="D189" s="562">
        <v>80.010000000000005</v>
      </c>
      <c r="E189" s="562">
        <v>0</v>
      </c>
      <c r="F189" s="562">
        <f t="shared" si="26"/>
        <v>1600.2</v>
      </c>
      <c r="G189" s="561">
        <v>42803</v>
      </c>
      <c r="H189" s="649">
        <v>100</v>
      </c>
      <c r="I189" s="562">
        <v>69.58</v>
      </c>
      <c r="J189" s="562">
        <v>0.15</v>
      </c>
      <c r="K189" s="562">
        <f t="shared" si="27"/>
        <v>6957.85</v>
      </c>
      <c r="L189" s="561">
        <v>42887</v>
      </c>
      <c r="M189" s="562">
        <v>62</v>
      </c>
    </row>
    <row r="190" spans="1:13" x14ac:dyDescent="0.25">
      <c r="A190" s="197"/>
      <c r="B190" s="648">
        <v>42754</v>
      </c>
      <c r="C190" s="560">
        <v>30</v>
      </c>
      <c r="D190" s="562">
        <v>80.88</v>
      </c>
      <c r="E190" s="562">
        <v>0</v>
      </c>
      <c r="F190" s="562">
        <f t="shared" si="26"/>
        <v>2426.3999999999996</v>
      </c>
      <c r="G190" s="561">
        <v>42804</v>
      </c>
      <c r="H190" s="649">
        <v>25</v>
      </c>
      <c r="I190" s="562">
        <v>72.58</v>
      </c>
      <c r="J190" s="562">
        <v>0.04</v>
      </c>
      <c r="K190" s="562">
        <f t="shared" si="27"/>
        <v>1814.46</v>
      </c>
      <c r="L190" s="561">
        <v>42978</v>
      </c>
      <c r="M190" s="562">
        <v>77.5</v>
      </c>
    </row>
    <row r="191" spans="1:13" x14ac:dyDescent="0.25">
      <c r="A191" s="197"/>
      <c r="B191" s="561">
        <v>42766</v>
      </c>
      <c r="C191" s="560">
        <v>25</v>
      </c>
      <c r="D191" s="562">
        <v>77</v>
      </c>
      <c r="E191" s="562">
        <v>0</v>
      </c>
      <c r="F191" s="562">
        <f t="shared" si="26"/>
        <v>1925</v>
      </c>
      <c r="G191" s="561">
        <v>42894</v>
      </c>
      <c r="H191" s="649">
        <v>50</v>
      </c>
      <c r="I191" s="562">
        <v>57</v>
      </c>
      <c r="J191" s="562">
        <v>0.06</v>
      </c>
      <c r="K191" s="562">
        <f t="shared" si="27"/>
        <v>2849.94</v>
      </c>
      <c r="L191" s="560"/>
      <c r="M191" s="560"/>
    </row>
    <row r="192" spans="1:13" x14ac:dyDescent="0.25">
      <c r="A192" s="197"/>
      <c r="B192" s="561">
        <v>42772</v>
      </c>
      <c r="C192" s="560">
        <v>25</v>
      </c>
      <c r="D192" s="562">
        <v>75.25</v>
      </c>
      <c r="E192" s="562">
        <v>0</v>
      </c>
      <c r="F192" s="562">
        <f t="shared" si="26"/>
        <v>1881.25</v>
      </c>
      <c r="G192" s="561">
        <v>42915</v>
      </c>
      <c r="H192" s="649">
        <v>100</v>
      </c>
      <c r="I192" s="562">
        <v>64.28</v>
      </c>
      <c r="J192" s="562">
        <v>0.15</v>
      </c>
      <c r="K192" s="562">
        <f t="shared" si="27"/>
        <v>6427.85</v>
      </c>
      <c r="L192" s="560"/>
      <c r="M192" s="560"/>
    </row>
    <row r="193" spans="1:13" x14ac:dyDescent="0.25">
      <c r="A193" s="197"/>
      <c r="B193" s="561">
        <v>42773</v>
      </c>
      <c r="C193" s="560">
        <v>25</v>
      </c>
      <c r="D193" s="562">
        <v>73.08</v>
      </c>
      <c r="E193" s="562">
        <v>0</v>
      </c>
      <c r="F193" s="562">
        <f t="shared" si="26"/>
        <v>1827</v>
      </c>
      <c r="G193" s="561">
        <v>42972</v>
      </c>
      <c r="H193" s="649">
        <v>100</v>
      </c>
      <c r="I193" s="562">
        <v>64</v>
      </c>
      <c r="J193" s="562">
        <v>0.15</v>
      </c>
      <c r="K193" s="562">
        <f t="shared" si="27"/>
        <v>6399.85</v>
      </c>
      <c r="L193" s="560"/>
      <c r="M193" s="560"/>
    </row>
    <row r="194" spans="1:13" x14ac:dyDescent="0.25">
      <c r="A194" s="197"/>
      <c r="B194" s="561">
        <v>42794</v>
      </c>
      <c r="C194" s="560">
        <v>50</v>
      </c>
      <c r="D194" s="562">
        <v>69.05</v>
      </c>
      <c r="E194" s="562">
        <v>0</v>
      </c>
      <c r="F194" s="562">
        <f t="shared" si="26"/>
        <v>3452.5</v>
      </c>
      <c r="G194" s="561">
        <v>42984</v>
      </c>
      <c r="H194" s="649">
        <v>150</v>
      </c>
      <c r="I194" s="562">
        <v>65.38</v>
      </c>
      <c r="J194" s="562">
        <v>0.23</v>
      </c>
      <c r="K194" s="562">
        <f t="shared" si="27"/>
        <v>9806.77</v>
      </c>
      <c r="L194" s="560"/>
      <c r="M194" s="560"/>
    </row>
    <row r="195" spans="1:13" x14ac:dyDescent="0.25">
      <c r="A195" s="197"/>
      <c r="B195" s="561">
        <v>42794</v>
      </c>
      <c r="C195" s="560">
        <v>50</v>
      </c>
      <c r="D195" s="562">
        <v>68.77</v>
      </c>
      <c r="E195" s="562">
        <v>0</v>
      </c>
      <c r="F195" s="562">
        <f t="shared" si="26"/>
        <v>3438.5</v>
      </c>
      <c r="G195" s="561">
        <v>42989</v>
      </c>
      <c r="H195" s="649">
        <v>100</v>
      </c>
      <c r="I195" s="562">
        <v>66.78</v>
      </c>
      <c r="J195" s="562">
        <v>0.15</v>
      </c>
      <c r="K195" s="562">
        <f t="shared" si="27"/>
        <v>6677.85</v>
      </c>
      <c r="L195" s="560"/>
      <c r="M195" s="560"/>
    </row>
    <row r="196" spans="1:13" x14ac:dyDescent="0.25">
      <c r="A196" s="197"/>
      <c r="B196" s="561">
        <v>42794</v>
      </c>
      <c r="C196" s="560">
        <v>50</v>
      </c>
      <c r="D196" s="562">
        <v>65.38</v>
      </c>
      <c r="E196" s="562">
        <v>0</v>
      </c>
      <c r="F196" s="562">
        <f t="shared" si="26"/>
        <v>3269</v>
      </c>
      <c r="G196" s="561">
        <v>43005</v>
      </c>
      <c r="H196" s="649">
        <v>100</v>
      </c>
      <c r="I196" s="562">
        <v>66.48</v>
      </c>
      <c r="J196" s="562">
        <v>0.15</v>
      </c>
      <c r="K196" s="562">
        <f t="shared" si="27"/>
        <v>6647.85</v>
      </c>
      <c r="L196" s="560"/>
      <c r="M196" s="560"/>
    </row>
    <row r="197" spans="1:13" x14ac:dyDescent="0.25">
      <c r="A197" s="197"/>
      <c r="B197" s="561">
        <v>42794</v>
      </c>
      <c r="C197" s="560">
        <v>25</v>
      </c>
      <c r="D197" s="562">
        <v>63.28</v>
      </c>
      <c r="E197" s="562">
        <v>0</v>
      </c>
      <c r="F197" s="562">
        <f t="shared" si="26"/>
        <v>1582</v>
      </c>
      <c r="G197" s="561"/>
      <c r="H197" s="649"/>
      <c r="I197" s="560"/>
      <c r="J197" s="560"/>
      <c r="K197" s="562"/>
      <c r="L197" s="560"/>
      <c r="M197" s="560"/>
    </row>
    <row r="198" spans="1:13" x14ac:dyDescent="0.25">
      <c r="A198" s="197"/>
      <c r="B198" s="561">
        <v>42808</v>
      </c>
      <c r="C198" s="560">
        <v>25</v>
      </c>
      <c r="D198" s="562">
        <v>67.88</v>
      </c>
      <c r="E198" s="562">
        <v>0</v>
      </c>
      <c r="F198" s="562">
        <f t="shared" si="26"/>
        <v>1697</v>
      </c>
      <c r="G198" s="561"/>
      <c r="H198" s="649"/>
      <c r="I198" s="560"/>
      <c r="J198" s="560"/>
      <c r="K198" s="562"/>
      <c r="L198" s="560"/>
      <c r="M198" s="560"/>
    </row>
    <row r="199" spans="1:13" x14ac:dyDescent="0.25">
      <c r="A199" s="197"/>
      <c r="B199" s="561">
        <v>42865</v>
      </c>
      <c r="C199" s="560">
        <v>100</v>
      </c>
      <c r="D199" s="562">
        <v>63.85</v>
      </c>
      <c r="E199" s="562">
        <v>0</v>
      </c>
      <c r="F199" s="562">
        <f t="shared" si="26"/>
        <v>6385</v>
      </c>
      <c r="G199" s="561"/>
      <c r="H199" s="649"/>
      <c r="I199" s="562"/>
      <c r="J199" s="560"/>
      <c r="K199" s="562"/>
      <c r="L199" s="560"/>
      <c r="M199" s="560"/>
    </row>
    <row r="200" spans="1:13" x14ac:dyDescent="0.25">
      <c r="A200" s="197"/>
      <c r="B200" s="561">
        <v>42866</v>
      </c>
      <c r="C200" s="560">
        <v>50</v>
      </c>
      <c r="D200" s="562">
        <v>61.1</v>
      </c>
      <c r="E200" s="562">
        <v>-0.2</v>
      </c>
      <c r="F200" s="562">
        <f t="shared" si="26"/>
        <v>3054.8</v>
      </c>
      <c r="G200" s="561"/>
      <c r="H200" s="649"/>
      <c r="I200" s="560"/>
      <c r="J200" s="560"/>
      <c r="K200" s="562"/>
      <c r="L200" s="560"/>
      <c r="M200" s="560"/>
    </row>
    <row r="201" spans="1:13" x14ac:dyDescent="0.25">
      <c r="A201" s="197"/>
      <c r="B201" s="561">
        <v>42879</v>
      </c>
      <c r="C201" s="560">
        <v>50</v>
      </c>
      <c r="D201" s="562">
        <v>53.3</v>
      </c>
      <c r="E201" s="562">
        <v>0</v>
      </c>
      <c r="F201" s="562">
        <f t="shared" si="26"/>
        <v>2665</v>
      </c>
      <c r="G201" s="561"/>
      <c r="H201" s="649"/>
      <c r="I201" s="560"/>
      <c r="J201" s="560"/>
      <c r="K201" s="562"/>
      <c r="L201" s="560"/>
      <c r="M201" s="560"/>
    </row>
    <row r="202" spans="1:13" x14ac:dyDescent="0.25">
      <c r="A202" s="197"/>
      <c r="B202" s="561">
        <v>42949</v>
      </c>
      <c r="C202" s="560">
        <v>50</v>
      </c>
      <c r="D202" s="562">
        <v>59.32</v>
      </c>
      <c r="E202" s="562">
        <v>0</v>
      </c>
      <c r="F202" s="562">
        <f t="shared" si="26"/>
        <v>2966</v>
      </c>
      <c r="G202" s="561"/>
      <c r="H202" s="649"/>
      <c r="I202" s="560"/>
      <c r="J202" s="560"/>
      <c r="K202" s="562"/>
      <c r="L202" s="560"/>
      <c r="M202" s="560"/>
    </row>
    <row r="203" spans="1:13" x14ac:dyDescent="0.25">
      <c r="A203" s="197"/>
      <c r="B203" s="561">
        <v>42957</v>
      </c>
      <c r="C203" s="560">
        <v>50</v>
      </c>
      <c r="D203" s="562">
        <v>55.78</v>
      </c>
      <c r="E203" s="562">
        <v>0</v>
      </c>
      <c r="F203" s="562">
        <f t="shared" si="26"/>
        <v>2789</v>
      </c>
      <c r="G203" s="560"/>
      <c r="H203" s="560"/>
      <c r="I203" s="560"/>
      <c r="J203" s="560"/>
      <c r="K203" s="562"/>
      <c r="L203" s="560"/>
      <c r="M203" s="560"/>
    </row>
    <row r="204" spans="1:13" x14ac:dyDescent="0.25">
      <c r="A204" s="197"/>
      <c r="B204" s="561">
        <v>42972</v>
      </c>
      <c r="C204" s="560">
        <v>100</v>
      </c>
      <c r="D204" s="562">
        <v>62.88</v>
      </c>
      <c r="E204" s="562">
        <v>0</v>
      </c>
      <c r="F204" s="562">
        <f>C204*D204+E204</f>
        <v>6288</v>
      </c>
      <c r="G204" s="561"/>
      <c r="H204" s="649"/>
      <c r="I204" s="560"/>
      <c r="J204" s="560"/>
      <c r="K204" s="562"/>
      <c r="L204" s="560"/>
      <c r="M204" s="560"/>
    </row>
    <row r="205" spans="1:13" x14ac:dyDescent="0.25">
      <c r="A205" s="197"/>
      <c r="B205" s="202"/>
      <c r="C205" s="197"/>
      <c r="D205" s="198"/>
      <c r="E205" s="198"/>
      <c r="F205" s="198"/>
      <c r="G205" s="202"/>
      <c r="H205" s="203"/>
      <c r="I205" s="198"/>
      <c r="J205" s="197"/>
      <c r="K205" s="198"/>
      <c r="L205" s="197"/>
      <c r="M205" s="197"/>
    </row>
    <row r="206" spans="1:13" x14ac:dyDescent="0.25">
      <c r="A206" s="197"/>
      <c r="B206" s="202"/>
      <c r="C206" s="197"/>
      <c r="D206" s="198"/>
      <c r="E206" s="198"/>
      <c r="F206" s="198"/>
      <c r="G206" s="202"/>
      <c r="H206" s="203"/>
      <c r="I206" s="197"/>
      <c r="J206" s="197"/>
      <c r="K206" s="198"/>
      <c r="L206" s="197"/>
      <c r="M206" s="197"/>
    </row>
    <row r="207" spans="1:13" x14ac:dyDescent="0.25">
      <c r="A207" s="197"/>
      <c r="B207" s="197"/>
      <c r="C207" s="197"/>
      <c r="D207" s="198"/>
      <c r="E207" s="198"/>
      <c r="F207" s="198"/>
      <c r="G207" s="202"/>
      <c r="H207" s="203"/>
      <c r="I207" s="197"/>
      <c r="J207" s="197"/>
      <c r="K207" s="198"/>
      <c r="L207" s="197"/>
      <c r="M207" s="197"/>
    </row>
    <row r="208" spans="1:13" x14ac:dyDescent="0.25">
      <c r="A208" s="197"/>
      <c r="B208" s="202"/>
      <c r="C208" s="197"/>
      <c r="D208" s="198"/>
      <c r="E208" s="198"/>
      <c r="F208" s="198"/>
      <c r="G208" s="202"/>
      <c r="H208" s="203"/>
      <c r="I208" s="198"/>
      <c r="J208" s="197"/>
      <c r="K208" s="198"/>
      <c r="L208" s="197"/>
      <c r="M208" s="197"/>
    </row>
    <row r="209" spans="1:13" x14ac:dyDescent="0.25">
      <c r="A209" s="197"/>
      <c r="B209" s="202"/>
      <c r="C209" s="197"/>
      <c r="D209" s="198"/>
      <c r="E209" s="198"/>
      <c r="F209" s="198"/>
      <c r="G209" s="202"/>
      <c r="H209" s="203"/>
      <c r="I209" s="197"/>
      <c r="J209" s="197"/>
      <c r="K209" s="198"/>
      <c r="L209" s="197"/>
      <c r="M209" s="197"/>
    </row>
    <row r="210" spans="1:13" x14ac:dyDescent="0.25">
      <c r="A210" s="197"/>
      <c r="B210" s="197"/>
      <c r="C210" s="197"/>
      <c r="D210" s="198"/>
      <c r="E210" s="198"/>
      <c r="F210" s="198"/>
      <c r="G210" s="202"/>
      <c r="H210" s="203"/>
      <c r="I210" s="197"/>
      <c r="J210" s="197"/>
      <c r="K210" s="198"/>
      <c r="L210" s="197"/>
      <c r="M210" s="197"/>
    </row>
    <row r="211" spans="1:13" x14ac:dyDescent="0.25">
      <c r="A211" s="197"/>
      <c r="B211" s="197"/>
      <c r="C211" s="197"/>
      <c r="D211" s="198"/>
      <c r="E211" s="198"/>
      <c r="F211" s="198"/>
      <c r="G211" s="202"/>
      <c r="H211" s="203"/>
      <c r="I211" s="197"/>
      <c r="J211" s="197"/>
      <c r="K211" s="198"/>
      <c r="L211" s="197"/>
      <c r="M211" s="197"/>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73" t="s">
        <v>191</v>
      </c>
      <c r="B213" s="374"/>
      <c r="C213" s="375">
        <f>SumByColor($A$23,C179:C211)</f>
        <v>0</v>
      </c>
      <c r="D213" s="375"/>
      <c r="E213" s="375"/>
      <c r="F213" s="376">
        <f>SumByColor($A$23,F179:F211)</f>
        <v>0</v>
      </c>
      <c r="G213" s="375"/>
      <c r="H213" s="375">
        <f>SumByColor($A$23,H179:H211)</f>
        <v>0</v>
      </c>
      <c r="I213" s="375"/>
      <c r="J213" s="375"/>
      <c r="K213" s="376">
        <f>SumByColor($A$23,K179:K211)</f>
        <v>0</v>
      </c>
      <c r="L213" s="375"/>
      <c r="M213" s="376">
        <f>SumByColor($A$23,M179:M211)</f>
        <v>0</v>
      </c>
    </row>
  </sheetData>
  <conditionalFormatting sqref="N23">
    <cfRule type="expression" dxfId="3710" priority="64">
      <formula>N23&gt;0</formula>
    </cfRule>
    <cfRule type="expression" dxfId="3709"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3708" priority="58">
      <formula>F79&gt;0</formula>
    </cfRule>
    <cfRule type="expression" dxfId="3707" priority="59">
      <formula>F79&lt;0</formula>
    </cfRule>
  </conditionalFormatting>
  <conditionalFormatting sqref="H79:H97 H101:H118">
    <cfRule type="expression" dxfId="3706" priority="56">
      <formula>H79&gt;0</formula>
    </cfRule>
    <cfRule type="expression" dxfId="3705" priority="57">
      <formula>H79&lt;0</formula>
    </cfRule>
  </conditionalFormatting>
  <conditionalFormatting sqref="I75:I97 I100:I118">
    <cfRule type="expression" dxfId="3704" priority="54">
      <formula>I75&gt;0</formula>
    </cfRule>
    <cfRule type="expression" dxfId="3703" priority="55">
      <formula>I75&lt;0</formula>
    </cfRule>
  </conditionalFormatting>
  <conditionalFormatting sqref="Q7">
    <cfRule type="expression" dxfId="3702" priority="52">
      <formula>Q7&gt;0</formula>
    </cfRule>
    <cfRule type="expression" dxfId="3701" priority="53">
      <formula>Q7&lt;0</formula>
    </cfRule>
  </conditionalFormatting>
  <conditionalFormatting sqref="Q8">
    <cfRule type="expression" dxfId="3700" priority="50">
      <formula>Q8&gt;0</formula>
    </cfRule>
    <cfRule type="expression" dxfId="3699" priority="51">
      <formula>Q8&lt;0</formula>
    </cfRule>
  </conditionalFormatting>
  <conditionalFormatting sqref="F75:F78">
    <cfRule type="expression" dxfId="3698" priority="48">
      <formula>F75&gt;0</formula>
    </cfRule>
    <cfRule type="expression" dxfId="3697" priority="49">
      <formula>F75&lt;0</formula>
    </cfRule>
  </conditionalFormatting>
  <conditionalFormatting sqref="H75:H78">
    <cfRule type="expression" dxfId="3696" priority="46">
      <formula>H75&gt;0</formula>
    </cfRule>
    <cfRule type="expression" dxfId="3695" priority="47">
      <formula>H75&lt;0</formula>
    </cfRule>
  </conditionalFormatting>
  <conditionalFormatting sqref="F100:F114">
    <cfRule type="expression" dxfId="3694" priority="40">
      <formula>F100&gt;0</formula>
    </cfRule>
    <cfRule type="expression" dxfId="3693" priority="41">
      <formula>F100&lt;0</formula>
    </cfRule>
  </conditionalFormatting>
  <conditionalFormatting sqref="H100:H114">
    <cfRule type="expression" dxfId="3692" priority="38">
      <formula>H100&gt;0</formula>
    </cfRule>
    <cfRule type="expression" dxfId="3691" priority="39">
      <formula>H100&lt;0</formula>
    </cfRule>
  </conditionalFormatting>
  <conditionalFormatting sqref="F29:F67">
    <cfRule type="expression" dxfId="3690" priority="36">
      <formula>F29&gt;0</formula>
    </cfRule>
    <cfRule type="expression" dxfId="3689" priority="37">
      <formula>F29&lt;0</formula>
    </cfRule>
  </conditionalFormatting>
  <conditionalFormatting sqref="H29:H63">
    <cfRule type="expression" dxfId="3688" priority="34">
      <formula>H29&gt;0</formula>
    </cfRule>
    <cfRule type="expression" dxfId="3687" priority="35">
      <formula>H29&lt;0</formula>
    </cfRule>
  </conditionalFormatting>
  <conditionalFormatting sqref="J38:J68">
    <cfRule type="expression" dxfId="3686" priority="32">
      <formula>J38&gt;0</formula>
    </cfRule>
    <cfRule type="expression" dxfId="3685" priority="33">
      <formula>J38&lt;0</formula>
    </cfRule>
  </conditionalFormatting>
  <conditionalFormatting sqref="J43">
    <cfRule type="expression" dxfId="3684" priority="30">
      <formula>J43&gt;0</formula>
    </cfRule>
    <cfRule type="expression" dxfId="3683" priority="31">
      <formula>J43&lt;0</formula>
    </cfRule>
  </conditionalFormatting>
  <conditionalFormatting sqref="Q9">
    <cfRule type="expression" dxfId="3682" priority="24">
      <formula>Q9&gt;0</formula>
    </cfRule>
    <cfRule type="expression" dxfId="3681" priority="25">
      <formula>Q9&lt;0</formula>
    </cfRule>
  </conditionalFormatting>
  <conditionalFormatting sqref="R4">
    <cfRule type="expression" dxfId="3680" priority="26">
      <formula>R4&gt;0</formula>
    </cfRule>
    <cfRule type="expression" dxfId="3679"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3678" priority="21">
      <formula>F120&gt;0</formula>
    </cfRule>
    <cfRule type="expression" dxfId="3677" priority="22">
      <formula>F120&lt;0</formula>
    </cfRule>
  </conditionalFormatting>
  <conditionalFormatting sqref="H120:H160">
    <cfRule type="expression" dxfId="3676" priority="19">
      <formula>H120&gt;0</formula>
    </cfRule>
    <cfRule type="expression" dxfId="3675" priority="20">
      <formula>H120&lt;0</formula>
    </cfRule>
  </conditionalFormatting>
  <conditionalFormatting sqref="J129:J160">
    <cfRule type="expression" dxfId="3674" priority="17">
      <formula>J129&gt;0</formula>
    </cfRule>
    <cfRule type="expression" dxfId="3673" priority="18">
      <formula>J129&lt;0</formula>
    </cfRule>
  </conditionalFormatting>
  <conditionalFormatting sqref="J134">
    <cfRule type="expression" dxfId="3672" priority="15">
      <formula>J134&gt;0</formula>
    </cfRule>
    <cfRule type="expression" dxfId="3671" priority="16">
      <formula>J134&lt;0</formula>
    </cfRule>
  </conditionalFormatting>
  <conditionalFormatting sqref="J31:J40">
    <cfRule type="expression" dxfId="3670" priority="13">
      <formula>J31&gt;0</formula>
    </cfRule>
    <cfRule type="expression" dxfId="3669" priority="14">
      <formula>J31&lt;0</formula>
    </cfRule>
  </conditionalFormatting>
  <conditionalFormatting sqref="J36:J37">
    <cfRule type="expression" dxfId="3668" priority="11">
      <formula>J36&gt;0</formula>
    </cfRule>
    <cfRule type="expression" dxfId="3667" priority="12">
      <formula>J36&lt;0</formula>
    </cfRule>
  </conditionalFormatting>
  <conditionalFormatting sqref="Q10">
    <cfRule type="expression" dxfId="3666" priority="9">
      <formula>Q10&gt;0</formula>
    </cfRule>
    <cfRule type="expression" dxfId="3665" priority="10">
      <formula>Q10&lt;0</formula>
    </cfRule>
  </conditionalFormatting>
  <conditionalFormatting sqref="K38:K55 K57:K68">
    <cfRule type="expression" dxfId="3664" priority="7">
      <formula>K38&gt;0</formula>
    </cfRule>
    <cfRule type="expression" dxfId="3663" priority="8">
      <formula>K38&lt;0</formula>
    </cfRule>
  </conditionalFormatting>
  <conditionalFormatting sqref="K43">
    <cfRule type="expression" dxfId="3662" priority="5">
      <formula>K43&gt;0</formula>
    </cfRule>
    <cfRule type="expression" dxfId="3661" priority="6">
      <formula>K43&lt;0</formula>
    </cfRule>
  </conditionalFormatting>
  <conditionalFormatting sqref="K31:K40">
    <cfRule type="expression" dxfId="3660" priority="3">
      <formula>K31&gt;0</formula>
    </cfRule>
    <cfRule type="expression" dxfId="3659" priority="4">
      <formula>K31&lt;0</formula>
    </cfRule>
  </conditionalFormatting>
  <conditionalFormatting sqref="K36:K37">
    <cfRule type="expression" dxfId="3658" priority="1">
      <formula>K36&gt;0</formula>
    </cfRule>
    <cfRule type="expression" dxfId="3657"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1196</v>
      </c>
      <c r="B2" s="368">
        <v>43313</v>
      </c>
      <c r="C2" s="7">
        <v>50</v>
      </c>
      <c r="D2" s="43">
        <v>79.98</v>
      </c>
      <c r="E2" s="43">
        <v>0</v>
      </c>
      <c r="F2" s="43">
        <f t="shared" ref="F2:F9" si="0">C2*D2+E2</f>
        <v>3999</v>
      </c>
      <c r="G2" s="368">
        <v>43363</v>
      </c>
      <c r="H2" s="7">
        <v>50</v>
      </c>
      <c r="I2" s="43">
        <v>90.9</v>
      </c>
      <c r="J2" s="43">
        <v>0.06</v>
      </c>
      <c r="K2" s="43">
        <f t="shared" ref="K2:K8" si="1">H2*I2-J2</f>
        <v>4544.9399999999996</v>
      </c>
      <c r="L2" s="72">
        <v>43347</v>
      </c>
      <c r="M2" s="43">
        <v>19</v>
      </c>
      <c r="O2" s="11" t="s">
        <v>57</v>
      </c>
      <c r="Q2">
        <f>C18-H18</f>
        <v>150</v>
      </c>
      <c r="T2" s="1"/>
      <c r="U2" t="s">
        <v>1271</v>
      </c>
    </row>
    <row r="3" spans="1:21" x14ac:dyDescent="0.25">
      <c r="A3" s="22" t="s">
        <v>71</v>
      </c>
      <c r="B3" s="368">
        <v>43354</v>
      </c>
      <c r="C3" s="7">
        <v>50</v>
      </c>
      <c r="D3" s="43">
        <v>84.68</v>
      </c>
      <c r="E3" s="43">
        <v>0</v>
      </c>
      <c r="F3" s="43">
        <f t="shared" si="0"/>
        <v>4234</v>
      </c>
      <c r="G3" s="368">
        <v>43388</v>
      </c>
      <c r="H3" s="80">
        <v>50</v>
      </c>
      <c r="I3" s="43">
        <v>90.29</v>
      </c>
      <c r="J3" s="43">
        <v>0.06</v>
      </c>
      <c r="K3" s="43">
        <f t="shared" si="1"/>
        <v>4514.4399999999996</v>
      </c>
      <c r="L3" s="72">
        <v>43437</v>
      </c>
      <c r="M3" s="43">
        <v>20</v>
      </c>
      <c r="O3" s="11" t="s">
        <v>58</v>
      </c>
      <c r="Q3" s="178">
        <f>IF(Q2=0, Q4, (F18-K18-M18)/Q2)</f>
        <v>69.999000000000009</v>
      </c>
      <c r="T3" s="1"/>
      <c r="U3" t="s">
        <v>1356</v>
      </c>
    </row>
    <row r="4" spans="1:21" x14ac:dyDescent="0.25">
      <c r="B4" s="368">
        <v>43367</v>
      </c>
      <c r="C4" s="7">
        <v>50</v>
      </c>
      <c r="D4" s="43">
        <v>89.01</v>
      </c>
      <c r="E4" s="43">
        <v>0</v>
      </c>
      <c r="F4" s="43">
        <f t="shared" si="0"/>
        <v>4450.5</v>
      </c>
      <c r="G4" s="368">
        <v>43405</v>
      </c>
      <c r="H4" s="80">
        <v>50</v>
      </c>
      <c r="I4" s="43">
        <v>89.88</v>
      </c>
      <c r="J4" s="43">
        <v>0.06</v>
      </c>
      <c r="K4" s="43">
        <f t="shared" si="1"/>
        <v>4493.9399999999996</v>
      </c>
      <c r="L4" s="72">
        <v>43528</v>
      </c>
      <c r="M4" s="43">
        <v>40</v>
      </c>
      <c r="O4" s="11" t="s">
        <v>66</v>
      </c>
      <c r="Q4" s="54">
        <v>77.27</v>
      </c>
      <c r="R4" s="425">
        <v>1.7100000000000001E-2</v>
      </c>
      <c r="T4" s="693"/>
      <c r="U4" s="30"/>
    </row>
    <row r="5" spans="1:21" x14ac:dyDescent="0.25">
      <c r="B5" s="368">
        <v>43397</v>
      </c>
      <c r="C5" s="7">
        <v>50</v>
      </c>
      <c r="D5" s="43">
        <v>87.8</v>
      </c>
      <c r="E5" s="43">
        <v>0</v>
      </c>
      <c r="F5" s="43">
        <f t="shared" si="0"/>
        <v>4390</v>
      </c>
      <c r="G5" s="368">
        <v>43496</v>
      </c>
      <c r="H5" s="80">
        <v>50</v>
      </c>
      <c r="I5" s="43">
        <v>85.8</v>
      </c>
      <c r="J5" s="43">
        <v>0.06</v>
      </c>
      <c r="K5" s="43">
        <f t="shared" si="1"/>
        <v>4289.9399999999996</v>
      </c>
      <c r="L5" s="4"/>
      <c r="M5" s="4"/>
      <c r="O5" s="11" t="s">
        <v>67</v>
      </c>
      <c r="Q5" s="3">
        <f>Q4*Q2</f>
        <v>11590.5</v>
      </c>
      <c r="U5" t="s">
        <v>1387</v>
      </c>
    </row>
    <row r="6" spans="1:21" x14ac:dyDescent="0.25">
      <c r="B6" s="368">
        <v>43440</v>
      </c>
      <c r="C6" s="7">
        <v>50</v>
      </c>
      <c r="D6" s="43">
        <v>84.28</v>
      </c>
      <c r="E6" s="43">
        <v>0</v>
      </c>
      <c r="F6" s="43">
        <f t="shared" si="0"/>
        <v>4214</v>
      </c>
      <c r="G6" s="368">
        <v>43516</v>
      </c>
      <c r="H6" s="80">
        <v>50</v>
      </c>
      <c r="I6" s="43">
        <v>86.61</v>
      </c>
      <c r="J6" s="43">
        <v>0.06</v>
      </c>
      <c r="K6" s="43">
        <f t="shared" si="1"/>
        <v>4330.4399999999996</v>
      </c>
      <c r="L6" s="4"/>
      <c r="M6" s="4"/>
      <c r="O6" s="11" t="s">
        <v>64</v>
      </c>
      <c r="Q6" s="2">
        <f>Q3*Q2</f>
        <v>10499.850000000002</v>
      </c>
      <c r="U6" t="s">
        <v>1388</v>
      </c>
    </row>
    <row r="7" spans="1:21" x14ac:dyDescent="0.25">
      <c r="B7" s="368">
        <v>43496</v>
      </c>
      <c r="C7" s="7">
        <v>50</v>
      </c>
      <c r="D7" s="43">
        <v>80.5</v>
      </c>
      <c r="E7" s="43">
        <v>0</v>
      </c>
      <c r="F7" s="43">
        <f t="shared" si="0"/>
        <v>4025</v>
      </c>
      <c r="G7" s="368">
        <v>43539</v>
      </c>
      <c r="H7" s="80">
        <v>50</v>
      </c>
      <c r="I7" s="43">
        <v>80.48</v>
      </c>
      <c r="J7" s="43">
        <v>0.05</v>
      </c>
      <c r="K7" s="43">
        <f t="shared" si="1"/>
        <v>4023.95</v>
      </c>
      <c r="L7" s="4"/>
      <c r="M7" s="4"/>
      <c r="O7" s="11" t="s">
        <v>177</v>
      </c>
      <c r="Q7" s="2">
        <f>Q10+Q8</f>
        <v>1090.6499999999978</v>
      </c>
      <c r="R7">
        <v>100</v>
      </c>
    </row>
    <row r="8" spans="1:21" x14ac:dyDescent="0.25">
      <c r="B8" s="72">
        <v>43531</v>
      </c>
      <c r="C8" s="4">
        <v>100</v>
      </c>
      <c r="D8" s="3">
        <v>76.2</v>
      </c>
      <c r="E8" s="3">
        <v>0</v>
      </c>
      <c r="F8" s="3">
        <f t="shared" si="0"/>
        <v>7620</v>
      </c>
      <c r="G8" s="4"/>
      <c r="H8" s="161"/>
      <c r="I8" s="3"/>
      <c r="J8" s="3"/>
      <c r="K8" s="3"/>
      <c r="L8" s="4"/>
      <c r="M8" s="4"/>
      <c r="O8" s="11" t="s">
        <v>179</v>
      </c>
      <c r="P8" s="33"/>
      <c r="Q8" s="2">
        <f>K18+M18-F18+Q2*Q4</f>
        <v>1090.6499999999978</v>
      </c>
    </row>
    <row r="9" spans="1:21" x14ac:dyDescent="0.25">
      <c r="B9" s="404">
        <v>43549</v>
      </c>
      <c r="C9" s="4">
        <v>50</v>
      </c>
      <c r="D9" s="3">
        <v>76.88</v>
      </c>
      <c r="E9" s="3">
        <v>0</v>
      </c>
      <c r="F9" s="3">
        <f t="shared" si="0"/>
        <v>3844</v>
      </c>
      <c r="G9" s="4"/>
      <c r="H9" s="161"/>
      <c r="I9" s="3"/>
      <c r="J9" s="3"/>
      <c r="K9" s="3"/>
      <c r="L9" s="4"/>
      <c r="M9" s="4"/>
      <c r="O9" s="11" t="s">
        <v>204</v>
      </c>
      <c r="Q9" s="134">
        <f>IF(Q2=0, 0, Q8/Q6)</f>
        <v>0.10387291247017792</v>
      </c>
      <c r="T9" s="1">
        <v>43537</v>
      </c>
      <c r="U9" t="s">
        <v>1386</v>
      </c>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1.9671282515853501E-2</v>
      </c>
      <c r="R11">
        <v>0.38</v>
      </c>
    </row>
    <row r="12" spans="1:21" x14ac:dyDescent="0.25">
      <c r="H12" s="70"/>
      <c r="O12" s="11" t="s">
        <v>82</v>
      </c>
      <c r="Q12" s="1" t="s">
        <v>1369</v>
      </c>
    </row>
    <row r="13" spans="1:21" x14ac:dyDescent="0.25">
      <c r="H13" s="70"/>
      <c r="O13" s="11" t="s">
        <v>947</v>
      </c>
      <c r="Q13" s="2">
        <f>Q4/6.49</f>
        <v>11.906009244992294</v>
      </c>
    </row>
    <row r="14" spans="1:21" x14ac:dyDescent="0.25">
      <c r="H14" s="70"/>
      <c r="O14" s="11" t="s">
        <v>1034</v>
      </c>
      <c r="Q14" s="1">
        <v>43359</v>
      </c>
    </row>
    <row r="15" spans="1:21" x14ac:dyDescent="0.25">
      <c r="H15" s="70"/>
    </row>
    <row r="16" spans="1:21" x14ac:dyDescent="0.25">
      <c r="H16" s="70"/>
    </row>
    <row r="18" spans="1:17" x14ac:dyDescent="0.25">
      <c r="A18" s="31" t="s">
        <v>81</v>
      </c>
      <c r="B18" s="14"/>
      <c r="C18" s="14">
        <f>SUM(C2:C9)</f>
        <v>450</v>
      </c>
      <c r="D18" s="18"/>
      <c r="E18" s="18"/>
      <c r="F18" s="18">
        <f>SUM(F2:F9)</f>
        <v>36776.5</v>
      </c>
      <c r="G18" s="14"/>
      <c r="H18" s="71">
        <f>SUM(H2:H8)</f>
        <v>300</v>
      </c>
      <c r="I18" s="18"/>
      <c r="J18" s="18"/>
      <c r="K18" s="18">
        <f>SUM(K2:K8)</f>
        <v>26197.649999999998</v>
      </c>
      <c r="L18" s="14"/>
      <c r="M18" s="18">
        <f>SUM(M2:M10)</f>
        <v>79</v>
      </c>
    </row>
    <row r="19" spans="1:17" ht="15.75" thickBot="1" x14ac:dyDescent="0.3">
      <c r="A19" s="277" t="s">
        <v>191</v>
      </c>
      <c r="B19" s="278"/>
      <c r="C19" s="279">
        <f>SumByColor($A$19,C2:C17)</f>
        <v>300</v>
      </c>
      <c r="D19" s="279"/>
      <c r="E19" s="279"/>
      <c r="F19" s="280">
        <f>SumByColor($A$19,F2:F17)</f>
        <v>25313</v>
      </c>
      <c r="G19" s="279"/>
      <c r="H19" s="279">
        <f>SumByColor($A$19,H2:H17)</f>
        <v>300</v>
      </c>
      <c r="I19" s="279"/>
      <c r="J19" s="279"/>
      <c r="K19" s="280">
        <f>SumByColor($A$19,K2:K17)</f>
        <v>26197</v>
      </c>
      <c r="L19" s="279"/>
      <c r="M19" s="280">
        <f>SumByColor($A$19,M2:M17)</f>
        <v>79</v>
      </c>
    </row>
    <row r="22" spans="1:17" ht="20.25" thickBot="1" x14ac:dyDescent="0.35">
      <c r="O22" s="767" t="s">
        <v>78</v>
      </c>
      <c r="P22" s="767"/>
    </row>
    <row r="23" spans="1:17" ht="15.75" thickTop="1" x14ac:dyDescent="0.25">
      <c r="O23" s="81">
        <v>1.1000000000000001</v>
      </c>
      <c r="P23" s="81">
        <f>O23*$Q$4</f>
        <v>84.997</v>
      </c>
      <c r="Q23" s="2"/>
    </row>
    <row r="24" spans="1:17"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2">O24*$Q$4</f>
        <v>84.224299999999999</v>
      </c>
      <c r="Q24" s="2"/>
    </row>
    <row r="25" spans="1:17" x14ac:dyDescent="0.25">
      <c r="B25" s="164">
        <v>43313</v>
      </c>
      <c r="C25" s="10">
        <v>50</v>
      </c>
      <c r="D25" s="39">
        <v>79.98</v>
      </c>
      <c r="E25" s="39">
        <v>79.489999999999995</v>
      </c>
      <c r="F25" s="39">
        <f t="shared" ref="F25:F30" si="3">C25*(E25-D25)</f>
        <v>-24.500000000000455</v>
      </c>
      <c r="G25" s="39">
        <f t="shared" ref="G25:G30" si="4">D25*C25</f>
        <v>3999</v>
      </c>
      <c r="H25" s="179">
        <f t="shared" ref="H25:H30" si="5">(E25-D25)/D25</f>
        <v>-6.1265316329083405E-3</v>
      </c>
      <c r="I25" s="39"/>
      <c r="J25" s="39"/>
      <c r="K25" s="39"/>
      <c r="L25" s="39"/>
      <c r="O25" s="81">
        <v>1.08</v>
      </c>
      <c r="P25" s="81">
        <f t="shared" si="2"/>
        <v>83.451599999999999</v>
      </c>
      <c r="Q25" s="2"/>
    </row>
    <row r="26" spans="1:17" x14ac:dyDescent="0.25">
      <c r="B26" s="164">
        <v>43316</v>
      </c>
      <c r="C26" s="10">
        <v>50</v>
      </c>
      <c r="D26" s="39">
        <v>79.98</v>
      </c>
      <c r="E26" s="39">
        <v>80.97</v>
      </c>
      <c r="F26" s="39">
        <f t="shared" si="3"/>
        <v>49.499999999999744</v>
      </c>
      <c r="G26" s="39">
        <f t="shared" si="4"/>
        <v>3999</v>
      </c>
      <c r="H26" s="179">
        <f t="shared" si="5"/>
        <v>1.2378094523630843E-2</v>
      </c>
      <c r="I26" s="39"/>
      <c r="J26" s="39"/>
      <c r="K26" s="39"/>
      <c r="L26" s="39"/>
      <c r="O26" s="81">
        <v>1.07</v>
      </c>
      <c r="P26" s="81">
        <f t="shared" si="2"/>
        <v>82.678899999999999</v>
      </c>
      <c r="Q26" s="2"/>
    </row>
    <row r="27" spans="1:17" x14ac:dyDescent="0.25">
      <c r="B27" s="164">
        <v>43326</v>
      </c>
      <c r="C27" s="10">
        <v>50</v>
      </c>
      <c r="D27" s="39">
        <v>79.98</v>
      </c>
      <c r="E27" s="39">
        <v>84.43</v>
      </c>
      <c r="F27" s="39">
        <f t="shared" si="3"/>
        <v>222.50000000000014</v>
      </c>
      <c r="G27" s="39">
        <f t="shared" si="4"/>
        <v>3999</v>
      </c>
      <c r="H27" s="179">
        <f t="shared" si="5"/>
        <v>5.5638909727431893E-2</v>
      </c>
      <c r="I27" s="39"/>
      <c r="J27" s="39"/>
      <c r="K27" s="39"/>
      <c r="L27" s="155"/>
      <c r="O27" s="81">
        <v>1.06</v>
      </c>
      <c r="P27" s="81">
        <f t="shared" si="2"/>
        <v>81.906199999999998</v>
      </c>
      <c r="Q27" s="2"/>
    </row>
    <row r="28" spans="1:17" x14ac:dyDescent="0.25">
      <c r="B28" s="164">
        <v>43329</v>
      </c>
      <c r="C28" s="10">
        <v>50</v>
      </c>
      <c r="D28" s="39">
        <v>79.98</v>
      </c>
      <c r="E28" s="39">
        <v>87.72</v>
      </c>
      <c r="F28" s="39">
        <f t="shared" si="3"/>
        <v>386.99999999999977</v>
      </c>
      <c r="G28" s="39">
        <f t="shared" si="4"/>
        <v>3999</v>
      </c>
      <c r="H28" s="179">
        <f t="shared" si="5"/>
        <v>9.6774193548387025E-2</v>
      </c>
      <c r="I28" s="39"/>
      <c r="J28" s="39"/>
      <c r="K28" s="39">
        <v>13.52</v>
      </c>
      <c r="L28" s="155"/>
      <c r="O28" s="81">
        <v>1.05</v>
      </c>
      <c r="P28" s="81">
        <f t="shared" si="2"/>
        <v>81.133499999999998</v>
      </c>
      <c r="Q28" s="2"/>
    </row>
    <row r="29" spans="1:17" x14ac:dyDescent="0.25">
      <c r="B29" s="164">
        <v>43334</v>
      </c>
      <c r="C29" s="10">
        <v>50</v>
      </c>
      <c r="D29" s="39">
        <v>79.98</v>
      </c>
      <c r="E29" s="39">
        <v>88.15</v>
      </c>
      <c r="F29" s="778">
        <f t="shared" si="3"/>
        <v>408.50000000000011</v>
      </c>
      <c r="G29" s="39">
        <f t="shared" si="4"/>
        <v>3999</v>
      </c>
      <c r="H29" s="179">
        <f t="shared" si="5"/>
        <v>0.10215053763440862</v>
      </c>
      <c r="I29" s="39"/>
      <c r="J29" s="39"/>
      <c r="K29" s="39">
        <v>13.58</v>
      </c>
      <c r="L29" s="155"/>
      <c r="O29" s="81">
        <v>1.04</v>
      </c>
      <c r="P29" s="81">
        <f t="shared" si="2"/>
        <v>80.360799999999998</v>
      </c>
      <c r="Q29" s="2"/>
    </row>
    <row r="30" spans="1:17" x14ac:dyDescent="0.25">
      <c r="B30" s="164">
        <v>43354</v>
      </c>
      <c r="C30" s="10">
        <v>100</v>
      </c>
      <c r="D30" s="39">
        <v>82.14</v>
      </c>
      <c r="E30" s="39">
        <v>84.1</v>
      </c>
      <c r="F30" s="39">
        <f t="shared" si="3"/>
        <v>195.99999999999937</v>
      </c>
      <c r="G30" s="39">
        <f t="shared" si="4"/>
        <v>8214</v>
      </c>
      <c r="H30" s="179">
        <f t="shared" si="5"/>
        <v>2.3861699537375138E-2</v>
      </c>
      <c r="I30" s="39"/>
      <c r="J30" s="39"/>
      <c r="K30" s="39">
        <v>12.96</v>
      </c>
      <c r="L30" s="155"/>
      <c r="O30" s="81">
        <v>1.03</v>
      </c>
      <c r="P30" s="81">
        <f t="shared" si="2"/>
        <v>79.588099999999997</v>
      </c>
      <c r="Q30" s="2"/>
    </row>
    <row r="31" spans="1:17" x14ac:dyDescent="0.25">
      <c r="B31" s="164">
        <v>43355</v>
      </c>
      <c r="C31" s="10">
        <v>100</v>
      </c>
      <c r="D31" s="39">
        <v>82.14</v>
      </c>
      <c r="E31" s="39">
        <v>85.21</v>
      </c>
      <c r="F31" s="39">
        <f t="shared" ref="F31:F36" si="6">C31*(E31-D31)</f>
        <v>306.99999999999932</v>
      </c>
      <c r="G31" s="39">
        <f t="shared" ref="G31:G36" si="7">D31*C31</f>
        <v>8214</v>
      </c>
      <c r="H31" s="179">
        <f t="shared" ref="H31:H54" si="8">(E31-D31)/D31</f>
        <v>3.7375213050888645E-2</v>
      </c>
      <c r="I31" s="39"/>
      <c r="J31" s="39"/>
      <c r="K31" s="39"/>
      <c r="L31" s="155"/>
      <c r="O31" s="81">
        <v>1.02</v>
      </c>
      <c r="P31" s="81">
        <f t="shared" si="2"/>
        <v>78.815399999999997</v>
      </c>
      <c r="Q31" s="2"/>
    </row>
    <row r="32" spans="1:17" x14ac:dyDescent="0.25">
      <c r="B32" s="164">
        <v>43358</v>
      </c>
      <c r="C32" s="10">
        <v>100</v>
      </c>
      <c r="D32" s="39">
        <v>82.14</v>
      </c>
      <c r="E32" s="39">
        <v>85.84</v>
      </c>
      <c r="F32" s="39">
        <f t="shared" si="6"/>
        <v>370.00000000000028</v>
      </c>
      <c r="G32" s="39">
        <f t="shared" si="7"/>
        <v>8214</v>
      </c>
      <c r="H32" s="179">
        <f t="shared" si="8"/>
        <v>4.5045045045045078E-2</v>
      </c>
      <c r="I32" s="39"/>
      <c r="J32" s="39"/>
      <c r="K32" s="39">
        <v>13.23</v>
      </c>
      <c r="L32" s="155"/>
      <c r="O32" s="81">
        <v>1.01</v>
      </c>
      <c r="P32" s="81">
        <f t="shared" si="2"/>
        <v>78.042699999999996</v>
      </c>
      <c r="Q32" s="2"/>
    </row>
    <row r="33" spans="1:17" x14ac:dyDescent="0.25">
      <c r="A33">
        <v>0</v>
      </c>
      <c r="B33" s="164">
        <v>43363</v>
      </c>
      <c r="C33" s="10">
        <v>50</v>
      </c>
      <c r="D33" s="39">
        <v>73.381200000000007</v>
      </c>
      <c r="E33" s="39">
        <v>91.06</v>
      </c>
      <c r="F33" s="778">
        <f t="shared" si="6"/>
        <v>883.93999999999983</v>
      </c>
      <c r="G33" s="39">
        <f t="shared" si="7"/>
        <v>3669.0600000000004</v>
      </c>
      <c r="H33" s="179">
        <f t="shared" si="8"/>
        <v>0.24091729216747607</v>
      </c>
      <c r="I33" s="39">
        <v>72</v>
      </c>
      <c r="J33" s="39"/>
      <c r="K33" s="39">
        <v>14.03</v>
      </c>
      <c r="L33" s="155"/>
      <c r="O33" s="81">
        <v>1</v>
      </c>
      <c r="P33" s="81">
        <f t="shared" si="2"/>
        <v>77.27</v>
      </c>
      <c r="Q33" s="2"/>
    </row>
    <row r="34" spans="1:17" x14ac:dyDescent="0.25">
      <c r="B34" s="164">
        <v>43367</v>
      </c>
      <c r="C34" s="10">
        <v>100</v>
      </c>
      <c r="D34" s="39">
        <v>81.195599999999999</v>
      </c>
      <c r="E34" s="39">
        <v>89.57</v>
      </c>
      <c r="F34" s="39">
        <f t="shared" si="6"/>
        <v>837.43999999999937</v>
      </c>
      <c r="G34" s="39">
        <f t="shared" si="7"/>
        <v>8119.5599999999995</v>
      </c>
      <c r="H34" s="179">
        <f t="shared" si="8"/>
        <v>0.10313859371690084</v>
      </c>
      <c r="I34" s="39"/>
      <c r="J34" s="39"/>
      <c r="K34" s="39">
        <v>13.8</v>
      </c>
      <c r="L34" s="155"/>
      <c r="O34" s="81">
        <v>0.99</v>
      </c>
      <c r="P34" s="81">
        <f t="shared" si="2"/>
        <v>76.497299999999996</v>
      </c>
      <c r="Q34" s="2"/>
    </row>
    <row r="35" spans="1:17" x14ac:dyDescent="0.25">
      <c r="A35">
        <v>0</v>
      </c>
      <c r="B35" s="164">
        <v>43388</v>
      </c>
      <c r="C35" s="10">
        <v>50</v>
      </c>
      <c r="D35" s="39">
        <v>72.102400000000003</v>
      </c>
      <c r="E35" s="39">
        <v>90.29</v>
      </c>
      <c r="F35" s="778">
        <f t="shared" si="6"/>
        <v>909.38000000000011</v>
      </c>
      <c r="G35" s="39">
        <f t="shared" si="7"/>
        <v>3605.1200000000003</v>
      </c>
      <c r="H35" s="179">
        <f t="shared" si="8"/>
        <v>0.25224680454464765</v>
      </c>
      <c r="I35" s="39"/>
      <c r="J35" s="39"/>
      <c r="K35" s="39">
        <v>13.63</v>
      </c>
      <c r="L35" s="155"/>
      <c r="O35" s="81">
        <v>0.98</v>
      </c>
      <c r="P35" s="81">
        <f t="shared" si="2"/>
        <v>75.724599999999995</v>
      </c>
      <c r="Q35" s="2"/>
    </row>
    <row r="36" spans="1:17" x14ac:dyDescent="0.25">
      <c r="A36">
        <v>0</v>
      </c>
      <c r="B36" s="164">
        <v>43397</v>
      </c>
      <c r="C36" s="10">
        <v>100</v>
      </c>
      <c r="D36" s="39">
        <v>79.9512</v>
      </c>
      <c r="E36" s="39">
        <v>84.49</v>
      </c>
      <c r="F36" s="101">
        <f t="shared" si="6"/>
        <v>453.87999999999948</v>
      </c>
      <c r="G36" s="39">
        <f t="shared" si="7"/>
        <v>7995.12</v>
      </c>
      <c r="H36" s="179">
        <f t="shared" si="8"/>
        <v>5.6769629473979059E-2</v>
      </c>
      <c r="I36" s="39"/>
      <c r="J36" s="39"/>
      <c r="K36" s="39">
        <v>13.02</v>
      </c>
      <c r="L36" s="39"/>
      <c r="O36" s="81">
        <v>0.97</v>
      </c>
      <c r="P36" s="81">
        <f t="shared" si="2"/>
        <v>74.951899999999995</v>
      </c>
    </row>
    <row r="37" spans="1:17" x14ac:dyDescent="0.25">
      <c r="A37" s="33">
        <v>0</v>
      </c>
      <c r="B37" s="164">
        <v>43405</v>
      </c>
      <c r="C37" s="10">
        <v>50</v>
      </c>
      <c r="D37" s="39">
        <v>70.023600000000002</v>
      </c>
      <c r="E37" s="39">
        <v>90.92</v>
      </c>
      <c r="F37" s="778">
        <f t="shared" ref="F37:F54" si="9">C37*(E37-D37)</f>
        <v>1044.82</v>
      </c>
      <c r="G37" s="39">
        <f t="shared" ref="G37:G54" si="10">D37*C37</f>
        <v>3501.1800000000003</v>
      </c>
      <c r="H37" s="179">
        <f t="shared" si="8"/>
        <v>0.29841939003421702</v>
      </c>
      <c r="I37" s="39"/>
      <c r="J37" s="39"/>
      <c r="K37" s="39">
        <v>14.01</v>
      </c>
      <c r="L37" s="39"/>
      <c r="O37" s="81">
        <v>0.96</v>
      </c>
      <c r="P37" s="81">
        <f t="shared" si="2"/>
        <v>74.179199999999994</v>
      </c>
    </row>
    <row r="38" spans="1:17" x14ac:dyDescent="0.25">
      <c r="A38">
        <v>50</v>
      </c>
      <c r="B38" s="164">
        <v>43436</v>
      </c>
      <c r="C38" s="10">
        <v>50</v>
      </c>
      <c r="D38" s="39">
        <v>70.02</v>
      </c>
      <c r="E38" s="39">
        <v>88.9</v>
      </c>
      <c r="F38" s="39">
        <f t="shared" si="9"/>
        <v>944.00000000000045</v>
      </c>
      <c r="G38" s="39">
        <f t="shared" si="10"/>
        <v>3501</v>
      </c>
      <c r="H38" s="179">
        <f t="shared" si="8"/>
        <v>0.26963724650099985</v>
      </c>
      <c r="I38" s="39"/>
      <c r="J38" s="39"/>
      <c r="K38" s="39">
        <v>13.7</v>
      </c>
      <c r="L38" s="39"/>
      <c r="O38" s="81">
        <v>0.95</v>
      </c>
      <c r="P38" s="81">
        <f t="shared" si="2"/>
        <v>73.406499999999994</v>
      </c>
    </row>
    <row r="39" spans="1:17" x14ac:dyDescent="0.25">
      <c r="A39">
        <v>50</v>
      </c>
      <c r="B39" s="164">
        <v>43437</v>
      </c>
      <c r="C39" s="10">
        <v>50</v>
      </c>
      <c r="D39" s="39">
        <v>69.623599999999996</v>
      </c>
      <c r="E39" s="39">
        <v>89.02</v>
      </c>
      <c r="F39" s="39">
        <f t="shared" si="9"/>
        <v>969.81999999999994</v>
      </c>
      <c r="G39" s="39">
        <f t="shared" si="10"/>
        <v>3481.18</v>
      </c>
      <c r="H39" s="179">
        <f t="shared" si="8"/>
        <v>0.27858944380928308</v>
      </c>
      <c r="I39" s="39"/>
      <c r="J39" s="39"/>
      <c r="K39" s="39">
        <v>13.72</v>
      </c>
      <c r="L39" s="39"/>
      <c r="O39" s="81">
        <v>0.94</v>
      </c>
      <c r="P39" s="81">
        <f t="shared" si="2"/>
        <v>72.633799999999994</v>
      </c>
    </row>
    <row r="40" spans="1:17" x14ac:dyDescent="0.25">
      <c r="A40">
        <v>50</v>
      </c>
      <c r="B40" s="164">
        <v>43440</v>
      </c>
      <c r="C40" s="10">
        <v>100</v>
      </c>
      <c r="D40" s="39">
        <v>76.951800000000006</v>
      </c>
      <c r="E40" s="39">
        <v>85.98</v>
      </c>
      <c r="F40" s="39">
        <f t="shared" si="9"/>
        <v>902.81999999999982</v>
      </c>
      <c r="G40" s="39">
        <f t="shared" si="10"/>
        <v>7695.18</v>
      </c>
      <c r="H40" s="179">
        <f t="shared" si="8"/>
        <v>0.11732279166959055</v>
      </c>
      <c r="I40" s="39"/>
      <c r="J40" s="39"/>
      <c r="K40" s="39">
        <v>13.25</v>
      </c>
      <c r="L40" s="39"/>
      <c r="O40" s="81">
        <v>0.93</v>
      </c>
      <c r="P40" s="81">
        <f t="shared" si="2"/>
        <v>71.861099999999993</v>
      </c>
    </row>
    <row r="41" spans="1:17" x14ac:dyDescent="0.25">
      <c r="A41">
        <v>50</v>
      </c>
      <c r="B41" s="164">
        <v>43442</v>
      </c>
      <c r="C41" s="10">
        <v>100</v>
      </c>
      <c r="D41" s="39">
        <v>76.95</v>
      </c>
      <c r="E41" s="39">
        <v>84.32</v>
      </c>
      <c r="F41" s="39">
        <f t="shared" si="9"/>
        <v>736.99999999999909</v>
      </c>
      <c r="G41" s="39">
        <f t="shared" si="10"/>
        <v>7695</v>
      </c>
      <c r="H41" s="179">
        <f t="shared" si="8"/>
        <v>9.5776478232618451E-2</v>
      </c>
      <c r="I41" s="39"/>
      <c r="J41" s="39"/>
      <c r="K41" s="39">
        <v>12.99</v>
      </c>
      <c r="L41" s="39"/>
      <c r="O41" s="81">
        <v>0.92</v>
      </c>
      <c r="P41" s="81">
        <f t="shared" si="2"/>
        <v>71.088399999999993</v>
      </c>
    </row>
    <row r="42" spans="1:17" x14ac:dyDescent="0.25">
      <c r="A42">
        <v>100</v>
      </c>
      <c r="B42" s="164">
        <v>43479</v>
      </c>
      <c r="C42" s="10">
        <v>100</v>
      </c>
      <c r="D42" s="39">
        <v>76.951800000000006</v>
      </c>
      <c r="E42" s="39">
        <v>76.86</v>
      </c>
      <c r="F42" s="39">
        <f t="shared" si="9"/>
        <v>-9.1800000000006321</v>
      </c>
      <c r="G42" s="39">
        <f t="shared" si="10"/>
        <v>7695.18</v>
      </c>
      <c r="H42" s="179">
        <f t="shared" si="8"/>
        <v>-1.1929545507708243E-3</v>
      </c>
      <c r="I42" s="39"/>
      <c r="J42" s="39"/>
      <c r="K42" s="39">
        <v>11.84</v>
      </c>
      <c r="L42" s="39"/>
      <c r="O42" s="81">
        <v>0.91</v>
      </c>
      <c r="P42" s="81">
        <f t="shared" si="2"/>
        <v>70.315699999999993</v>
      </c>
    </row>
    <row r="43" spans="1:17" x14ac:dyDescent="0.25">
      <c r="A43">
        <v>100</v>
      </c>
      <c r="B43" s="164">
        <v>43485</v>
      </c>
      <c r="C43" s="10">
        <v>100</v>
      </c>
      <c r="D43" s="39">
        <v>76.95</v>
      </c>
      <c r="E43" s="39">
        <v>79.86</v>
      </c>
      <c r="F43" s="39">
        <f t="shared" si="9"/>
        <v>290.99999999999966</v>
      </c>
      <c r="G43" s="39">
        <f t="shared" si="10"/>
        <v>7695</v>
      </c>
      <c r="H43" s="179">
        <f t="shared" si="8"/>
        <v>3.7816764132553561E-2</v>
      </c>
      <c r="I43" s="39"/>
      <c r="J43" s="39"/>
      <c r="K43" s="39">
        <v>12.31</v>
      </c>
      <c r="L43" s="39"/>
      <c r="O43" s="81">
        <v>0.9</v>
      </c>
      <c r="P43" s="81">
        <f t="shared" si="2"/>
        <v>69.542999999999992</v>
      </c>
    </row>
    <row r="44" spans="1:17" x14ac:dyDescent="0.25">
      <c r="A44">
        <v>50</v>
      </c>
      <c r="B44" s="164">
        <v>43496</v>
      </c>
      <c r="C44" s="10">
        <v>50</v>
      </c>
      <c r="D44" s="39">
        <v>68.104799999999997</v>
      </c>
      <c r="E44" s="39">
        <v>85.8</v>
      </c>
      <c r="F44" s="39">
        <f t="shared" si="9"/>
        <v>884.76</v>
      </c>
      <c r="G44" s="39">
        <f t="shared" si="10"/>
        <v>3405.24</v>
      </c>
      <c r="H44" s="179">
        <f t="shared" si="8"/>
        <v>0.259823096169433</v>
      </c>
      <c r="I44" s="39"/>
      <c r="J44" s="39"/>
      <c r="K44" s="39">
        <v>13.22</v>
      </c>
      <c r="L44" s="39"/>
    </row>
    <row r="45" spans="1:17" x14ac:dyDescent="0.25">
      <c r="A45">
        <v>50</v>
      </c>
      <c r="B45" s="164">
        <v>43496</v>
      </c>
      <c r="C45" s="10">
        <v>100</v>
      </c>
      <c r="D45" s="39">
        <v>74.3</v>
      </c>
      <c r="E45" s="39">
        <v>80.5</v>
      </c>
      <c r="F45" s="39">
        <f t="shared" si="9"/>
        <v>620.00000000000023</v>
      </c>
      <c r="G45" s="39">
        <f t="shared" si="10"/>
        <v>7430</v>
      </c>
      <c r="H45" s="179">
        <f t="shared" si="8"/>
        <v>8.3445491251682408E-2</v>
      </c>
      <c r="I45" s="39"/>
      <c r="J45" s="39"/>
      <c r="K45" s="39"/>
      <c r="L45" s="39"/>
    </row>
    <row r="46" spans="1:17" x14ac:dyDescent="0.25">
      <c r="A46">
        <v>50</v>
      </c>
      <c r="B46" s="164">
        <v>43498</v>
      </c>
      <c r="C46" s="10">
        <v>100</v>
      </c>
      <c r="D46" s="39">
        <v>74.3</v>
      </c>
      <c r="E46" s="39">
        <v>83.76</v>
      </c>
      <c r="F46" s="39">
        <f t="shared" si="9"/>
        <v>946.0000000000008</v>
      </c>
      <c r="G46" s="39">
        <f t="shared" si="10"/>
        <v>7430</v>
      </c>
      <c r="H46" s="179">
        <f t="shared" si="8"/>
        <v>0.12732166890982516</v>
      </c>
      <c r="I46" s="39"/>
      <c r="J46" s="39"/>
      <c r="K46" s="39">
        <v>12.91</v>
      </c>
      <c r="L46" s="39"/>
    </row>
    <row r="47" spans="1:17" x14ac:dyDescent="0.25">
      <c r="A47">
        <v>50</v>
      </c>
      <c r="B47" s="164">
        <v>43513</v>
      </c>
      <c r="C47" s="10">
        <v>100</v>
      </c>
      <c r="D47" s="39">
        <v>74.304199999999994</v>
      </c>
      <c r="E47" s="39">
        <v>86.66</v>
      </c>
      <c r="F47" s="778">
        <f t="shared" si="9"/>
        <v>1235.5800000000002</v>
      </c>
      <c r="G47" s="39">
        <f t="shared" si="10"/>
        <v>7430.4199999999992</v>
      </c>
      <c r="H47" s="179">
        <f t="shared" si="8"/>
        <v>0.16628669711806335</v>
      </c>
      <c r="I47" s="39"/>
      <c r="J47" s="39"/>
      <c r="K47" s="39">
        <v>13.35</v>
      </c>
      <c r="L47" s="39"/>
    </row>
    <row r="48" spans="1:17" x14ac:dyDescent="0.25">
      <c r="A48">
        <v>0</v>
      </c>
      <c r="B48" s="164">
        <v>43516</v>
      </c>
      <c r="C48" s="10">
        <v>50</v>
      </c>
      <c r="D48" s="39">
        <v>61.996000000000002</v>
      </c>
      <c r="E48" s="39">
        <v>86.61</v>
      </c>
      <c r="F48" s="39">
        <f t="shared" si="9"/>
        <v>1230.6999999999998</v>
      </c>
      <c r="G48" s="39">
        <f t="shared" si="10"/>
        <v>3099.8</v>
      </c>
      <c r="H48" s="179">
        <f t="shared" si="8"/>
        <v>0.39702561455577773</v>
      </c>
      <c r="I48" s="39"/>
      <c r="J48" s="39"/>
      <c r="K48" s="39">
        <v>13.35</v>
      </c>
      <c r="L48" s="39"/>
    </row>
    <row r="49" spans="1:12" x14ac:dyDescent="0.25">
      <c r="A49">
        <v>50</v>
      </c>
      <c r="B49" s="164">
        <v>43528</v>
      </c>
      <c r="C49" s="10">
        <v>50</v>
      </c>
      <c r="D49" s="39">
        <v>61.195999999999998</v>
      </c>
      <c r="E49" s="39">
        <v>80.48</v>
      </c>
      <c r="F49" s="39">
        <f t="shared" si="9"/>
        <v>964.20000000000027</v>
      </c>
      <c r="G49" s="39">
        <f t="shared" si="10"/>
        <v>3059.7999999999997</v>
      </c>
      <c r="H49" s="179">
        <f t="shared" si="8"/>
        <v>0.31511863520491545</v>
      </c>
      <c r="I49" s="39"/>
      <c r="J49" s="39"/>
      <c r="K49" s="39">
        <v>12.4</v>
      </c>
      <c r="L49" s="39"/>
    </row>
    <row r="50" spans="1:12" x14ac:dyDescent="0.25">
      <c r="A50">
        <v>50</v>
      </c>
      <c r="B50" s="164">
        <v>43531</v>
      </c>
      <c r="C50" s="7">
        <v>150</v>
      </c>
      <c r="D50" s="43">
        <v>71.198700000000002</v>
      </c>
      <c r="E50" s="39">
        <v>76.33</v>
      </c>
      <c r="F50" s="39">
        <f t="shared" si="9"/>
        <v>769.69499999999937</v>
      </c>
      <c r="G50" s="39">
        <f t="shared" si="10"/>
        <v>10679.805</v>
      </c>
      <c r="H50" s="179">
        <f t="shared" si="8"/>
        <v>7.2070136112035693E-2</v>
      </c>
      <c r="I50" s="39"/>
      <c r="J50" s="39"/>
      <c r="K50" s="39">
        <v>11.76</v>
      </c>
      <c r="L50" s="39"/>
    </row>
    <row r="51" spans="1:12" x14ac:dyDescent="0.25">
      <c r="A51">
        <v>50</v>
      </c>
      <c r="B51" s="164">
        <v>43535</v>
      </c>
      <c r="C51" s="10">
        <v>150</v>
      </c>
      <c r="D51" s="39">
        <v>71.2</v>
      </c>
      <c r="E51" s="39">
        <v>77.95</v>
      </c>
      <c r="F51" s="39">
        <f t="shared" si="9"/>
        <v>1012.5</v>
      </c>
      <c r="G51" s="39">
        <f t="shared" si="10"/>
        <v>10680</v>
      </c>
      <c r="H51" s="179">
        <f t="shared" si="8"/>
        <v>9.480337078651685E-2</v>
      </c>
      <c r="I51" s="39"/>
      <c r="J51" s="39"/>
      <c r="K51" s="39">
        <v>12.01</v>
      </c>
      <c r="L51" s="39"/>
    </row>
    <row r="52" spans="1:12" x14ac:dyDescent="0.25">
      <c r="A52">
        <v>0</v>
      </c>
      <c r="B52" s="164">
        <v>43539</v>
      </c>
      <c r="C52" s="10">
        <v>100</v>
      </c>
      <c r="D52" s="39">
        <v>66.56</v>
      </c>
      <c r="E52" s="39">
        <v>80.48</v>
      </c>
      <c r="F52" s="778">
        <f t="shared" si="9"/>
        <v>1392.0000000000002</v>
      </c>
      <c r="G52" s="39">
        <f t="shared" si="10"/>
        <v>6656</v>
      </c>
      <c r="H52" s="179">
        <f t="shared" si="8"/>
        <v>0.20913461538461539</v>
      </c>
      <c r="I52" s="39"/>
      <c r="J52" s="39"/>
      <c r="K52" s="39">
        <v>12.25</v>
      </c>
      <c r="L52" s="39"/>
    </row>
    <row r="53" spans="1:12" x14ac:dyDescent="0.25">
      <c r="A53">
        <v>0</v>
      </c>
      <c r="B53" s="164">
        <v>43549</v>
      </c>
      <c r="C53" s="7">
        <v>150</v>
      </c>
      <c r="D53" s="43">
        <v>69.998999999999995</v>
      </c>
      <c r="E53" s="39">
        <v>77.099999999999994</v>
      </c>
      <c r="F53" s="39">
        <f t="shared" si="9"/>
        <v>1065.1499999999999</v>
      </c>
      <c r="G53" s="39">
        <f t="shared" si="10"/>
        <v>10499.849999999999</v>
      </c>
      <c r="H53" s="179">
        <f t="shared" si="8"/>
        <v>0.10144430634723353</v>
      </c>
      <c r="I53" s="39"/>
      <c r="J53" s="39"/>
      <c r="K53" s="39">
        <v>11.88</v>
      </c>
      <c r="L53" s="39"/>
    </row>
    <row r="54" spans="1:12" x14ac:dyDescent="0.25">
      <c r="A54" s="4">
        <v>0</v>
      </c>
      <c r="B54" s="164">
        <v>43555</v>
      </c>
      <c r="C54" s="10">
        <v>150</v>
      </c>
      <c r="D54" s="39">
        <v>70</v>
      </c>
      <c r="E54" s="39">
        <v>77.89</v>
      </c>
      <c r="F54" s="39">
        <f t="shared" si="9"/>
        <v>1183.5</v>
      </c>
      <c r="G54" s="39">
        <f t="shared" si="10"/>
        <v>10500</v>
      </c>
      <c r="H54" s="179">
        <f t="shared" si="8"/>
        <v>0.11271428571428573</v>
      </c>
      <c r="I54" s="39"/>
      <c r="J54" s="39"/>
      <c r="K54" s="39">
        <v>12</v>
      </c>
      <c r="L54" s="39"/>
    </row>
    <row r="55" spans="1:12" x14ac:dyDescent="0.25">
      <c r="A55" s="4"/>
      <c r="B55" s="164"/>
      <c r="C55" s="10"/>
      <c r="D55" s="39"/>
      <c r="E55" s="39"/>
      <c r="F55" s="39"/>
      <c r="G55" s="39"/>
      <c r="H55" s="179"/>
      <c r="I55" s="39"/>
      <c r="J55" s="39"/>
      <c r="K55" s="39"/>
      <c r="L55" s="39"/>
    </row>
    <row r="56" spans="1:12" x14ac:dyDescent="0.25">
      <c r="B56" s="164"/>
      <c r="C56" s="10"/>
      <c r="D56" s="39"/>
      <c r="E56" s="39"/>
      <c r="F56" s="39"/>
      <c r="G56" s="39"/>
      <c r="H56" s="179"/>
      <c r="I56" s="39"/>
      <c r="J56" s="39"/>
      <c r="K56" s="39"/>
      <c r="L56" s="39"/>
    </row>
    <row r="57" spans="1:12" x14ac:dyDescent="0.25">
      <c r="A57" s="4"/>
      <c r="B57" s="164"/>
      <c r="C57" s="10"/>
      <c r="D57" s="39"/>
      <c r="E57" s="39"/>
      <c r="F57" s="39"/>
      <c r="G57" s="39"/>
      <c r="H57" s="179"/>
      <c r="I57" s="39"/>
      <c r="J57" s="39"/>
      <c r="K57" s="39"/>
      <c r="L57" s="39"/>
    </row>
    <row r="58" spans="1:12" x14ac:dyDescent="0.25">
      <c r="A58" s="4"/>
      <c r="B58" s="164"/>
      <c r="C58" s="10"/>
      <c r="D58" s="39"/>
      <c r="E58" s="39"/>
      <c r="F58" s="39"/>
      <c r="G58" s="39"/>
      <c r="H58" s="179"/>
      <c r="I58" s="39"/>
      <c r="J58" s="39"/>
      <c r="K58" s="39"/>
      <c r="L58" s="39"/>
    </row>
    <row r="59" spans="1:12" x14ac:dyDescent="0.25">
      <c r="B59" s="164"/>
      <c r="C59" s="10"/>
      <c r="D59" s="39"/>
      <c r="E59" s="39"/>
      <c r="F59" s="39"/>
      <c r="G59" s="39"/>
      <c r="H59" s="179"/>
      <c r="I59" s="39"/>
      <c r="J59" s="39"/>
      <c r="K59" s="39"/>
      <c r="L59" s="39"/>
    </row>
    <row r="60" spans="1:12" x14ac:dyDescent="0.25">
      <c r="A60" s="4"/>
      <c r="B60" s="164"/>
      <c r="C60" s="10"/>
      <c r="D60" s="39"/>
      <c r="E60" s="39"/>
      <c r="F60" s="39"/>
      <c r="G60" s="39"/>
      <c r="H60" s="179"/>
      <c r="I60" s="39"/>
      <c r="J60" s="39"/>
      <c r="K60" s="39"/>
      <c r="L60" s="39"/>
    </row>
    <row r="61" spans="1:12" x14ac:dyDescent="0.25">
      <c r="A61" s="4"/>
      <c r="B61" s="164"/>
      <c r="C61" s="10"/>
      <c r="D61" s="39"/>
      <c r="E61" s="39"/>
      <c r="F61" s="39"/>
      <c r="G61" s="39"/>
      <c r="H61" s="179"/>
      <c r="I61" s="39"/>
      <c r="J61" s="39"/>
      <c r="K61" s="39"/>
      <c r="L61" s="39"/>
    </row>
    <row r="62" spans="1:12" x14ac:dyDescent="0.25">
      <c r="B62" s="164"/>
      <c r="C62" s="10"/>
      <c r="D62" s="39"/>
      <c r="E62" s="39"/>
      <c r="F62" s="39"/>
      <c r="G62" s="39"/>
      <c r="H62" s="179"/>
      <c r="I62" s="39"/>
      <c r="J62" s="39"/>
      <c r="K62" s="39"/>
      <c r="L62" s="39"/>
    </row>
    <row r="63" spans="1:12" x14ac:dyDescent="0.25">
      <c r="A63" s="4"/>
      <c r="B63" s="164"/>
      <c r="C63" s="10"/>
      <c r="D63" s="39"/>
      <c r="E63" s="39"/>
      <c r="F63" s="39"/>
      <c r="G63" s="39"/>
      <c r="H63" s="179"/>
      <c r="I63" s="39"/>
      <c r="J63" s="39"/>
      <c r="K63" s="39"/>
      <c r="L63" s="39"/>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Q7">
    <cfRule type="expression" dxfId="3656" priority="29">
      <formula>Q7&gt;0</formula>
    </cfRule>
    <cfRule type="expression" dxfId="3655" priority="30">
      <formula>Q7&lt;0</formula>
    </cfRule>
  </conditionalFormatting>
  <conditionalFormatting sqref="Q8">
    <cfRule type="expression" dxfId="3654" priority="27">
      <formula>Q8&gt;0</formula>
    </cfRule>
    <cfRule type="expression" dxfId="3653" priority="28">
      <formula>Q8&lt;0</formula>
    </cfRule>
  </conditionalFormatting>
  <conditionalFormatting sqref="F33:F63">
    <cfRule type="expression" dxfId="3652" priority="25">
      <formula>F33&gt;0</formula>
    </cfRule>
    <cfRule type="expression" dxfId="3651" priority="26">
      <formula>F33&lt;0</formula>
    </cfRule>
  </conditionalFormatting>
  <conditionalFormatting sqref="H33:H63">
    <cfRule type="expression" dxfId="3650" priority="23">
      <formula>H33&gt;0</formula>
    </cfRule>
    <cfRule type="expression" dxfId="3649" priority="24">
      <formula>H33&lt;0</formula>
    </cfRule>
  </conditionalFormatting>
  <conditionalFormatting sqref="Q10">
    <cfRule type="expression" dxfId="3648" priority="21">
      <formula>Q10&gt;0</formula>
    </cfRule>
    <cfRule type="expression" dxfId="3647" priority="22">
      <formula>Q10&lt;0</formula>
    </cfRule>
  </conditionalFormatting>
  <conditionalFormatting sqref="J25:J38">
    <cfRule type="expression" dxfId="3646" priority="19">
      <formula>J25&gt;0</formula>
    </cfRule>
    <cfRule type="expression" dxfId="3645" priority="20">
      <formula>J25&lt;0</formula>
    </cfRule>
  </conditionalFormatting>
  <conditionalFormatting sqref="L25:L38">
    <cfRule type="expression" dxfId="3644" priority="15">
      <formula>L25&gt;0</formula>
    </cfRule>
    <cfRule type="expression" dxfId="3643" priority="16">
      <formula>L25&lt;0</formula>
    </cfRule>
  </conditionalFormatting>
  <conditionalFormatting sqref="F89:F110">
    <cfRule type="expression" dxfId="3642" priority="13">
      <formula>F89&gt;0</formula>
    </cfRule>
    <cfRule type="expression" dxfId="3641" priority="14">
      <formula>F89&lt;0</formula>
    </cfRule>
  </conditionalFormatting>
  <conditionalFormatting sqref="H89:H110">
    <cfRule type="expression" dxfId="3640" priority="11">
      <formula>H89&gt;0</formula>
    </cfRule>
    <cfRule type="expression" dxfId="3639" priority="12">
      <formula>H89&lt;0</formula>
    </cfRule>
  </conditionalFormatting>
  <conditionalFormatting sqref="J89:J102">
    <cfRule type="expression" dxfId="3638" priority="9">
      <formula>J89&gt;0</formula>
    </cfRule>
    <cfRule type="expression" dxfId="3637" priority="10">
      <formula>J89&lt;0</formula>
    </cfRule>
  </conditionalFormatting>
  <conditionalFormatting sqref="K89:K102">
    <cfRule type="expression" dxfId="3636" priority="7">
      <formula>K89&gt;0</formula>
    </cfRule>
    <cfRule type="expression" dxfId="3635" priority="8">
      <formula>K89&lt;0</formula>
    </cfRule>
  </conditionalFormatting>
  <conditionalFormatting sqref="L89:L102">
    <cfRule type="expression" dxfId="3634" priority="5">
      <formula>L89&gt;0</formula>
    </cfRule>
    <cfRule type="expression" dxfId="3633" priority="6">
      <formula>L89&lt;0</formula>
    </cfRule>
  </conditionalFormatting>
  <conditionalFormatting sqref="F25:F32">
    <cfRule type="expression" dxfId="3632" priority="3">
      <formula>F25&gt;0</formula>
    </cfRule>
    <cfRule type="expression" dxfId="3631" priority="4">
      <formula>F25&lt;0</formula>
    </cfRule>
  </conditionalFormatting>
  <conditionalFormatting sqref="H25:H32">
    <cfRule type="expression" dxfId="3630" priority="1">
      <formula>H25&gt;0</formula>
    </cfRule>
    <cfRule type="expression" dxfId="3629" priority="2">
      <formula>H25&lt;0</formula>
    </cfRule>
  </conditionalFormatting>
  <hyperlinks>
    <hyperlink ref="A3" location="ACTIVE!A1" display="Back"/>
  </hyperlink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1184</v>
      </c>
      <c r="B2" s="368">
        <v>43301</v>
      </c>
      <c r="C2" s="7">
        <v>2</v>
      </c>
      <c r="D2" s="43">
        <v>2868</v>
      </c>
      <c r="E2" s="43">
        <v>0</v>
      </c>
      <c r="F2" s="43">
        <f>C2*D2+E2</f>
        <v>5736</v>
      </c>
      <c r="G2" s="368">
        <v>43474</v>
      </c>
      <c r="H2" s="7">
        <v>2</v>
      </c>
      <c r="I2" s="43">
        <v>2565</v>
      </c>
      <c r="J2" s="43">
        <v>7.0000000000000007E-2</v>
      </c>
      <c r="K2" s="43">
        <f>H2*I2-J2</f>
        <v>5129.93</v>
      </c>
      <c r="L2" s="72"/>
      <c r="M2" s="3"/>
      <c r="O2" s="11" t="s">
        <v>57</v>
      </c>
      <c r="Q2">
        <f>C18-H18</f>
        <v>0</v>
      </c>
      <c r="T2" s="1"/>
      <c r="U2" t="s">
        <v>1242</v>
      </c>
    </row>
    <row r="3" spans="1:21" x14ac:dyDescent="0.25">
      <c r="A3" s="22" t="s">
        <v>71</v>
      </c>
      <c r="B3" s="368">
        <v>43325</v>
      </c>
      <c r="C3" s="7">
        <v>2</v>
      </c>
      <c r="D3" s="43">
        <v>2626</v>
      </c>
      <c r="E3" s="43">
        <v>0</v>
      </c>
      <c r="F3" s="43">
        <f>C3*D3+E3</f>
        <v>5252</v>
      </c>
      <c r="G3" s="368">
        <v>43490</v>
      </c>
      <c r="H3" s="80">
        <v>2</v>
      </c>
      <c r="I3" s="43">
        <v>2628</v>
      </c>
      <c r="J3" s="43">
        <v>7.0000000000000007E-2</v>
      </c>
      <c r="K3" s="43">
        <f>H3*I3-J3</f>
        <v>5255.93</v>
      </c>
      <c r="L3" s="72"/>
      <c r="M3" s="3"/>
      <c r="O3" s="11" t="s">
        <v>58</v>
      </c>
      <c r="Q3" s="178">
        <f>IF(Q2=0, Q4, (F18-K18-M18)/Q2)</f>
        <v>2751.7206999999999</v>
      </c>
      <c r="T3" s="1"/>
      <c r="U3" t="s">
        <v>1265</v>
      </c>
    </row>
    <row r="4" spans="1:21" x14ac:dyDescent="0.25">
      <c r="B4" s="368">
        <v>43384</v>
      </c>
      <c r="C4" s="7">
        <v>2</v>
      </c>
      <c r="D4" s="43">
        <v>2287.9</v>
      </c>
      <c r="E4" s="43">
        <v>0</v>
      </c>
      <c r="F4" s="43">
        <f>C4*D4+E4</f>
        <v>4575.8</v>
      </c>
      <c r="G4" s="368">
        <v>43495</v>
      </c>
      <c r="H4" s="80">
        <v>4</v>
      </c>
      <c r="I4" s="43">
        <v>2668</v>
      </c>
      <c r="J4" s="43">
        <v>0.14000000000000001</v>
      </c>
      <c r="K4" s="43">
        <f>H4*I4-J4</f>
        <v>10671.86</v>
      </c>
      <c r="L4" s="4"/>
      <c r="M4" s="4"/>
      <c r="O4" s="11" t="s">
        <v>66</v>
      </c>
      <c r="Q4" s="54">
        <v>2751.7206999999999</v>
      </c>
      <c r="R4" s="425">
        <v>2.2100000000000002E-2</v>
      </c>
      <c r="T4" s="693"/>
      <c r="U4" t="s">
        <v>1340</v>
      </c>
    </row>
    <row r="5" spans="1:21" x14ac:dyDescent="0.25">
      <c r="B5" s="368">
        <v>43434</v>
      </c>
      <c r="C5" s="7">
        <v>2</v>
      </c>
      <c r="D5" s="43">
        <v>2440</v>
      </c>
      <c r="E5" s="43">
        <v>0</v>
      </c>
      <c r="F5" s="43">
        <f>C5*D5+E5</f>
        <v>4880</v>
      </c>
      <c r="G5" s="368">
        <v>43531</v>
      </c>
      <c r="H5" s="80">
        <v>2</v>
      </c>
      <c r="I5" s="43">
        <v>2758.05</v>
      </c>
      <c r="J5" s="43">
        <v>7.0000000000000007E-2</v>
      </c>
      <c r="K5" s="43">
        <f>H5*I5-J5</f>
        <v>5516.0300000000007</v>
      </c>
      <c r="L5" s="4"/>
      <c r="M5" s="4"/>
      <c r="O5" s="11" t="s">
        <v>67</v>
      </c>
      <c r="Q5" s="3">
        <f>Q4*Q2</f>
        <v>0</v>
      </c>
      <c r="U5" s="756" t="s">
        <v>1339</v>
      </c>
    </row>
    <row r="6" spans="1:21" x14ac:dyDescent="0.25">
      <c r="B6" s="368">
        <v>43483</v>
      </c>
      <c r="C6" s="7">
        <v>2</v>
      </c>
      <c r="D6" s="43">
        <v>2488</v>
      </c>
      <c r="E6" s="43">
        <v>0</v>
      </c>
      <c r="F6" s="43">
        <f>C6*D6+E6</f>
        <v>4976</v>
      </c>
      <c r="G6" s="4"/>
      <c r="H6" s="161"/>
      <c r="I6" s="3"/>
      <c r="J6" s="3"/>
      <c r="K6" s="3"/>
      <c r="L6" s="4"/>
      <c r="M6" s="4"/>
      <c r="O6" s="11" t="s">
        <v>64</v>
      </c>
      <c r="Q6" s="2">
        <f>Q3*Q2</f>
        <v>0</v>
      </c>
      <c r="T6" s="1"/>
    </row>
    <row r="7" spans="1:21" x14ac:dyDescent="0.25">
      <c r="B7" s="72"/>
      <c r="C7" s="4"/>
      <c r="D7" s="3"/>
      <c r="E7" s="3"/>
      <c r="F7" s="3"/>
      <c r="G7" s="4"/>
      <c r="H7" s="161"/>
      <c r="I7" s="3"/>
      <c r="J7" s="3"/>
      <c r="K7" s="3"/>
      <c r="L7" s="4"/>
      <c r="M7" s="4"/>
      <c r="O7" s="11" t="s">
        <v>177</v>
      </c>
      <c r="Q7" s="2">
        <f>Q10+Q8</f>
        <v>1153.9500000000007</v>
      </c>
      <c r="R7">
        <v>0</v>
      </c>
      <c r="T7" s="1">
        <v>43333</v>
      </c>
      <c r="U7" t="s">
        <v>1244</v>
      </c>
    </row>
    <row r="8" spans="1:21" x14ac:dyDescent="0.25">
      <c r="B8" s="72"/>
      <c r="C8" s="4"/>
      <c r="D8" s="3"/>
      <c r="E8" s="3"/>
      <c r="F8" s="3"/>
      <c r="G8" s="4"/>
      <c r="H8" s="161"/>
      <c r="I8" s="3"/>
      <c r="J8" s="3"/>
      <c r="K8" s="3"/>
      <c r="L8" s="4"/>
      <c r="M8" s="4"/>
      <c r="O8" s="11" t="s">
        <v>179</v>
      </c>
      <c r="P8" s="33"/>
      <c r="Q8" s="2">
        <f>K18+M18-F18+Q2*Q4</f>
        <v>1153.9500000000007</v>
      </c>
    </row>
    <row r="9" spans="1:21" x14ac:dyDescent="0.25">
      <c r="B9" s="4"/>
      <c r="C9" s="4"/>
      <c r="D9" s="3"/>
      <c r="E9" s="3"/>
      <c r="F9" s="3"/>
      <c r="G9" s="4"/>
      <c r="H9" s="161"/>
      <c r="I9" s="3"/>
      <c r="J9" s="3"/>
      <c r="K9" s="3"/>
      <c r="L9" s="4"/>
      <c r="M9" s="4"/>
      <c r="O9" s="11" t="s">
        <v>204</v>
      </c>
      <c r="Q9" s="134">
        <f>IF(Q2=0, 0, Q8/Q6)</f>
        <v>0</v>
      </c>
      <c r="T9" s="693"/>
    </row>
    <row r="10" spans="1:21" x14ac:dyDescent="0.25">
      <c r="B10" s="4"/>
      <c r="C10" s="4"/>
      <c r="D10" s="3"/>
      <c r="E10" s="3"/>
      <c r="F10" s="3"/>
      <c r="G10" s="4"/>
      <c r="H10" s="161"/>
      <c r="I10" s="3"/>
      <c r="J10" s="3"/>
      <c r="K10" s="3"/>
      <c r="L10" s="4"/>
      <c r="M10" s="4"/>
      <c r="O10" s="11" t="s">
        <v>203</v>
      </c>
      <c r="P10" s="33"/>
      <c r="Q10" s="2">
        <f>M66</f>
        <v>0</v>
      </c>
      <c r="T10" s="1">
        <v>43392</v>
      </c>
      <c r="U10" t="s">
        <v>82</v>
      </c>
    </row>
    <row r="11" spans="1:21" x14ac:dyDescent="0.25">
      <c r="B11" s="4"/>
      <c r="C11" s="4"/>
      <c r="D11" s="3"/>
      <c r="E11" s="3"/>
      <c r="F11" s="3"/>
      <c r="G11" s="4"/>
      <c r="H11" s="161"/>
      <c r="I11" s="3"/>
      <c r="J11" s="3"/>
      <c r="K11" s="3"/>
      <c r="L11" s="4"/>
      <c r="M11" s="4"/>
      <c r="O11" s="11" t="s">
        <v>175</v>
      </c>
      <c r="P11" s="33"/>
      <c r="Q11" s="134">
        <v>0</v>
      </c>
    </row>
    <row r="12" spans="1:21" x14ac:dyDescent="0.25">
      <c r="H12" s="70"/>
      <c r="O12" s="11" t="s">
        <v>82</v>
      </c>
      <c r="Q12" s="1" t="s">
        <v>1364</v>
      </c>
    </row>
    <row r="13" spans="1:21" x14ac:dyDescent="0.25">
      <c r="H13" s="70"/>
      <c r="O13" s="11" t="s">
        <v>947</v>
      </c>
      <c r="Q13" s="2">
        <f>Q4/194</f>
        <v>14.184127319587628</v>
      </c>
    </row>
    <row r="14" spans="1:21" x14ac:dyDescent="0.25">
      <c r="H14" s="70"/>
      <c r="O14" s="11" t="s">
        <v>1034</v>
      </c>
      <c r="Q14" s="1">
        <v>43422</v>
      </c>
    </row>
    <row r="15" spans="1:21" x14ac:dyDescent="0.25">
      <c r="H15" s="70"/>
    </row>
    <row r="16" spans="1:21" x14ac:dyDescent="0.25">
      <c r="H16" s="70"/>
    </row>
    <row r="18" spans="1:17" x14ac:dyDescent="0.25">
      <c r="A18" s="31" t="s">
        <v>81</v>
      </c>
      <c r="B18" s="14"/>
      <c r="C18" s="14">
        <f>SUM(C2:C8)</f>
        <v>10</v>
      </c>
      <c r="D18" s="18"/>
      <c r="E18" s="18"/>
      <c r="F18" s="18">
        <f>SUM(F2:F8)</f>
        <v>25419.8</v>
      </c>
      <c r="G18" s="14"/>
      <c r="H18" s="71">
        <f>SUM(H2:H5)</f>
        <v>10</v>
      </c>
      <c r="I18" s="18"/>
      <c r="J18" s="18"/>
      <c r="K18" s="18">
        <f>SUM(K2:K5)</f>
        <v>26573.75</v>
      </c>
      <c r="L18" s="14"/>
      <c r="M18" s="18">
        <f>SUM(M2:M10)</f>
        <v>0</v>
      </c>
    </row>
    <row r="19" spans="1:17" ht="15.75" thickBot="1" x14ac:dyDescent="0.3">
      <c r="A19" s="277" t="s">
        <v>191</v>
      </c>
      <c r="B19" s="278"/>
      <c r="C19" s="279">
        <f>SumByColor($A$19,C2:C17)</f>
        <v>10</v>
      </c>
      <c r="D19" s="279"/>
      <c r="E19" s="279"/>
      <c r="F19" s="280">
        <f>SumByColor($A$19,F2:F17)</f>
        <v>25420</v>
      </c>
      <c r="G19" s="279"/>
      <c r="H19" s="279">
        <f>SumByColor($A$19,H2:H17)</f>
        <v>10</v>
      </c>
      <c r="I19" s="279"/>
      <c r="J19" s="279"/>
      <c r="K19" s="280">
        <f>SumByColor($A$19,K2:K17)</f>
        <v>26574</v>
      </c>
      <c r="L19" s="279"/>
      <c r="M19" s="280">
        <f>SumByColor($A$19,M2:M17)</f>
        <v>0</v>
      </c>
    </row>
    <row r="22" spans="1:17" ht="20.25" thickBot="1" x14ac:dyDescent="0.35">
      <c r="O22" s="766" t="s">
        <v>78</v>
      </c>
      <c r="P22" s="766"/>
    </row>
    <row r="23" spans="1:17" ht="15.75" thickTop="1" x14ac:dyDescent="0.25">
      <c r="O23" s="81">
        <v>1.1000000000000001</v>
      </c>
      <c r="P23" s="81">
        <f>O23*$Q$4</f>
        <v>3026.8927699999999</v>
      </c>
      <c r="Q23" s="2"/>
    </row>
    <row r="24" spans="1:17"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0">O24*$Q$4</f>
        <v>2999.3755630000001</v>
      </c>
      <c r="Q24" s="2"/>
    </row>
    <row r="25" spans="1:17" x14ac:dyDescent="0.25">
      <c r="B25" s="164">
        <v>43301</v>
      </c>
      <c r="C25" s="10">
        <v>2</v>
      </c>
      <c r="D25" s="39">
        <v>2868</v>
      </c>
      <c r="E25" s="39">
        <v>2910</v>
      </c>
      <c r="F25" s="39">
        <f t="shared" ref="F25:F44" si="1">C25*(E25-D25)</f>
        <v>84</v>
      </c>
      <c r="G25" s="39">
        <f t="shared" ref="G25:G44" si="2">D25*C25</f>
        <v>5736</v>
      </c>
      <c r="H25" s="179">
        <f t="shared" ref="H25:H44" si="3">(E25-D25)/D25</f>
        <v>1.4644351464435146E-2</v>
      </c>
      <c r="I25" s="39"/>
      <c r="J25" s="39"/>
      <c r="K25" s="39"/>
      <c r="L25" s="39"/>
      <c r="O25" s="81">
        <v>1.08</v>
      </c>
      <c r="P25" s="81">
        <f t="shared" si="0"/>
        <v>2971.8583560000002</v>
      </c>
      <c r="Q25" s="2"/>
    </row>
    <row r="26" spans="1:17" x14ac:dyDescent="0.25">
      <c r="B26" s="164">
        <v>43316</v>
      </c>
      <c r="C26" s="10">
        <v>2</v>
      </c>
      <c r="D26" s="39">
        <v>2868</v>
      </c>
      <c r="E26" s="39">
        <v>2690.61</v>
      </c>
      <c r="F26" s="39">
        <f t="shared" si="1"/>
        <v>-354.77999999999975</v>
      </c>
      <c r="G26" s="39">
        <f t="shared" si="2"/>
        <v>5736</v>
      </c>
      <c r="H26" s="179">
        <f t="shared" si="3"/>
        <v>-6.18514644351464E-2</v>
      </c>
      <c r="I26" s="39"/>
      <c r="J26" s="39"/>
      <c r="K26" s="39"/>
      <c r="L26" s="39"/>
      <c r="O26" s="81">
        <v>1.07</v>
      </c>
      <c r="P26" s="81">
        <f t="shared" si="0"/>
        <v>2944.3411489999999</v>
      </c>
      <c r="Q26" s="2"/>
    </row>
    <row r="27" spans="1:17" x14ac:dyDescent="0.25">
      <c r="B27" s="164">
        <v>43325</v>
      </c>
      <c r="C27" s="10">
        <v>4</v>
      </c>
      <c r="D27" s="39">
        <v>2747</v>
      </c>
      <c r="E27" s="39">
        <v>2665</v>
      </c>
      <c r="F27" s="39">
        <f t="shared" si="1"/>
        <v>-328</v>
      </c>
      <c r="G27" s="39">
        <f t="shared" si="2"/>
        <v>10988</v>
      </c>
      <c r="H27" s="179">
        <f t="shared" si="3"/>
        <v>-2.9850746268656716E-2</v>
      </c>
      <c r="I27" s="39"/>
      <c r="J27" s="39"/>
      <c r="K27" s="39"/>
      <c r="L27" s="155"/>
      <c r="O27" s="81">
        <v>1.06</v>
      </c>
      <c r="P27" s="81">
        <f t="shared" si="0"/>
        <v>2916.823942</v>
      </c>
      <c r="Q27" s="2"/>
    </row>
    <row r="28" spans="1:17" x14ac:dyDescent="0.25">
      <c r="B28" s="164">
        <v>43328</v>
      </c>
      <c r="C28" s="10">
        <v>4</v>
      </c>
      <c r="D28" s="39">
        <v>2747</v>
      </c>
      <c r="E28" s="39">
        <v>2650</v>
      </c>
      <c r="F28" s="39">
        <f t="shared" si="1"/>
        <v>-388</v>
      </c>
      <c r="G28" s="39">
        <f t="shared" si="2"/>
        <v>10988</v>
      </c>
      <c r="H28" s="179">
        <f t="shared" si="3"/>
        <v>-3.5311248634874406E-2</v>
      </c>
      <c r="I28" s="39"/>
      <c r="J28" s="39"/>
      <c r="K28" s="39"/>
      <c r="L28" s="155"/>
      <c r="O28" s="81">
        <v>1.05</v>
      </c>
      <c r="P28" s="81">
        <f t="shared" si="0"/>
        <v>2889.3067350000001</v>
      </c>
      <c r="Q28" s="2"/>
    </row>
    <row r="29" spans="1:17" x14ac:dyDescent="0.25">
      <c r="A29">
        <v>2</v>
      </c>
      <c r="B29" s="164">
        <v>43329</v>
      </c>
      <c r="C29" s="10">
        <v>4</v>
      </c>
      <c r="D29" s="39">
        <v>2747</v>
      </c>
      <c r="E29" s="39">
        <v>2627.75</v>
      </c>
      <c r="F29" s="39">
        <f t="shared" si="1"/>
        <v>-477</v>
      </c>
      <c r="G29" s="39">
        <f t="shared" si="2"/>
        <v>10988</v>
      </c>
      <c r="H29" s="179">
        <f t="shared" si="3"/>
        <v>-4.3410993811430654E-2</v>
      </c>
      <c r="I29" s="39"/>
      <c r="J29" s="39"/>
      <c r="K29" s="39"/>
      <c r="L29" s="155"/>
      <c r="O29" s="81">
        <v>1.04</v>
      </c>
      <c r="P29" s="81">
        <f t="shared" si="0"/>
        <v>2861.7895279999998</v>
      </c>
      <c r="Q29" s="2"/>
    </row>
    <row r="30" spans="1:17" x14ac:dyDescent="0.25">
      <c r="A30">
        <v>2</v>
      </c>
      <c r="B30" s="164">
        <v>43334</v>
      </c>
      <c r="C30" s="10">
        <v>4</v>
      </c>
      <c r="D30" s="39">
        <v>2747</v>
      </c>
      <c r="E30" s="39">
        <v>2694.89</v>
      </c>
      <c r="F30" s="39">
        <f t="shared" si="1"/>
        <v>-208.44000000000051</v>
      </c>
      <c r="G30" s="39">
        <f t="shared" si="2"/>
        <v>10988</v>
      </c>
      <c r="H30" s="179">
        <f t="shared" si="3"/>
        <v>-1.8969785220240308E-2</v>
      </c>
      <c r="I30" s="39"/>
      <c r="J30" s="39"/>
      <c r="K30" s="39"/>
      <c r="L30" s="155"/>
      <c r="O30" s="81">
        <v>1.03</v>
      </c>
      <c r="P30" s="81">
        <f t="shared" si="0"/>
        <v>2834.2723209999999</v>
      </c>
      <c r="Q30" s="2"/>
    </row>
    <row r="31" spans="1:17" x14ac:dyDescent="0.25">
      <c r="A31">
        <v>2</v>
      </c>
      <c r="B31" s="164">
        <v>43348</v>
      </c>
      <c r="C31" s="10">
        <v>4</v>
      </c>
      <c r="D31" s="39">
        <v>2747</v>
      </c>
      <c r="E31" s="39">
        <v>2655.87</v>
      </c>
      <c r="F31" s="39">
        <f t="shared" si="1"/>
        <v>-364.52000000000044</v>
      </c>
      <c r="G31" s="39">
        <f t="shared" si="2"/>
        <v>10988</v>
      </c>
      <c r="H31" s="179">
        <f t="shared" si="3"/>
        <v>-3.3174372042227923E-2</v>
      </c>
      <c r="I31" s="39"/>
      <c r="J31" s="39"/>
      <c r="K31" s="39"/>
      <c r="L31" s="155"/>
      <c r="O31" s="81">
        <v>1.02</v>
      </c>
      <c r="P31" s="81">
        <f t="shared" si="0"/>
        <v>2806.755114</v>
      </c>
      <c r="Q31" s="2"/>
    </row>
    <row r="32" spans="1:17" x14ac:dyDescent="0.25">
      <c r="B32" s="164">
        <v>43383</v>
      </c>
      <c r="C32" s="10">
        <v>4</v>
      </c>
      <c r="D32" s="39">
        <v>2747</v>
      </c>
      <c r="E32" s="39">
        <v>2349.29</v>
      </c>
      <c r="F32" s="39">
        <f t="shared" si="1"/>
        <v>-1590.8400000000001</v>
      </c>
      <c r="G32" s="39">
        <f t="shared" si="2"/>
        <v>10988</v>
      </c>
      <c r="H32" s="179">
        <f t="shared" si="3"/>
        <v>-0.14477975973789589</v>
      </c>
      <c r="I32" s="39"/>
      <c r="J32" s="39"/>
      <c r="K32" s="39"/>
      <c r="L32" s="155"/>
      <c r="O32" s="81">
        <v>1.01</v>
      </c>
      <c r="P32" s="81">
        <f t="shared" si="0"/>
        <v>2779.2379069999997</v>
      </c>
      <c r="Q32" s="2"/>
    </row>
    <row r="33" spans="1:17" x14ac:dyDescent="0.25">
      <c r="A33">
        <v>4</v>
      </c>
      <c r="B33" s="164">
        <v>43384</v>
      </c>
      <c r="C33" s="10">
        <v>6</v>
      </c>
      <c r="D33" s="39">
        <v>2593.9699999999998</v>
      </c>
      <c r="E33" s="39">
        <v>2272.88</v>
      </c>
      <c r="F33" s="39">
        <f t="shared" si="1"/>
        <v>-1926.5399999999981</v>
      </c>
      <c r="G33" s="39">
        <f t="shared" si="2"/>
        <v>15563.82</v>
      </c>
      <c r="H33" s="179">
        <f t="shared" si="3"/>
        <v>-0.12378323573518572</v>
      </c>
      <c r="I33" s="39"/>
      <c r="J33" s="39"/>
      <c r="K33" s="39">
        <v>11.72</v>
      </c>
      <c r="L33" s="155"/>
      <c r="O33" s="81">
        <v>1</v>
      </c>
      <c r="P33" s="81">
        <f t="shared" si="0"/>
        <v>2751.7206999999999</v>
      </c>
      <c r="Q33" s="2"/>
    </row>
    <row r="34" spans="1:17" x14ac:dyDescent="0.25">
      <c r="B34" s="164">
        <v>43420</v>
      </c>
      <c r="C34" s="7">
        <v>6</v>
      </c>
      <c r="D34" s="43">
        <v>2593.9699999999998</v>
      </c>
      <c r="E34" s="39">
        <v>2401.2800000000002</v>
      </c>
      <c r="F34" s="39">
        <f t="shared" si="1"/>
        <v>-1156.1399999999976</v>
      </c>
      <c r="G34" s="39">
        <f t="shared" si="2"/>
        <v>15563.82</v>
      </c>
      <c r="H34" s="179">
        <f t="shared" si="3"/>
        <v>-7.4283819782032801E-2</v>
      </c>
      <c r="I34" s="39"/>
      <c r="J34" s="39"/>
      <c r="K34" s="39">
        <v>12.38</v>
      </c>
      <c r="L34" s="155"/>
      <c r="O34" s="81">
        <v>0.99</v>
      </c>
      <c r="P34" s="81">
        <f t="shared" si="0"/>
        <v>2724.203493</v>
      </c>
      <c r="Q34" s="2"/>
    </row>
    <row r="35" spans="1:17" x14ac:dyDescent="0.25">
      <c r="A35">
        <v>6</v>
      </c>
      <c r="B35" s="164">
        <v>43432</v>
      </c>
      <c r="C35" s="10">
        <v>6</v>
      </c>
      <c r="D35" s="39">
        <v>2593.9666999999999</v>
      </c>
      <c r="E35" s="39">
        <v>2562.71</v>
      </c>
      <c r="F35" s="39">
        <f t="shared" si="1"/>
        <v>-187.54019999999946</v>
      </c>
      <c r="G35" s="39">
        <f t="shared" si="2"/>
        <v>15563.8002</v>
      </c>
      <c r="H35" s="179">
        <f t="shared" si="3"/>
        <v>-1.2049769181693778E-2</v>
      </c>
      <c r="I35" s="39"/>
      <c r="J35" s="39"/>
      <c r="K35" s="39">
        <v>13.21</v>
      </c>
      <c r="L35" s="155"/>
      <c r="O35" s="81">
        <v>0.98</v>
      </c>
      <c r="P35" s="81">
        <f t="shared" si="0"/>
        <v>2696.6862859999997</v>
      </c>
      <c r="Q35" s="2"/>
    </row>
    <row r="36" spans="1:17" x14ac:dyDescent="0.25">
      <c r="A36">
        <v>6</v>
      </c>
      <c r="B36" s="164">
        <v>43433</v>
      </c>
      <c r="C36" s="10">
        <v>6</v>
      </c>
      <c r="D36" s="39">
        <v>2593.9699999999998</v>
      </c>
      <c r="E36" s="39">
        <v>2473.77</v>
      </c>
      <c r="F36" s="39">
        <f t="shared" si="1"/>
        <v>-721.19999999999891</v>
      </c>
      <c r="G36" s="39">
        <f t="shared" si="2"/>
        <v>15563.82</v>
      </c>
      <c r="H36" s="179">
        <f t="shared" si="3"/>
        <v>-4.6338238298823747E-2</v>
      </c>
      <c r="I36" s="39"/>
      <c r="J36" s="39"/>
      <c r="K36" s="39">
        <v>12.75</v>
      </c>
      <c r="L36" s="39"/>
      <c r="O36" s="81">
        <v>0.97</v>
      </c>
      <c r="P36" s="81">
        <f t="shared" si="0"/>
        <v>2669.1690789999998</v>
      </c>
    </row>
    <row r="37" spans="1:17" x14ac:dyDescent="0.25">
      <c r="A37" s="33">
        <v>6</v>
      </c>
      <c r="B37" s="164">
        <v>43434</v>
      </c>
      <c r="C37" s="10">
        <v>8</v>
      </c>
      <c r="D37" s="39">
        <v>2555.4749999999999</v>
      </c>
      <c r="E37" s="39">
        <v>2450</v>
      </c>
      <c r="F37" s="39">
        <f t="shared" si="1"/>
        <v>-843.79999999999927</v>
      </c>
      <c r="G37" s="39">
        <f t="shared" si="2"/>
        <v>20443.8</v>
      </c>
      <c r="H37" s="179">
        <f t="shared" si="3"/>
        <v>-4.1274127119224374E-2</v>
      </c>
      <c r="I37" s="39"/>
      <c r="J37" s="39"/>
      <c r="K37" s="39">
        <v>12.63</v>
      </c>
      <c r="L37" s="39"/>
      <c r="O37" s="81">
        <v>0.96</v>
      </c>
      <c r="P37" s="81">
        <f t="shared" si="0"/>
        <v>2641.6518719999999</v>
      </c>
    </row>
    <row r="38" spans="1:17" x14ac:dyDescent="0.25">
      <c r="A38">
        <v>6</v>
      </c>
      <c r="B38" s="164">
        <v>43442</v>
      </c>
      <c r="C38" s="10">
        <v>8</v>
      </c>
      <c r="D38" s="39">
        <v>2555.48</v>
      </c>
      <c r="E38" s="39">
        <v>2456.7399999999998</v>
      </c>
      <c r="F38" s="39">
        <f t="shared" si="1"/>
        <v>-789.92000000000189</v>
      </c>
      <c r="G38" s="39">
        <f t="shared" si="2"/>
        <v>20443.84</v>
      </c>
      <c r="H38" s="179">
        <f t="shared" si="3"/>
        <v>-3.8638533660995289E-2</v>
      </c>
      <c r="I38" s="39"/>
      <c r="J38" s="39"/>
      <c r="K38" s="39">
        <v>12.66</v>
      </c>
      <c r="L38" s="39"/>
      <c r="O38" s="81">
        <v>0.95</v>
      </c>
      <c r="P38" s="81">
        <f t="shared" si="0"/>
        <v>2614.1346649999996</v>
      </c>
    </row>
    <row r="39" spans="1:17" x14ac:dyDescent="0.25">
      <c r="B39" s="164">
        <v>43467</v>
      </c>
      <c r="C39" s="10">
        <v>8</v>
      </c>
      <c r="D39" s="39">
        <v>2555.48</v>
      </c>
      <c r="E39" s="39">
        <v>2420.8200000000002</v>
      </c>
      <c r="F39" s="39">
        <f t="shared" si="1"/>
        <v>-1077.2799999999988</v>
      </c>
      <c r="G39" s="39">
        <f t="shared" si="2"/>
        <v>20443.84</v>
      </c>
      <c r="H39" s="179">
        <f t="shared" si="3"/>
        <v>-5.2694601405606716E-2</v>
      </c>
      <c r="I39" s="39"/>
      <c r="J39" s="39"/>
      <c r="K39" s="39">
        <v>12.48</v>
      </c>
      <c r="L39" s="39"/>
      <c r="O39" s="81">
        <v>0.94</v>
      </c>
      <c r="P39" s="81">
        <f t="shared" si="0"/>
        <v>2586.6174579999997</v>
      </c>
    </row>
    <row r="40" spans="1:17" x14ac:dyDescent="0.25">
      <c r="A40">
        <v>6</v>
      </c>
      <c r="B40" s="164">
        <v>43474</v>
      </c>
      <c r="C40" s="7">
        <v>6</v>
      </c>
      <c r="D40" s="43">
        <v>2552.31</v>
      </c>
      <c r="E40" s="39">
        <v>2531.5300000000002</v>
      </c>
      <c r="F40" s="39">
        <f t="shared" si="1"/>
        <v>-124.67999999999847</v>
      </c>
      <c r="G40" s="39">
        <f t="shared" si="2"/>
        <v>15313.86</v>
      </c>
      <c r="H40" s="179">
        <f t="shared" si="3"/>
        <v>-8.1416442360057149E-3</v>
      </c>
      <c r="I40" s="39">
        <v>2500</v>
      </c>
      <c r="J40" s="39"/>
      <c r="K40" s="39">
        <v>13.05</v>
      </c>
      <c r="L40" s="39"/>
      <c r="O40" s="81">
        <v>0.93</v>
      </c>
      <c r="P40" s="81">
        <f t="shared" si="0"/>
        <v>2559.1002509999998</v>
      </c>
    </row>
    <row r="41" spans="1:17" x14ac:dyDescent="0.25">
      <c r="A41">
        <v>6</v>
      </c>
      <c r="B41" s="164">
        <v>43477</v>
      </c>
      <c r="C41" s="10">
        <v>6</v>
      </c>
      <c r="D41" s="39">
        <v>2552.31</v>
      </c>
      <c r="E41" s="39">
        <v>2586.1</v>
      </c>
      <c r="F41" s="778">
        <f t="shared" si="1"/>
        <v>202.73999999999978</v>
      </c>
      <c r="G41" s="39">
        <f t="shared" si="2"/>
        <v>15313.86</v>
      </c>
      <c r="H41" s="179">
        <f t="shared" si="3"/>
        <v>1.3238987427075851E-2</v>
      </c>
      <c r="I41" s="39"/>
      <c r="J41" s="39"/>
      <c r="K41" s="39">
        <v>13.33</v>
      </c>
      <c r="L41" s="39"/>
      <c r="O41" s="81">
        <v>0.92</v>
      </c>
      <c r="P41" s="81">
        <f t="shared" si="0"/>
        <v>2531.583044</v>
      </c>
    </row>
    <row r="42" spans="1:17" x14ac:dyDescent="0.25">
      <c r="A42">
        <v>6</v>
      </c>
      <c r="B42" s="164">
        <v>43483</v>
      </c>
      <c r="C42" s="10">
        <v>8</v>
      </c>
      <c r="D42" s="39">
        <v>2536.23</v>
      </c>
      <c r="E42" s="39">
        <v>2488</v>
      </c>
      <c r="F42" s="39">
        <f t="shared" si="1"/>
        <v>-385.84000000000015</v>
      </c>
      <c r="G42" s="39">
        <f t="shared" si="2"/>
        <v>20289.84</v>
      </c>
      <c r="H42" s="179">
        <f t="shared" si="3"/>
        <v>-1.9016414126479073E-2</v>
      </c>
      <c r="I42" s="39"/>
      <c r="J42" s="39"/>
      <c r="K42" s="39">
        <v>13.03</v>
      </c>
      <c r="L42" s="39"/>
      <c r="O42" s="81">
        <v>0.91</v>
      </c>
      <c r="P42" s="81">
        <f t="shared" si="0"/>
        <v>2504.0658370000001</v>
      </c>
    </row>
    <row r="43" spans="1:17" x14ac:dyDescent="0.25">
      <c r="A43">
        <v>4</v>
      </c>
      <c r="B43" s="164">
        <v>43490</v>
      </c>
      <c r="C43" s="7">
        <v>6</v>
      </c>
      <c r="D43" s="43">
        <v>2505.66</v>
      </c>
      <c r="E43" s="39">
        <v>2517.06</v>
      </c>
      <c r="F43" s="39">
        <f t="shared" si="1"/>
        <v>68.400000000000546</v>
      </c>
      <c r="G43" s="39">
        <f t="shared" si="2"/>
        <v>15033.96</v>
      </c>
      <c r="H43" s="179">
        <f t="shared" si="3"/>
        <v>4.5496994803764642E-3</v>
      </c>
      <c r="I43" s="39"/>
      <c r="J43" s="39"/>
      <c r="K43" s="39">
        <v>13</v>
      </c>
      <c r="L43" s="39"/>
      <c r="O43" s="81">
        <v>0.9</v>
      </c>
      <c r="P43" s="81">
        <f t="shared" si="0"/>
        <v>2476.5486299999998</v>
      </c>
    </row>
    <row r="44" spans="1:17" x14ac:dyDescent="0.25">
      <c r="A44">
        <v>0</v>
      </c>
      <c r="B44" s="164">
        <v>43495</v>
      </c>
      <c r="C44" s="10">
        <v>2</v>
      </c>
      <c r="D44" s="39">
        <v>2181.04</v>
      </c>
      <c r="E44" s="39">
        <v>2649.77</v>
      </c>
      <c r="F44" s="778">
        <f t="shared" si="1"/>
        <v>937.46</v>
      </c>
      <c r="G44" s="39">
        <f t="shared" si="2"/>
        <v>4362.08</v>
      </c>
      <c r="H44" s="179">
        <f t="shared" si="3"/>
        <v>0.21491123500715256</v>
      </c>
      <c r="I44" s="39"/>
      <c r="J44" s="39"/>
      <c r="K44" s="39">
        <v>13.66</v>
      </c>
      <c r="L44" s="39"/>
    </row>
    <row r="45" spans="1:17" x14ac:dyDescent="0.25">
      <c r="B45" s="164">
        <v>43531</v>
      </c>
      <c r="C45" s="10">
        <v>0</v>
      </c>
      <c r="D45" s="39"/>
      <c r="E45" s="39"/>
      <c r="F45" s="39"/>
      <c r="G45" s="39"/>
      <c r="H45" s="179"/>
      <c r="I45" s="39"/>
      <c r="J45" s="778">
        <v>1153.95</v>
      </c>
      <c r="K45" s="39">
        <v>14.18</v>
      </c>
      <c r="L45" s="39"/>
    </row>
    <row r="46" spans="1:17" x14ac:dyDescent="0.25">
      <c r="B46" s="164"/>
      <c r="C46" s="10"/>
      <c r="D46" s="39"/>
      <c r="E46" s="39"/>
      <c r="F46" s="39"/>
      <c r="G46" s="39"/>
      <c r="H46" s="179"/>
      <c r="I46" s="39"/>
      <c r="J46" s="39"/>
      <c r="K46" s="39"/>
      <c r="L46" s="39"/>
    </row>
    <row r="47" spans="1:17" x14ac:dyDescent="0.25">
      <c r="B47" s="164"/>
      <c r="C47" s="10"/>
      <c r="D47" s="39"/>
      <c r="E47" s="39"/>
      <c r="F47" s="39"/>
      <c r="G47" s="39"/>
      <c r="H47" s="179"/>
      <c r="I47" s="39"/>
      <c r="J47" s="39"/>
      <c r="K47" s="39"/>
      <c r="L47" s="39"/>
    </row>
    <row r="48" spans="1:17" x14ac:dyDescent="0.25">
      <c r="B48" s="164"/>
      <c r="C48" s="10"/>
      <c r="D48" s="39"/>
      <c r="E48" s="39"/>
      <c r="F48" s="39"/>
      <c r="G48" s="39"/>
      <c r="H48" s="179"/>
      <c r="I48" s="39"/>
      <c r="J48" s="39"/>
      <c r="K48" s="39"/>
      <c r="L48" s="39"/>
    </row>
    <row r="49" spans="1:12" x14ac:dyDescent="0.25">
      <c r="B49" s="164"/>
      <c r="C49" s="10"/>
      <c r="D49" s="39"/>
      <c r="E49" s="39"/>
      <c r="F49" s="39"/>
      <c r="G49" s="39"/>
      <c r="H49" s="179"/>
      <c r="I49" s="39"/>
      <c r="J49" s="39"/>
      <c r="K49" s="39"/>
      <c r="L49" s="39"/>
    </row>
    <row r="50" spans="1:12" x14ac:dyDescent="0.25">
      <c r="B50" s="164"/>
      <c r="C50" s="10"/>
      <c r="D50" s="39"/>
      <c r="E50" s="39"/>
      <c r="F50" s="39"/>
      <c r="G50" s="39"/>
      <c r="H50" s="179"/>
      <c r="I50" s="39"/>
      <c r="J50" s="39"/>
      <c r="K50" s="39"/>
      <c r="L50" s="39"/>
    </row>
    <row r="51" spans="1:12" x14ac:dyDescent="0.25">
      <c r="B51" s="164"/>
      <c r="C51" s="10"/>
      <c r="D51" s="39"/>
      <c r="E51" s="39"/>
      <c r="F51" s="39"/>
      <c r="G51" s="39"/>
      <c r="H51" s="179"/>
      <c r="I51" s="39"/>
      <c r="J51" s="39"/>
      <c r="K51" s="39"/>
      <c r="L51" s="39"/>
    </row>
    <row r="52" spans="1:12" x14ac:dyDescent="0.25">
      <c r="B52" s="164"/>
      <c r="C52" s="10"/>
      <c r="D52" s="39"/>
      <c r="E52" s="39"/>
      <c r="F52" s="39"/>
      <c r="G52" s="39"/>
      <c r="H52" s="179"/>
      <c r="I52" s="39"/>
      <c r="J52" s="39"/>
      <c r="K52" s="39"/>
      <c r="L52" s="39"/>
    </row>
    <row r="53" spans="1:12" x14ac:dyDescent="0.25">
      <c r="B53" s="164"/>
      <c r="C53" s="10"/>
      <c r="D53" s="39"/>
      <c r="E53" s="39"/>
      <c r="F53" s="39"/>
      <c r="G53" s="39"/>
      <c r="H53" s="179"/>
      <c r="I53" s="39"/>
      <c r="J53" s="39"/>
      <c r="K53" s="39"/>
      <c r="L53" s="39"/>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1184</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3628" priority="33">
      <formula>F54&gt;0</formula>
    </cfRule>
    <cfRule type="expression" dxfId="3627" priority="34">
      <formula>F54&lt;0</formula>
    </cfRule>
  </conditionalFormatting>
  <conditionalFormatting sqref="Q7">
    <cfRule type="expression" dxfId="3626" priority="31">
      <formula>Q7&gt;0</formula>
    </cfRule>
    <cfRule type="expression" dxfId="3625" priority="32">
      <formula>Q7&lt;0</formula>
    </cfRule>
  </conditionalFormatting>
  <conditionalFormatting sqref="Q8">
    <cfRule type="expression" dxfId="3624" priority="29">
      <formula>Q8&gt;0</formula>
    </cfRule>
    <cfRule type="expression" dxfId="3623" priority="30">
      <formula>Q8&lt;0</formula>
    </cfRule>
  </conditionalFormatting>
  <conditionalFormatting sqref="F31:F53">
    <cfRule type="expression" dxfId="3622" priority="27">
      <formula>F31&gt;0</formula>
    </cfRule>
    <cfRule type="expression" dxfId="3621" priority="28">
      <formula>F31&lt;0</formula>
    </cfRule>
  </conditionalFormatting>
  <conditionalFormatting sqref="H31:H53">
    <cfRule type="expression" dxfId="3620" priority="25">
      <formula>H31&gt;0</formula>
    </cfRule>
    <cfRule type="expression" dxfId="3619" priority="26">
      <formula>H31&lt;0</formula>
    </cfRule>
  </conditionalFormatting>
  <conditionalFormatting sqref="Q10">
    <cfRule type="expression" dxfId="3618" priority="23">
      <formula>Q10&gt;0</formula>
    </cfRule>
    <cfRule type="expression" dxfId="3617" priority="24">
      <formula>Q10&lt;0</formula>
    </cfRule>
  </conditionalFormatting>
  <conditionalFormatting sqref="J25:J38">
    <cfRule type="expression" dxfId="3616" priority="21">
      <formula>J25&gt;0</formula>
    </cfRule>
    <cfRule type="expression" dxfId="3615" priority="22">
      <formula>J25&lt;0</formula>
    </cfRule>
  </conditionalFormatting>
  <conditionalFormatting sqref="L25:L38">
    <cfRule type="expression" dxfId="3614" priority="17">
      <formula>L25&gt;0</formula>
    </cfRule>
    <cfRule type="expression" dxfId="3613" priority="18">
      <formula>L25&lt;0</formula>
    </cfRule>
  </conditionalFormatting>
  <conditionalFormatting sqref="F89:F110">
    <cfRule type="expression" dxfId="3612" priority="15">
      <formula>F89&gt;0</formula>
    </cfRule>
    <cfRule type="expression" dxfId="3611" priority="16">
      <formula>F89&lt;0</formula>
    </cfRule>
  </conditionalFormatting>
  <conditionalFormatting sqref="H89:H110">
    <cfRule type="expression" dxfId="3610" priority="13">
      <formula>H89&gt;0</formula>
    </cfRule>
    <cfRule type="expression" dxfId="3609" priority="14">
      <formula>H89&lt;0</formula>
    </cfRule>
  </conditionalFormatting>
  <conditionalFormatting sqref="J89:J102">
    <cfRule type="expression" dxfId="3608" priority="11">
      <formula>J89&gt;0</formula>
    </cfRule>
    <cfRule type="expression" dxfId="3607" priority="12">
      <formula>J89&lt;0</formula>
    </cfRule>
  </conditionalFormatting>
  <conditionalFormatting sqref="K89:K102">
    <cfRule type="expression" dxfId="3606" priority="9">
      <formula>K89&gt;0</formula>
    </cfRule>
    <cfRule type="expression" dxfId="3605" priority="10">
      <formula>K89&lt;0</formula>
    </cfRule>
  </conditionalFormatting>
  <conditionalFormatting sqref="L89:L102">
    <cfRule type="expression" dxfId="3604" priority="7">
      <formula>L89&gt;0</formula>
    </cfRule>
    <cfRule type="expression" dxfId="3603" priority="8">
      <formula>L89&lt;0</formula>
    </cfRule>
  </conditionalFormatting>
  <conditionalFormatting sqref="F25:F30">
    <cfRule type="expression" dxfId="3602" priority="5">
      <formula>F25&gt;0</formula>
    </cfRule>
    <cfRule type="expression" dxfId="3601" priority="6">
      <formula>F25&lt;0</formula>
    </cfRule>
  </conditionalFormatting>
  <conditionalFormatting sqref="H25:H30">
    <cfRule type="expression" dxfId="3600" priority="3">
      <formula>H25&gt;0</formula>
    </cfRule>
    <cfRule type="expression" dxfId="3599" priority="4">
      <formula>H25&lt;0</formula>
    </cfRule>
  </conditionalFormatting>
  <conditionalFormatting sqref="J45">
    <cfRule type="expression" dxfId="3598" priority="1">
      <formula>J45&gt;0</formula>
    </cfRule>
    <cfRule type="expression" dxfId="3597"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199</v>
      </c>
      <c r="B2" s="72"/>
      <c r="C2" s="4"/>
      <c r="D2" s="3"/>
      <c r="E2" s="3"/>
      <c r="F2" s="3"/>
      <c r="G2" s="72"/>
      <c r="H2" s="161"/>
      <c r="I2" s="3"/>
      <c r="J2" s="3"/>
      <c r="K2" s="3"/>
      <c r="L2" s="72"/>
      <c r="M2" s="4"/>
      <c r="O2" s="11" t="s">
        <v>57</v>
      </c>
      <c r="Q2">
        <f>C18-H18</f>
        <v>0</v>
      </c>
      <c r="T2" s="1"/>
    </row>
    <row r="3" spans="1:31" x14ac:dyDescent="0.25">
      <c r="A3" s="22" t="s">
        <v>71</v>
      </c>
      <c r="B3" s="286"/>
      <c r="C3" s="4"/>
      <c r="D3" s="3"/>
      <c r="E3" s="3"/>
      <c r="F3" s="3"/>
      <c r="G3" s="72"/>
      <c r="H3" s="161"/>
      <c r="I3" s="3"/>
      <c r="J3" s="3"/>
      <c r="K3" s="3"/>
      <c r="L3" s="4"/>
      <c r="M3" s="4"/>
      <c r="O3" s="11" t="s">
        <v>58</v>
      </c>
      <c r="Q3" s="178">
        <f>IF(Q2=0, Q4, (F18-K18-M18)/Q2)</f>
        <v>165.25</v>
      </c>
      <c r="X3" s="1"/>
      <c r="AB3" s="182"/>
      <c r="AE3" s="182"/>
    </row>
    <row r="4" spans="1:31" x14ac:dyDescent="0.25">
      <c r="B4" s="286"/>
      <c r="C4" s="4"/>
      <c r="D4" s="3"/>
      <c r="E4" s="3"/>
      <c r="F4" s="3"/>
      <c r="G4" s="72"/>
      <c r="H4" s="161"/>
      <c r="I4" s="3"/>
      <c r="J4" s="3"/>
      <c r="K4" s="3"/>
      <c r="L4" s="4"/>
      <c r="M4" s="4"/>
      <c r="O4" s="11" t="s">
        <v>66</v>
      </c>
      <c r="Q4" s="54">
        <v>165.25</v>
      </c>
      <c r="R4" s="420">
        <v>9.7000000000000003E-3</v>
      </c>
      <c r="T4" s="1"/>
      <c r="AB4" s="182"/>
      <c r="AE4" s="182"/>
    </row>
    <row r="5" spans="1:31" x14ac:dyDescent="0.25">
      <c r="B5" s="72"/>
      <c r="C5" s="4"/>
      <c r="D5" s="3"/>
      <c r="E5" s="3"/>
      <c r="F5" s="3"/>
      <c r="G5" s="72"/>
      <c r="H5" s="161"/>
      <c r="I5" s="3"/>
      <c r="J5" s="3"/>
      <c r="K5" s="3"/>
      <c r="L5" s="4"/>
      <c r="M5" s="4"/>
      <c r="O5" s="11" t="s">
        <v>67</v>
      </c>
      <c r="Q5" s="3">
        <f>Q4*Q2</f>
        <v>0</v>
      </c>
      <c r="T5" s="1"/>
      <c r="AB5" s="182"/>
      <c r="AE5" s="182"/>
    </row>
    <row r="6" spans="1:31" x14ac:dyDescent="0.25">
      <c r="B6" s="157"/>
      <c r="C6" s="4"/>
      <c r="D6" s="3"/>
      <c r="E6" s="3"/>
      <c r="F6" s="3"/>
      <c r="G6" s="72"/>
      <c r="H6" s="161"/>
      <c r="I6" s="3"/>
      <c r="J6" s="3"/>
      <c r="K6" s="3"/>
      <c r="L6" s="4"/>
      <c r="M6" s="4"/>
      <c r="O6" s="11" t="s">
        <v>64</v>
      </c>
      <c r="Q6" s="2">
        <f>Q3*Q2</f>
        <v>0</v>
      </c>
      <c r="AB6" s="182"/>
      <c r="AE6" s="182"/>
    </row>
    <row r="7" spans="1:31" x14ac:dyDescent="0.25">
      <c r="B7" s="157"/>
      <c r="C7" s="4"/>
      <c r="D7" s="3"/>
      <c r="E7" s="3"/>
      <c r="F7" s="3"/>
      <c r="G7" s="72"/>
      <c r="H7" s="161"/>
      <c r="I7" s="3"/>
      <c r="J7" s="3"/>
      <c r="K7" s="3"/>
      <c r="L7" s="4"/>
      <c r="M7" s="4"/>
      <c r="O7" s="11" t="s">
        <v>177</v>
      </c>
      <c r="Q7" s="2">
        <f>Q10+Q8</f>
        <v>363.09999999999945</v>
      </c>
      <c r="R7">
        <v>0</v>
      </c>
      <c r="AB7" s="182"/>
      <c r="AE7" s="182"/>
    </row>
    <row r="8" spans="1:31" x14ac:dyDescent="0.25">
      <c r="B8" s="72"/>
      <c r="C8" s="4"/>
      <c r="D8" s="3"/>
      <c r="E8" s="3"/>
      <c r="F8" s="3"/>
      <c r="G8" s="72"/>
      <c r="H8" s="161"/>
      <c r="I8" s="3"/>
      <c r="J8" s="3"/>
      <c r="K8" s="3"/>
      <c r="L8" s="4"/>
      <c r="M8" s="4"/>
      <c r="O8" s="11" t="s">
        <v>179</v>
      </c>
      <c r="P8" s="33"/>
      <c r="Q8" s="2">
        <f>K18+M18-F18+Q2*Q4</f>
        <v>0</v>
      </c>
      <c r="AB8" s="182"/>
      <c r="AE8" s="182"/>
    </row>
    <row r="9" spans="1:31" x14ac:dyDescent="0.25">
      <c r="B9" s="72"/>
      <c r="C9" s="4"/>
      <c r="D9" s="3"/>
      <c r="E9" s="3"/>
      <c r="F9" s="3"/>
      <c r="G9" s="72"/>
      <c r="H9" s="161"/>
      <c r="I9" s="3"/>
      <c r="J9" s="3"/>
      <c r="K9" s="3"/>
      <c r="L9" s="4"/>
      <c r="M9" s="4"/>
      <c r="O9" s="11" t="s">
        <v>204</v>
      </c>
      <c r="Q9" s="134">
        <f>IF(Q2=0, 0, Q8/Q6)</f>
        <v>0</v>
      </c>
      <c r="T9" s="151"/>
    </row>
    <row r="10" spans="1:31" x14ac:dyDescent="0.25">
      <c r="B10" s="72"/>
      <c r="C10" s="4"/>
      <c r="D10" s="3"/>
      <c r="E10" s="3"/>
      <c r="F10" s="3"/>
      <c r="G10" s="72"/>
      <c r="H10" s="161"/>
      <c r="I10" s="4"/>
      <c r="J10" s="4"/>
      <c r="K10" s="3"/>
      <c r="L10" s="4"/>
      <c r="O10" s="11" t="s">
        <v>203</v>
      </c>
      <c r="P10" s="33"/>
      <c r="Q10" s="2">
        <f>M55</f>
        <v>363.09999999999945</v>
      </c>
    </row>
    <row r="11" spans="1:31" x14ac:dyDescent="0.25">
      <c r="B11" s="72"/>
      <c r="C11" s="4"/>
      <c r="D11" s="3"/>
      <c r="E11" s="3"/>
      <c r="F11" s="3"/>
      <c r="G11" s="72"/>
      <c r="H11" s="161"/>
      <c r="I11" s="4"/>
      <c r="J11" s="4"/>
      <c r="K11" s="3"/>
      <c r="L11" s="4"/>
      <c r="O11" s="11" t="s">
        <v>175</v>
      </c>
      <c r="P11" s="33"/>
      <c r="Q11" s="134">
        <v>0</v>
      </c>
    </row>
    <row r="12" spans="1:31" x14ac:dyDescent="0.25">
      <c r="B12" s="72"/>
      <c r="C12" s="4"/>
      <c r="D12" s="3"/>
      <c r="E12" s="3"/>
      <c r="F12" s="3"/>
      <c r="G12" s="72"/>
      <c r="H12" s="161"/>
      <c r="I12" s="4"/>
      <c r="J12" s="4"/>
      <c r="K12" s="3"/>
      <c r="L12" s="4"/>
    </row>
    <row r="13" spans="1:31" x14ac:dyDescent="0.25">
      <c r="B13" s="72"/>
      <c r="C13" s="4"/>
      <c r="D13" s="3"/>
      <c r="E13" s="3"/>
      <c r="F13" s="3"/>
      <c r="G13" s="72"/>
      <c r="H13" s="161"/>
      <c r="I13" s="3"/>
      <c r="J13" s="4"/>
      <c r="K13" s="3"/>
      <c r="L13" s="4"/>
    </row>
    <row r="14" spans="1:31" x14ac:dyDescent="0.25">
      <c r="B14" s="72"/>
      <c r="C14" s="4"/>
      <c r="D14" s="3"/>
      <c r="E14" s="3"/>
      <c r="F14" s="3"/>
      <c r="G14" s="72"/>
      <c r="H14" s="161"/>
      <c r="I14" s="4"/>
      <c r="J14" s="4"/>
      <c r="K14" s="3"/>
      <c r="L14" s="4"/>
    </row>
    <row r="15" spans="1:31" x14ac:dyDescent="0.25">
      <c r="B15" s="4"/>
      <c r="C15" s="4"/>
      <c r="D15" s="3"/>
      <c r="E15" s="3"/>
      <c r="F15" s="3"/>
      <c r="G15" s="72"/>
      <c r="H15" s="161"/>
      <c r="I15" s="4"/>
      <c r="J15" s="4"/>
      <c r="K15" s="3"/>
      <c r="L15" s="4"/>
    </row>
    <row r="16" spans="1:31" x14ac:dyDescent="0.25">
      <c r="G16" s="1"/>
      <c r="H16" s="70"/>
    </row>
    <row r="17" spans="1:14" x14ac:dyDescent="0.25">
      <c r="G17" s="1"/>
      <c r="H17" s="70"/>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N19" s="2"/>
    </row>
    <row r="24" spans="1:14" x14ac:dyDescent="0.25">
      <c r="B24" s="162" t="s">
        <v>113</v>
      </c>
      <c r="C24" s="162" t="s">
        <v>145</v>
      </c>
      <c r="D24" s="163" t="s">
        <v>144</v>
      </c>
      <c r="E24" s="165" t="s">
        <v>146</v>
      </c>
      <c r="F24" s="166" t="s">
        <v>65</v>
      </c>
      <c r="G24" s="177" t="s">
        <v>150</v>
      </c>
      <c r="H24" s="166" t="s">
        <v>88</v>
      </c>
      <c r="I24" s="166" t="s">
        <v>153</v>
      </c>
    </row>
    <row r="25" spans="1:14" x14ac:dyDescent="0.25">
      <c r="B25" s="164">
        <v>42502</v>
      </c>
      <c r="C25" s="10">
        <v>25</v>
      </c>
      <c r="D25" s="39">
        <v>90.451999999999998</v>
      </c>
      <c r="E25" s="39">
        <v>90.34</v>
      </c>
      <c r="F25" s="39">
        <f t="shared" ref="F25:F34" si="0">C25*(E25-D25)</f>
        <v>-2.7999999999998693</v>
      </c>
      <c r="G25" s="39">
        <f t="shared" ref="G25:G34" si="1">D25*C25</f>
        <v>2261.3000000000002</v>
      </c>
      <c r="H25" s="179">
        <f t="shared" ref="H25:H34" si="2">(E25-D25)/D25</f>
        <v>-1.238225799318918E-3</v>
      </c>
      <c r="I25" s="179"/>
    </row>
    <row r="26" spans="1:14" x14ac:dyDescent="0.25">
      <c r="B26" s="164">
        <v>42506</v>
      </c>
      <c r="C26" s="185">
        <v>25</v>
      </c>
      <c r="D26" s="186">
        <v>90.451999999999998</v>
      </c>
      <c r="E26" s="39">
        <v>93.88</v>
      </c>
      <c r="F26" s="39">
        <f t="shared" si="0"/>
        <v>85.699999999999932</v>
      </c>
      <c r="G26" s="39">
        <f t="shared" si="1"/>
        <v>2261.3000000000002</v>
      </c>
      <c r="H26" s="179">
        <f t="shared" si="2"/>
        <v>3.7898553929155768E-2</v>
      </c>
      <c r="I26" s="179"/>
    </row>
    <row r="27" spans="1:14" x14ac:dyDescent="0.25">
      <c r="B27" s="164">
        <v>42515</v>
      </c>
      <c r="C27" s="10">
        <v>25</v>
      </c>
      <c r="D27" s="39">
        <v>90.451999999999998</v>
      </c>
      <c r="E27" s="39">
        <v>99.62</v>
      </c>
      <c r="F27" s="39">
        <f t="shared" si="0"/>
        <v>229.20000000000016</v>
      </c>
      <c r="G27" s="39">
        <f t="shared" si="1"/>
        <v>2261.3000000000002</v>
      </c>
      <c r="H27" s="179">
        <f t="shared" si="2"/>
        <v>0.10135762614425338</v>
      </c>
      <c r="I27" s="180" t="s">
        <v>208</v>
      </c>
    </row>
    <row r="28" spans="1:14" x14ac:dyDescent="0.25">
      <c r="B28" s="164">
        <v>42524</v>
      </c>
      <c r="C28" s="10">
        <v>25</v>
      </c>
      <c r="D28" s="39">
        <v>90.451999999999998</v>
      </c>
      <c r="E28" s="39">
        <v>97.84</v>
      </c>
      <c r="F28" s="39">
        <f t="shared" si="0"/>
        <v>184.70000000000013</v>
      </c>
      <c r="G28" s="39">
        <f t="shared" si="1"/>
        <v>2261.3000000000002</v>
      </c>
      <c r="H28" s="179">
        <f t="shared" si="2"/>
        <v>8.1678680405076781E-2</v>
      </c>
      <c r="I28" s="39"/>
    </row>
    <row r="29" spans="1:14" x14ac:dyDescent="0.25">
      <c r="B29" s="164">
        <v>42539</v>
      </c>
      <c r="C29" s="10">
        <v>25</v>
      </c>
      <c r="D29" s="39">
        <v>90.45</v>
      </c>
      <c r="E29" s="39">
        <v>95.33</v>
      </c>
      <c r="F29" s="39">
        <f t="shared" si="0"/>
        <v>121.99999999999989</v>
      </c>
      <c r="G29" s="39">
        <f t="shared" si="1"/>
        <v>2261.25</v>
      </c>
      <c r="H29" s="179">
        <f t="shared" si="2"/>
        <v>5.3952459922609122E-2</v>
      </c>
      <c r="I29" s="39"/>
    </row>
    <row r="30" spans="1:14" x14ac:dyDescent="0.25">
      <c r="B30" s="164">
        <v>42544</v>
      </c>
      <c r="C30" s="10">
        <v>25</v>
      </c>
      <c r="D30" s="39">
        <v>90.451999999999998</v>
      </c>
      <c r="E30" s="39">
        <v>96.1</v>
      </c>
      <c r="F30" s="39">
        <f t="shared" si="0"/>
        <v>141.1999999999999</v>
      </c>
      <c r="G30" s="39">
        <f t="shared" si="1"/>
        <v>2261.3000000000002</v>
      </c>
      <c r="H30" s="179">
        <f t="shared" si="2"/>
        <v>6.2441958165656883E-2</v>
      </c>
      <c r="I30" s="39"/>
    </row>
    <row r="31" spans="1:14" x14ac:dyDescent="0.25">
      <c r="B31" s="164">
        <v>42545</v>
      </c>
      <c r="C31" s="10">
        <v>50</v>
      </c>
      <c r="D31" s="39">
        <v>91.725999999999999</v>
      </c>
      <c r="E31" s="39">
        <v>93.4</v>
      </c>
      <c r="F31" s="39">
        <f t="shared" si="0"/>
        <v>83.70000000000033</v>
      </c>
      <c r="G31" s="39">
        <f t="shared" si="1"/>
        <v>4586.3</v>
      </c>
      <c r="H31" s="179">
        <f t="shared" si="2"/>
        <v>1.825000545101723E-2</v>
      </c>
      <c r="I31" s="39"/>
    </row>
    <row r="32" spans="1:14" x14ac:dyDescent="0.25">
      <c r="B32" s="164">
        <v>42548</v>
      </c>
      <c r="C32" s="10">
        <v>50</v>
      </c>
      <c r="D32" s="39">
        <v>91.725999999999999</v>
      </c>
      <c r="E32" s="39">
        <v>92.04</v>
      </c>
      <c r="F32" s="39">
        <f t="shared" si="0"/>
        <v>15.700000000000358</v>
      </c>
      <c r="G32" s="39">
        <f t="shared" si="1"/>
        <v>4586.3</v>
      </c>
      <c r="H32" s="179">
        <f t="shared" si="2"/>
        <v>3.4232387763557461E-3</v>
      </c>
      <c r="I32" s="39"/>
    </row>
    <row r="33" spans="2:21" x14ac:dyDescent="0.25">
      <c r="B33" s="164">
        <v>42549</v>
      </c>
      <c r="C33" s="7">
        <v>50</v>
      </c>
      <c r="D33" s="43">
        <v>91.73</v>
      </c>
      <c r="E33" s="39">
        <v>93.59</v>
      </c>
      <c r="F33" s="39">
        <f t="shared" si="0"/>
        <v>92.999999999999972</v>
      </c>
      <c r="G33" s="39">
        <f t="shared" si="1"/>
        <v>4586.5</v>
      </c>
      <c r="H33" s="179">
        <f t="shared" si="2"/>
        <v>2.0276899596642313E-2</v>
      </c>
      <c r="I33" s="39"/>
    </row>
    <row r="34" spans="2:21" x14ac:dyDescent="0.25">
      <c r="B34" s="164">
        <v>42552</v>
      </c>
      <c r="C34" s="185">
        <v>25</v>
      </c>
      <c r="D34" s="186">
        <v>87.174000000000007</v>
      </c>
      <c r="E34" s="39">
        <v>95.89</v>
      </c>
      <c r="F34" s="39">
        <f t="shared" si="0"/>
        <v>217.89999999999986</v>
      </c>
      <c r="G34" s="39">
        <f t="shared" si="1"/>
        <v>2179.3500000000004</v>
      </c>
      <c r="H34" s="179">
        <f t="shared" si="2"/>
        <v>9.9983940165645643E-2</v>
      </c>
      <c r="I34" s="39"/>
    </row>
    <row r="35" spans="2:21" x14ac:dyDescent="0.25">
      <c r="B35" s="164">
        <v>42556</v>
      </c>
      <c r="C35" s="10">
        <v>25</v>
      </c>
      <c r="D35" s="39">
        <v>87.174000000000007</v>
      </c>
      <c r="E35" s="39">
        <v>95.04</v>
      </c>
      <c r="F35" s="39">
        <f t="shared" ref="F35:F41" si="3">C35*(E35-D35)</f>
        <v>196.64999999999998</v>
      </c>
      <c r="G35" s="39">
        <f t="shared" ref="G35:G41" si="4">D35*C35</f>
        <v>2179.3500000000004</v>
      </c>
      <c r="H35" s="179">
        <f t="shared" ref="H35:H41" si="5">(E35-D35)/D35</f>
        <v>9.0233326450547172E-2</v>
      </c>
      <c r="I35" s="39"/>
    </row>
    <row r="36" spans="2:21" x14ac:dyDescent="0.25">
      <c r="B36" s="164">
        <v>42569</v>
      </c>
      <c r="C36" s="10">
        <v>25</v>
      </c>
      <c r="D36" s="39">
        <v>87.174000000000007</v>
      </c>
      <c r="E36" s="39">
        <v>99.83</v>
      </c>
      <c r="F36" s="39">
        <f t="shared" si="3"/>
        <v>316.39999999999981</v>
      </c>
      <c r="G36" s="39">
        <f t="shared" si="4"/>
        <v>2179.3500000000004</v>
      </c>
      <c r="H36" s="179">
        <f t="shared" si="5"/>
        <v>0.14518090256269062</v>
      </c>
      <c r="I36" s="184">
        <v>85</v>
      </c>
    </row>
    <row r="37" spans="2:21" x14ac:dyDescent="0.25">
      <c r="B37" s="164">
        <v>42570</v>
      </c>
      <c r="C37" s="10">
        <v>25</v>
      </c>
      <c r="D37" s="39">
        <v>87.174000000000007</v>
      </c>
      <c r="E37" s="39">
        <v>99.87</v>
      </c>
      <c r="F37" s="39">
        <f t="shared" si="3"/>
        <v>317.39999999999998</v>
      </c>
      <c r="G37" s="39">
        <f t="shared" si="4"/>
        <v>2179.3500000000004</v>
      </c>
      <c r="H37" s="179">
        <f t="shared" si="5"/>
        <v>0.14563975497281295</v>
      </c>
      <c r="I37" s="39"/>
    </row>
    <row r="38" spans="2:21" x14ac:dyDescent="0.25">
      <c r="B38" s="164">
        <v>42571</v>
      </c>
      <c r="C38" s="10">
        <v>25</v>
      </c>
      <c r="D38" s="39">
        <v>87.174000000000007</v>
      </c>
      <c r="E38" s="39">
        <v>99.96</v>
      </c>
      <c r="F38" s="39">
        <f t="shared" si="3"/>
        <v>319.64999999999969</v>
      </c>
      <c r="G38" s="39">
        <f t="shared" si="4"/>
        <v>2179.3500000000004</v>
      </c>
      <c r="H38" s="179">
        <f t="shared" si="5"/>
        <v>0.14667217289558798</v>
      </c>
      <c r="I38" s="39"/>
    </row>
    <row r="39" spans="2:21" ht="20.25" thickBot="1" x14ac:dyDescent="0.35">
      <c r="B39" s="164">
        <v>42575</v>
      </c>
      <c r="C39" s="10">
        <v>25</v>
      </c>
      <c r="D39" s="39">
        <v>87.174000000000007</v>
      </c>
      <c r="E39" s="39">
        <v>98.66</v>
      </c>
      <c r="F39" s="39">
        <f t="shared" si="3"/>
        <v>287.14999999999975</v>
      </c>
      <c r="G39" s="39">
        <f t="shared" si="4"/>
        <v>2179.3500000000004</v>
      </c>
      <c r="H39" s="179">
        <f t="shared" si="5"/>
        <v>0.13175946956661377</v>
      </c>
      <c r="I39" s="39"/>
      <c r="T39" s="110"/>
      <c r="U39" s="9"/>
    </row>
    <row r="40" spans="2:21" ht="15.75" thickTop="1" x14ac:dyDescent="0.25">
      <c r="B40" s="164">
        <v>42576</v>
      </c>
      <c r="C40" s="10">
        <v>25</v>
      </c>
      <c r="D40" s="39">
        <v>87.174000000000007</v>
      </c>
      <c r="E40" s="39">
        <v>97.34</v>
      </c>
      <c r="F40" s="39">
        <f t="shared" si="3"/>
        <v>254.14999999999992</v>
      </c>
      <c r="G40" s="39">
        <f t="shared" si="4"/>
        <v>2179.3500000000004</v>
      </c>
      <c r="H40" s="179">
        <f t="shared" si="5"/>
        <v>0.11661734003257848</v>
      </c>
      <c r="I40" s="39"/>
      <c r="T40" s="135"/>
      <c r="U40" s="287"/>
    </row>
    <row r="41" spans="2:21" x14ac:dyDescent="0.25">
      <c r="B41" s="164">
        <v>42577</v>
      </c>
      <c r="C41" s="10">
        <v>10</v>
      </c>
      <c r="D41" s="39">
        <v>67.069999999999993</v>
      </c>
      <c r="E41" s="39">
        <v>96.67</v>
      </c>
      <c r="F41" s="39">
        <f t="shared" si="3"/>
        <v>296.00000000000011</v>
      </c>
      <c r="G41" s="39">
        <f t="shared" si="4"/>
        <v>670.69999999999993</v>
      </c>
      <c r="H41" s="179">
        <f t="shared" si="5"/>
        <v>0.44132995377963341</v>
      </c>
      <c r="I41" s="39" t="s">
        <v>244</v>
      </c>
      <c r="T41" s="106"/>
      <c r="U41" s="288"/>
    </row>
    <row r="42" spans="2:21" ht="20.25" thickBot="1" x14ac:dyDescent="0.35">
      <c r="B42" s="164">
        <v>42577</v>
      </c>
      <c r="C42" s="10">
        <v>0</v>
      </c>
      <c r="D42" s="39"/>
      <c r="E42" s="39"/>
      <c r="F42" s="39">
        <v>363.1</v>
      </c>
      <c r="G42" s="39"/>
      <c r="H42" s="179"/>
      <c r="I42" s="39"/>
      <c r="O42" s="884" t="s">
        <v>78</v>
      </c>
      <c r="P42" s="884"/>
      <c r="T42" s="106"/>
      <c r="U42" s="288"/>
    </row>
    <row r="43" spans="2:21" ht="15.75" thickTop="1" x14ac:dyDescent="0.25">
      <c r="B43" s="164"/>
      <c r="C43" s="10"/>
      <c r="D43" s="39"/>
      <c r="E43" s="39"/>
      <c r="F43" s="39"/>
      <c r="G43" s="39"/>
      <c r="H43" s="179"/>
      <c r="I43" s="39"/>
      <c r="O43" s="81">
        <v>1.1000000000000001</v>
      </c>
      <c r="P43" s="81">
        <f>O43*$Q$4</f>
        <v>181.77500000000001</v>
      </c>
      <c r="Q43" s="2"/>
      <c r="T43" s="106"/>
      <c r="U43" s="288"/>
    </row>
    <row r="44" spans="2:21" x14ac:dyDescent="0.25">
      <c r="B44" s="164"/>
      <c r="C44" s="10"/>
      <c r="D44" s="39"/>
      <c r="E44" s="39"/>
      <c r="F44" s="39"/>
      <c r="G44" s="39"/>
      <c r="H44" s="179"/>
      <c r="I44" s="39"/>
      <c r="O44" s="81">
        <v>1.0900000000000001</v>
      </c>
      <c r="P44" s="81">
        <f t="shared" ref="P44:P63" si="6">O44*$Q$4</f>
        <v>180.1225</v>
      </c>
      <c r="Q44" s="2"/>
      <c r="T44" s="106"/>
      <c r="U44" s="288"/>
    </row>
    <row r="45" spans="2:21" x14ac:dyDescent="0.25">
      <c r="B45" s="164"/>
      <c r="C45" s="10"/>
      <c r="D45" s="39"/>
      <c r="E45" s="39"/>
      <c r="F45" s="39"/>
      <c r="G45" s="39"/>
      <c r="H45" s="179"/>
      <c r="I45" s="39"/>
      <c r="O45" s="81">
        <v>1.08</v>
      </c>
      <c r="P45" s="81">
        <f t="shared" si="6"/>
        <v>178.47</v>
      </c>
      <c r="Q45" s="2"/>
      <c r="T45" s="106"/>
      <c r="U45" s="288"/>
    </row>
    <row r="46" spans="2:21" x14ac:dyDescent="0.25">
      <c r="B46" s="164"/>
      <c r="C46" s="10"/>
      <c r="D46" s="39"/>
      <c r="E46" s="39"/>
      <c r="F46" s="39"/>
      <c r="G46" s="39"/>
      <c r="H46" s="179"/>
      <c r="I46" s="39"/>
      <c r="O46" s="81">
        <v>1.07</v>
      </c>
      <c r="P46" s="81">
        <f t="shared" si="6"/>
        <v>176.81750000000002</v>
      </c>
      <c r="Q46" s="2"/>
      <c r="T46" s="106"/>
      <c r="U46" s="288"/>
    </row>
    <row r="47" spans="2:21" x14ac:dyDescent="0.25">
      <c r="B47" s="164"/>
      <c r="C47" s="10"/>
      <c r="D47" s="39"/>
      <c r="E47" s="39"/>
      <c r="F47" s="39"/>
      <c r="G47" s="39"/>
      <c r="H47" s="179"/>
      <c r="I47" s="39"/>
      <c r="O47" s="81">
        <v>1.06</v>
      </c>
      <c r="P47" s="81">
        <f t="shared" si="6"/>
        <v>175.16500000000002</v>
      </c>
      <c r="Q47" s="2"/>
      <c r="T47" s="106"/>
      <c r="U47" s="288"/>
    </row>
    <row r="48" spans="2:21" x14ac:dyDescent="0.25">
      <c r="O48" s="81">
        <v>1.05</v>
      </c>
      <c r="P48" s="81">
        <f t="shared" si="6"/>
        <v>173.51250000000002</v>
      </c>
      <c r="Q48" s="2"/>
      <c r="T48" s="106"/>
      <c r="U48" s="288"/>
    </row>
    <row r="49" spans="1:21" x14ac:dyDescent="0.25">
      <c r="O49" s="81">
        <v>1.04</v>
      </c>
      <c r="P49" s="81">
        <f t="shared" si="6"/>
        <v>171.86</v>
      </c>
      <c r="Q49" s="2"/>
      <c r="T49" s="106"/>
      <c r="U49" s="288"/>
    </row>
    <row r="50" spans="1:21" x14ac:dyDescent="0.25">
      <c r="O50" s="81">
        <v>1.03</v>
      </c>
      <c r="P50" s="81">
        <f t="shared" si="6"/>
        <v>170.20750000000001</v>
      </c>
      <c r="Q50" s="2"/>
      <c r="T50" s="106"/>
      <c r="U50" s="289"/>
    </row>
    <row r="51" spans="1:21" x14ac:dyDescent="0.25">
      <c r="O51" s="81">
        <v>1.02</v>
      </c>
      <c r="P51" s="81">
        <f t="shared" si="6"/>
        <v>168.55500000000001</v>
      </c>
      <c r="Q51" s="2"/>
      <c r="T51" s="106"/>
      <c r="U51" s="289"/>
    </row>
    <row r="52" spans="1:21" x14ac:dyDescent="0.25">
      <c r="O52" s="81">
        <v>1.01</v>
      </c>
      <c r="P52" s="81">
        <f t="shared" si="6"/>
        <v>166.9025</v>
      </c>
      <c r="Q52" s="2"/>
      <c r="T52" s="106"/>
      <c r="U52" s="288"/>
    </row>
    <row r="53" spans="1:21" x14ac:dyDescent="0.25">
      <c r="O53" s="81">
        <v>1</v>
      </c>
      <c r="P53" s="81">
        <f t="shared" si="6"/>
        <v>165.25</v>
      </c>
      <c r="Q53" s="2"/>
      <c r="T53" s="106"/>
      <c r="U53" s="288"/>
    </row>
    <row r="54" spans="1:21" x14ac:dyDescent="0.25">
      <c r="O54" s="81">
        <v>0.99</v>
      </c>
      <c r="P54" s="81">
        <f t="shared" si="6"/>
        <v>163.5975</v>
      </c>
      <c r="Q54" s="2"/>
      <c r="T54" s="106"/>
      <c r="U54" s="288"/>
    </row>
    <row r="55" spans="1:21" x14ac:dyDescent="0.25">
      <c r="L55" t="s">
        <v>65</v>
      </c>
      <c r="M55" s="2">
        <f>M73+K73-F73</f>
        <v>363.09999999999945</v>
      </c>
      <c r="O55" s="81">
        <v>0.98</v>
      </c>
      <c r="P55" s="81">
        <f t="shared" si="6"/>
        <v>161.94499999999999</v>
      </c>
      <c r="Q55" s="2"/>
      <c r="T55" s="106"/>
      <c r="U55" s="288"/>
    </row>
    <row r="56" spans="1:21" x14ac:dyDescent="0.25">
      <c r="A56" s="199" t="s">
        <v>1</v>
      </c>
      <c r="B56" s="199" t="s">
        <v>2</v>
      </c>
      <c r="C56" s="199" t="s">
        <v>4</v>
      </c>
      <c r="D56" s="200" t="s">
        <v>5</v>
      </c>
      <c r="E56" s="200" t="s">
        <v>94</v>
      </c>
      <c r="F56" s="200" t="s">
        <v>60</v>
      </c>
      <c r="G56" s="199" t="s">
        <v>3</v>
      </c>
      <c r="H56" s="199" t="s">
        <v>6</v>
      </c>
      <c r="I56" s="199" t="s">
        <v>7</v>
      </c>
      <c r="J56" s="199" t="s">
        <v>95</v>
      </c>
      <c r="K56" s="200" t="s">
        <v>61</v>
      </c>
      <c r="L56" s="199" t="s">
        <v>77</v>
      </c>
      <c r="M56" s="199" t="s">
        <v>38</v>
      </c>
      <c r="O56" s="81">
        <v>0.97</v>
      </c>
      <c r="P56" s="81">
        <f t="shared" si="6"/>
        <v>160.29249999999999</v>
      </c>
    </row>
    <row r="57" spans="1:21" x14ac:dyDescent="0.25">
      <c r="A57" s="201" t="s">
        <v>199</v>
      </c>
      <c r="B57" s="202">
        <v>42502</v>
      </c>
      <c r="C57" s="197">
        <v>25</v>
      </c>
      <c r="D57" s="198">
        <v>90.65</v>
      </c>
      <c r="E57" s="198">
        <v>0</v>
      </c>
      <c r="F57" s="198">
        <f>C57*D57 + E57</f>
        <v>2266.25</v>
      </c>
      <c r="G57" s="202">
        <v>42502</v>
      </c>
      <c r="H57" s="203">
        <v>25</v>
      </c>
      <c r="I57" s="198">
        <v>90.64</v>
      </c>
      <c r="J57" s="198">
        <v>0.05</v>
      </c>
      <c r="K57" s="198">
        <f>H57*I57-J57</f>
        <v>2265.9499999999998</v>
      </c>
      <c r="L57" s="202">
        <v>42588</v>
      </c>
      <c r="M57" s="197"/>
      <c r="O57" s="81">
        <v>0.96</v>
      </c>
      <c r="P57" s="81">
        <f t="shared" si="6"/>
        <v>158.63999999999999</v>
      </c>
    </row>
    <row r="58" spans="1:21" x14ac:dyDescent="0.25">
      <c r="A58" s="204" t="s">
        <v>71</v>
      </c>
      <c r="B58" s="371">
        <v>42502</v>
      </c>
      <c r="C58" s="197">
        <v>25</v>
      </c>
      <c r="D58" s="198">
        <v>90.44</v>
      </c>
      <c r="E58" s="198">
        <v>0</v>
      </c>
      <c r="F58" s="198">
        <f>C58*D58 + E58</f>
        <v>2261</v>
      </c>
      <c r="G58" s="202">
        <v>42552</v>
      </c>
      <c r="H58" s="203">
        <v>25</v>
      </c>
      <c r="I58" s="198">
        <v>96.28</v>
      </c>
      <c r="J58" s="198">
        <v>0.05</v>
      </c>
      <c r="K58" s="198">
        <f>H58*I58-J58</f>
        <v>2406.9499999999998</v>
      </c>
      <c r="L58" s="197"/>
      <c r="M58" s="197"/>
      <c r="O58" s="81">
        <v>0.95</v>
      </c>
      <c r="P58" s="81">
        <f t="shared" si="6"/>
        <v>156.98749999999998</v>
      </c>
    </row>
    <row r="59" spans="1:21" x14ac:dyDescent="0.25">
      <c r="A59" s="197"/>
      <c r="B59" s="371">
        <v>42545</v>
      </c>
      <c r="C59" s="197">
        <v>25</v>
      </c>
      <c r="D59" s="198">
        <v>93</v>
      </c>
      <c r="E59" s="198">
        <v>0</v>
      </c>
      <c r="F59" s="198">
        <f>C59*D59 + E59</f>
        <v>2325</v>
      </c>
      <c r="G59" s="202">
        <v>42577</v>
      </c>
      <c r="H59" s="203">
        <v>15</v>
      </c>
      <c r="I59" s="198">
        <v>100.58</v>
      </c>
      <c r="J59" s="198">
        <v>0.03</v>
      </c>
      <c r="K59" s="198">
        <f>H59*I59-J59</f>
        <v>1508.67</v>
      </c>
      <c r="L59" s="197"/>
      <c r="M59" s="197"/>
      <c r="O59" s="81">
        <v>0.94</v>
      </c>
      <c r="P59" s="81">
        <f t="shared" si="6"/>
        <v>155.33499999999998</v>
      </c>
    </row>
    <row r="60" spans="1:21" x14ac:dyDescent="0.25">
      <c r="A60" s="197"/>
      <c r="B60" s="202"/>
      <c r="C60" s="197"/>
      <c r="D60" s="198"/>
      <c r="E60" s="198"/>
      <c r="F60" s="198"/>
      <c r="G60" s="202">
        <v>42577</v>
      </c>
      <c r="H60" s="203">
        <v>10</v>
      </c>
      <c r="I60" s="198">
        <v>103.38</v>
      </c>
      <c r="J60" s="198">
        <v>0.02</v>
      </c>
      <c r="K60" s="198">
        <f>H60*I60-J60</f>
        <v>1033.78</v>
      </c>
      <c r="L60" s="197"/>
      <c r="M60" s="197"/>
      <c r="O60" s="81">
        <v>0.93</v>
      </c>
      <c r="P60" s="81">
        <f t="shared" si="6"/>
        <v>153.6825</v>
      </c>
    </row>
    <row r="61" spans="1:21" x14ac:dyDescent="0.25">
      <c r="A61" s="197"/>
      <c r="B61" s="372"/>
      <c r="C61" s="197"/>
      <c r="D61" s="198"/>
      <c r="E61" s="198"/>
      <c r="F61" s="198"/>
      <c r="G61" s="202"/>
      <c r="H61" s="203"/>
      <c r="I61" s="198"/>
      <c r="J61" s="198"/>
      <c r="K61" s="198"/>
      <c r="L61" s="197"/>
      <c r="M61" s="197"/>
      <c r="O61" s="81">
        <v>0.92</v>
      </c>
      <c r="P61" s="81">
        <f t="shared" si="6"/>
        <v>152.03</v>
      </c>
    </row>
    <row r="62" spans="1:21" x14ac:dyDescent="0.25">
      <c r="A62" s="197"/>
      <c r="B62" s="372"/>
      <c r="C62" s="197"/>
      <c r="D62" s="198"/>
      <c r="E62" s="198"/>
      <c r="F62" s="198"/>
      <c r="G62" s="202"/>
      <c r="H62" s="203"/>
      <c r="I62" s="198"/>
      <c r="J62" s="198"/>
      <c r="K62" s="198"/>
      <c r="L62" s="197"/>
      <c r="M62" s="197"/>
      <c r="O62" s="81">
        <v>0.91</v>
      </c>
      <c r="P62" s="81">
        <f t="shared" si="6"/>
        <v>150.3775</v>
      </c>
    </row>
    <row r="63" spans="1:21" x14ac:dyDescent="0.25">
      <c r="A63" s="197"/>
      <c r="B63" s="202"/>
      <c r="C63" s="197"/>
      <c r="D63" s="198"/>
      <c r="E63" s="198"/>
      <c r="F63" s="198"/>
      <c r="G63" s="202"/>
      <c r="H63" s="203"/>
      <c r="I63" s="198"/>
      <c r="J63" s="198"/>
      <c r="K63" s="198"/>
      <c r="L63" s="197"/>
      <c r="M63" s="197"/>
      <c r="O63" s="81">
        <v>0.9</v>
      </c>
      <c r="P63" s="81">
        <f t="shared" si="6"/>
        <v>148.72499999999999</v>
      </c>
    </row>
    <row r="64" spans="1:21" x14ac:dyDescent="0.25">
      <c r="A64" s="197"/>
      <c r="B64" s="202"/>
      <c r="C64" s="197"/>
      <c r="D64" s="198"/>
      <c r="E64" s="198"/>
      <c r="F64" s="198"/>
      <c r="G64" s="202"/>
      <c r="H64" s="203"/>
      <c r="I64" s="198"/>
      <c r="J64" s="198"/>
      <c r="K64" s="198"/>
      <c r="L64" s="197"/>
      <c r="M64" s="197"/>
    </row>
    <row r="65" spans="1:13" x14ac:dyDescent="0.25">
      <c r="A65" s="197"/>
      <c r="B65" s="202"/>
      <c r="C65" s="197"/>
      <c r="D65" s="198"/>
      <c r="E65" s="198"/>
      <c r="F65" s="198"/>
      <c r="G65" s="202"/>
      <c r="H65" s="203"/>
      <c r="I65" s="197"/>
      <c r="J65" s="197"/>
      <c r="K65" s="198"/>
      <c r="L65" s="197"/>
      <c r="M65" s="197"/>
    </row>
    <row r="66" spans="1:13" x14ac:dyDescent="0.25">
      <c r="A66" s="197"/>
      <c r="B66" s="202"/>
      <c r="C66" s="197"/>
      <c r="D66" s="198"/>
      <c r="E66" s="198"/>
      <c r="F66" s="198"/>
      <c r="G66" s="202"/>
      <c r="H66" s="203"/>
      <c r="I66" s="197"/>
      <c r="J66" s="197"/>
      <c r="K66" s="198"/>
      <c r="L66" s="197"/>
      <c r="M66" s="197"/>
    </row>
    <row r="67" spans="1:13" x14ac:dyDescent="0.25">
      <c r="A67" s="197"/>
      <c r="B67" s="202"/>
      <c r="C67" s="197"/>
      <c r="D67" s="198"/>
      <c r="E67" s="198"/>
      <c r="F67" s="198"/>
      <c r="G67" s="202"/>
      <c r="H67" s="203"/>
      <c r="I67" s="197"/>
      <c r="J67" s="197"/>
      <c r="K67" s="198"/>
      <c r="L67" s="197"/>
      <c r="M67" s="197"/>
    </row>
    <row r="68" spans="1:13" x14ac:dyDescent="0.25">
      <c r="A68" s="197"/>
      <c r="B68" s="202"/>
      <c r="C68" s="197"/>
      <c r="D68" s="198"/>
      <c r="E68" s="198"/>
      <c r="F68" s="198"/>
      <c r="G68" s="202"/>
      <c r="H68" s="203"/>
      <c r="I68" s="198"/>
      <c r="J68" s="197"/>
      <c r="K68" s="198"/>
      <c r="L68" s="197"/>
      <c r="M68" s="197"/>
    </row>
    <row r="69" spans="1:13" x14ac:dyDescent="0.25">
      <c r="A69" s="197"/>
      <c r="B69" s="202"/>
      <c r="C69" s="197"/>
      <c r="D69" s="198"/>
      <c r="E69" s="198"/>
      <c r="F69" s="198"/>
      <c r="G69" s="202"/>
      <c r="H69" s="203"/>
      <c r="I69" s="197"/>
      <c r="J69" s="197"/>
      <c r="K69" s="198"/>
      <c r="L69" s="197"/>
      <c r="M69" s="197"/>
    </row>
    <row r="70" spans="1:13" x14ac:dyDescent="0.25">
      <c r="A70" s="197"/>
      <c r="B70" s="197"/>
      <c r="C70" s="197"/>
      <c r="D70" s="198"/>
      <c r="E70" s="198"/>
      <c r="F70" s="198"/>
      <c r="G70" s="202"/>
      <c r="H70" s="203"/>
      <c r="I70" s="197"/>
      <c r="J70" s="197"/>
      <c r="K70" s="198"/>
      <c r="L70" s="197"/>
      <c r="M70" s="197"/>
    </row>
    <row r="71" spans="1:13" x14ac:dyDescent="0.25">
      <c r="A71" s="197"/>
      <c r="B71" s="197"/>
      <c r="C71" s="197"/>
      <c r="D71" s="198"/>
      <c r="E71" s="198"/>
      <c r="F71" s="198"/>
      <c r="G71" s="202"/>
      <c r="H71" s="203"/>
      <c r="I71" s="197"/>
      <c r="J71" s="197"/>
      <c r="K71" s="198"/>
      <c r="L71" s="197"/>
      <c r="M71" s="197"/>
    </row>
    <row r="72" spans="1:13" x14ac:dyDescent="0.25">
      <c r="A72" s="197"/>
      <c r="B72" s="197"/>
      <c r="C72" s="197"/>
      <c r="D72" s="198"/>
      <c r="E72" s="198"/>
      <c r="F72" s="198"/>
      <c r="G72" s="202"/>
      <c r="H72" s="203"/>
      <c r="I72" s="197"/>
      <c r="J72" s="197"/>
      <c r="K72" s="198"/>
      <c r="L72" s="197"/>
      <c r="M72" s="197"/>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73"/>
      <c r="B74" s="374"/>
      <c r="C74" s="375"/>
      <c r="D74" s="375"/>
      <c r="E74" s="375"/>
      <c r="F74" s="376"/>
      <c r="G74" s="375"/>
      <c r="H74" s="375"/>
      <c r="I74" s="375"/>
      <c r="J74" s="375"/>
      <c r="K74" s="376"/>
      <c r="L74" s="375"/>
      <c r="M74" s="376"/>
    </row>
  </sheetData>
  <mergeCells count="1">
    <mergeCell ref="O42:P42"/>
  </mergeCells>
  <conditionalFormatting sqref="N19">
    <cfRule type="expression" dxfId="3596" priority="35">
      <formula>N19&gt;0</formula>
    </cfRule>
    <cfRule type="expression" dxfId="3595"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3594" priority="21">
      <formula>F25&gt;0</formula>
    </cfRule>
    <cfRule type="expression" dxfId="3593" priority="22">
      <formula>F25&lt;0</formula>
    </cfRule>
  </conditionalFormatting>
  <conditionalFormatting sqref="H25:H47">
    <cfRule type="expression" dxfId="3592" priority="19">
      <formula>H25&gt;0</formula>
    </cfRule>
    <cfRule type="expression" dxfId="3591" priority="20">
      <formula>H25&lt;0</formula>
    </cfRule>
  </conditionalFormatting>
  <conditionalFormatting sqref="I25:I27">
    <cfRule type="expression" dxfId="3590" priority="15">
      <formula>I25&gt;0</formula>
    </cfRule>
    <cfRule type="expression" dxfId="3589" priority="16">
      <formula>I25&lt;0</formula>
    </cfRule>
  </conditionalFormatting>
  <conditionalFormatting sqref="Q7">
    <cfRule type="expression" dxfId="3588" priority="5">
      <formula>Q7&gt;0</formula>
    </cfRule>
    <cfRule type="expression" dxfId="3587" priority="6">
      <formula>Q7&lt;0</formula>
    </cfRule>
  </conditionalFormatting>
  <conditionalFormatting sqref="Q8">
    <cfRule type="expression" dxfId="3586" priority="3">
      <formula>Q8&gt;0</formula>
    </cfRule>
    <cfRule type="expression" dxfId="3585"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220</v>
      </c>
      <c r="B2" s="72"/>
      <c r="C2" s="4"/>
      <c r="D2" s="3"/>
      <c r="E2" s="3"/>
      <c r="F2" s="3"/>
      <c r="G2" s="72"/>
      <c r="H2" s="161"/>
      <c r="I2" s="3"/>
      <c r="J2" s="3"/>
      <c r="K2" s="3"/>
      <c r="L2" s="72"/>
      <c r="M2" s="4"/>
      <c r="O2" s="11" t="s">
        <v>57</v>
      </c>
      <c r="Q2">
        <f>C18-H18</f>
        <v>0</v>
      </c>
      <c r="T2" s="1">
        <v>42571</v>
      </c>
      <c r="U2" t="s">
        <v>239</v>
      </c>
      <c r="W2" s="130">
        <v>42830</v>
      </c>
      <c r="X2" s="10">
        <v>78.59</v>
      </c>
      <c r="Y2" s="10">
        <v>79.03</v>
      </c>
      <c r="Z2" s="10">
        <v>77.66</v>
      </c>
      <c r="AA2" s="10">
        <v>77.760000000000005</v>
      </c>
      <c r="AB2" s="93">
        <v>2850200</v>
      </c>
      <c r="AC2" s="10">
        <v>77.760000000000005</v>
      </c>
      <c r="AD2" s="2">
        <f>Y2-Z2</f>
        <v>1.3700000000000045</v>
      </c>
      <c r="AE2" s="134" t="e">
        <f>AC2/AC3-1</f>
        <v>#DIV/0!</v>
      </c>
    </row>
    <row r="3" spans="1:31" x14ac:dyDescent="0.25">
      <c r="A3" s="22" t="s">
        <v>71</v>
      </c>
      <c r="B3" s="72"/>
      <c r="C3" s="4"/>
      <c r="D3" s="3"/>
      <c r="E3" s="3"/>
      <c r="F3" s="3"/>
      <c r="G3" s="4"/>
      <c r="H3" s="161"/>
      <c r="I3" s="3"/>
      <c r="J3" s="3"/>
      <c r="K3" s="3"/>
      <c r="L3" s="4"/>
      <c r="O3" s="11" t="s">
        <v>58</v>
      </c>
      <c r="Q3" s="178">
        <f>IF(Q2=0, Q4, (F18-K18-M18)/Q2)</f>
        <v>102.67</v>
      </c>
      <c r="T3" s="1">
        <v>42572</v>
      </c>
      <c r="U3" t="s">
        <v>230</v>
      </c>
      <c r="W3" s="130">
        <v>42830</v>
      </c>
      <c r="X3" s="10" t="s">
        <v>285</v>
      </c>
      <c r="Y3" s="10"/>
      <c r="Z3" s="10"/>
      <c r="AA3" s="10"/>
      <c r="AB3" s="93"/>
      <c r="AC3" s="10"/>
      <c r="AD3" s="2">
        <f t="shared" ref="AD3:AD66" si="0">Y3-Z3</f>
        <v>0</v>
      </c>
      <c r="AE3" s="134">
        <f t="shared" ref="AE3:AE66" si="1">AC3/AC4-1</f>
        <v>-1</v>
      </c>
    </row>
    <row r="4" spans="1:31" x14ac:dyDescent="0.25">
      <c r="B4" s="72"/>
      <c r="C4" s="4"/>
      <c r="D4" s="3"/>
      <c r="E4" s="3"/>
      <c r="F4" s="3"/>
      <c r="G4" s="4"/>
      <c r="H4" s="161"/>
      <c r="I4" s="3"/>
      <c r="J4" s="3"/>
      <c r="K4" s="3"/>
      <c r="L4" s="4"/>
      <c r="O4" s="11" t="s">
        <v>66</v>
      </c>
      <c r="Q4" s="54">
        <v>102.67</v>
      </c>
      <c r="R4" s="405">
        <v>9.4999999999999998E-3</v>
      </c>
      <c r="T4" s="156"/>
      <c r="U4" s="1"/>
      <c r="W4" s="130">
        <v>42829</v>
      </c>
      <c r="X4" s="10">
        <v>78.489999999999995</v>
      </c>
      <c r="Y4" s="10">
        <v>78.61</v>
      </c>
      <c r="Z4" s="10">
        <v>78.150000000000006</v>
      </c>
      <c r="AA4" s="10">
        <v>78.260000000000005</v>
      </c>
      <c r="AB4" s="93">
        <v>2563700</v>
      </c>
      <c r="AC4" s="10">
        <v>77.94</v>
      </c>
      <c r="AD4" s="2">
        <f t="shared" si="0"/>
        <v>0.45999999999999375</v>
      </c>
      <c r="AE4" s="134">
        <f t="shared" si="1"/>
        <v>-4.2161747796090054E-3</v>
      </c>
    </row>
    <row r="5" spans="1:31" x14ac:dyDescent="0.25">
      <c r="B5" s="72"/>
      <c r="C5" s="4"/>
      <c r="D5" s="3"/>
      <c r="E5" s="3"/>
      <c r="F5" s="3"/>
      <c r="G5" s="4"/>
      <c r="H5" s="161"/>
      <c r="I5" s="3"/>
      <c r="J5" s="3"/>
      <c r="K5" s="3"/>
      <c r="L5" s="4"/>
      <c r="O5" s="11" t="s">
        <v>67</v>
      </c>
      <c r="Q5" s="3">
        <f>Q4*Q2</f>
        <v>0</v>
      </c>
      <c r="W5" s="130">
        <v>42828</v>
      </c>
      <c r="X5" s="10">
        <v>79.17</v>
      </c>
      <c r="Y5" s="10">
        <v>79.180000000000007</v>
      </c>
      <c r="Z5" s="10">
        <v>77.97</v>
      </c>
      <c r="AA5" s="10">
        <v>78.59</v>
      </c>
      <c r="AB5" s="93">
        <v>3022700</v>
      </c>
      <c r="AC5" s="10">
        <v>78.27</v>
      </c>
      <c r="AD5" s="2">
        <f t="shared" si="0"/>
        <v>1.210000000000008</v>
      </c>
      <c r="AE5" s="134">
        <f t="shared" si="1"/>
        <v>-6.5998223124763555E-3</v>
      </c>
    </row>
    <row r="6" spans="1:31" x14ac:dyDescent="0.25">
      <c r="B6" s="72"/>
      <c r="C6" s="4"/>
      <c r="D6" s="3"/>
      <c r="E6" s="3"/>
      <c r="F6" s="3"/>
      <c r="G6" s="4"/>
      <c r="H6" s="161"/>
      <c r="I6" s="3"/>
      <c r="J6" s="3"/>
      <c r="K6" s="3"/>
      <c r="L6" s="4"/>
      <c r="O6" s="11" t="s">
        <v>64</v>
      </c>
      <c r="Q6" s="2">
        <f>Q3*Q2</f>
        <v>0</v>
      </c>
      <c r="W6" s="130">
        <v>42825</v>
      </c>
      <c r="X6" s="10">
        <v>78.930000000000007</v>
      </c>
      <c r="Y6" s="10">
        <v>79.430000000000007</v>
      </c>
      <c r="Z6" s="10">
        <v>78.8</v>
      </c>
      <c r="AA6" s="10">
        <v>79.11</v>
      </c>
      <c r="AB6" s="93">
        <v>5228400</v>
      </c>
      <c r="AC6" s="10">
        <v>78.790000000000006</v>
      </c>
      <c r="AD6" s="2">
        <f t="shared" si="0"/>
        <v>0.63000000000000966</v>
      </c>
      <c r="AE6" s="134">
        <f t="shared" si="1"/>
        <v>-1.2675877804537716E-3</v>
      </c>
    </row>
    <row r="7" spans="1:31" x14ac:dyDescent="0.25">
      <c r="B7" s="4"/>
      <c r="C7" s="4"/>
      <c r="D7" s="3"/>
      <c r="E7" s="3"/>
      <c r="F7" s="3"/>
      <c r="G7" s="4"/>
      <c r="H7" s="161"/>
      <c r="I7" s="3"/>
      <c r="J7" s="3"/>
      <c r="K7" s="3"/>
      <c r="L7" s="4"/>
      <c r="O7" s="11" t="s">
        <v>177</v>
      </c>
      <c r="Q7" s="2">
        <f>Q10+Q8</f>
        <v>231.53999999999996</v>
      </c>
      <c r="R7">
        <v>0</v>
      </c>
      <c r="W7" s="130">
        <v>42824</v>
      </c>
      <c r="X7" s="10">
        <v>78.2</v>
      </c>
      <c r="Y7" s="10">
        <v>79.3</v>
      </c>
      <c r="Z7" s="10">
        <v>78.09</v>
      </c>
      <c r="AA7" s="10">
        <v>79.209999999999994</v>
      </c>
      <c r="AB7" s="93">
        <v>2924100</v>
      </c>
      <c r="AC7" s="10">
        <v>78.89</v>
      </c>
      <c r="AD7" s="2">
        <f t="shared" si="0"/>
        <v>1.2099999999999937</v>
      </c>
      <c r="AE7" s="134">
        <f t="shared" si="1"/>
        <v>1.2318747593994539E-2</v>
      </c>
    </row>
    <row r="8" spans="1:31" x14ac:dyDescent="0.25">
      <c r="B8" s="4"/>
      <c r="C8" s="4"/>
      <c r="D8" s="3"/>
      <c r="E8" s="3"/>
      <c r="F8" s="3"/>
      <c r="G8" s="4"/>
      <c r="H8" s="161"/>
      <c r="I8" s="3"/>
      <c r="J8" s="3"/>
      <c r="K8" s="3"/>
      <c r="L8" s="4"/>
      <c r="O8" s="11" t="s">
        <v>179</v>
      </c>
      <c r="P8" s="33"/>
      <c r="Q8" s="2">
        <f>K18+M18-F18+Q2*Q4</f>
        <v>0</v>
      </c>
      <c r="W8" s="130">
        <v>42823</v>
      </c>
      <c r="X8" s="10">
        <v>78.45</v>
      </c>
      <c r="Y8" s="10">
        <v>79.34</v>
      </c>
      <c r="Z8" s="10">
        <v>78.14</v>
      </c>
      <c r="AA8" s="10">
        <v>78.25</v>
      </c>
      <c r="AB8" s="93">
        <v>2913600</v>
      </c>
      <c r="AC8" s="10">
        <v>77.930000000000007</v>
      </c>
      <c r="AD8" s="2">
        <f t="shared" si="0"/>
        <v>1.2000000000000028</v>
      </c>
      <c r="AE8" s="134">
        <f t="shared" si="1"/>
        <v>-4.9795709908068142E-3</v>
      </c>
    </row>
    <row r="9" spans="1:31" x14ac:dyDescent="0.25">
      <c r="H9" s="70"/>
      <c r="O9" s="11" t="s">
        <v>204</v>
      </c>
      <c r="Q9" s="134">
        <f>IF(Q2=0, 0, Q8/Q6)</f>
        <v>0</v>
      </c>
      <c r="W9" s="130">
        <v>42822</v>
      </c>
      <c r="X9" s="10">
        <v>77.510000000000005</v>
      </c>
      <c r="Y9" s="10">
        <v>78.86</v>
      </c>
      <c r="Z9" s="10">
        <v>77.39</v>
      </c>
      <c r="AA9" s="10">
        <v>78.64</v>
      </c>
      <c r="AB9" s="93">
        <v>4235900</v>
      </c>
      <c r="AC9" s="10">
        <v>78.319999999999993</v>
      </c>
      <c r="AD9" s="2">
        <f t="shared" si="0"/>
        <v>1.4699999999999989</v>
      </c>
      <c r="AE9" s="134">
        <f t="shared" si="1"/>
        <v>1.3457556935817738E-2</v>
      </c>
    </row>
    <row r="10" spans="1:31" x14ac:dyDescent="0.25">
      <c r="H10" s="70"/>
      <c r="O10" s="11" t="s">
        <v>203</v>
      </c>
      <c r="P10" s="33"/>
      <c r="Q10" s="2">
        <f>M48</f>
        <v>231.53999999999996</v>
      </c>
      <c r="W10" s="130">
        <v>42821</v>
      </c>
      <c r="X10" s="10">
        <v>77.209999999999994</v>
      </c>
      <c r="Y10" s="10">
        <v>77.819999999999993</v>
      </c>
      <c r="Z10" s="10">
        <v>76.67</v>
      </c>
      <c r="AA10" s="10">
        <v>77.599999999999994</v>
      </c>
      <c r="AB10" s="93">
        <v>3835300</v>
      </c>
      <c r="AC10" s="10">
        <v>77.28</v>
      </c>
      <c r="AD10" s="2">
        <f t="shared" si="0"/>
        <v>1.1499999999999915</v>
      </c>
      <c r="AE10" s="134">
        <f t="shared" si="1"/>
        <v>-7.7041602465330872E-3</v>
      </c>
    </row>
    <row r="11" spans="1:31" x14ac:dyDescent="0.25">
      <c r="H11" s="70"/>
      <c r="O11" s="11" t="s">
        <v>175</v>
      </c>
      <c r="P11" s="33"/>
      <c r="Q11" s="134">
        <f>IF(U58="N/A (N/A)", 0, VALUE(TRIM(CLEAN(MID(U58, FIND("(", U58)+1, 5)))))</f>
        <v>1.6199999999999999E-2</v>
      </c>
      <c r="W11" s="130">
        <v>42818</v>
      </c>
      <c r="X11" s="10">
        <v>78.11</v>
      </c>
      <c r="Y11" s="10">
        <v>78.84</v>
      </c>
      <c r="Z11" s="10">
        <v>77.87</v>
      </c>
      <c r="AA11" s="10">
        <v>78.2</v>
      </c>
      <c r="AB11" s="93">
        <v>4726800</v>
      </c>
      <c r="AC11" s="10">
        <v>77.88</v>
      </c>
      <c r="AD11" s="2">
        <f t="shared" si="0"/>
        <v>0.96999999999999886</v>
      </c>
      <c r="AE11" s="134">
        <f t="shared" si="1"/>
        <v>4.6439628482972672E-3</v>
      </c>
    </row>
    <row r="12" spans="1:31" x14ac:dyDescent="0.25">
      <c r="H12" s="70"/>
      <c r="W12" s="130">
        <v>42817</v>
      </c>
      <c r="X12" s="10">
        <v>77.569999999999993</v>
      </c>
      <c r="Y12" s="10">
        <v>78.400000000000006</v>
      </c>
      <c r="Z12" s="10">
        <v>77.510000000000005</v>
      </c>
      <c r="AA12" s="10">
        <v>77.84</v>
      </c>
      <c r="AB12" s="93">
        <v>4082900</v>
      </c>
      <c r="AC12" s="10">
        <v>77.52</v>
      </c>
      <c r="AD12" s="2">
        <f t="shared" si="0"/>
        <v>0.89000000000000057</v>
      </c>
      <c r="AE12" s="134">
        <f t="shared" si="1"/>
        <v>2.19780219780219E-3</v>
      </c>
    </row>
    <row r="13" spans="1:31" x14ac:dyDescent="0.25">
      <c r="H13" s="70"/>
      <c r="W13" s="130">
        <v>42816</v>
      </c>
      <c r="X13" s="10">
        <v>77.430000000000007</v>
      </c>
      <c r="Y13" s="10">
        <v>78.180000000000007</v>
      </c>
      <c r="Z13" s="10">
        <v>77.06</v>
      </c>
      <c r="AA13" s="10">
        <v>77.67</v>
      </c>
      <c r="AB13" s="93">
        <v>4877300</v>
      </c>
      <c r="AC13" s="10">
        <v>77.349999999999994</v>
      </c>
      <c r="AD13" s="2">
        <f t="shared" si="0"/>
        <v>1.1200000000000045</v>
      </c>
      <c r="AE13" s="134">
        <f t="shared" si="1"/>
        <v>1.8132366273799772E-3</v>
      </c>
    </row>
    <row r="14" spans="1:31" x14ac:dyDescent="0.25">
      <c r="H14" s="70"/>
      <c r="W14" s="130">
        <v>42815</v>
      </c>
      <c r="X14" s="10">
        <v>78.930000000000007</v>
      </c>
      <c r="Y14" s="10">
        <v>79.13</v>
      </c>
      <c r="Z14" s="10">
        <v>77.319999999999993</v>
      </c>
      <c r="AA14" s="10">
        <v>77.53</v>
      </c>
      <c r="AB14" s="93">
        <v>6804000</v>
      </c>
      <c r="AC14" s="10">
        <v>77.209999999999994</v>
      </c>
      <c r="AD14" s="2">
        <f t="shared" si="0"/>
        <v>1.8100000000000023</v>
      </c>
      <c r="AE14" s="134">
        <f t="shared" si="1"/>
        <v>-1.6808862854959972E-2</v>
      </c>
    </row>
    <row r="15" spans="1:31" x14ac:dyDescent="0.25">
      <c r="H15" s="70"/>
      <c r="W15" s="130">
        <v>42814</v>
      </c>
      <c r="X15" s="10">
        <v>79.150000000000006</v>
      </c>
      <c r="Y15" s="10">
        <v>79.599999999999994</v>
      </c>
      <c r="Z15" s="10">
        <v>78.83</v>
      </c>
      <c r="AA15" s="10">
        <v>78.849999999999994</v>
      </c>
      <c r="AB15" s="93">
        <v>3099500</v>
      </c>
      <c r="AC15" s="10">
        <v>78.53</v>
      </c>
      <c r="AD15" s="2">
        <f t="shared" si="0"/>
        <v>0.76999999999999602</v>
      </c>
      <c r="AE15" s="134">
        <f t="shared" si="1"/>
        <v>-5.0677815786139835E-3</v>
      </c>
    </row>
    <row r="16" spans="1:31" x14ac:dyDescent="0.25">
      <c r="H16" s="70"/>
      <c r="W16" s="130">
        <v>42811</v>
      </c>
      <c r="X16" s="10">
        <v>79.92</v>
      </c>
      <c r="Y16" s="10">
        <v>79.959999999999994</v>
      </c>
      <c r="Z16" s="10">
        <v>78.98</v>
      </c>
      <c r="AA16" s="10">
        <v>79.25</v>
      </c>
      <c r="AB16" s="93">
        <v>6672600</v>
      </c>
      <c r="AC16" s="10">
        <v>78.930000000000007</v>
      </c>
      <c r="AD16" s="2">
        <f t="shared" si="0"/>
        <v>0.97999999999998977</v>
      </c>
      <c r="AE16" s="134">
        <f t="shared" si="1"/>
        <v>-6.4199395770391243E-3</v>
      </c>
    </row>
    <row r="17" spans="1:31" x14ac:dyDescent="0.25">
      <c r="W17" s="130">
        <v>42810</v>
      </c>
      <c r="X17" s="10">
        <v>79.47</v>
      </c>
      <c r="Y17" s="10">
        <v>80.099999999999994</v>
      </c>
      <c r="Z17" s="10">
        <v>79.39</v>
      </c>
      <c r="AA17" s="10">
        <v>79.77</v>
      </c>
      <c r="AB17" s="93">
        <v>3474800</v>
      </c>
      <c r="AC17" s="10">
        <v>79.44</v>
      </c>
      <c r="AD17" s="2">
        <f t="shared" si="0"/>
        <v>0.70999999999999375</v>
      </c>
      <c r="AE17" s="134">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42809</v>
      </c>
      <c r="X18" s="10">
        <v>79.849999999999994</v>
      </c>
      <c r="Y18" s="10">
        <v>79.89</v>
      </c>
      <c r="Z18" s="10">
        <v>78.989999999999995</v>
      </c>
      <c r="AA18" s="10">
        <v>79.23</v>
      </c>
      <c r="AB18" s="93">
        <v>4337200</v>
      </c>
      <c r="AC18" s="10">
        <v>78.91</v>
      </c>
      <c r="AD18" s="2">
        <f t="shared" si="0"/>
        <v>0.90000000000000568</v>
      </c>
      <c r="AE18" s="134">
        <f t="shared" si="1"/>
        <v>-5.6703629032258673E-3</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78.959999999999994</v>
      </c>
      <c r="Y19" s="10">
        <v>79.8</v>
      </c>
      <c r="Z19" s="10">
        <v>78.83</v>
      </c>
      <c r="AA19" s="10">
        <v>79.69</v>
      </c>
      <c r="AB19" s="93">
        <v>3321400</v>
      </c>
      <c r="AC19" s="10">
        <v>79.36</v>
      </c>
      <c r="AD19" s="2">
        <f t="shared" si="0"/>
        <v>0.96999999999999886</v>
      </c>
      <c r="AE19" s="134">
        <f t="shared" si="1"/>
        <v>5.9576625681327933E-3</v>
      </c>
    </row>
    <row r="20" spans="1:31" x14ac:dyDescent="0.25">
      <c r="W20" s="130">
        <v>42807</v>
      </c>
      <c r="X20" s="10">
        <v>79.38</v>
      </c>
      <c r="Y20" s="10">
        <v>79.540000000000006</v>
      </c>
      <c r="Z20" s="10">
        <v>79.06</v>
      </c>
      <c r="AA20" s="10">
        <v>79.209999999999994</v>
      </c>
      <c r="AB20" s="93">
        <v>3664300</v>
      </c>
      <c r="AC20" s="10">
        <v>78.89</v>
      </c>
      <c r="AD20" s="2">
        <f t="shared" si="0"/>
        <v>0.48000000000000398</v>
      </c>
      <c r="AE20" s="134">
        <f t="shared" si="1"/>
        <v>-2.1502656210473647E-3</v>
      </c>
    </row>
    <row r="21" spans="1:31" x14ac:dyDescent="0.25">
      <c r="W21" s="130">
        <v>42804</v>
      </c>
      <c r="X21" s="10">
        <v>79.38</v>
      </c>
      <c r="Y21" s="10">
        <v>79.459999999999994</v>
      </c>
      <c r="Z21" s="10">
        <v>78.88</v>
      </c>
      <c r="AA21" s="10">
        <v>79.38</v>
      </c>
      <c r="AB21" s="93">
        <v>3762800</v>
      </c>
      <c r="AC21" s="10">
        <v>79.06</v>
      </c>
      <c r="AD21" s="2">
        <f t="shared" si="0"/>
        <v>0.57999999999999829</v>
      </c>
      <c r="AE21" s="134">
        <f t="shared" si="1"/>
        <v>1.0129146619397567E-3</v>
      </c>
    </row>
    <row r="22" spans="1:31" x14ac:dyDescent="0.25">
      <c r="W22" s="130">
        <v>42803</v>
      </c>
      <c r="X22" s="10">
        <v>79.19</v>
      </c>
      <c r="Y22" s="10">
        <v>79.7</v>
      </c>
      <c r="Z22" s="10">
        <v>78.81</v>
      </c>
      <c r="AA22" s="10">
        <v>79.3</v>
      </c>
      <c r="AB22" s="93">
        <v>4573500</v>
      </c>
      <c r="AC22" s="10">
        <v>78.98</v>
      </c>
      <c r="AD22" s="2">
        <f t="shared" si="0"/>
        <v>0.89000000000000057</v>
      </c>
      <c r="AE22" s="134">
        <f t="shared" si="1"/>
        <v>3.3028455284553893E-3</v>
      </c>
    </row>
    <row r="23" spans="1:31" x14ac:dyDescent="0.25">
      <c r="W23" s="130">
        <v>42802</v>
      </c>
      <c r="X23" s="10">
        <v>80</v>
      </c>
      <c r="Y23" s="10">
        <v>80.37</v>
      </c>
      <c r="Z23" s="10">
        <v>78.97</v>
      </c>
      <c r="AA23" s="10">
        <v>79.040000000000006</v>
      </c>
      <c r="AB23" s="93">
        <v>4326800</v>
      </c>
      <c r="AC23" s="10">
        <v>78.72</v>
      </c>
      <c r="AD23" s="2">
        <f t="shared" si="0"/>
        <v>1.4000000000000057</v>
      </c>
      <c r="AE23" s="134">
        <f t="shared" si="1"/>
        <v>-6.6876971608832436E-3</v>
      </c>
    </row>
    <row r="24" spans="1:31" x14ac:dyDescent="0.25">
      <c r="B24" s="162" t="s">
        <v>113</v>
      </c>
      <c r="C24" s="162" t="s">
        <v>145</v>
      </c>
      <c r="D24" s="163" t="s">
        <v>144</v>
      </c>
      <c r="E24" s="165" t="s">
        <v>146</v>
      </c>
      <c r="F24" s="165" t="s">
        <v>65</v>
      </c>
      <c r="G24" s="177" t="s">
        <v>150</v>
      </c>
      <c r="H24" s="177" t="s">
        <v>88</v>
      </c>
      <c r="I24" s="177" t="s">
        <v>153</v>
      </c>
      <c r="W24" s="130">
        <v>42801</v>
      </c>
      <c r="X24" s="10">
        <v>79.77</v>
      </c>
      <c r="Y24" s="10">
        <v>80.02</v>
      </c>
      <c r="Z24" s="10">
        <v>79.33</v>
      </c>
      <c r="AA24" s="10">
        <v>79.58</v>
      </c>
      <c r="AB24" s="93">
        <v>4433500</v>
      </c>
      <c r="AC24" s="10">
        <v>79.25</v>
      </c>
      <c r="AD24" s="2">
        <f t="shared" si="0"/>
        <v>0.68999999999999773</v>
      </c>
      <c r="AE24" s="134">
        <f t="shared" si="1"/>
        <v>1.0104837691045088E-3</v>
      </c>
    </row>
    <row r="25" spans="1:31" x14ac:dyDescent="0.25">
      <c r="B25" s="164">
        <v>42548</v>
      </c>
      <c r="C25" s="10">
        <v>40</v>
      </c>
      <c r="D25" s="39">
        <v>59.08</v>
      </c>
      <c r="E25" s="39">
        <v>57.67</v>
      </c>
      <c r="F25" s="39">
        <f t="shared" ref="F25:F35" si="2">C25*(E25-D25)</f>
        <v>-56.399999999999864</v>
      </c>
      <c r="G25" s="39">
        <f t="shared" ref="G25:G35" si="3">D25*C25</f>
        <v>2363.1999999999998</v>
      </c>
      <c r="H25" s="179">
        <f t="shared" ref="H25:H35" si="4">(E25-D25)/D25</f>
        <v>-2.3865944482058168E-2</v>
      </c>
      <c r="I25" s="39"/>
      <c r="W25" s="130">
        <v>42800</v>
      </c>
      <c r="X25" s="10">
        <v>79.5</v>
      </c>
      <c r="Y25" s="10">
        <v>79.680000000000007</v>
      </c>
      <c r="Z25" s="10">
        <v>79.09</v>
      </c>
      <c r="AA25" s="10">
        <v>79.5</v>
      </c>
      <c r="AB25" s="93">
        <v>3670300</v>
      </c>
      <c r="AC25" s="10">
        <v>79.17</v>
      </c>
      <c r="AD25" s="2">
        <f t="shared" si="0"/>
        <v>0.59000000000000341</v>
      </c>
      <c r="AE25" s="134">
        <f t="shared" si="1"/>
        <v>-4.7768698931489606E-3</v>
      </c>
    </row>
    <row r="26" spans="1:31" x14ac:dyDescent="0.25">
      <c r="B26" s="164">
        <v>42550</v>
      </c>
      <c r="C26" s="10">
        <v>40</v>
      </c>
      <c r="D26" s="39">
        <v>59.08</v>
      </c>
      <c r="E26" s="39">
        <v>59.63</v>
      </c>
      <c r="F26" s="39">
        <f t="shared" si="2"/>
        <v>22.000000000000171</v>
      </c>
      <c r="G26" s="39">
        <f t="shared" si="3"/>
        <v>2363.1999999999998</v>
      </c>
      <c r="H26" s="179">
        <f t="shared" si="4"/>
        <v>9.3094109681788138E-3</v>
      </c>
      <c r="I26" s="39"/>
      <c r="W26" s="130">
        <v>42797</v>
      </c>
      <c r="X26" s="10">
        <v>80.099999999999994</v>
      </c>
      <c r="Y26" s="10">
        <v>80.66</v>
      </c>
      <c r="Z26" s="10">
        <v>79.819999999999993</v>
      </c>
      <c r="AA26" s="10">
        <v>79.88</v>
      </c>
      <c r="AB26" s="93">
        <v>4579600</v>
      </c>
      <c r="AC26" s="10">
        <v>79.55</v>
      </c>
      <c r="AD26" s="2">
        <f t="shared" si="0"/>
        <v>0.84000000000000341</v>
      </c>
      <c r="AE26" s="134">
        <f t="shared" si="1"/>
        <v>-2.7579290460072459E-3</v>
      </c>
    </row>
    <row r="27" spans="1:31" x14ac:dyDescent="0.25">
      <c r="B27" s="164">
        <v>42552</v>
      </c>
      <c r="C27" s="10">
        <v>40</v>
      </c>
      <c r="D27" s="39">
        <v>59.08</v>
      </c>
      <c r="E27" s="39">
        <v>60.69</v>
      </c>
      <c r="F27" s="39">
        <f t="shared" si="2"/>
        <v>64.399999999999977</v>
      </c>
      <c r="G27" s="39">
        <f t="shared" si="3"/>
        <v>2363.1999999999998</v>
      </c>
      <c r="H27" s="179">
        <f t="shared" si="4"/>
        <v>2.7251184834123213E-2</v>
      </c>
      <c r="I27" s="39"/>
      <c r="W27" s="130">
        <v>42796</v>
      </c>
      <c r="X27" s="10">
        <v>81.66</v>
      </c>
      <c r="Y27" s="10">
        <v>81.66</v>
      </c>
      <c r="Z27" s="10">
        <v>80.06</v>
      </c>
      <c r="AA27" s="10">
        <v>80.099999999999994</v>
      </c>
      <c r="AB27" s="93">
        <v>4409800</v>
      </c>
      <c r="AC27" s="10">
        <v>79.77</v>
      </c>
      <c r="AD27" s="2">
        <f t="shared" si="0"/>
        <v>1.5999999999999943</v>
      </c>
      <c r="AE27" s="134">
        <f t="shared" si="1"/>
        <v>-2.230665522735642E-2</v>
      </c>
    </row>
    <row r="28" spans="1:31" x14ac:dyDescent="0.25">
      <c r="B28" s="164">
        <v>42556</v>
      </c>
      <c r="C28" s="10">
        <v>40</v>
      </c>
      <c r="D28" s="39">
        <v>59.08</v>
      </c>
      <c r="E28" s="39">
        <v>59.15</v>
      </c>
      <c r="F28" s="39">
        <f t="shared" si="2"/>
        <v>2.8000000000000114</v>
      </c>
      <c r="G28" s="39">
        <f t="shared" si="3"/>
        <v>2363.1999999999998</v>
      </c>
      <c r="H28" s="179">
        <f t="shared" si="4"/>
        <v>1.1848341232227537E-3</v>
      </c>
      <c r="I28" s="39"/>
      <c r="W28" s="130">
        <v>42795</v>
      </c>
      <c r="X28" s="10">
        <v>81.05</v>
      </c>
      <c r="Y28" s="10">
        <v>82</v>
      </c>
      <c r="Z28" s="10">
        <v>81.02</v>
      </c>
      <c r="AA28" s="10">
        <v>81.92</v>
      </c>
      <c r="AB28" s="93">
        <v>4746400</v>
      </c>
      <c r="AC28" s="10">
        <v>81.59</v>
      </c>
      <c r="AD28" s="2">
        <f t="shared" si="0"/>
        <v>0.98000000000000398</v>
      </c>
      <c r="AE28" s="134">
        <f t="shared" si="1"/>
        <v>2.3328734478866187E-2</v>
      </c>
    </row>
    <row r="29" spans="1:31" x14ac:dyDescent="0.25">
      <c r="B29" s="164">
        <v>42557</v>
      </c>
      <c r="C29" s="10">
        <v>40</v>
      </c>
      <c r="D29" s="39">
        <v>59.08</v>
      </c>
      <c r="E29" s="39">
        <v>59.48</v>
      </c>
      <c r="F29" s="39">
        <f t="shared" si="2"/>
        <v>15.999999999999943</v>
      </c>
      <c r="G29" s="39">
        <f t="shared" si="3"/>
        <v>2363.1999999999998</v>
      </c>
      <c r="H29" s="179">
        <f t="shared" si="4"/>
        <v>6.7704807041299693E-3</v>
      </c>
      <c r="I29" s="39"/>
      <c r="W29" s="130">
        <v>42794</v>
      </c>
      <c r="X29" s="10">
        <v>80.12</v>
      </c>
      <c r="Y29" s="10">
        <v>80.489999999999995</v>
      </c>
      <c r="Z29" s="10">
        <v>79.77</v>
      </c>
      <c r="AA29" s="10">
        <v>80.06</v>
      </c>
      <c r="AB29" s="93">
        <v>4415300</v>
      </c>
      <c r="AC29" s="10">
        <v>79.73</v>
      </c>
      <c r="AD29" s="2">
        <f t="shared" si="0"/>
        <v>0.71999999999999886</v>
      </c>
      <c r="AE29" s="134">
        <f t="shared" si="1"/>
        <v>-1.3777555110220385E-3</v>
      </c>
    </row>
    <row r="30" spans="1:31" x14ac:dyDescent="0.25">
      <c r="B30" s="164">
        <v>42569</v>
      </c>
      <c r="C30" s="10">
        <v>40</v>
      </c>
      <c r="D30" s="39">
        <v>59.08</v>
      </c>
      <c r="E30" s="39">
        <v>63.99</v>
      </c>
      <c r="F30" s="39">
        <f t="shared" si="2"/>
        <v>196.40000000000015</v>
      </c>
      <c r="G30" s="39">
        <f t="shared" si="3"/>
        <v>2363.1999999999998</v>
      </c>
      <c r="H30" s="179">
        <f t="shared" si="4"/>
        <v>8.3107650643195738E-2</v>
      </c>
      <c r="I30" s="184">
        <v>57</v>
      </c>
      <c r="W30" s="130">
        <v>42793</v>
      </c>
      <c r="X30" s="10">
        <v>79.75</v>
      </c>
      <c r="Y30" s="10">
        <v>80.31</v>
      </c>
      <c r="Z30" s="10">
        <v>79.59</v>
      </c>
      <c r="AA30" s="10">
        <v>80.17</v>
      </c>
      <c r="AB30" s="93">
        <v>2619400</v>
      </c>
      <c r="AC30" s="10">
        <v>79.84</v>
      </c>
      <c r="AD30" s="2">
        <f t="shared" si="0"/>
        <v>0.71999999999999886</v>
      </c>
      <c r="AE30" s="134">
        <f t="shared" si="1"/>
        <v>5.1617776658692271E-3</v>
      </c>
    </row>
    <row r="31" spans="1:31" x14ac:dyDescent="0.25">
      <c r="B31" s="164">
        <v>42570</v>
      </c>
      <c r="C31" s="10">
        <v>40</v>
      </c>
      <c r="D31" s="39">
        <v>59.08</v>
      </c>
      <c r="E31" s="39">
        <v>64.16</v>
      </c>
      <c r="F31" s="39">
        <f t="shared" si="2"/>
        <v>203.19999999999993</v>
      </c>
      <c r="G31" s="39">
        <f t="shared" si="3"/>
        <v>2363.1999999999998</v>
      </c>
      <c r="H31" s="179">
        <f t="shared" si="4"/>
        <v>8.5985104942450888E-2</v>
      </c>
      <c r="I31" s="39"/>
      <c r="W31" s="130">
        <v>42790</v>
      </c>
      <c r="X31" s="10">
        <v>79.760000000000005</v>
      </c>
      <c r="Y31" s="10">
        <v>79.89</v>
      </c>
      <c r="Z31" s="10">
        <v>79.260000000000005</v>
      </c>
      <c r="AA31" s="10">
        <v>79.760000000000005</v>
      </c>
      <c r="AB31" s="93">
        <v>3932300</v>
      </c>
      <c r="AC31" s="10">
        <v>79.430000000000007</v>
      </c>
      <c r="AD31" s="2">
        <f t="shared" si="0"/>
        <v>0.62999999999999545</v>
      </c>
      <c r="AE31" s="134">
        <f t="shared" si="1"/>
        <v>-3.6377320622176246E-3</v>
      </c>
    </row>
    <row r="32" spans="1:31" x14ac:dyDescent="0.25">
      <c r="B32" s="164">
        <v>42571</v>
      </c>
      <c r="C32" s="10">
        <v>40</v>
      </c>
      <c r="D32" s="39">
        <v>59.08</v>
      </c>
      <c r="E32" s="39">
        <v>64.48</v>
      </c>
      <c r="F32" s="39">
        <f t="shared" si="2"/>
        <v>216.00000000000023</v>
      </c>
      <c r="G32" s="39">
        <f t="shared" si="3"/>
        <v>2363.1999999999998</v>
      </c>
      <c r="H32" s="179">
        <f t="shared" si="4"/>
        <v>9.140148950575501E-2</v>
      </c>
      <c r="I32" s="39" t="s">
        <v>238</v>
      </c>
      <c r="W32" s="130">
        <v>42789</v>
      </c>
      <c r="X32" s="10">
        <v>79.87</v>
      </c>
      <c r="Y32" s="10">
        <v>80.45</v>
      </c>
      <c r="Z32" s="10">
        <v>79.77</v>
      </c>
      <c r="AA32" s="10">
        <v>80.05</v>
      </c>
      <c r="AB32" s="93">
        <v>3339500</v>
      </c>
      <c r="AC32" s="10">
        <v>79.72</v>
      </c>
      <c r="AD32" s="2">
        <f t="shared" si="0"/>
        <v>0.68000000000000682</v>
      </c>
      <c r="AE32" s="134">
        <f t="shared" si="1"/>
        <v>2.3890355840563426E-3</v>
      </c>
    </row>
    <row r="33" spans="2:31" x14ac:dyDescent="0.25">
      <c r="B33" s="164">
        <v>42572</v>
      </c>
      <c r="C33" s="10">
        <v>40</v>
      </c>
      <c r="D33" s="39">
        <v>59.08</v>
      </c>
      <c r="E33" s="39">
        <v>63.43</v>
      </c>
      <c r="F33" s="39">
        <f t="shared" si="2"/>
        <v>174.00000000000006</v>
      </c>
      <c r="G33" s="39">
        <f t="shared" si="3"/>
        <v>2363.1999999999998</v>
      </c>
      <c r="H33" s="179">
        <f t="shared" si="4"/>
        <v>7.3628977657413705E-2</v>
      </c>
      <c r="I33" s="39"/>
      <c r="W33" s="130">
        <v>42788</v>
      </c>
      <c r="X33" s="10">
        <v>79.83</v>
      </c>
      <c r="Y33" s="10">
        <v>79.97</v>
      </c>
      <c r="Z33" s="10">
        <v>79.39</v>
      </c>
      <c r="AA33" s="10">
        <v>79.86</v>
      </c>
      <c r="AB33" s="93">
        <v>2943000</v>
      </c>
      <c r="AC33" s="10">
        <v>79.53</v>
      </c>
      <c r="AD33" s="2">
        <f t="shared" si="0"/>
        <v>0.57999999999999829</v>
      </c>
      <c r="AE33" s="134">
        <f t="shared" si="1"/>
        <v>-1.3812154696132284E-3</v>
      </c>
    </row>
    <row r="34" spans="2:31" x14ac:dyDescent="0.25">
      <c r="B34" s="164">
        <v>42575</v>
      </c>
      <c r="C34" s="10">
        <v>40</v>
      </c>
      <c r="D34" s="39">
        <v>59.08</v>
      </c>
      <c r="E34" s="39">
        <v>64.28</v>
      </c>
      <c r="F34" s="39">
        <f t="shared" si="2"/>
        <v>208.00000000000011</v>
      </c>
      <c r="G34" s="39">
        <f t="shared" si="3"/>
        <v>2363.1999999999998</v>
      </c>
      <c r="H34" s="179">
        <f t="shared" si="4"/>
        <v>8.8016249153689968E-2</v>
      </c>
      <c r="I34" s="39"/>
      <c r="W34" s="130">
        <v>42787</v>
      </c>
      <c r="X34" s="10">
        <v>79.92</v>
      </c>
      <c r="Y34" s="10">
        <v>80.45</v>
      </c>
      <c r="Z34" s="10">
        <v>79.64</v>
      </c>
      <c r="AA34" s="10">
        <v>79.97</v>
      </c>
      <c r="AB34" s="93">
        <v>3505500</v>
      </c>
      <c r="AC34" s="10">
        <v>79.64</v>
      </c>
      <c r="AD34" s="2">
        <f t="shared" si="0"/>
        <v>0.81000000000000227</v>
      </c>
      <c r="AE34" s="134">
        <f t="shared" si="1"/>
        <v>3.2753842277652989E-3</v>
      </c>
    </row>
    <row r="35" spans="2:31" x14ac:dyDescent="0.25">
      <c r="B35" s="164">
        <v>42576</v>
      </c>
      <c r="C35" s="10">
        <v>40</v>
      </c>
      <c r="D35" s="39">
        <v>59.08</v>
      </c>
      <c r="E35" s="39">
        <v>64.33</v>
      </c>
      <c r="F35" s="39">
        <f t="shared" si="2"/>
        <v>210</v>
      </c>
      <c r="G35" s="39">
        <f t="shared" si="3"/>
        <v>2363.1999999999998</v>
      </c>
      <c r="H35" s="179">
        <f t="shared" si="4"/>
        <v>8.8862559241706163E-2</v>
      </c>
      <c r="I35" s="39"/>
      <c r="W35" s="130">
        <v>42783</v>
      </c>
      <c r="X35" s="10">
        <v>79.22</v>
      </c>
      <c r="Y35" s="10">
        <v>79.78</v>
      </c>
      <c r="Z35" s="10">
        <v>78.900000000000006</v>
      </c>
      <c r="AA35" s="10">
        <v>79.709999999999994</v>
      </c>
      <c r="AB35" s="93">
        <v>2690300</v>
      </c>
      <c r="AC35" s="10">
        <v>79.38</v>
      </c>
      <c r="AD35" s="2">
        <f t="shared" si="0"/>
        <v>0.87999999999999545</v>
      </c>
      <c r="AE35" s="134">
        <f t="shared" si="1"/>
        <v>2.5258903763574203E-3</v>
      </c>
    </row>
    <row r="36" spans="2:31" x14ac:dyDescent="0.25">
      <c r="B36" s="164">
        <v>42593</v>
      </c>
      <c r="C36" s="10">
        <v>0</v>
      </c>
      <c r="D36" s="39"/>
      <c r="E36" s="39"/>
      <c r="F36" s="39">
        <v>231.54</v>
      </c>
      <c r="G36" s="39"/>
      <c r="H36" s="179"/>
      <c r="I36" s="39"/>
      <c r="W36" s="130">
        <v>42782</v>
      </c>
      <c r="X36" s="10">
        <v>79.459999999999994</v>
      </c>
      <c r="Y36" s="10">
        <v>79.599999999999994</v>
      </c>
      <c r="Z36" s="10">
        <v>78.92</v>
      </c>
      <c r="AA36" s="10">
        <v>79.510000000000005</v>
      </c>
      <c r="AB36" s="93">
        <v>4295000</v>
      </c>
      <c r="AC36" s="10">
        <v>79.180000000000007</v>
      </c>
      <c r="AD36" s="2">
        <f t="shared" si="0"/>
        <v>0.67999999999999261</v>
      </c>
      <c r="AE36" s="134">
        <f t="shared" si="1"/>
        <v>-1.1353601614733089E-3</v>
      </c>
    </row>
    <row r="37" spans="2:31" x14ac:dyDescent="0.25">
      <c r="B37" s="164"/>
      <c r="C37" s="10"/>
      <c r="D37" s="39"/>
      <c r="E37" s="39"/>
      <c r="F37" s="39"/>
      <c r="G37" s="39"/>
      <c r="H37" s="179"/>
      <c r="I37" s="39"/>
      <c r="W37" s="130">
        <v>42781</v>
      </c>
      <c r="X37" s="10">
        <v>79.790000000000006</v>
      </c>
      <c r="Y37" s="10">
        <v>80.099999999999994</v>
      </c>
      <c r="Z37" s="10">
        <v>78.67</v>
      </c>
      <c r="AA37" s="10">
        <v>79.599999999999994</v>
      </c>
      <c r="AB37" s="93">
        <v>5704100</v>
      </c>
      <c r="AC37" s="10">
        <v>79.27</v>
      </c>
      <c r="AD37" s="2">
        <f t="shared" si="0"/>
        <v>1.4299999999999926</v>
      </c>
      <c r="AE37" s="134">
        <f t="shared" si="1"/>
        <v>2.2758882286002535E-3</v>
      </c>
    </row>
    <row r="38" spans="2:31" x14ac:dyDescent="0.25">
      <c r="B38" s="164"/>
      <c r="C38" s="10"/>
      <c r="D38" s="39"/>
      <c r="E38" s="39"/>
      <c r="F38" s="39"/>
      <c r="G38" s="39"/>
      <c r="H38" s="179"/>
      <c r="I38" s="39"/>
      <c r="W38" s="130">
        <v>42780</v>
      </c>
      <c r="X38" s="10">
        <v>79</v>
      </c>
      <c r="Y38" s="10">
        <v>79.45</v>
      </c>
      <c r="Z38" s="10">
        <v>78.67</v>
      </c>
      <c r="AA38" s="10">
        <v>79.41</v>
      </c>
      <c r="AB38" s="93">
        <v>3511200</v>
      </c>
      <c r="AC38" s="10">
        <v>79.09</v>
      </c>
      <c r="AD38" s="2">
        <f t="shared" si="0"/>
        <v>0.78000000000000114</v>
      </c>
      <c r="AE38" s="134">
        <f t="shared" si="1"/>
        <v>6.362132586843039E-3</v>
      </c>
    </row>
    <row r="39" spans="2:31" x14ac:dyDescent="0.25">
      <c r="B39" s="164"/>
      <c r="C39" s="10"/>
      <c r="D39" s="39"/>
      <c r="E39" s="39"/>
      <c r="F39" s="39"/>
      <c r="G39" s="39"/>
      <c r="H39" s="179"/>
      <c r="I39" s="39"/>
      <c r="W39" s="130">
        <v>42779</v>
      </c>
      <c r="X39" s="10">
        <v>78.819999999999993</v>
      </c>
      <c r="Y39" s="10">
        <v>79.180000000000007</v>
      </c>
      <c r="Z39" s="10">
        <v>78.48</v>
      </c>
      <c r="AA39" s="10">
        <v>78.91</v>
      </c>
      <c r="AB39" s="93">
        <v>3317100</v>
      </c>
      <c r="AC39" s="10">
        <v>78.59</v>
      </c>
      <c r="AD39" s="2">
        <f t="shared" si="0"/>
        <v>0.70000000000000284</v>
      </c>
      <c r="AE39" s="134">
        <f t="shared" si="1"/>
        <v>5.501535312180339E-3</v>
      </c>
    </row>
    <row r="40" spans="2:31" ht="20.25" thickBot="1" x14ac:dyDescent="0.35">
      <c r="B40" s="164"/>
      <c r="C40" s="10"/>
      <c r="D40" s="39"/>
      <c r="E40" s="39"/>
      <c r="F40" s="39"/>
      <c r="G40" s="39"/>
      <c r="H40" s="179"/>
      <c r="I40" s="39"/>
      <c r="O40" s="884" t="s">
        <v>78</v>
      </c>
      <c r="P40" s="884"/>
      <c r="W40" s="130">
        <v>42776</v>
      </c>
      <c r="X40" s="10">
        <v>78.5</v>
      </c>
      <c r="Y40" s="10">
        <v>78.69</v>
      </c>
      <c r="Z40" s="10">
        <v>78.23</v>
      </c>
      <c r="AA40" s="10">
        <v>78.48</v>
      </c>
      <c r="AB40" s="93">
        <v>2191200</v>
      </c>
      <c r="AC40" s="10">
        <v>78.16</v>
      </c>
      <c r="AD40" s="2">
        <f t="shared" si="0"/>
        <v>0.45999999999999375</v>
      </c>
      <c r="AE40" s="134">
        <f t="shared" si="1"/>
        <v>3.8530696121243935E-3</v>
      </c>
    </row>
    <row r="41" spans="2:31" ht="15.75" thickTop="1" x14ac:dyDescent="0.25">
      <c r="B41" s="164"/>
      <c r="C41" s="10"/>
      <c r="D41" s="39"/>
      <c r="E41" s="39"/>
      <c r="F41" s="39"/>
      <c r="G41" s="39"/>
      <c r="H41" s="179"/>
      <c r="I41" s="39"/>
      <c r="O41" s="81">
        <v>1.1000000000000001</v>
      </c>
      <c r="P41" s="81">
        <f>O41*$Q$4</f>
        <v>112.93700000000001</v>
      </c>
      <c r="Q41" s="2"/>
      <c r="W41" s="130">
        <v>42775</v>
      </c>
      <c r="X41" s="10">
        <v>77.8</v>
      </c>
      <c r="Y41" s="10">
        <v>78.37</v>
      </c>
      <c r="Z41" s="10">
        <v>77.67</v>
      </c>
      <c r="AA41" s="10">
        <v>78.180000000000007</v>
      </c>
      <c r="AB41" s="93">
        <v>3031800</v>
      </c>
      <c r="AC41" s="10">
        <v>77.86</v>
      </c>
      <c r="AD41" s="2">
        <f t="shared" si="0"/>
        <v>0.70000000000000284</v>
      </c>
      <c r="AE41" s="134">
        <f t="shared" si="1"/>
        <v>4.9044914816727125E-3</v>
      </c>
    </row>
    <row r="42" spans="2:31" ht="20.25" thickBot="1" x14ac:dyDescent="0.35">
      <c r="B42" s="164"/>
      <c r="C42" s="10"/>
      <c r="D42" s="39"/>
      <c r="E42" s="39"/>
      <c r="F42" s="39"/>
      <c r="G42" s="39"/>
      <c r="H42" s="179"/>
      <c r="I42" s="39"/>
      <c r="O42" s="81">
        <v>1.0900000000000001</v>
      </c>
      <c r="P42" s="81">
        <f t="shared" ref="P42:P61" si="5">O42*$Q$4</f>
        <v>111.91030000000001</v>
      </c>
      <c r="Q42" s="2"/>
      <c r="T42" s="89" t="s">
        <v>112</v>
      </c>
      <c r="W42" s="130">
        <v>42774</v>
      </c>
      <c r="X42" s="10">
        <v>77.540000000000006</v>
      </c>
      <c r="Y42" s="10">
        <v>77.94</v>
      </c>
      <c r="Z42" s="10">
        <v>77.08</v>
      </c>
      <c r="AA42" s="10">
        <v>77.8</v>
      </c>
      <c r="AB42" s="93">
        <v>2223100</v>
      </c>
      <c r="AC42" s="10">
        <v>77.48</v>
      </c>
      <c r="AD42" s="2">
        <f t="shared" si="0"/>
        <v>0.85999999999999943</v>
      </c>
      <c r="AE42" s="134">
        <f t="shared" si="1"/>
        <v>1.0335917312660481E-3</v>
      </c>
    </row>
    <row r="43" spans="2:31" ht="15.75" thickTop="1" x14ac:dyDescent="0.25">
      <c r="B43" s="164"/>
      <c r="C43" s="10"/>
      <c r="D43" s="39"/>
      <c r="E43" s="39"/>
      <c r="F43" s="39"/>
      <c r="G43" s="39"/>
      <c r="H43" s="179"/>
      <c r="I43" s="39"/>
      <c r="O43" s="81">
        <v>1.08</v>
      </c>
      <c r="P43" s="81">
        <f t="shared" si="5"/>
        <v>110.88360000000002</v>
      </c>
      <c r="Q43" s="2"/>
      <c r="T43" s="125" t="s">
        <v>97</v>
      </c>
      <c r="U43" s="126">
        <v>77.94</v>
      </c>
      <c r="W43" s="130">
        <v>42773</v>
      </c>
      <c r="X43" s="10">
        <v>78.06</v>
      </c>
      <c r="Y43" s="10">
        <v>78.38</v>
      </c>
      <c r="Z43" s="10">
        <v>77.52</v>
      </c>
      <c r="AA43" s="10">
        <v>77.72</v>
      </c>
      <c r="AB43" s="93">
        <v>2060200</v>
      </c>
      <c r="AC43" s="10">
        <v>77.400000000000006</v>
      </c>
      <c r="AD43" s="2">
        <f t="shared" si="0"/>
        <v>0.85999999999999943</v>
      </c>
      <c r="AE43" s="134">
        <f t="shared" si="1"/>
        <v>-1.290322580645098E-3</v>
      </c>
    </row>
    <row r="44" spans="2:31" x14ac:dyDescent="0.25">
      <c r="B44" s="164"/>
      <c r="C44" s="10"/>
      <c r="D44" s="39"/>
      <c r="E44" s="39"/>
      <c r="F44" s="39"/>
      <c r="G44" s="39"/>
      <c r="H44" s="179"/>
      <c r="I44" s="39"/>
      <c r="O44" s="81">
        <v>1.07</v>
      </c>
      <c r="P44" s="81">
        <f t="shared" si="5"/>
        <v>109.85690000000001</v>
      </c>
      <c r="Q44" s="2"/>
      <c r="T44" s="91" t="s">
        <v>98</v>
      </c>
      <c r="U44" s="127">
        <v>78.510000000000005</v>
      </c>
      <c r="W44" s="130">
        <v>42772</v>
      </c>
      <c r="X44" s="10">
        <v>77.72</v>
      </c>
      <c r="Y44" s="10">
        <v>78.41</v>
      </c>
      <c r="Z44" s="10">
        <v>77.48</v>
      </c>
      <c r="AA44" s="10">
        <v>77.819999999999993</v>
      </c>
      <c r="AB44" s="93">
        <v>3229500</v>
      </c>
      <c r="AC44" s="10">
        <v>77.5</v>
      </c>
      <c r="AD44" s="2">
        <f t="shared" si="0"/>
        <v>0.92999999999999261</v>
      </c>
      <c r="AE44" s="134">
        <f t="shared" si="1"/>
        <v>-2.8306742151312791E-3</v>
      </c>
    </row>
    <row r="45" spans="2:31" x14ac:dyDescent="0.25">
      <c r="O45" s="81">
        <v>1.06</v>
      </c>
      <c r="P45" s="81">
        <f t="shared" si="5"/>
        <v>108.8302</v>
      </c>
      <c r="Q45" s="2"/>
      <c r="T45" s="91" t="s">
        <v>99</v>
      </c>
      <c r="U45" s="127" t="s">
        <v>128</v>
      </c>
      <c r="W45" s="130">
        <v>42769</v>
      </c>
      <c r="X45" s="10">
        <v>77.14</v>
      </c>
      <c r="Y45" s="10">
        <v>78.42</v>
      </c>
      <c r="Z45" s="10">
        <v>76.91</v>
      </c>
      <c r="AA45" s="10">
        <v>78.040000000000006</v>
      </c>
      <c r="AB45" s="93">
        <v>5235800</v>
      </c>
      <c r="AC45" s="10">
        <v>77.72</v>
      </c>
      <c r="AD45" s="2">
        <f t="shared" si="0"/>
        <v>1.5100000000000051</v>
      </c>
      <c r="AE45" s="134">
        <f t="shared" si="1"/>
        <v>1.9947506561679651E-2</v>
      </c>
    </row>
    <row r="46" spans="2:31" x14ac:dyDescent="0.25">
      <c r="O46" s="81">
        <v>1.05</v>
      </c>
      <c r="P46" s="81">
        <f t="shared" si="5"/>
        <v>107.8035</v>
      </c>
      <c r="Q46" s="2"/>
      <c r="T46" s="91" t="s">
        <v>100</v>
      </c>
      <c r="U46" s="127" t="s">
        <v>128</v>
      </c>
      <c r="W46" s="130">
        <v>42768</v>
      </c>
      <c r="X46" s="10">
        <v>76.23</v>
      </c>
      <c r="Y46" s="10">
        <v>76.89</v>
      </c>
      <c r="Z46" s="10">
        <v>76.06</v>
      </c>
      <c r="AA46" s="10">
        <v>76.510000000000005</v>
      </c>
      <c r="AB46" s="93">
        <v>3655500</v>
      </c>
      <c r="AC46" s="10">
        <v>76.2</v>
      </c>
      <c r="AD46" s="2">
        <f t="shared" si="0"/>
        <v>0.82999999999999829</v>
      </c>
      <c r="AE46" s="134">
        <f t="shared" si="1"/>
        <v>-3.2701111837802888E-3</v>
      </c>
    </row>
    <row r="47" spans="2:31" x14ac:dyDescent="0.25">
      <c r="O47" s="81">
        <v>1.04</v>
      </c>
      <c r="P47" s="81">
        <f t="shared" si="5"/>
        <v>106.77680000000001</v>
      </c>
      <c r="Q47" s="2"/>
      <c r="T47" s="91" t="s">
        <v>101</v>
      </c>
      <c r="U47" s="127">
        <v>81.44</v>
      </c>
      <c r="W47" s="130">
        <v>42767</v>
      </c>
      <c r="X47" s="10">
        <v>76.849999999999994</v>
      </c>
      <c r="Y47" s="10">
        <v>77.44</v>
      </c>
      <c r="Z47" s="10">
        <v>76.58</v>
      </c>
      <c r="AA47" s="10">
        <v>76.760000000000005</v>
      </c>
      <c r="AB47" s="93">
        <v>3916800</v>
      </c>
      <c r="AC47" s="10">
        <v>76.45</v>
      </c>
      <c r="AD47" s="2">
        <f t="shared" si="0"/>
        <v>0.85999999999999943</v>
      </c>
      <c r="AE47" s="134">
        <f t="shared" si="1"/>
        <v>4.9953989746287508E-3</v>
      </c>
    </row>
    <row r="48" spans="2:31" x14ac:dyDescent="0.25">
      <c r="L48" t="s">
        <v>65</v>
      </c>
      <c r="M48" s="2">
        <f>M66+K66-F66</f>
        <v>231.53999999999996</v>
      </c>
      <c r="O48" s="81">
        <v>1.03</v>
      </c>
      <c r="P48" s="81">
        <f t="shared" si="5"/>
        <v>105.7501</v>
      </c>
      <c r="Q48" s="2"/>
      <c r="T48" s="91" t="s">
        <v>102</v>
      </c>
      <c r="U48" s="127">
        <v>1.1648700000000001</v>
      </c>
      <c r="W48" s="130">
        <v>42766</v>
      </c>
      <c r="X48" s="10">
        <v>76.86</v>
      </c>
      <c r="Y48" s="10">
        <v>77.25</v>
      </c>
      <c r="Z48" s="10">
        <v>75.97</v>
      </c>
      <c r="AA48" s="10">
        <v>76.38</v>
      </c>
      <c r="AB48" s="93">
        <v>5568100</v>
      </c>
      <c r="AC48" s="10">
        <v>76.069999999999993</v>
      </c>
      <c r="AD48" s="2">
        <f t="shared" si="0"/>
        <v>1.2800000000000011</v>
      </c>
      <c r="AE48" s="134">
        <f t="shared" si="1"/>
        <v>-1.1564449064449089E-2</v>
      </c>
    </row>
    <row r="49" spans="1:31" x14ac:dyDescent="0.25">
      <c r="A49" s="304" t="s">
        <v>1</v>
      </c>
      <c r="B49" s="304" t="s">
        <v>2</v>
      </c>
      <c r="C49" s="304" t="s">
        <v>4</v>
      </c>
      <c r="D49" s="306" t="s">
        <v>5</v>
      </c>
      <c r="E49" s="306" t="s">
        <v>94</v>
      </c>
      <c r="F49" s="306" t="s">
        <v>60</v>
      </c>
      <c r="G49" s="304" t="s">
        <v>3</v>
      </c>
      <c r="H49" s="304" t="s">
        <v>6</v>
      </c>
      <c r="I49" s="306" t="s">
        <v>7</v>
      </c>
      <c r="J49" s="306" t="s">
        <v>95</v>
      </c>
      <c r="K49" s="306" t="s">
        <v>61</v>
      </c>
      <c r="L49" s="304" t="s">
        <v>37</v>
      </c>
      <c r="M49" s="304" t="s">
        <v>38</v>
      </c>
      <c r="O49" s="81">
        <v>1.02</v>
      </c>
      <c r="P49" s="81">
        <f t="shared" si="5"/>
        <v>104.7234</v>
      </c>
      <c r="Q49" s="2"/>
      <c r="T49" s="91" t="s">
        <v>103</v>
      </c>
      <c r="U49" s="127" t="s">
        <v>501</v>
      </c>
      <c r="W49" s="130">
        <v>42765</v>
      </c>
      <c r="X49" s="10">
        <v>76.83</v>
      </c>
      <c r="Y49" s="10">
        <v>77.319999999999993</v>
      </c>
      <c r="Z49" s="10">
        <v>76.540000000000006</v>
      </c>
      <c r="AA49" s="10">
        <v>77.28</v>
      </c>
      <c r="AB49" s="93">
        <v>5344500</v>
      </c>
      <c r="AC49" s="10">
        <v>76.959999999999994</v>
      </c>
      <c r="AD49" s="2">
        <f t="shared" si="0"/>
        <v>0.77999999999998693</v>
      </c>
      <c r="AE49" s="134">
        <f t="shared" si="1"/>
        <v>5.4873268879016557E-3</v>
      </c>
    </row>
    <row r="50" spans="1:31" x14ac:dyDescent="0.25">
      <c r="A50" s="307" t="s">
        <v>220</v>
      </c>
      <c r="B50" s="297">
        <v>42548</v>
      </c>
      <c r="C50" s="298">
        <v>40</v>
      </c>
      <c r="D50" s="299">
        <v>59.08</v>
      </c>
      <c r="E50" s="299">
        <v>0</v>
      </c>
      <c r="F50" s="299">
        <f>D50*C50+E50</f>
        <v>2363.1999999999998</v>
      </c>
      <c r="G50" s="297">
        <v>42580</v>
      </c>
      <c r="H50" s="302">
        <v>40</v>
      </c>
      <c r="I50" s="299">
        <v>64.58</v>
      </c>
      <c r="J50" s="299">
        <v>0.06</v>
      </c>
      <c r="K50" s="299">
        <f>I50*H50-J50</f>
        <v>2583.14</v>
      </c>
      <c r="L50" s="297">
        <v>42592</v>
      </c>
      <c r="M50" s="298">
        <v>11.6</v>
      </c>
      <c r="O50" s="81">
        <v>1.01</v>
      </c>
      <c r="P50" s="81">
        <f t="shared" si="5"/>
        <v>103.69670000000001</v>
      </c>
      <c r="Q50" s="2"/>
      <c r="T50" s="91"/>
      <c r="U50" s="127"/>
      <c r="W50" s="130">
        <v>42762</v>
      </c>
      <c r="X50" s="10">
        <v>77</v>
      </c>
      <c r="Y50" s="10">
        <v>77.3</v>
      </c>
      <c r="Z50" s="10">
        <v>76.540000000000006</v>
      </c>
      <c r="AA50" s="10">
        <v>76.849999999999994</v>
      </c>
      <c r="AB50" s="93">
        <v>3530900</v>
      </c>
      <c r="AC50" s="10">
        <v>76.540000000000006</v>
      </c>
      <c r="AD50" s="2">
        <f t="shared" si="0"/>
        <v>0.75999999999999091</v>
      </c>
      <c r="AE50" s="134">
        <f t="shared" si="1"/>
        <v>-1.0441138084050783E-3</v>
      </c>
    </row>
    <row r="51" spans="1:31" x14ac:dyDescent="0.25">
      <c r="A51" s="308" t="s">
        <v>71</v>
      </c>
      <c r="B51" s="297"/>
      <c r="C51" s="298"/>
      <c r="D51" s="299"/>
      <c r="E51" s="299"/>
      <c r="F51" s="299"/>
      <c r="G51" s="298"/>
      <c r="H51" s="302"/>
      <c r="I51" s="299"/>
      <c r="J51" s="299"/>
      <c r="K51" s="299"/>
      <c r="L51" s="298"/>
      <c r="M51" s="298"/>
      <c r="O51" s="81">
        <v>1</v>
      </c>
      <c r="P51" s="81">
        <f t="shared" si="5"/>
        <v>102.67</v>
      </c>
      <c r="Q51" s="2"/>
      <c r="T51" s="91" t="s">
        <v>104</v>
      </c>
      <c r="U51" s="127" t="s">
        <v>549</v>
      </c>
      <c r="W51" s="130">
        <v>42761</v>
      </c>
      <c r="X51" s="10">
        <v>76.95</v>
      </c>
      <c r="Y51" s="10">
        <v>77.459999999999994</v>
      </c>
      <c r="Z51" s="10">
        <v>76.63</v>
      </c>
      <c r="AA51" s="10">
        <v>76.930000000000007</v>
      </c>
      <c r="AB51" s="93">
        <v>3344900</v>
      </c>
      <c r="AC51" s="10">
        <v>76.62</v>
      </c>
      <c r="AD51" s="2">
        <f t="shared" si="0"/>
        <v>0.82999999999999829</v>
      </c>
      <c r="AE51" s="134">
        <f t="shared" si="1"/>
        <v>5.2232958997144863E-4</v>
      </c>
    </row>
    <row r="52" spans="1:31" x14ac:dyDescent="0.25">
      <c r="A52" s="298"/>
      <c r="B52" s="297"/>
      <c r="C52" s="298"/>
      <c r="D52" s="299"/>
      <c r="E52" s="299"/>
      <c r="F52" s="299"/>
      <c r="G52" s="298"/>
      <c r="H52" s="302"/>
      <c r="I52" s="299"/>
      <c r="J52" s="299"/>
      <c r="K52" s="299"/>
      <c r="L52" s="298"/>
      <c r="M52" s="298"/>
      <c r="O52" s="81">
        <v>0.99</v>
      </c>
      <c r="P52" s="81">
        <f t="shared" si="5"/>
        <v>101.6433</v>
      </c>
      <c r="Q52" s="2"/>
      <c r="T52" s="91" t="s">
        <v>105</v>
      </c>
      <c r="U52" s="127" t="s">
        <v>460</v>
      </c>
      <c r="W52" s="130">
        <v>42760</v>
      </c>
      <c r="X52" s="10">
        <v>78</v>
      </c>
      <c r="Y52" s="10">
        <v>78.02</v>
      </c>
      <c r="Z52" s="10">
        <v>76.400000000000006</v>
      </c>
      <c r="AA52" s="10">
        <v>76.89</v>
      </c>
      <c r="AB52" s="93">
        <v>5278300</v>
      </c>
      <c r="AC52" s="10">
        <v>76.58</v>
      </c>
      <c r="AD52" s="2">
        <f t="shared" si="0"/>
        <v>1.6199999999999903</v>
      </c>
      <c r="AE52" s="134">
        <f t="shared" si="1"/>
        <v>-6.8732978861366645E-3</v>
      </c>
    </row>
    <row r="53" spans="1:31" x14ac:dyDescent="0.25">
      <c r="A53" s="298"/>
      <c r="B53" s="297"/>
      <c r="C53" s="298"/>
      <c r="D53" s="299"/>
      <c r="E53" s="299"/>
      <c r="F53" s="299"/>
      <c r="G53" s="298"/>
      <c r="H53" s="302"/>
      <c r="I53" s="299"/>
      <c r="J53" s="299"/>
      <c r="K53" s="299"/>
      <c r="L53" s="298"/>
      <c r="M53" s="298"/>
      <c r="O53" s="81">
        <v>0.98</v>
      </c>
      <c r="P53" s="81">
        <f t="shared" si="5"/>
        <v>100.61660000000001</v>
      </c>
      <c r="Q53" s="2"/>
      <c r="T53" s="91" t="s">
        <v>106</v>
      </c>
      <c r="U53" s="128">
        <v>2858427</v>
      </c>
      <c r="W53" s="130">
        <v>42759</v>
      </c>
      <c r="X53" s="10">
        <v>76.33</v>
      </c>
      <c r="Y53" s="10">
        <v>77.66</v>
      </c>
      <c r="Z53" s="10">
        <v>76.09</v>
      </c>
      <c r="AA53" s="10">
        <v>77.430000000000007</v>
      </c>
      <c r="AB53" s="93">
        <v>4024300</v>
      </c>
      <c r="AC53" s="10">
        <v>77.11</v>
      </c>
      <c r="AD53" s="2">
        <f t="shared" si="0"/>
        <v>1.5699999999999932</v>
      </c>
      <c r="AE53" s="134">
        <f t="shared" si="1"/>
        <v>1.9164684113137653E-2</v>
      </c>
    </row>
    <row r="54" spans="1:31" x14ac:dyDescent="0.25">
      <c r="A54" s="298"/>
      <c r="B54" s="297"/>
      <c r="C54" s="298"/>
      <c r="D54" s="299"/>
      <c r="E54" s="299"/>
      <c r="F54" s="299"/>
      <c r="G54" s="298"/>
      <c r="H54" s="302"/>
      <c r="I54" s="299"/>
      <c r="J54" s="299"/>
      <c r="K54" s="299"/>
      <c r="L54" s="298"/>
      <c r="M54" s="298"/>
      <c r="O54" s="81">
        <v>0.97</v>
      </c>
      <c r="P54" s="81">
        <f t="shared" si="5"/>
        <v>99.5899</v>
      </c>
      <c r="T54" s="91" t="s">
        <v>109</v>
      </c>
      <c r="U54" s="128">
        <v>4241430</v>
      </c>
      <c r="W54" s="130">
        <v>42758</v>
      </c>
      <c r="X54" s="10">
        <v>75.92</v>
      </c>
      <c r="Y54" s="10">
        <v>76.48</v>
      </c>
      <c r="Z54" s="10">
        <v>75.73</v>
      </c>
      <c r="AA54" s="10">
        <v>75.97</v>
      </c>
      <c r="AB54" s="93">
        <v>4444300</v>
      </c>
      <c r="AC54" s="10">
        <v>75.66</v>
      </c>
      <c r="AD54" s="2">
        <f t="shared" si="0"/>
        <v>0.75</v>
      </c>
      <c r="AE54" s="134">
        <f t="shared" si="1"/>
        <v>-3.0307023323231652E-3</v>
      </c>
    </row>
    <row r="55" spans="1:31" x14ac:dyDescent="0.25">
      <c r="A55" s="298"/>
      <c r="B55" s="298"/>
      <c r="C55" s="298"/>
      <c r="D55" s="299"/>
      <c r="E55" s="299"/>
      <c r="F55" s="299"/>
      <c r="G55" s="298"/>
      <c r="H55" s="302"/>
      <c r="I55" s="299"/>
      <c r="J55" s="299"/>
      <c r="K55" s="299"/>
      <c r="L55" s="298"/>
      <c r="M55" s="298"/>
      <c r="O55" s="81">
        <v>0.96</v>
      </c>
      <c r="P55" s="81">
        <f t="shared" si="5"/>
        <v>98.563199999999995</v>
      </c>
      <c r="T55" s="91" t="s">
        <v>107</v>
      </c>
      <c r="U55" s="127" t="s">
        <v>550</v>
      </c>
      <c r="W55" s="130">
        <v>42755</v>
      </c>
      <c r="X55" s="10">
        <v>75.989999999999995</v>
      </c>
      <c r="Y55" s="10">
        <v>76.91</v>
      </c>
      <c r="Z55" s="10">
        <v>75.39</v>
      </c>
      <c r="AA55" s="10">
        <v>76.2</v>
      </c>
      <c r="AB55" s="93">
        <v>8465900</v>
      </c>
      <c r="AC55" s="10">
        <v>75.89</v>
      </c>
      <c r="AD55" s="2">
        <f t="shared" si="0"/>
        <v>1.519999999999996</v>
      </c>
      <c r="AE55" s="134">
        <f t="shared" si="1"/>
        <v>-6.4152919612463499E-3</v>
      </c>
    </row>
    <row r="56" spans="1:31" x14ac:dyDescent="0.25">
      <c r="A56" s="298"/>
      <c r="B56" s="298"/>
      <c r="C56" s="298"/>
      <c r="D56" s="299"/>
      <c r="E56" s="299"/>
      <c r="F56" s="299"/>
      <c r="G56" s="298"/>
      <c r="H56" s="302"/>
      <c r="I56" s="299"/>
      <c r="J56" s="299"/>
      <c r="K56" s="299"/>
      <c r="L56" s="298"/>
      <c r="M56" s="298"/>
      <c r="O56" s="81">
        <v>0.95</v>
      </c>
      <c r="P56" s="81">
        <f t="shared" si="5"/>
        <v>97.536500000000004</v>
      </c>
      <c r="T56" s="91" t="s">
        <v>110</v>
      </c>
      <c r="U56" s="127">
        <v>13.76</v>
      </c>
      <c r="W56" s="130">
        <v>42754</v>
      </c>
      <c r="X56" s="10">
        <v>77.61</v>
      </c>
      <c r="Y56" s="10">
        <v>77.78</v>
      </c>
      <c r="Z56" s="10">
        <v>76.61</v>
      </c>
      <c r="AA56" s="10">
        <v>76.69</v>
      </c>
      <c r="AB56" s="93">
        <v>8111400</v>
      </c>
      <c r="AC56" s="10">
        <v>76.38</v>
      </c>
      <c r="AD56" s="2">
        <f t="shared" si="0"/>
        <v>1.1700000000000017</v>
      </c>
      <c r="AE56" s="134">
        <f t="shared" si="1"/>
        <v>-1.0237138784501831E-2</v>
      </c>
    </row>
    <row r="57" spans="1:31" x14ac:dyDescent="0.25">
      <c r="A57" s="298"/>
      <c r="B57" s="298"/>
      <c r="C57" s="298"/>
      <c r="D57" s="299"/>
      <c r="E57" s="299"/>
      <c r="F57" s="299"/>
      <c r="G57" s="298"/>
      <c r="H57" s="302"/>
      <c r="I57" s="299"/>
      <c r="J57" s="299"/>
      <c r="K57" s="299"/>
      <c r="L57" s="298"/>
      <c r="M57" s="298"/>
      <c r="O57" s="81">
        <v>0.94</v>
      </c>
      <c r="P57" s="81">
        <f t="shared" si="5"/>
        <v>96.509799999999998</v>
      </c>
      <c r="T57" s="91" t="s">
        <v>111</v>
      </c>
      <c r="U57" s="127">
        <v>5.65</v>
      </c>
      <c r="W57" s="130">
        <v>42753</v>
      </c>
      <c r="X57" s="10">
        <v>77.11</v>
      </c>
      <c r="Y57" s="10">
        <v>77.61</v>
      </c>
      <c r="Z57" s="10">
        <v>76.510000000000005</v>
      </c>
      <c r="AA57" s="10">
        <v>77.489999999999995</v>
      </c>
      <c r="AB57" s="93">
        <v>5988400</v>
      </c>
      <c r="AC57" s="10">
        <v>77.17</v>
      </c>
      <c r="AD57" s="2">
        <f t="shared" si="0"/>
        <v>1.0999999999999943</v>
      </c>
      <c r="AE57" s="134">
        <f t="shared" si="1"/>
        <v>1.1534932494429162E-2</v>
      </c>
    </row>
    <row r="58" spans="1:31" x14ac:dyDescent="0.25">
      <c r="A58" s="298"/>
      <c r="B58" s="298"/>
      <c r="C58" s="298"/>
      <c r="D58" s="299"/>
      <c r="E58" s="299"/>
      <c r="F58" s="299"/>
      <c r="G58" s="298"/>
      <c r="H58" s="302"/>
      <c r="I58" s="299"/>
      <c r="J58" s="299"/>
      <c r="K58" s="299"/>
      <c r="L58" s="298"/>
      <c r="M58" s="298"/>
      <c r="O58" s="81">
        <v>0.93</v>
      </c>
      <c r="P58" s="81">
        <f t="shared" si="5"/>
        <v>95.483100000000007</v>
      </c>
      <c r="T58" s="91" t="s">
        <v>108</v>
      </c>
      <c r="U58" s="127" t="s">
        <v>523</v>
      </c>
      <c r="W58" s="130">
        <v>42752</v>
      </c>
      <c r="X58" s="10">
        <v>77.400000000000006</v>
      </c>
      <c r="Y58" s="10">
        <v>77.7</v>
      </c>
      <c r="Z58" s="10">
        <v>76.47</v>
      </c>
      <c r="AA58" s="10">
        <v>76.599999999999994</v>
      </c>
      <c r="AB58" s="93">
        <v>6450300</v>
      </c>
      <c r="AC58" s="10">
        <v>76.290000000000006</v>
      </c>
      <c r="AD58" s="2">
        <f t="shared" si="0"/>
        <v>1.230000000000004</v>
      </c>
      <c r="AE58" s="134">
        <f t="shared" si="1"/>
        <v>-2.6208884811951272E-4</v>
      </c>
    </row>
    <row r="59" spans="1:31" x14ac:dyDescent="0.25">
      <c r="A59" s="298"/>
      <c r="B59" s="298"/>
      <c r="C59" s="298"/>
      <c r="D59" s="299"/>
      <c r="E59" s="299"/>
      <c r="F59" s="299"/>
      <c r="G59" s="298"/>
      <c r="H59" s="302"/>
      <c r="I59" s="299"/>
      <c r="J59" s="299"/>
      <c r="K59" s="299"/>
      <c r="L59" s="298"/>
      <c r="M59" s="298"/>
      <c r="O59" s="81">
        <v>0.92</v>
      </c>
      <c r="P59" s="81">
        <f t="shared" si="5"/>
        <v>94.456400000000002</v>
      </c>
      <c r="W59" s="130">
        <v>42748</v>
      </c>
      <c r="X59" s="10">
        <v>76.930000000000007</v>
      </c>
      <c r="Y59" s="10">
        <v>77.63</v>
      </c>
      <c r="Z59" s="10">
        <v>76.41</v>
      </c>
      <c r="AA59" s="10">
        <v>76.62</v>
      </c>
      <c r="AB59" s="93">
        <v>3454300</v>
      </c>
      <c r="AC59" s="10">
        <v>76.31</v>
      </c>
      <c r="AD59" s="2">
        <f t="shared" si="0"/>
        <v>1.2199999999999989</v>
      </c>
      <c r="AE59" s="134">
        <f t="shared" si="1"/>
        <v>-3.3955857385398192E-3</v>
      </c>
    </row>
    <row r="60" spans="1:31" x14ac:dyDescent="0.25">
      <c r="A60" s="298"/>
      <c r="B60" s="298"/>
      <c r="C60" s="298"/>
      <c r="D60" s="299"/>
      <c r="E60" s="299"/>
      <c r="F60" s="299"/>
      <c r="G60" s="298"/>
      <c r="H60" s="302"/>
      <c r="I60" s="299"/>
      <c r="J60" s="299"/>
      <c r="K60" s="299"/>
      <c r="L60" s="298"/>
      <c r="M60" s="298"/>
      <c r="O60" s="81">
        <v>0.91</v>
      </c>
      <c r="P60" s="81">
        <f t="shared" si="5"/>
        <v>93.429700000000011</v>
      </c>
      <c r="W60" s="130">
        <v>42747</v>
      </c>
      <c r="X60" s="10">
        <v>76.83</v>
      </c>
      <c r="Y60" s="10">
        <v>76.95</v>
      </c>
      <c r="Z60" s="10">
        <v>75.84</v>
      </c>
      <c r="AA60" s="10">
        <v>76.88</v>
      </c>
      <c r="AB60" s="93">
        <v>4056700</v>
      </c>
      <c r="AC60" s="10">
        <v>76.569999999999993</v>
      </c>
      <c r="AD60" s="2">
        <f t="shared" si="0"/>
        <v>1.1099999999999994</v>
      </c>
      <c r="AE60" s="134">
        <f t="shared" si="1"/>
        <v>-3.916449086162066E-4</v>
      </c>
    </row>
    <row r="61" spans="1:31" x14ac:dyDescent="0.25">
      <c r="A61" s="298"/>
      <c r="B61" s="298"/>
      <c r="C61" s="298"/>
      <c r="D61" s="299"/>
      <c r="E61" s="299"/>
      <c r="F61" s="299"/>
      <c r="G61" s="298"/>
      <c r="H61" s="302"/>
      <c r="I61" s="299"/>
      <c r="J61" s="299"/>
      <c r="K61" s="299"/>
      <c r="L61" s="298"/>
      <c r="M61" s="298"/>
      <c r="O61" s="81">
        <v>0.9</v>
      </c>
      <c r="P61" s="81">
        <f t="shared" si="5"/>
        <v>92.403000000000006</v>
      </c>
      <c r="W61" s="130">
        <v>42746</v>
      </c>
      <c r="X61" s="10">
        <v>76.67</v>
      </c>
      <c r="Y61" s="10">
        <v>77.44</v>
      </c>
      <c r="Z61" s="10">
        <v>76.099999999999994</v>
      </c>
      <c r="AA61" s="10">
        <v>76.91</v>
      </c>
      <c r="AB61" s="93">
        <v>4500200</v>
      </c>
      <c r="AC61" s="10">
        <v>76.599999999999994</v>
      </c>
      <c r="AD61" s="2">
        <f t="shared" si="0"/>
        <v>1.3400000000000034</v>
      </c>
      <c r="AE61" s="134">
        <f t="shared" si="1"/>
        <v>3.405816085931157E-3</v>
      </c>
    </row>
    <row r="62" spans="1:31" x14ac:dyDescent="0.25">
      <c r="A62" s="298"/>
      <c r="B62" s="298"/>
      <c r="C62" s="298"/>
      <c r="D62" s="299"/>
      <c r="E62" s="299"/>
      <c r="F62" s="299"/>
      <c r="G62" s="298"/>
      <c r="H62" s="302"/>
      <c r="I62" s="299"/>
      <c r="J62" s="299"/>
      <c r="K62" s="299"/>
      <c r="L62" s="298"/>
      <c r="M62" s="298"/>
      <c r="W62" s="130">
        <v>42745</v>
      </c>
      <c r="X62" s="10">
        <v>76.52</v>
      </c>
      <c r="Y62" s="10">
        <v>78</v>
      </c>
      <c r="Z62" s="10">
        <v>76.12</v>
      </c>
      <c r="AA62" s="10">
        <v>76.650000000000006</v>
      </c>
      <c r="AB62" s="93">
        <v>9561400</v>
      </c>
      <c r="AC62" s="10">
        <v>76.34</v>
      </c>
      <c r="AD62" s="2">
        <f t="shared" si="0"/>
        <v>1.8799999999999955</v>
      </c>
      <c r="AE62" s="134">
        <f t="shared" si="1"/>
        <v>1.0456651224354907E-2</v>
      </c>
    </row>
    <row r="63" spans="1:31" x14ac:dyDescent="0.25">
      <c r="A63" s="298"/>
      <c r="B63" s="298"/>
      <c r="C63" s="298"/>
      <c r="D63" s="299"/>
      <c r="E63" s="299"/>
      <c r="F63" s="299"/>
      <c r="G63" s="298"/>
      <c r="H63" s="302"/>
      <c r="I63" s="299"/>
      <c r="J63" s="299"/>
      <c r="K63" s="299"/>
      <c r="L63" s="298"/>
      <c r="M63" s="298"/>
      <c r="W63" s="130">
        <v>42744</v>
      </c>
      <c r="X63" s="10">
        <v>76.14</v>
      </c>
      <c r="Y63" s="10">
        <v>76.5</v>
      </c>
      <c r="Z63" s="10">
        <v>75.53</v>
      </c>
      <c r="AA63" s="10">
        <v>75.86</v>
      </c>
      <c r="AB63" s="93">
        <v>4800900</v>
      </c>
      <c r="AC63" s="10">
        <v>75.55</v>
      </c>
      <c r="AD63" s="2">
        <f t="shared" si="0"/>
        <v>0.96999999999999886</v>
      </c>
      <c r="AE63" s="134">
        <f t="shared" si="1"/>
        <v>5.1889302820649075E-3</v>
      </c>
    </row>
    <row r="64" spans="1:31" x14ac:dyDescent="0.25">
      <c r="A64" s="298"/>
      <c r="B64" s="298"/>
      <c r="C64" s="298"/>
      <c r="D64" s="299"/>
      <c r="E64" s="299"/>
      <c r="F64" s="299"/>
      <c r="G64" s="298"/>
      <c r="H64" s="302"/>
      <c r="I64" s="299"/>
      <c r="J64" s="299"/>
      <c r="K64" s="299"/>
      <c r="L64" s="298"/>
      <c r="M64" s="298"/>
      <c r="W64" s="130">
        <v>42741</v>
      </c>
      <c r="X64" s="10">
        <v>75.400000000000006</v>
      </c>
      <c r="Y64" s="10">
        <v>75.92</v>
      </c>
      <c r="Z64" s="10">
        <v>75.06</v>
      </c>
      <c r="AA64" s="10">
        <v>75.47</v>
      </c>
      <c r="AB64" s="93">
        <v>3089600</v>
      </c>
      <c r="AC64" s="10">
        <v>75.16</v>
      </c>
      <c r="AD64" s="2">
        <f t="shared" si="0"/>
        <v>0.85999999999999943</v>
      </c>
      <c r="AE64" s="134">
        <f t="shared" si="1"/>
        <v>1.9997333688839269E-3</v>
      </c>
    </row>
    <row r="65" spans="1:31" x14ac:dyDescent="0.25">
      <c r="A65" s="298"/>
      <c r="B65" s="298"/>
      <c r="C65" s="298"/>
      <c r="D65" s="299"/>
      <c r="E65" s="299"/>
      <c r="F65" s="299"/>
      <c r="G65" s="298"/>
      <c r="H65" s="298"/>
      <c r="I65" s="299"/>
      <c r="J65" s="299"/>
      <c r="K65" s="299"/>
      <c r="L65" s="298"/>
      <c r="M65" s="298"/>
      <c r="W65" s="130">
        <v>42740</v>
      </c>
      <c r="X65" s="10">
        <v>76</v>
      </c>
      <c r="Y65" s="10">
        <v>76.180000000000007</v>
      </c>
      <c r="Z65" s="10">
        <v>74.819999999999993</v>
      </c>
      <c r="AA65" s="10">
        <v>75.319999999999993</v>
      </c>
      <c r="AB65" s="93">
        <v>3383000</v>
      </c>
      <c r="AC65" s="10">
        <v>75.010000000000005</v>
      </c>
      <c r="AD65" s="2">
        <f t="shared" si="0"/>
        <v>1.3600000000000136</v>
      </c>
      <c r="AE65" s="134">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30">
        <v>42739</v>
      </c>
      <c r="X66" s="10">
        <v>75.260000000000005</v>
      </c>
      <c r="Y66" s="10">
        <v>76.55</v>
      </c>
      <c r="Z66" s="10">
        <v>75.06</v>
      </c>
      <c r="AA66" s="10">
        <v>76.260000000000005</v>
      </c>
      <c r="AB66" s="93">
        <v>4635800</v>
      </c>
      <c r="AC66" s="10">
        <v>75.95</v>
      </c>
      <c r="AD66" s="2">
        <f t="shared" si="0"/>
        <v>1.4899999999999949</v>
      </c>
      <c r="AE66" s="134" t="e">
        <f t="shared" si="1"/>
        <v>#DIV/0!</v>
      </c>
    </row>
    <row r="67" spans="1:31" ht="15.75" thickBot="1" x14ac:dyDescent="0.3">
      <c r="A67" s="378" t="s">
        <v>191</v>
      </c>
      <c r="B67" s="379"/>
      <c r="C67" s="380">
        <f>SumByColor($A$19,C50:C65)</f>
        <v>0</v>
      </c>
      <c r="D67" s="380"/>
      <c r="E67" s="380"/>
      <c r="F67" s="381">
        <f>SumByColor($A$19,F50:F65)</f>
        <v>0</v>
      </c>
      <c r="G67" s="380"/>
      <c r="H67" s="380">
        <f>SumByColor($A$19,H50:H65)</f>
        <v>0</v>
      </c>
      <c r="I67" s="380"/>
      <c r="J67" s="380"/>
      <c r="K67" s="381">
        <f>SumByColor($A$19,K50:K65)</f>
        <v>0</v>
      </c>
      <c r="L67" s="380"/>
      <c r="M67" s="381">
        <f>SumByColor($A$19,M50:M65)</f>
        <v>0</v>
      </c>
      <c r="W67" s="130">
        <v>42739</v>
      </c>
      <c r="X67" s="10" t="s">
        <v>285</v>
      </c>
      <c r="Y67" s="10"/>
      <c r="Z67" s="10"/>
      <c r="AA67" s="10"/>
      <c r="AB67" s="93"/>
      <c r="AC67" s="10"/>
      <c r="AD67" s="2">
        <f>Y67-Z67</f>
        <v>0</v>
      </c>
      <c r="AE67" s="134" t="e">
        <f>AC67/#REF!-1</f>
        <v>#REF!</v>
      </c>
    </row>
    <row r="68" spans="1:31" x14ac:dyDescent="0.25">
      <c r="W68" s="130">
        <v>42738</v>
      </c>
      <c r="X68" s="10">
        <v>74.89</v>
      </c>
      <c r="Y68" s="10">
        <v>75.75</v>
      </c>
      <c r="Z68" s="10">
        <v>74.739999999999995</v>
      </c>
      <c r="AA68" s="10">
        <v>75.349999999999994</v>
      </c>
      <c r="AB68" s="93">
        <v>5853900</v>
      </c>
      <c r="AC68" s="10">
        <v>74.72</v>
      </c>
      <c r="AD68" s="2" t="e">
        <f>#REF!-#REF!</f>
        <v>#REF!</v>
      </c>
      <c r="AE68" s="134" t="e">
        <f>#REF!/AC70-1</f>
        <v>#REF!</v>
      </c>
    </row>
    <row r="69" spans="1:31" x14ac:dyDescent="0.25">
      <c r="W69" s="130">
        <v>42734</v>
      </c>
      <c r="X69" s="10">
        <v>73.959999999999994</v>
      </c>
      <c r="Y69" s="10">
        <v>74.34</v>
      </c>
      <c r="Z69" s="10">
        <v>73.84</v>
      </c>
      <c r="AA69" s="10">
        <v>74.08</v>
      </c>
      <c r="AB69" s="93">
        <v>3378800</v>
      </c>
      <c r="AC69" s="10">
        <v>73.459999999999994</v>
      </c>
      <c r="AD69" s="2">
        <f>Y70-Z70</f>
        <v>0</v>
      </c>
      <c r="AE69" s="134" t="e">
        <f>AC70/AC71-1</f>
        <v>#DIV/0!</v>
      </c>
    </row>
    <row r="70" spans="1:31" x14ac:dyDescent="0.25">
      <c r="W70" s="130" t="s">
        <v>120</v>
      </c>
      <c r="X70" s="10"/>
      <c r="Y70" s="10"/>
      <c r="Z70" s="10"/>
      <c r="AA70" s="10"/>
      <c r="AB70" s="93"/>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3584" priority="9">
      <formula>F36&gt;0</formula>
    </cfRule>
    <cfRule type="expression" dxfId="3583" priority="10">
      <formula>F36&lt;0</formula>
    </cfRule>
  </conditionalFormatting>
  <conditionalFormatting sqref="F25:F35">
    <cfRule type="expression" dxfId="3582" priority="7">
      <formula>F25&gt;0</formula>
    </cfRule>
    <cfRule type="expression" dxfId="3581" priority="8">
      <formula>F25&lt;0</formula>
    </cfRule>
  </conditionalFormatting>
  <conditionalFormatting sqref="H25:H35">
    <cfRule type="expression" dxfId="3580" priority="5">
      <formula>H25&gt;0</formula>
    </cfRule>
    <cfRule type="expression" dxfId="3579" priority="6">
      <formula>H25&lt;0</formula>
    </cfRule>
  </conditionalFormatting>
  <conditionalFormatting sqref="Q7">
    <cfRule type="expression" dxfId="3578" priority="3">
      <formula>Q7&gt;0</formula>
    </cfRule>
    <cfRule type="expression" dxfId="3577" priority="4">
      <formula>Q7&lt;0</formula>
    </cfRule>
  </conditionalFormatting>
  <conditionalFormatting sqref="Q8">
    <cfRule type="expression" dxfId="3576" priority="1">
      <formula>Q8&gt;0</formula>
    </cfRule>
    <cfRule type="expression" dxfId="3575"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260</v>
      </c>
      <c r="B2" s="72"/>
      <c r="C2" s="4"/>
      <c r="D2" s="3"/>
      <c r="E2" s="3"/>
      <c r="F2" s="3"/>
      <c r="G2" s="72"/>
      <c r="H2" s="4"/>
      <c r="I2" s="3"/>
      <c r="J2" s="3"/>
      <c r="K2" s="3"/>
      <c r="L2" s="72"/>
      <c r="M2" s="43"/>
      <c r="O2" s="11" t="s">
        <v>57</v>
      </c>
      <c r="Q2">
        <f>C18-H18</f>
        <v>0</v>
      </c>
      <c r="T2" s="1"/>
      <c r="V2" s="134"/>
    </row>
    <row r="3" spans="1:22" x14ac:dyDescent="0.25">
      <c r="A3" s="22" t="s">
        <v>71</v>
      </c>
      <c r="B3" s="1"/>
      <c r="G3" s="72"/>
      <c r="H3" s="161"/>
      <c r="I3" s="3"/>
      <c r="J3" s="3"/>
      <c r="K3" s="3"/>
      <c r="L3" s="72"/>
      <c r="M3" s="3"/>
      <c r="O3" s="11" t="s">
        <v>58</v>
      </c>
      <c r="Q3" s="178">
        <f>IF(Q2=0, Q4, (F18-K18-M18)/Q2)</f>
        <v>115.28</v>
      </c>
      <c r="T3" s="1"/>
      <c r="V3" s="134"/>
    </row>
    <row r="4" spans="1:22" x14ac:dyDescent="0.25">
      <c r="F4" s="3"/>
      <c r="G4" s="72"/>
      <c r="H4" s="161"/>
      <c r="I4" s="3"/>
      <c r="J4" s="3"/>
      <c r="K4" s="3"/>
      <c r="L4" s="4"/>
      <c r="M4" s="4"/>
      <c r="O4" s="11" t="s">
        <v>66</v>
      </c>
      <c r="Q4" s="54">
        <v>115.28</v>
      </c>
      <c r="R4" s="425">
        <v>9.4000000000000004E-3</v>
      </c>
      <c r="T4" s="156"/>
      <c r="U4" s="1"/>
      <c r="V4" s="134"/>
    </row>
    <row r="5" spans="1:22" x14ac:dyDescent="0.25">
      <c r="G5" s="4"/>
      <c r="H5" s="161"/>
      <c r="I5" s="3"/>
      <c r="J5" s="3"/>
      <c r="K5" s="3"/>
      <c r="L5" s="4"/>
      <c r="M5" s="4"/>
      <c r="O5" s="11" t="s">
        <v>67</v>
      </c>
      <c r="Q5" s="3">
        <f>Q4*Q2</f>
        <v>0</v>
      </c>
      <c r="V5" s="134"/>
    </row>
    <row r="6" spans="1:22" x14ac:dyDescent="0.25">
      <c r="G6" s="4"/>
      <c r="H6" s="161"/>
      <c r="I6" s="3"/>
      <c r="J6" s="3"/>
      <c r="K6" s="3"/>
      <c r="L6" s="4"/>
      <c r="M6" s="4"/>
      <c r="O6" s="11" t="s">
        <v>64</v>
      </c>
      <c r="Q6" s="2">
        <f>Q3*Q2</f>
        <v>0</v>
      </c>
      <c r="V6" s="134"/>
    </row>
    <row r="7" spans="1:22" x14ac:dyDescent="0.25">
      <c r="B7" s="4"/>
      <c r="C7" s="4"/>
      <c r="D7" s="3"/>
      <c r="E7" s="3"/>
      <c r="F7" s="3"/>
      <c r="G7" s="4"/>
      <c r="H7" s="161"/>
      <c r="I7" s="3"/>
      <c r="J7" s="3"/>
      <c r="K7" s="3"/>
      <c r="L7" s="4"/>
      <c r="M7" s="4"/>
      <c r="O7" s="11" t="s">
        <v>177</v>
      </c>
      <c r="Q7" s="2">
        <f>Q10+Q8</f>
        <v>1857.7799999999988</v>
      </c>
      <c r="R7">
        <v>0</v>
      </c>
      <c r="V7" s="134"/>
    </row>
    <row r="8" spans="1:22" x14ac:dyDescent="0.25">
      <c r="B8" s="4"/>
      <c r="C8" s="4"/>
      <c r="D8" s="3"/>
      <c r="E8" s="3"/>
      <c r="F8" s="3"/>
      <c r="G8" s="4"/>
      <c r="H8" s="161"/>
      <c r="I8" s="3"/>
      <c r="J8" s="3"/>
      <c r="K8" s="3"/>
      <c r="L8" s="4"/>
      <c r="M8" s="4"/>
      <c r="O8" s="11" t="s">
        <v>179</v>
      </c>
      <c r="P8" s="33"/>
      <c r="Q8" s="2">
        <f>K18+M18-F18+Q2*Q4</f>
        <v>0</v>
      </c>
      <c r="V8" s="134"/>
    </row>
    <row r="9" spans="1:22" x14ac:dyDescent="0.25">
      <c r="B9" s="4"/>
      <c r="C9" s="4"/>
      <c r="D9" s="3"/>
      <c r="E9" s="3"/>
      <c r="F9" s="3"/>
      <c r="G9" s="4"/>
      <c r="H9" s="161"/>
      <c r="I9" s="3"/>
      <c r="J9" s="3"/>
      <c r="K9" s="3"/>
      <c r="L9" s="4"/>
      <c r="M9" s="4"/>
      <c r="O9" s="11" t="s">
        <v>204</v>
      </c>
      <c r="Q9" s="134">
        <f>IF(Q2=0, 0, Q8/Q6)</f>
        <v>0</v>
      </c>
      <c r="V9" s="134"/>
    </row>
    <row r="10" spans="1:22" x14ac:dyDescent="0.25">
      <c r="H10" s="70"/>
      <c r="O10" s="11" t="s">
        <v>203</v>
      </c>
      <c r="P10" s="33"/>
      <c r="Q10" s="2">
        <f>M66</f>
        <v>1857.7799999999988</v>
      </c>
      <c r="V10" s="134"/>
    </row>
    <row r="11" spans="1:22" x14ac:dyDescent="0.25">
      <c r="H11" s="70"/>
      <c r="O11" s="11" t="s">
        <v>175</v>
      </c>
      <c r="P11" s="33"/>
      <c r="Q11" s="134">
        <f>IF(U58="N/A (N/A)", 0, VALUE(TRIM(CLEAN(MID(U58, FIND("(", U58)+1, 5)))))</f>
        <v>1.49E-2</v>
      </c>
      <c r="V11" s="134"/>
    </row>
    <row r="12" spans="1:22" x14ac:dyDescent="0.25">
      <c r="H12" s="70"/>
      <c r="V12" s="134"/>
    </row>
    <row r="13" spans="1:22" x14ac:dyDescent="0.25">
      <c r="H13" s="70"/>
      <c r="V13" s="134"/>
    </row>
    <row r="14" spans="1:22" x14ac:dyDescent="0.25">
      <c r="H14" s="70"/>
      <c r="V14" s="134"/>
    </row>
    <row r="15" spans="1:22" x14ac:dyDescent="0.25">
      <c r="H15" s="70"/>
      <c r="V15" s="134"/>
    </row>
    <row r="16" spans="1:22" x14ac:dyDescent="0.25">
      <c r="H16" s="70"/>
      <c r="V16" s="134"/>
    </row>
    <row r="17" spans="1:22" x14ac:dyDescent="0.25">
      <c r="V17" s="134"/>
    </row>
    <row r="18" spans="1:22" x14ac:dyDescent="0.25">
      <c r="A18" s="31" t="s">
        <v>81</v>
      </c>
      <c r="B18" s="14"/>
      <c r="C18" s="14">
        <f>SUM(C2:C17)</f>
        <v>0</v>
      </c>
      <c r="D18" s="18"/>
      <c r="E18" s="18"/>
      <c r="F18" s="18">
        <f>SUM(F2:F17)</f>
        <v>0</v>
      </c>
      <c r="G18" s="14"/>
      <c r="H18" s="71">
        <f>SUM(H2:H17)</f>
        <v>0</v>
      </c>
      <c r="I18" s="18"/>
      <c r="J18" s="18"/>
      <c r="K18" s="18">
        <f>SUM(K2:K5)</f>
        <v>0</v>
      </c>
      <c r="L18" s="14"/>
      <c r="M18" s="18">
        <f>SUM(M2:M10)</f>
        <v>0</v>
      </c>
      <c r="V18" s="134"/>
    </row>
    <row r="19" spans="1:22"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V19" s="134"/>
    </row>
    <row r="20" spans="1:22" x14ac:dyDescent="0.25">
      <c r="O20" s="7" t="s">
        <v>673</v>
      </c>
      <c r="P20" s="7" t="s">
        <v>674</v>
      </c>
      <c r="Q20" s="7" t="s">
        <v>675</v>
      </c>
      <c r="R20" s="7"/>
      <c r="V20" s="134"/>
    </row>
    <row r="21" spans="1:22" x14ac:dyDescent="0.25">
      <c r="O21" s="7" t="s">
        <v>676</v>
      </c>
      <c r="P21" s="7">
        <v>1.095</v>
      </c>
      <c r="Q21" s="608">
        <v>5828.3050000000003</v>
      </c>
      <c r="R21" s="7"/>
      <c r="V21" s="134"/>
    </row>
    <row r="22" spans="1:22" x14ac:dyDescent="0.25">
      <c r="O22" s="7" t="s">
        <v>677</v>
      </c>
      <c r="P22" s="7">
        <v>1.0920000000000001</v>
      </c>
      <c r="Q22" s="608">
        <v>5801.9129999999996</v>
      </c>
      <c r="R22" s="7"/>
      <c r="V22" s="134"/>
    </row>
    <row r="23" spans="1:22" x14ac:dyDescent="0.25">
      <c r="O23" s="7" t="s">
        <v>678</v>
      </c>
      <c r="P23" s="7" t="s">
        <v>679</v>
      </c>
      <c r="Q23" s="7">
        <v>0.30499999999999999</v>
      </c>
      <c r="R23" s="7">
        <v>0.45500000000000002</v>
      </c>
      <c r="V23" s="134"/>
    </row>
    <row r="24" spans="1:22" x14ac:dyDescent="0.25">
      <c r="B24" s="162" t="s">
        <v>113</v>
      </c>
      <c r="C24" s="162" t="s">
        <v>145</v>
      </c>
      <c r="D24" s="163" t="s">
        <v>144</v>
      </c>
      <c r="E24" s="165" t="s">
        <v>146</v>
      </c>
      <c r="F24" s="165" t="s">
        <v>65</v>
      </c>
      <c r="G24" s="177" t="s">
        <v>150</v>
      </c>
      <c r="H24" s="177" t="s">
        <v>88</v>
      </c>
      <c r="I24" s="177" t="s">
        <v>153</v>
      </c>
      <c r="J24" s="177" t="s">
        <v>149</v>
      </c>
      <c r="K24" s="177" t="s">
        <v>646</v>
      </c>
      <c r="L24" s="177" t="s">
        <v>652</v>
      </c>
      <c r="O24" s="7" t="s">
        <v>661</v>
      </c>
      <c r="P24" s="7" t="s">
        <v>680</v>
      </c>
      <c r="Q24" s="7" t="s">
        <v>680</v>
      </c>
      <c r="R24" s="7"/>
      <c r="V24" s="134"/>
    </row>
    <row r="25" spans="1:22" x14ac:dyDescent="0.25">
      <c r="B25" s="164">
        <v>42794</v>
      </c>
      <c r="C25" s="10">
        <v>50</v>
      </c>
      <c r="D25" s="39">
        <v>72.58</v>
      </c>
      <c r="E25" s="39">
        <v>73.02</v>
      </c>
      <c r="F25" s="39">
        <f>C25*(E25-D25)</f>
        <v>21.999999999999886</v>
      </c>
      <c r="G25" s="39">
        <f>D25*C25</f>
        <v>3629</v>
      </c>
      <c r="H25" s="179">
        <f>(E25-D25)/D25</f>
        <v>6.062276109120939E-3</v>
      </c>
      <c r="I25" s="39"/>
      <c r="J25" s="39"/>
      <c r="K25" s="39"/>
      <c r="L25" s="39"/>
      <c r="O25" s="7" t="s">
        <v>678</v>
      </c>
      <c r="P25" s="7" t="s">
        <v>681</v>
      </c>
      <c r="Q25" s="7">
        <v>1.42</v>
      </c>
      <c r="R25" s="7">
        <v>8.0939999999999994</v>
      </c>
      <c r="V25" s="134"/>
    </row>
    <row r="26" spans="1:22" x14ac:dyDescent="0.25">
      <c r="B26" s="164">
        <v>42795</v>
      </c>
      <c r="C26" s="10">
        <v>50</v>
      </c>
      <c r="D26" s="39">
        <v>72.58</v>
      </c>
      <c r="E26" s="39">
        <v>73.349999999999994</v>
      </c>
      <c r="F26" s="39">
        <f>C26*(E26-D26)</f>
        <v>38.499999999999801</v>
      </c>
      <c r="G26" s="39">
        <f>D26*C26</f>
        <v>3629</v>
      </c>
      <c r="H26" s="179">
        <f>(E26-D26)/D26</f>
        <v>1.0608983190961643E-2</v>
      </c>
      <c r="I26" s="39"/>
      <c r="J26" s="39"/>
      <c r="K26" s="39"/>
      <c r="L26" s="39"/>
      <c r="O26" s="7" t="s">
        <v>682</v>
      </c>
      <c r="P26" s="7" t="s">
        <v>674</v>
      </c>
      <c r="Q26" s="7" t="s">
        <v>675</v>
      </c>
      <c r="R26" s="7"/>
      <c r="V26" s="134"/>
    </row>
    <row r="27" spans="1:22" x14ac:dyDescent="0.25">
      <c r="A27">
        <v>0</v>
      </c>
      <c r="B27" s="164">
        <v>42809</v>
      </c>
      <c r="C27" s="10">
        <v>50</v>
      </c>
      <c r="D27" s="39">
        <v>72.58</v>
      </c>
      <c r="E27" s="39">
        <v>72.81</v>
      </c>
      <c r="F27" s="39">
        <f>C27*(E27-D27)</f>
        <v>11.500000000000199</v>
      </c>
      <c r="G27" s="39">
        <f>D27*C27</f>
        <v>3629</v>
      </c>
      <c r="H27" s="179">
        <f>(E27-D27)/D27</f>
        <v>3.1689170570405618E-3</v>
      </c>
      <c r="I27" s="39"/>
      <c r="J27" s="39">
        <v>169.8</v>
      </c>
      <c r="K27" s="39"/>
      <c r="L27" s="155"/>
      <c r="O27" s="7"/>
      <c r="P27" s="7"/>
      <c r="Q27" s="7"/>
      <c r="R27" s="7"/>
      <c r="V27" s="134"/>
    </row>
    <row r="28" spans="1:22" x14ac:dyDescent="0.25">
      <c r="B28" s="164">
        <v>42815</v>
      </c>
      <c r="C28" s="7">
        <v>100</v>
      </c>
      <c r="D28" s="43">
        <v>71.680000000000007</v>
      </c>
      <c r="E28" s="39">
        <v>70.010000000000005</v>
      </c>
      <c r="F28" s="39">
        <f t="shared" ref="F28:F35" si="0">C28*(E28-D28)</f>
        <v>-167.00000000000017</v>
      </c>
      <c r="G28" s="39">
        <f t="shared" ref="G28:G35" si="1">D28*C28</f>
        <v>7168.0000000000009</v>
      </c>
      <c r="H28" s="179">
        <f t="shared" ref="H28:H35" si="2">(E28-D28)/D28</f>
        <v>-2.3297991071428593E-2</v>
      </c>
      <c r="I28" s="39">
        <v>71.5</v>
      </c>
      <c r="J28" s="39">
        <v>-9</v>
      </c>
      <c r="K28" s="39"/>
      <c r="L28" s="155"/>
      <c r="O28" s="7" t="s">
        <v>677</v>
      </c>
      <c r="P28" s="7">
        <v>0.92200000000000004</v>
      </c>
      <c r="Q28" s="608">
        <v>5782.2860000000001</v>
      </c>
      <c r="R28" s="7"/>
      <c r="V28" s="134"/>
    </row>
    <row r="29" spans="1:22" x14ac:dyDescent="0.25">
      <c r="A29">
        <v>100</v>
      </c>
      <c r="B29" s="164">
        <v>42850</v>
      </c>
      <c r="C29" s="10">
        <v>100</v>
      </c>
      <c r="D29" s="39">
        <v>71.42</v>
      </c>
      <c r="E29" s="39">
        <v>71.55</v>
      </c>
      <c r="F29" s="39">
        <f t="shared" si="0"/>
        <v>12.999999999999545</v>
      </c>
      <c r="G29" s="39">
        <f t="shared" si="1"/>
        <v>7142</v>
      </c>
      <c r="H29" s="179">
        <f t="shared" si="2"/>
        <v>1.8202184262110816E-3</v>
      </c>
      <c r="I29" s="39"/>
      <c r="J29" s="39"/>
      <c r="K29" s="39"/>
      <c r="L29" s="155"/>
      <c r="O29" s="7" t="s">
        <v>661</v>
      </c>
      <c r="P29" s="7" t="s">
        <v>680</v>
      </c>
      <c r="Q29" s="7" t="s">
        <v>680</v>
      </c>
      <c r="R29" s="7"/>
      <c r="V29" s="134"/>
    </row>
    <row r="30" spans="1:22" x14ac:dyDescent="0.25">
      <c r="A30">
        <v>50</v>
      </c>
      <c r="B30" s="164">
        <v>42851</v>
      </c>
      <c r="C30" s="10">
        <v>50</v>
      </c>
      <c r="D30" s="39">
        <v>70.221599999999995</v>
      </c>
      <c r="E30" s="39">
        <v>72.599999999999994</v>
      </c>
      <c r="F30" s="39">
        <f t="shared" si="0"/>
        <v>118.91999999999996</v>
      </c>
      <c r="G30" s="39">
        <f t="shared" si="1"/>
        <v>3511.08</v>
      </c>
      <c r="H30" s="179">
        <f t="shared" si="2"/>
        <v>3.3869920366382984E-2</v>
      </c>
      <c r="I30" s="39"/>
      <c r="J30" s="39">
        <v>277.22000000000003</v>
      </c>
      <c r="K30" s="39"/>
      <c r="L30" s="155"/>
      <c r="O30" s="7" t="s">
        <v>683</v>
      </c>
      <c r="P30" s="7" t="s">
        <v>674</v>
      </c>
      <c r="Q30" s="7" t="s">
        <v>675</v>
      </c>
      <c r="R30" s="7"/>
      <c r="V30" s="134"/>
    </row>
    <row r="31" spans="1:22" x14ac:dyDescent="0.25">
      <c r="A31">
        <v>50</v>
      </c>
      <c r="B31" s="164">
        <v>42866</v>
      </c>
      <c r="C31" s="10">
        <v>50</v>
      </c>
      <c r="D31" s="39">
        <v>70.221599999999995</v>
      </c>
      <c r="E31" s="39">
        <v>72.06</v>
      </c>
      <c r="F31" s="39">
        <f t="shared" si="0"/>
        <v>91.920000000000357</v>
      </c>
      <c r="G31" s="39">
        <f t="shared" si="1"/>
        <v>3511.08</v>
      </c>
      <c r="H31" s="179">
        <f t="shared" si="2"/>
        <v>2.6179978809938925E-2</v>
      </c>
      <c r="I31" s="39"/>
      <c r="J31" s="39">
        <v>250</v>
      </c>
      <c r="K31" s="39"/>
      <c r="L31" s="155"/>
      <c r="O31" s="7"/>
      <c r="P31" s="7"/>
      <c r="Q31" s="7"/>
      <c r="R31" s="7"/>
      <c r="V31" s="134"/>
    </row>
    <row r="32" spans="1:22" x14ac:dyDescent="0.25">
      <c r="A32">
        <v>50</v>
      </c>
      <c r="B32" s="164">
        <v>42871</v>
      </c>
      <c r="C32" s="10">
        <v>100</v>
      </c>
      <c r="D32" s="39">
        <v>70.550799999999995</v>
      </c>
      <c r="E32" s="39">
        <v>70.94</v>
      </c>
      <c r="F32" s="39">
        <f t="shared" si="0"/>
        <v>38.920000000000243</v>
      </c>
      <c r="G32" s="39">
        <f t="shared" si="1"/>
        <v>7055.08</v>
      </c>
      <c r="H32" s="179">
        <f t="shared" si="2"/>
        <v>5.5165922994495093E-3</v>
      </c>
      <c r="I32" s="39"/>
      <c r="J32" s="39">
        <v>197.22</v>
      </c>
      <c r="K32" s="39"/>
      <c r="L32" s="155"/>
      <c r="O32" s="7" t="s">
        <v>676</v>
      </c>
      <c r="P32" s="7">
        <v>1.026</v>
      </c>
      <c r="Q32" s="608">
        <v>5609.625</v>
      </c>
      <c r="R32" s="7"/>
      <c r="V32" s="134"/>
    </row>
    <row r="33" spans="1:22" x14ac:dyDescent="0.25">
      <c r="A33" s="29">
        <v>42902</v>
      </c>
      <c r="B33" s="164">
        <v>42874</v>
      </c>
      <c r="C33" s="10">
        <v>50</v>
      </c>
      <c r="D33" s="39">
        <v>69.253200000000007</v>
      </c>
      <c r="E33" s="39">
        <v>71.95</v>
      </c>
      <c r="F33" s="39">
        <f t="shared" si="0"/>
        <v>134.8399999999998</v>
      </c>
      <c r="G33" s="39">
        <f t="shared" si="1"/>
        <v>3462.6600000000003</v>
      </c>
      <c r="H33" s="179">
        <f t="shared" si="2"/>
        <v>3.8941160841665018E-2</v>
      </c>
      <c r="I33" s="39"/>
      <c r="J33" s="39">
        <v>198.22</v>
      </c>
      <c r="K33" s="39"/>
      <c r="L33" s="155"/>
      <c r="V33" s="134"/>
    </row>
    <row r="34" spans="1:22" x14ac:dyDescent="0.25">
      <c r="B34" s="164">
        <v>42887</v>
      </c>
      <c r="C34" s="10">
        <v>100</v>
      </c>
      <c r="D34" s="39">
        <v>69.666600000000003</v>
      </c>
      <c r="E34" s="39">
        <v>78.19</v>
      </c>
      <c r="F34" s="39">
        <f t="shared" si="0"/>
        <v>852.33999999999946</v>
      </c>
      <c r="G34" s="39">
        <f t="shared" si="1"/>
        <v>6966.66</v>
      </c>
      <c r="H34" s="179">
        <f t="shared" si="2"/>
        <v>0.12234557162255651</v>
      </c>
      <c r="I34" s="39"/>
      <c r="J34" s="39">
        <v>1010.64</v>
      </c>
      <c r="K34" s="39"/>
      <c r="L34" s="155"/>
      <c r="V34" s="134"/>
    </row>
    <row r="35" spans="1:22" x14ac:dyDescent="0.25">
      <c r="A35">
        <v>100</v>
      </c>
      <c r="B35" s="164">
        <v>42942</v>
      </c>
      <c r="C35" s="10">
        <v>100</v>
      </c>
      <c r="D35" s="39">
        <v>69.406599999999997</v>
      </c>
      <c r="E35" s="39">
        <v>74.599999999999994</v>
      </c>
      <c r="F35" s="39">
        <f t="shared" si="0"/>
        <v>519.33999999999969</v>
      </c>
      <c r="G35" s="39">
        <f t="shared" si="1"/>
        <v>6940.66</v>
      </c>
      <c r="H35" s="179">
        <f t="shared" si="2"/>
        <v>7.4825737033653819E-2</v>
      </c>
      <c r="I35" s="39"/>
      <c r="J35" s="39">
        <v>678</v>
      </c>
      <c r="K35" s="39"/>
      <c r="L35" s="155"/>
      <c r="V35" s="134"/>
    </row>
    <row r="36" spans="1:22" x14ac:dyDescent="0.25">
      <c r="A36">
        <v>50</v>
      </c>
      <c r="B36" s="164">
        <v>42983</v>
      </c>
      <c r="C36" s="10">
        <v>100</v>
      </c>
      <c r="D36" s="39">
        <v>68.760000000000005</v>
      </c>
      <c r="E36" s="39">
        <v>74.36</v>
      </c>
      <c r="F36" s="39">
        <f>C36*(E36-D36)</f>
        <v>559.99999999999943</v>
      </c>
      <c r="G36" s="39">
        <f>D36*C36</f>
        <v>6876.0000000000009</v>
      </c>
      <c r="H36" s="179">
        <f>(E36-D36)/D36</f>
        <v>8.144269924374628E-2</v>
      </c>
      <c r="I36" s="358">
        <v>68</v>
      </c>
      <c r="J36" s="39">
        <v>718.56</v>
      </c>
      <c r="K36" s="39"/>
      <c r="L36" s="155"/>
      <c r="V36" s="134"/>
    </row>
    <row r="37" spans="1:22" x14ac:dyDescent="0.25">
      <c r="A37">
        <v>0</v>
      </c>
      <c r="B37" s="164">
        <v>42989</v>
      </c>
      <c r="C37" s="10">
        <v>50</v>
      </c>
      <c r="D37" s="39">
        <v>63.69</v>
      </c>
      <c r="E37" s="39">
        <v>77.819999999999993</v>
      </c>
      <c r="F37" s="39">
        <f>C37*(E37-D37)</f>
        <v>706.49999999999977</v>
      </c>
      <c r="G37" s="39">
        <f>D37*C37</f>
        <v>3184.5</v>
      </c>
      <c r="H37" s="179">
        <f>(E37-D37)/D37</f>
        <v>0.22185586434291091</v>
      </c>
      <c r="I37" s="39">
        <v>63</v>
      </c>
      <c r="J37" s="39">
        <v>1097</v>
      </c>
      <c r="K37" s="39"/>
      <c r="L37" s="155"/>
      <c r="V37" s="134"/>
    </row>
    <row r="38" spans="1:22" x14ac:dyDescent="0.25">
      <c r="A38">
        <v>0</v>
      </c>
      <c r="B38" s="164">
        <v>42997</v>
      </c>
      <c r="C38" s="7">
        <v>100</v>
      </c>
      <c r="D38" s="43">
        <v>70.036000000000001</v>
      </c>
      <c r="E38" s="39">
        <v>76.989999999999995</v>
      </c>
      <c r="F38" s="39">
        <f>C38*(E38-D38)</f>
        <v>695.39999999999941</v>
      </c>
      <c r="G38" s="39">
        <f>D38*C38</f>
        <v>7003.6</v>
      </c>
      <c r="H38" s="179">
        <f>(E38-D38)/D38</f>
        <v>9.9291792792278163E-2</v>
      </c>
      <c r="I38" s="39">
        <v>68</v>
      </c>
      <c r="J38" s="39">
        <v>1086</v>
      </c>
      <c r="K38" s="39"/>
      <c r="L38" s="155"/>
      <c r="V38" s="134"/>
    </row>
    <row r="39" spans="1:22" x14ac:dyDescent="0.25">
      <c r="B39" s="164"/>
      <c r="C39" s="10"/>
      <c r="D39" s="39"/>
      <c r="E39" s="39"/>
      <c r="F39" s="39"/>
      <c r="G39" s="39"/>
      <c r="H39" s="179"/>
      <c r="I39" s="39"/>
      <c r="J39" s="39"/>
      <c r="K39" s="39"/>
      <c r="L39" s="155"/>
      <c r="V39" s="134"/>
    </row>
    <row r="40" spans="1:22" ht="20.25" thickBot="1" x14ac:dyDescent="0.35">
      <c r="A40">
        <v>0</v>
      </c>
      <c r="B40" s="164">
        <v>43002</v>
      </c>
      <c r="C40" s="10">
        <v>100</v>
      </c>
      <c r="D40" s="39">
        <v>74.23</v>
      </c>
      <c r="E40" s="39">
        <v>77.66</v>
      </c>
      <c r="F40" s="39">
        <f>C40*(E40-D40)</f>
        <v>342.99999999999926</v>
      </c>
      <c r="G40" s="39">
        <f>D40*C40</f>
        <v>7423</v>
      </c>
      <c r="H40" s="179">
        <f>(E40-D40)/D40</f>
        <v>4.6207732722618786E-2</v>
      </c>
      <c r="I40" s="39">
        <v>73.5</v>
      </c>
      <c r="J40" s="39">
        <v>1153</v>
      </c>
      <c r="K40" s="39"/>
      <c r="L40" s="39"/>
      <c r="O40" s="884" t="s">
        <v>78</v>
      </c>
      <c r="P40" s="884"/>
      <c r="V40" s="134"/>
    </row>
    <row r="41" spans="1:22" ht="15.75" thickTop="1" x14ac:dyDescent="0.25">
      <c r="A41">
        <v>50</v>
      </c>
      <c r="B41" s="164">
        <v>43010</v>
      </c>
      <c r="C41" s="10">
        <v>50</v>
      </c>
      <c r="D41" s="39">
        <v>66.88</v>
      </c>
      <c r="E41" s="39">
        <v>81.900000000000006</v>
      </c>
      <c r="F41" s="39">
        <f>C41*(E41-D41)</f>
        <v>751.00000000000045</v>
      </c>
      <c r="G41" s="39">
        <f>D41*C41</f>
        <v>3344</v>
      </c>
      <c r="H41" s="179">
        <f>(E41-D41)/D41</f>
        <v>0.22458133971291883</v>
      </c>
      <c r="I41" s="39"/>
      <c r="J41" s="39">
        <v>1561</v>
      </c>
      <c r="K41" s="39"/>
      <c r="L41" s="39"/>
      <c r="O41" s="81">
        <v>1.1000000000000001</v>
      </c>
      <c r="P41" s="81">
        <f>O41*$Q$4</f>
        <v>126.80800000000001</v>
      </c>
      <c r="Q41" s="2"/>
      <c r="V41" s="134"/>
    </row>
    <row r="42" spans="1:22" ht="20.25" thickBot="1" x14ac:dyDescent="0.35">
      <c r="B42" s="10"/>
      <c r="C42" s="10"/>
      <c r="D42" s="39"/>
      <c r="E42" s="39"/>
      <c r="F42" s="39"/>
      <c r="G42" s="10"/>
      <c r="H42" s="10"/>
      <c r="I42" s="39"/>
      <c r="J42" s="39"/>
      <c r="K42" s="39"/>
      <c r="L42" s="39"/>
      <c r="O42" s="81">
        <v>1.0900000000000001</v>
      </c>
      <c r="P42" s="81">
        <f t="shared" ref="P42:P61" si="3">O42*$Q$4</f>
        <v>125.65520000000001</v>
      </c>
      <c r="Q42" s="2"/>
      <c r="T42" s="89" t="s">
        <v>112</v>
      </c>
      <c r="V42" s="134"/>
    </row>
    <row r="43" spans="1:22" ht="15.75" thickTop="1" x14ac:dyDescent="0.25">
      <c r="A43">
        <v>50</v>
      </c>
      <c r="B43" s="164">
        <v>43033</v>
      </c>
      <c r="C43" s="10">
        <v>50</v>
      </c>
      <c r="D43" s="39">
        <v>76.12</v>
      </c>
      <c r="E43" s="39">
        <v>83.97</v>
      </c>
      <c r="F43" s="39">
        <f>C43*(E43-D43)</f>
        <v>392.49999999999972</v>
      </c>
      <c r="G43" s="39">
        <f>D43*C43</f>
        <v>3806</v>
      </c>
      <c r="H43" s="179">
        <f>(E43-D43)/D43</f>
        <v>0.10312664214398311</v>
      </c>
      <c r="I43" s="39">
        <v>75.5</v>
      </c>
      <c r="J43" s="39">
        <v>1677</v>
      </c>
      <c r="K43" s="39"/>
      <c r="L43" s="39"/>
      <c r="O43" s="81">
        <v>1.08</v>
      </c>
      <c r="P43" s="81">
        <f t="shared" si="3"/>
        <v>124.50240000000001</v>
      </c>
      <c r="Q43" s="2"/>
      <c r="T43" s="125" t="s">
        <v>97</v>
      </c>
      <c r="U43" s="126">
        <v>68.349999999999994</v>
      </c>
      <c r="V43" s="134"/>
    </row>
    <row r="44" spans="1:22" x14ac:dyDescent="0.25">
      <c r="B44" s="164">
        <v>43060</v>
      </c>
      <c r="C44" s="10">
        <v>0</v>
      </c>
      <c r="D44" s="39"/>
      <c r="E44" s="39"/>
      <c r="F44" s="39">
        <v>592.9</v>
      </c>
      <c r="G44" s="39"/>
      <c r="H44" s="179"/>
      <c r="I44" s="39"/>
      <c r="J44" s="39">
        <v>1857.78</v>
      </c>
      <c r="K44" s="39"/>
      <c r="L44" s="39"/>
      <c r="O44" s="81">
        <v>1.07</v>
      </c>
      <c r="P44" s="81">
        <f t="shared" si="3"/>
        <v>123.34960000000001</v>
      </c>
      <c r="Q44" s="2"/>
      <c r="T44" s="91" t="s">
        <v>98</v>
      </c>
      <c r="U44" s="127">
        <v>68.5</v>
      </c>
      <c r="V44" s="134"/>
    </row>
    <row r="45" spans="1:22" x14ac:dyDescent="0.25">
      <c r="B45" s="164"/>
      <c r="C45" s="10"/>
      <c r="D45" s="39"/>
      <c r="E45" s="39"/>
      <c r="F45" s="39"/>
      <c r="G45" s="39"/>
      <c r="H45" s="179"/>
      <c r="I45" s="39"/>
      <c r="J45" s="39"/>
      <c r="K45" s="39"/>
      <c r="L45" s="39"/>
      <c r="O45" s="81">
        <v>1.06</v>
      </c>
      <c r="P45" s="81">
        <f t="shared" si="3"/>
        <v>122.19680000000001</v>
      </c>
      <c r="Q45" s="2"/>
      <c r="T45" s="91" t="s">
        <v>99</v>
      </c>
      <c r="U45" s="127" t="s">
        <v>128</v>
      </c>
      <c r="V45" s="134"/>
    </row>
    <row r="46" spans="1:22" x14ac:dyDescent="0.25">
      <c r="B46" s="164"/>
      <c r="C46" s="10"/>
      <c r="D46" s="39"/>
      <c r="E46" s="39"/>
      <c r="F46" s="39"/>
      <c r="G46" s="39"/>
      <c r="H46" s="179"/>
      <c r="I46" s="39"/>
      <c r="J46" s="39"/>
      <c r="K46" s="39"/>
      <c r="L46" s="39"/>
      <c r="O46" s="81">
        <v>1.05</v>
      </c>
      <c r="P46" s="81">
        <f t="shared" si="3"/>
        <v>121.04400000000001</v>
      </c>
      <c r="Q46" s="2"/>
      <c r="T46" s="91" t="s">
        <v>100</v>
      </c>
      <c r="U46" s="127" t="s">
        <v>128</v>
      </c>
      <c r="V46" s="134"/>
    </row>
    <row r="47" spans="1:22" x14ac:dyDescent="0.25">
      <c r="B47" s="72"/>
      <c r="C47" s="4"/>
      <c r="D47" s="3"/>
      <c r="E47" s="3"/>
      <c r="F47" s="3"/>
      <c r="G47" s="3"/>
      <c r="H47" s="216"/>
      <c r="I47" s="214"/>
      <c r="O47" s="81">
        <v>1.04</v>
      </c>
      <c r="P47" s="81">
        <f t="shared" si="3"/>
        <v>119.89120000000001</v>
      </c>
      <c r="Q47" s="2"/>
      <c r="T47" s="91" t="s">
        <v>101</v>
      </c>
      <c r="U47" s="127">
        <v>79.16</v>
      </c>
      <c r="V47" s="134"/>
    </row>
    <row r="48" spans="1:22" x14ac:dyDescent="0.25">
      <c r="B48" s="72"/>
      <c r="C48" s="4"/>
      <c r="D48" s="3"/>
      <c r="E48" s="3"/>
      <c r="F48" s="3"/>
      <c r="G48" s="3"/>
      <c r="H48" s="216"/>
      <c r="I48" s="3"/>
      <c r="O48" s="81">
        <v>1.03</v>
      </c>
      <c r="P48" s="81">
        <f t="shared" si="3"/>
        <v>118.7384</v>
      </c>
      <c r="Q48" s="2"/>
      <c r="T48" s="91" t="s">
        <v>102</v>
      </c>
      <c r="U48" s="127">
        <v>0.71672999999999998</v>
      </c>
      <c r="V48" s="134"/>
    </row>
    <row r="49" spans="1:22" x14ac:dyDescent="0.25">
      <c r="B49" s="72"/>
      <c r="C49" s="4"/>
      <c r="D49" s="3"/>
      <c r="E49" s="3"/>
      <c r="F49" s="3"/>
      <c r="G49" s="3"/>
      <c r="H49" s="216"/>
      <c r="I49" s="3"/>
      <c r="O49" s="81">
        <v>1.02</v>
      </c>
      <c r="P49" s="81">
        <f t="shared" si="3"/>
        <v>117.5856</v>
      </c>
      <c r="Q49" s="2"/>
      <c r="T49" s="91" t="s">
        <v>121</v>
      </c>
      <c r="U49" s="127" t="s">
        <v>494</v>
      </c>
      <c r="V49" s="134"/>
    </row>
    <row r="50" spans="1:22" x14ac:dyDescent="0.25">
      <c r="B50" s="72"/>
      <c r="C50" s="4"/>
      <c r="D50" s="3"/>
      <c r="E50" s="3"/>
      <c r="F50" s="3"/>
      <c r="G50" s="3"/>
      <c r="H50" s="216"/>
      <c r="I50" s="3"/>
      <c r="O50" s="81">
        <v>1.01</v>
      </c>
      <c r="P50" s="81">
        <f t="shared" si="3"/>
        <v>116.4328</v>
      </c>
      <c r="Q50" s="2"/>
      <c r="T50" s="91"/>
      <c r="U50" s="127"/>
      <c r="V50" s="134"/>
    </row>
    <row r="51" spans="1:22" x14ac:dyDescent="0.25">
      <c r="B51" s="72"/>
      <c r="C51" s="4"/>
      <c r="D51" s="3"/>
      <c r="E51" s="3"/>
      <c r="F51" s="3"/>
      <c r="G51" s="3"/>
      <c r="H51" s="216"/>
      <c r="I51" s="3"/>
      <c r="O51" s="81">
        <v>1</v>
      </c>
      <c r="P51" s="81">
        <f t="shared" si="3"/>
        <v>115.28</v>
      </c>
      <c r="Q51" s="2"/>
      <c r="T51" s="91" t="s">
        <v>104</v>
      </c>
      <c r="U51" s="127" t="s">
        <v>551</v>
      </c>
      <c r="V51" s="134"/>
    </row>
    <row r="52" spans="1:22" x14ac:dyDescent="0.25">
      <c r="B52" s="72"/>
      <c r="C52" s="4"/>
      <c r="D52" s="3"/>
      <c r="E52" s="3"/>
      <c r="F52" s="3"/>
      <c r="G52" s="3"/>
      <c r="H52" s="216"/>
      <c r="I52" s="3"/>
      <c r="O52" s="81">
        <v>0.99</v>
      </c>
      <c r="P52" s="81">
        <f t="shared" si="3"/>
        <v>114.1272</v>
      </c>
      <c r="Q52" s="2"/>
      <c r="T52" s="91" t="s">
        <v>105</v>
      </c>
      <c r="U52" s="127" t="s">
        <v>302</v>
      </c>
      <c r="V52" s="134"/>
    </row>
    <row r="53" spans="1:22" x14ac:dyDescent="0.25">
      <c r="B53" s="72"/>
      <c r="C53" s="4"/>
      <c r="D53" s="3"/>
      <c r="E53" s="3"/>
      <c r="F53" s="3"/>
      <c r="G53" s="3"/>
      <c r="H53" s="216"/>
      <c r="I53" s="3"/>
      <c r="O53" s="81">
        <v>0.98</v>
      </c>
      <c r="P53" s="81">
        <f t="shared" si="3"/>
        <v>112.9744</v>
      </c>
      <c r="Q53" s="2"/>
      <c r="T53" s="91" t="s">
        <v>106</v>
      </c>
      <c r="U53" s="128">
        <v>3269613</v>
      </c>
      <c r="V53" s="134"/>
    </row>
    <row r="54" spans="1:22" x14ac:dyDescent="0.25">
      <c r="A54" s="4"/>
      <c r="B54" s="72"/>
      <c r="C54" s="4"/>
      <c r="D54" s="3"/>
      <c r="E54" s="3"/>
      <c r="F54" s="3"/>
      <c r="G54" s="3"/>
      <c r="H54" s="216"/>
      <c r="I54" s="3"/>
      <c r="J54" s="3"/>
      <c r="K54" s="3"/>
      <c r="L54" s="4"/>
      <c r="O54" s="81">
        <v>0.97</v>
      </c>
      <c r="P54" s="81">
        <f t="shared" si="3"/>
        <v>111.8216</v>
      </c>
      <c r="T54" s="91" t="s">
        <v>109</v>
      </c>
      <c r="U54" s="128">
        <v>2991540</v>
      </c>
      <c r="V54" s="134"/>
    </row>
    <row r="55" spans="1:22" x14ac:dyDescent="0.25">
      <c r="A55" s="4"/>
      <c r="B55" s="72"/>
      <c r="C55" s="4"/>
      <c r="D55" s="3"/>
      <c r="E55" s="3"/>
      <c r="F55" s="3"/>
      <c r="G55" s="3"/>
      <c r="H55" s="216"/>
      <c r="I55" s="3"/>
      <c r="J55" s="3"/>
      <c r="K55" s="3"/>
      <c r="L55" s="4"/>
      <c r="O55" s="81">
        <v>0.96</v>
      </c>
      <c r="P55" s="81">
        <f t="shared" si="3"/>
        <v>110.66879999999999</v>
      </c>
      <c r="T55" s="91" t="s">
        <v>107</v>
      </c>
      <c r="U55" s="127" t="s">
        <v>552</v>
      </c>
      <c r="V55" s="134"/>
    </row>
    <row r="56" spans="1:22" x14ac:dyDescent="0.25">
      <c r="A56" s="4"/>
      <c r="B56" s="72"/>
      <c r="C56" s="4"/>
      <c r="D56" s="3"/>
      <c r="E56" s="3"/>
      <c r="F56" s="3"/>
      <c r="G56" s="3"/>
      <c r="H56" s="216"/>
      <c r="I56" s="3"/>
      <c r="J56" s="3"/>
      <c r="K56" s="3"/>
      <c r="L56" s="4"/>
      <c r="O56" s="81">
        <v>0.95</v>
      </c>
      <c r="P56" s="81">
        <f t="shared" si="3"/>
        <v>109.51599999999999</v>
      </c>
      <c r="T56" s="91" t="s">
        <v>110</v>
      </c>
      <c r="U56" s="127">
        <v>15.46</v>
      </c>
      <c r="V56" s="134"/>
    </row>
    <row r="57" spans="1:22" x14ac:dyDescent="0.25">
      <c r="A57" s="4"/>
      <c r="B57" s="72"/>
      <c r="C57" s="4"/>
      <c r="D57" s="3"/>
      <c r="E57" s="3"/>
      <c r="F57" s="3"/>
      <c r="G57" s="3"/>
      <c r="H57" s="216"/>
      <c r="I57" s="3"/>
      <c r="J57" s="3"/>
      <c r="K57" s="3"/>
      <c r="L57" s="4"/>
      <c r="O57" s="81">
        <v>0.94</v>
      </c>
      <c r="P57" s="81">
        <f t="shared" si="3"/>
        <v>108.36319999999999</v>
      </c>
      <c r="T57" s="91" t="s">
        <v>111</v>
      </c>
      <c r="U57" s="127">
        <v>4.43</v>
      </c>
      <c r="V57" s="134"/>
    </row>
    <row r="58" spans="1:22" x14ac:dyDescent="0.25">
      <c r="A58" s="4"/>
      <c r="B58" s="72"/>
      <c r="C58" s="4"/>
      <c r="D58" s="3"/>
      <c r="E58" s="3"/>
      <c r="F58" s="3"/>
      <c r="G58" s="3"/>
      <c r="H58" s="216"/>
      <c r="I58" s="3"/>
      <c r="J58" s="3"/>
      <c r="K58" s="3"/>
      <c r="L58" s="4"/>
      <c r="O58" s="81">
        <v>0.93</v>
      </c>
      <c r="P58" s="81">
        <f t="shared" si="3"/>
        <v>107.21040000000001</v>
      </c>
      <c r="T58" s="91" t="s">
        <v>108</v>
      </c>
      <c r="U58" s="127" t="s">
        <v>524</v>
      </c>
      <c r="V58" s="134"/>
    </row>
    <row r="59" spans="1:22" x14ac:dyDescent="0.25">
      <c r="A59" s="4"/>
      <c r="B59" s="72"/>
      <c r="C59" s="4"/>
      <c r="D59" s="3"/>
      <c r="E59" s="3"/>
      <c r="F59" s="3"/>
      <c r="G59" s="3"/>
      <c r="H59" s="216"/>
      <c r="I59" s="3"/>
      <c r="J59" s="3"/>
      <c r="K59" s="3"/>
      <c r="L59" s="4"/>
      <c r="O59" s="81">
        <v>0.92</v>
      </c>
      <c r="P59" s="81">
        <f t="shared" si="3"/>
        <v>106.05760000000001</v>
      </c>
      <c r="V59" s="134"/>
    </row>
    <row r="60" spans="1:22" x14ac:dyDescent="0.25">
      <c r="A60" s="4"/>
      <c r="B60" s="72"/>
      <c r="C60" s="4"/>
      <c r="D60" s="3"/>
      <c r="E60" s="3"/>
      <c r="F60" s="3"/>
      <c r="G60" s="3"/>
      <c r="H60" s="216"/>
      <c r="I60" s="3"/>
      <c r="J60" s="3"/>
      <c r="K60" s="3"/>
      <c r="L60" s="4"/>
      <c r="O60" s="81">
        <v>0.91</v>
      </c>
      <c r="P60" s="81">
        <f t="shared" si="3"/>
        <v>104.90480000000001</v>
      </c>
      <c r="V60" s="134"/>
    </row>
    <row r="61" spans="1:22" x14ac:dyDescent="0.25">
      <c r="A61" s="4"/>
      <c r="B61" s="72"/>
      <c r="C61" s="4"/>
      <c r="D61" s="3"/>
      <c r="E61" s="3"/>
      <c r="F61" s="3"/>
      <c r="G61" s="3"/>
      <c r="H61" s="216"/>
      <c r="I61" s="3"/>
      <c r="J61" s="3"/>
      <c r="K61" s="3"/>
      <c r="L61" s="4"/>
      <c r="O61" s="81">
        <v>0.9</v>
      </c>
      <c r="P61" s="81">
        <f t="shared" si="3"/>
        <v>103.75200000000001</v>
      </c>
      <c r="V61" s="134"/>
    </row>
    <row r="62" spans="1:22" x14ac:dyDescent="0.25">
      <c r="A62" s="4"/>
      <c r="B62" s="72"/>
      <c r="C62" s="4"/>
      <c r="D62" s="3"/>
      <c r="E62" s="3"/>
      <c r="F62" s="3"/>
      <c r="G62" s="3"/>
      <c r="H62" s="216"/>
      <c r="I62" s="3"/>
      <c r="J62" s="3"/>
      <c r="K62" s="3"/>
      <c r="L62" s="4"/>
      <c r="V62" s="134"/>
    </row>
    <row r="63" spans="1:22" x14ac:dyDescent="0.25">
      <c r="A63" s="4"/>
      <c r="B63" s="72"/>
      <c r="C63" s="4"/>
      <c r="D63" s="3"/>
      <c r="E63" s="3"/>
      <c r="F63" s="3"/>
      <c r="G63" s="3"/>
      <c r="H63" s="216"/>
      <c r="I63" s="3"/>
      <c r="J63" s="3"/>
      <c r="K63" s="3"/>
      <c r="L63" s="4"/>
      <c r="V63" s="134"/>
    </row>
    <row r="64" spans="1:22" x14ac:dyDescent="0.25">
      <c r="A64" s="4"/>
      <c r="B64" s="4"/>
      <c r="C64" s="4"/>
      <c r="D64" s="3"/>
      <c r="E64" s="3"/>
      <c r="F64" s="3"/>
      <c r="G64" s="4"/>
      <c r="H64" s="4"/>
      <c r="I64" s="3"/>
      <c r="J64" s="3"/>
      <c r="K64" s="3"/>
      <c r="L64" s="4"/>
      <c r="V64" s="134"/>
    </row>
    <row r="65" spans="1:22" x14ac:dyDescent="0.25">
      <c r="A65" s="4"/>
      <c r="B65" s="4"/>
      <c r="C65" s="4"/>
      <c r="D65" s="3"/>
      <c r="E65" s="3"/>
      <c r="F65" s="3"/>
      <c r="G65" s="4"/>
      <c r="H65" s="4"/>
      <c r="I65" s="3"/>
      <c r="J65" s="3"/>
      <c r="K65" s="3"/>
      <c r="L65" s="4"/>
      <c r="V65" s="134"/>
    </row>
    <row r="66" spans="1:22" x14ac:dyDescent="0.25">
      <c r="A66" s="4"/>
      <c r="B66" s="4"/>
      <c r="C66" s="4"/>
      <c r="D66" s="3"/>
      <c r="E66" s="3"/>
      <c r="F66" s="3"/>
      <c r="G66" s="4"/>
      <c r="H66" s="4"/>
      <c r="I66" s="3"/>
      <c r="J66" s="3"/>
      <c r="K66" s="3"/>
      <c r="L66" s="4" t="s">
        <v>65</v>
      </c>
      <c r="M66" s="2">
        <f>M84+K84-F84</f>
        <v>1857.7799999999988</v>
      </c>
      <c r="V66" s="134"/>
    </row>
    <row r="67" spans="1:22"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V67" s="134"/>
    </row>
    <row r="68" spans="1:22" x14ac:dyDescent="0.25">
      <c r="A68" s="442" t="s">
        <v>260</v>
      </c>
      <c r="B68" s="426">
        <v>42619</v>
      </c>
      <c r="C68" s="427">
        <v>20</v>
      </c>
      <c r="D68" s="429">
        <v>72.08</v>
      </c>
      <c r="E68" s="429">
        <v>0</v>
      </c>
      <c r="F68" s="429">
        <f>C68*D68+E68</f>
        <v>1441.6</v>
      </c>
      <c r="G68" s="426">
        <v>42683</v>
      </c>
      <c r="H68" s="443">
        <v>35</v>
      </c>
      <c r="I68" s="429">
        <v>71.36</v>
      </c>
      <c r="J68" s="429">
        <v>0.05</v>
      </c>
      <c r="K68" s="429">
        <f>H68*I68-J68</f>
        <v>2497.5499999999997</v>
      </c>
      <c r="L68" s="426">
        <v>42642</v>
      </c>
      <c r="M68" s="429">
        <v>10</v>
      </c>
      <c r="V68" s="134"/>
    </row>
    <row r="69" spans="1:22" x14ac:dyDescent="0.25">
      <c r="A69" s="444" t="s">
        <v>71</v>
      </c>
      <c r="B69" s="426">
        <v>42621</v>
      </c>
      <c r="C69" s="427">
        <v>20</v>
      </c>
      <c r="D69" s="429">
        <v>70.45</v>
      </c>
      <c r="E69" s="429">
        <v>0</v>
      </c>
      <c r="F69" s="429">
        <f>C69*D69+E69</f>
        <v>1409</v>
      </c>
      <c r="G69" s="426">
        <v>42684</v>
      </c>
      <c r="H69" s="443">
        <v>30</v>
      </c>
      <c r="I69" s="429">
        <v>73.28</v>
      </c>
      <c r="J69" s="429">
        <v>0.05</v>
      </c>
      <c r="K69" s="429">
        <f>H69*I69-J69</f>
        <v>2198.35</v>
      </c>
      <c r="L69" s="427"/>
      <c r="M69" s="427"/>
      <c r="V69" s="134"/>
    </row>
    <row r="70" spans="1:22" x14ac:dyDescent="0.25">
      <c r="A70" s="427"/>
      <c r="B70" s="426">
        <v>42648</v>
      </c>
      <c r="C70" s="427">
        <v>25</v>
      </c>
      <c r="D70" s="429">
        <v>67.88</v>
      </c>
      <c r="E70" s="429">
        <v>0</v>
      </c>
      <c r="F70" s="429">
        <f>C70*D70+E70</f>
        <v>1697</v>
      </c>
      <c r="G70" s="426"/>
      <c r="H70" s="443"/>
      <c r="I70" s="429"/>
      <c r="J70" s="429"/>
      <c r="K70" s="429"/>
      <c r="L70" s="427"/>
      <c r="M70" s="427"/>
    </row>
    <row r="71" spans="1:22" x14ac:dyDescent="0.25">
      <c r="A71" s="427"/>
      <c r="B71" s="426"/>
      <c r="C71" s="427"/>
      <c r="D71" s="429"/>
      <c r="E71" s="429"/>
      <c r="F71" s="429"/>
      <c r="G71" s="427"/>
      <c r="H71" s="443"/>
      <c r="I71" s="429"/>
      <c r="J71" s="429"/>
      <c r="K71" s="429"/>
      <c r="L71" s="427"/>
      <c r="M71" s="427"/>
    </row>
    <row r="72" spans="1:22" x14ac:dyDescent="0.25">
      <c r="A72" s="427"/>
      <c r="B72" s="368">
        <v>42794</v>
      </c>
      <c r="C72" s="7">
        <v>50</v>
      </c>
      <c r="D72" s="43">
        <v>72.58</v>
      </c>
      <c r="E72" s="43">
        <v>0</v>
      </c>
      <c r="F72" s="43">
        <f>C72*D72+E72</f>
        <v>3629</v>
      </c>
      <c r="G72" s="368">
        <v>42851</v>
      </c>
      <c r="H72" s="80">
        <v>50</v>
      </c>
      <c r="I72" s="43">
        <v>72.62</v>
      </c>
      <c r="J72" s="43">
        <v>0.08</v>
      </c>
      <c r="K72" s="43">
        <f>I72*H72-J72</f>
        <v>3630.92</v>
      </c>
      <c r="L72" s="72">
        <v>42850</v>
      </c>
      <c r="M72" s="43">
        <v>26</v>
      </c>
    </row>
    <row r="73" spans="1:22" x14ac:dyDescent="0.25">
      <c r="A73" s="427"/>
      <c r="B73" s="368">
        <v>42815</v>
      </c>
      <c r="C73" s="7">
        <v>50</v>
      </c>
      <c r="D73" s="43">
        <v>70.78</v>
      </c>
      <c r="E73" s="43">
        <v>0</v>
      </c>
      <c r="F73" s="43">
        <f>C73*D73+E73</f>
        <v>3539</v>
      </c>
      <c r="G73" s="368">
        <v>42874</v>
      </c>
      <c r="H73" s="80">
        <v>50</v>
      </c>
      <c r="I73" s="43">
        <v>71.849999999999994</v>
      </c>
      <c r="J73" s="43">
        <v>0.08</v>
      </c>
      <c r="K73" s="43">
        <f>I73*H73-J73</f>
        <v>3592.4199999999996</v>
      </c>
      <c r="L73" s="72">
        <v>42942</v>
      </c>
      <c r="M73" s="43">
        <v>26</v>
      </c>
    </row>
    <row r="74" spans="1:22" x14ac:dyDescent="0.25">
      <c r="A74" s="427"/>
      <c r="B74" s="368">
        <v>42871</v>
      </c>
      <c r="C74" s="7">
        <v>50</v>
      </c>
      <c r="D74" s="43">
        <v>70.88</v>
      </c>
      <c r="E74" s="43">
        <v>0</v>
      </c>
      <c r="F74" s="43">
        <f>C74*D74+E74</f>
        <v>3544</v>
      </c>
      <c r="G74" s="368">
        <v>42983</v>
      </c>
      <c r="H74" s="80">
        <v>50</v>
      </c>
      <c r="I74" s="43">
        <v>73.38</v>
      </c>
      <c r="J74" s="43">
        <v>0.08</v>
      </c>
      <c r="K74" s="43">
        <f>I74*H74-J74</f>
        <v>3668.92</v>
      </c>
      <c r="L74" s="4"/>
      <c r="M74" s="4"/>
    </row>
    <row r="75" spans="1:22" x14ac:dyDescent="0.25">
      <c r="A75" s="427"/>
      <c r="B75" s="427"/>
      <c r="C75" s="427"/>
      <c r="D75" s="429"/>
      <c r="E75" s="429"/>
      <c r="F75" s="429"/>
      <c r="G75" s="427"/>
      <c r="H75" s="443"/>
      <c r="I75" s="429"/>
      <c r="J75" s="429"/>
      <c r="K75" s="429"/>
      <c r="L75" s="427"/>
      <c r="M75" s="427"/>
    </row>
    <row r="76" spans="1:22" x14ac:dyDescent="0.25">
      <c r="A76" s="427"/>
      <c r="B76" s="368">
        <v>42879</v>
      </c>
      <c r="C76" s="7">
        <v>50</v>
      </c>
      <c r="D76" s="43">
        <v>70.08</v>
      </c>
      <c r="E76" s="43">
        <v>0</v>
      </c>
      <c r="F76" s="43">
        <f>C76*D76+E76</f>
        <v>3504</v>
      </c>
      <c r="G76" s="368">
        <v>42991</v>
      </c>
      <c r="H76" s="7">
        <v>50</v>
      </c>
      <c r="I76" s="43">
        <v>78.47</v>
      </c>
      <c r="J76" s="43">
        <v>0.09</v>
      </c>
      <c r="K76" s="43">
        <f>H76*I76-J76</f>
        <v>3923.41</v>
      </c>
      <c r="L76" s="427"/>
      <c r="M76" s="427"/>
    </row>
    <row r="77" spans="1:22" x14ac:dyDescent="0.25">
      <c r="A77" s="427"/>
      <c r="B77" s="427"/>
      <c r="C77" s="427"/>
      <c r="D77" s="429"/>
      <c r="E77" s="429"/>
      <c r="F77" s="429"/>
      <c r="G77" s="427"/>
      <c r="H77" s="443"/>
      <c r="I77" s="429"/>
      <c r="J77" s="429"/>
      <c r="K77" s="429"/>
      <c r="L77" s="427"/>
      <c r="M77" s="427"/>
    </row>
    <row r="78" spans="1:22" x14ac:dyDescent="0.25">
      <c r="A78" s="427"/>
      <c r="B78" s="368">
        <v>42978</v>
      </c>
      <c r="C78" s="7">
        <v>50</v>
      </c>
      <c r="D78" s="43">
        <v>72.08</v>
      </c>
      <c r="E78" s="43">
        <v>0</v>
      </c>
      <c r="F78" s="43">
        <f>C78*D78+E78</f>
        <v>3604</v>
      </c>
      <c r="G78" s="368">
        <v>43010</v>
      </c>
      <c r="H78" s="7">
        <v>50</v>
      </c>
      <c r="I78" s="43">
        <v>81.58</v>
      </c>
      <c r="J78" s="43">
        <v>0.09</v>
      </c>
      <c r="K78" s="43">
        <f>H78*I78-J78</f>
        <v>4078.91</v>
      </c>
      <c r="L78" s="72"/>
      <c r="M78" s="427"/>
    </row>
    <row r="79" spans="1:22" x14ac:dyDescent="0.25">
      <c r="A79" s="427"/>
      <c r="B79" s="427"/>
      <c r="C79" s="427"/>
      <c r="D79" s="429"/>
      <c r="E79" s="429"/>
      <c r="F79" s="429"/>
      <c r="G79" s="427"/>
      <c r="H79" s="443"/>
      <c r="I79" s="429"/>
      <c r="J79" s="429"/>
      <c r="K79" s="429"/>
      <c r="L79" s="427"/>
      <c r="M79" s="427"/>
    </row>
    <row r="80" spans="1:22" x14ac:dyDescent="0.25">
      <c r="A80" s="427"/>
      <c r="B80" s="72">
        <v>42997</v>
      </c>
      <c r="C80" s="4">
        <v>50</v>
      </c>
      <c r="D80" s="3">
        <v>76.38</v>
      </c>
      <c r="E80" s="3">
        <v>0</v>
      </c>
      <c r="F80" s="3">
        <f>C80*D80+E80</f>
        <v>3819</v>
      </c>
      <c r="G80" s="72">
        <v>43060</v>
      </c>
      <c r="H80" s="4">
        <v>50</v>
      </c>
      <c r="I80" s="3">
        <v>87.58</v>
      </c>
      <c r="J80" s="3">
        <v>0.1</v>
      </c>
      <c r="K80" s="3">
        <f>H80*I80-J80</f>
        <v>4378.8999999999996</v>
      </c>
      <c r="L80" s="72">
        <v>43033</v>
      </c>
      <c r="M80" s="43">
        <v>13</v>
      </c>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SUM(C68:C83)</f>
        <v>365</v>
      </c>
      <c r="D84" s="447"/>
      <c r="E84" s="447"/>
      <c r="F84" s="447">
        <f>SUM(F68:F83)</f>
        <v>26186.6</v>
      </c>
      <c r="G84" s="446"/>
      <c r="H84" s="468">
        <f>SUM(H68:H83)</f>
        <v>365</v>
      </c>
      <c r="I84" s="447"/>
      <c r="J84" s="447"/>
      <c r="K84" s="447">
        <f>SUM(K68:K83)</f>
        <v>27969.379999999997</v>
      </c>
      <c r="L84" s="446"/>
      <c r="M84" s="447">
        <f>SUM(M68:M83)</f>
        <v>75</v>
      </c>
    </row>
    <row r="85" spans="1:13" ht="15.75" thickBot="1" x14ac:dyDescent="0.3">
      <c r="A85" s="448" t="s">
        <v>191</v>
      </c>
      <c r="B85" s="449"/>
      <c r="C85" s="450">
        <f>SumByColor($A$19,C68:C83)</f>
        <v>250</v>
      </c>
      <c r="D85" s="450"/>
      <c r="E85" s="450"/>
      <c r="F85" s="451">
        <f>SumByColor($A$19,F68:F83)</f>
        <v>17820</v>
      </c>
      <c r="G85" s="450"/>
      <c r="H85" s="450">
        <f>SumByColor($A$19,H68:H83)</f>
        <v>250</v>
      </c>
      <c r="I85" s="450"/>
      <c r="J85" s="450"/>
      <c r="K85" s="451">
        <f>SumByColor($A$19,K68:K83)</f>
        <v>18894</v>
      </c>
      <c r="L85" s="450"/>
      <c r="M85" s="451">
        <f>SumByColor($A$19,M68:M83)</f>
        <v>65</v>
      </c>
    </row>
    <row r="88" spans="1:13" x14ac:dyDescent="0.25">
      <c r="B88" s="162" t="s">
        <v>113</v>
      </c>
      <c r="C88" s="162" t="s">
        <v>145</v>
      </c>
      <c r="D88" s="163" t="s">
        <v>144</v>
      </c>
      <c r="E88" s="165" t="s">
        <v>146</v>
      </c>
      <c r="F88" s="165" t="s">
        <v>65</v>
      </c>
      <c r="G88" s="177" t="s">
        <v>150</v>
      </c>
      <c r="H88" s="177" t="s">
        <v>88</v>
      </c>
      <c r="I88" s="177" t="s">
        <v>153</v>
      </c>
    </row>
    <row r="89" spans="1:13" x14ac:dyDescent="0.25">
      <c r="B89" s="164">
        <v>42619</v>
      </c>
      <c r="C89" s="10">
        <v>20</v>
      </c>
      <c r="D89" s="39">
        <v>72.08</v>
      </c>
      <c r="E89" s="39">
        <v>72</v>
      </c>
      <c r="F89" s="39">
        <f t="shared" ref="F89:F100" si="4">C89*(E89-D89)</f>
        <v>-1.5999999999999659</v>
      </c>
      <c r="G89" s="39">
        <f t="shared" ref="G89:G100" si="5">D89*C89</f>
        <v>1441.6</v>
      </c>
      <c r="H89" s="179">
        <f t="shared" ref="H89:H100" si="6">(E89-D89)/D89</f>
        <v>-1.1098779134294991E-3</v>
      </c>
      <c r="I89" s="39"/>
    </row>
    <row r="90" spans="1:13" x14ac:dyDescent="0.25">
      <c r="B90" s="164">
        <v>42620</v>
      </c>
      <c r="C90" s="10">
        <v>20</v>
      </c>
      <c r="D90" s="39">
        <v>72.08</v>
      </c>
      <c r="E90" s="39">
        <v>71.75</v>
      </c>
      <c r="F90" s="39">
        <f t="shared" si="4"/>
        <v>-6.5999999999999659</v>
      </c>
      <c r="G90" s="39">
        <f t="shared" si="5"/>
        <v>1441.6</v>
      </c>
      <c r="H90" s="179">
        <f t="shared" si="6"/>
        <v>-4.5782463928967579E-3</v>
      </c>
      <c r="I90" s="39"/>
    </row>
    <row r="91" spans="1:13" x14ac:dyDescent="0.25">
      <c r="B91" s="164">
        <v>42621</v>
      </c>
      <c r="C91" s="10">
        <v>40</v>
      </c>
      <c r="D91" s="39">
        <v>71.265000000000001</v>
      </c>
      <c r="E91" s="39">
        <v>70.67</v>
      </c>
      <c r="F91" s="39">
        <f t="shared" si="4"/>
        <v>-23.799999999999955</v>
      </c>
      <c r="G91" s="39">
        <f t="shared" si="5"/>
        <v>2850.6</v>
      </c>
      <c r="H91" s="179">
        <f t="shared" si="6"/>
        <v>-8.3491194836174676E-3</v>
      </c>
      <c r="I91" s="39"/>
    </row>
    <row r="92" spans="1:13" x14ac:dyDescent="0.25">
      <c r="B92" s="164">
        <v>42627</v>
      </c>
      <c r="C92" s="10">
        <v>40</v>
      </c>
      <c r="D92" s="39">
        <v>71.265000000000001</v>
      </c>
      <c r="E92" s="39">
        <v>71.510000000000005</v>
      </c>
      <c r="F92" s="39">
        <f t="shared" si="4"/>
        <v>9.8000000000001819</v>
      </c>
      <c r="G92" s="39">
        <f t="shared" si="5"/>
        <v>2850.6</v>
      </c>
      <c r="H92" s="179">
        <f t="shared" si="6"/>
        <v>3.4378727285484397E-3</v>
      </c>
      <c r="I92" s="39"/>
    </row>
    <row r="93" spans="1:13" x14ac:dyDescent="0.25">
      <c r="B93" s="164">
        <v>42628</v>
      </c>
      <c r="C93" s="10">
        <v>40</v>
      </c>
      <c r="D93" s="39">
        <v>71.265000000000001</v>
      </c>
      <c r="E93" s="39">
        <v>72.53</v>
      </c>
      <c r="F93" s="39">
        <f t="shared" si="4"/>
        <v>50.600000000000023</v>
      </c>
      <c r="G93" s="39">
        <f t="shared" si="5"/>
        <v>2850.6</v>
      </c>
      <c r="H93" s="179">
        <f t="shared" si="6"/>
        <v>1.7750648986178355E-2</v>
      </c>
      <c r="I93" s="39"/>
    </row>
    <row r="94" spans="1:13" x14ac:dyDescent="0.25">
      <c r="B94" s="164">
        <v>42641</v>
      </c>
      <c r="C94" s="10">
        <v>40</v>
      </c>
      <c r="D94" s="39">
        <v>71.265000000000001</v>
      </c>
      <c r="E94" s="39">
        <v>70.5</v>
      </c>
      <c r="F94" s="39">
        <f t="shared" si="4"/>
        <v>-30.600000000000023</v>
      </c>
      <c r="G94" s="39">
        <f t="shared" si="5"/>
        <v>2850.6</v>
      </c>
      <c r="H94" s="179">
        <f t="shared" si="6"/>
        <v>-1.0734582193222488E-2</v>
      </c>
      <c r="I94" s="39"/>
    </row>
    <row r="95" spans="1:13" x14ac:dyDescent="0.25">
      <c r="B95" s="164">
        <v>42647</v>
      </c>
      <c r="C95" s="10">
        <v>40</v>
      </c>
      <c r="D95" s="39">
        <v>71.265000000000001</v>
      </c>
      <c r="E95" s="39">
        <v>68.05</v>
      </c>
      <c r="F95" s="39">
        <f t="shared" si="4"/>
        <v>-128.60000000000014</v>
      </c>
      <c r="G95" s="39">
        <f t="shared" si="5"/>
        <v>2850.6</v>
      </c>
      <c r="H95" s="179">
        <f t="shared" si="6"/>
        <v>-4.5113309478706287E-2</v>
      </c>
      <c r="I95" s="39"/>
    </row>
    <row r="96" spans="1:13" x14ac:dyDescent="0.25">
      <c r="B96" s="164">
        <v>42648</v>
      </c>
      <c r="C96" s="10">
        <v>65</v>
      </c>
      <c r="D96" s="39">
        <v>69.809200000000004</v>
      </c>
      <c r="E96" s="39">
        <v>66.97</v>
      </c>
      <c r="F96" s="39">
        <f t="shared" si="4"/>
        <v>-184.54800000000034</v>
      </c>
      <c r="G96" s="39">
        <f t="shared" si="5"/>
        <v>4537.598</v>
      </c>
      <c r="H96" s="179">
        <f t="shared" si="6"/>
        <v>-4.0670857136308754E-2</v>
      </c>
      <c r="I96" s="39"/>
    </row>
    <row r="97" spans="2:9" x14ac:dyDescent="0.25">
      <c r="B97" s="164">
        <v>42649</v>
      </c>
      <c r="C97" s="10">
        <v>65</v>
      </c>
      <c r="D97" s="39">
        <v>69.809200000000004</v>
      </c>
      <c r="E97" s="39">
        <v>69.05</v>
      </c>
      <c r="F97" s="39">
        <f t="shared" si="4"/>
        <v>-49.348000000000454</v>
      </c>
      <c r="G97" s="39">
        <f t="shared" si="5"/>
        <v>4537.598</v>
      </c>
      <c r="H97" s="179">
        <f t="shared" si="6"/>
        <v>-1.0875357402749307E-2</v>
      </c>
      <c r="I97" s="39"/>
    </row>
    <row r="98" spans="2:9" x14ac:dyDescent="0.25">
      <c r="B98" s="164">
        <v>42650</v>
      </c>
      <c r="C98" s="10">
        <v>65</v>
      </c>
      <c r="D98" s="39">
        <v>69.809200000000004</v>
      </c>
      <c r="E98" s="39">
        <v>69.66</v>
      </c>
      <c r="F98" s="39">
        <f t="shared" si="4"/>
        <v>-9.6980000000004907</v>
      </c>
      <c r="G98" s="39">
        <f t="shared" si="5"/>
        <v>4537.598</v>
      </c>
      <c r="H98" s="179">
        <f t="shared" si="6"/>
        <v>-2.1372541155035086E-3</v>
      </c>
      <c r="I98" s="39"/>
    </row>
    <row r="99" spans="2:9" x14ac:dyDescent="0.25">
      <c r="B99" s="164">
        <v>42674</v>
      </c>
      <c r="C99" s="10">
        <v>65</v>
      </c>
      <c r="D99" s="39">
        <v>69.809200000000004</v>
      </c>
      <c r="E99" s="39">
        <v>69.09</v>
      </c>
      <c r="F99" s="39">
        <f t="shared" si="4"/>
        <v>-46.748000000000047</v>
      </c>
      <c r="G99" s="39">
        <f t="shared" si="5"/>
        <v>4537.598</v>
      </c>
      <c r="H99" s="179">
        <f t="shared" si="6"/>
        <v>-1.0302367023257689E-2</v>
      </c>
      <c r="I99" s="39"/>
    </row>
    <row r="100" spans="2:9" x14ac:dyDescent="0.25">
      <c r="B100" s="164">
        <v>42676</v>
      </c>
      <c r="C100" s="10">
        <v>65</v>
      </c>
      <c r="D100" s="39">
        <v>69.809200000000004</v>
      </c>
      <c r="E100" s="39">
        <v>69.599999999999994</v>
      </c>
      <c r="F100" s="39">
        <f t="shared" si="4"/>
        <v>-13.598000000000638</v>
      </c>
      <c r="G100" s="39">
        <f t="shared" si="5"/>
        <v>4537.598</v>
      </c>
      <c r="H100" s="179">
        <f t="shared" si="6"/>
        <v>-2.9967396847408339E-3</v>
      </c>
      <c r="I100" s="39"/>
    </row>
    <row r="101" spans="2:9" x14ac:dyDescent="0.25">
      <c r="B101" s="164">
        <v>42701</v>
      </c>
      <c r="C101" s="10">
        <v>0</v>
      </c>
      <c r="D101" s="39"/>
      <c r="E101" s="39"/>
      <c r="F101" s="39">
        <v>158.30000000000001</v>
      </c>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3574" priority="37">
      <formula>F25&gt;0</formula>
    </cfRule>
    <cfRule type="expression" dxfId="3573" priority="38">
      <formula>F25&lt;0</formula>
    </cfRule>
  </conditionalFormatting>
  <conditionalFormatting sqref="Q7">
    <cfRule type="expression" dxfId="3572" priority="35">
      <formula>Q7&gt;0</formula>
    </cfRule>
    <cfRule type="expression" dxfId="3571" priority="36">
      <formula>Q7&lt;0</formula>
    </cfRule>
  </conditionalFormatting>
  <conditionalFormatting sqref="Q8">
    <cfRule type="expression" dxfId="3570" priority="33">
      <formula>Q8&gt;0</formula>
    </cfRule>
    <cfRule type="expression" dxfId="3569" priority="34">
      <formula>Q8&lt;0</formula>
    </cfRule>
  </conditionalFormatting>
  <conditionalFormatting sqref="F44:F46">
    <cfRule type="expression" dxfId="3568" priority="31">
      <formula>F44&gt;0</formula>
    </cfRule>
    <cfRule type="expression" dxfId="3567" priority="32">
      <formula>F44&lt;0</formula>
    </cfRule>
  </conditionalFormatting>
  <conditionalFormatting sqref="H44:H46">
    <cfRule type="expression" dxfId="3566" priority="29">
      <formula>H44&gt;0</formula>
    </cfRule>
    <cfRule type="expression" dxfId="3565" priority="30">
      <formula>H44&lt;0</formula>
    </cfRule>
  </conditionalFormatting>
  <conditionalFormatting sqref="F89:F110">
    <cfRule type="expression" dxfId="3564" priority="27">
      <formula>F89&gt;0</formula>
    </cfRule>
    <cfRule type="expression" dxfId="3563" priority="28">
      <formula>F89&lt;0</formula>
    </cfRule>
  </conditionalFormatting>
  <conditionalFormatting sqref="H89:H110">
    <cfRule type="expression" dxfId="3562" priority="25">
      <formula>H89&gt;0</formula>
    </cfRule>
    <cfRule type="expression" dxfId="3561" priority="26">
      <formula>H89&lt;0</formula>
    </cfRule>
  </conditionalFormatting>
  <conditionalFormatting sqref="Q10">
    <cfRule type="expression" dxfId="3560" priority="23">
      <formula>Q10&gt;0</formula>
    </cfRule>
    <cfRule type="expression" dxfId="3559" priority="24">
      <formula>Q10&lt;0</formula>
    </cfRule>
  </conditionalFormatting>
  <conditionalFormatting sqref="J25:J38">
    <cfRule type="expression" dxfId="3558" priority="21">
      <formula>J25&gt;0</formula>
    </cfRule>
    <cfRule type="expression" dxfId="3557" priority="22">
      <formula>J25&lt;0</formula>
    </cfRule>
  </conditionalFormatting>
  <conditionalFormatting sqref="K25:K38">
    <cfRule type="expression" dxfId="3556" priority="19">
      <formula>K25&gt;0</formula>
    </cfRule>
    <cfRule type="expression" dxfId="3555" priority="20">
      <formula>K25&lt;0</formula>
    </cfRule>
  </conditionalFormatting>
  <conditionalFormatting sqref="L25:L38">
    <cfRule type="expression" dxfId="3554" priority="17">
      <formula>L25&gt;0</formula>
    </cfRule>
    <cfRule type="expression" dxfId="3553" priority="18">
      <formula>L25&lt;0</formula>
    </cfRule>
  </conditionalFormatting>
  <conditionalFormatting sqref="J40">
    <cfRule type="expression" dxfId="3552" priority="15">
      <formula>J40&gt;0</formula>
    </cfRule>
    <cfRule type="expression" dxfId="3551" priority="16">
      <formula>J40&lt;0</formula>
    </cfRule>
  </conditionalFormatting>
  <conditionalFormatting sqref="L39">
    <cfRule type="expression" dxfId="3550" priority="11">
      <formula>L39&gt;0</formula>
    </cfRule>
    <cfRule type="expression" dxfId="3549" priority="12">
      <formula>L39&lt;0</formula>
    </cfRule>
  </conditionalFormatting>
  <conditionalFormatting sqref="F39">
    <cfRule type="expression" dxfId="3548" priority="9">
      <formula>F39&gt;0</formula>
    </cfRule>
    <cfRule type="expression" dxfId="3547" priority="10">
      <formula>F39&lt;0</formula>
    </cfRule>
  </conditionalFormatting>
  <conditionalFormatting sqref="H39">
    <cfRule type="expression" dxfId="3546" priority="7">
      <formula>H39&gt;0</formula>
    </cfRule>
    <cfRule type="expression" dxfId="3545" priority="8">
      <formula>H39&lt;0</formula>
    </cfRule>
  </conditionalFormatting>
  <conditionalFormatting sqref="J41">
    <cfRule type="expression" dxfId="3544" priority="5">
      <formula>J41&gt;0</formula>
    </cfRule>
    <cfRule type="expression" dxfId="3543" priority="6">
      <formula>J41&lt;0</formula>
    </cfRule>
  </conditionalFormatting>
  <conditionalFormatting sqref="J43">
    <cfRule type="expression" dxfId="3542" priority="3">
      <formula>J43&gt;0</formula>
    </cfRule>
    <cfRule type="expression" dxfId="3541" priority="4">
      <formula>J43&lt;0</formula>
    </cfRule>
  </conditionalFormatting>
  <conditionalFormatting sqref="J44">
    <cfRule type="expression" dxfId="3540" priority="1">
      <formula>J44&gt;0</formula>
    </cfRule>
    <cfRule type="expression" dxfId="3539"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c r="W1" s="90" t="s">
        <v>113</v>
      </c>
      <c r="X1" s="91" t="s">
        <v>114</v>
      </c>
      <c r="Y1" s="100" t="s">
        <v>115</v>
      </c>
      <c r="Z1" s="100" t="s">
        <v>116</v>
      </c>
      <c r="AA1" s="91" t="s">
        <v>117</v>
      </c>
      <c r="AB1" s="91" t="s">
        <v>118</v>
      </c>
      <c r="AC1" s="192" t="s">
        <v>119</v>
      </c>
      <c r="AD1" s="11" t="s">
        <v>125</v>
      </c>
      <c r="AE1" s="11" t="s">
        <v>127</v>
      </c>
    </row>
    <row r="2" spans="1:40" ht="14.25" customHeight="1" x14ac:dyDescent="0.25">
      <c r="A2" s="6" t="s">
        <v>23</v>
      </c>
      <c r="B2" s="72"/>
      <c r="G2" s="72"/>
      <c r="L2" s="1"/>
      <c r="M2" s="3"/>
      <c r="O2" s="11" t="s">
        <v>57</v>
      </c>
      <c r="Q2">
        <f>C18-H18</f>
        <v>0</v>
      </c>
      <c r="T2" s="83"/>
      <c r="W2" s="92">
        <v>42830</v>
      </c>
      <c r="X2" s="285">
        <v>31.9</v>
      </c>
      <c r="Y2" s="39">
        <v>32.130000000000003</v>
      </c>
      <c r="Z2" s="39">
        <v>31.57</v>
      </c>
      <c r="AA2" s="285">
        <v>31.67</v>
      </c>
      <c r="AB2" s="93">
        <v>341300</v>
      </c>
      <c r="AC2" s="191">
        <v>31.67</v>
      </c>
      <c r="AD2" s="2">
        <f>Y2-Z2</f>
        <v>0.56000000000000227</v>
      </c>
      <c r="AE2" s="134">
        <f>AC2/AC3-1</f>
        <v>-3.774771940861843E-3</v>
      </c>
    </row>
    <row r="3" spans="1:40" x14ac:dyDescent="0.25">
      <c r="A3" s="22" t="s">
        <v>71</v>
      </c>
      <c r="B3" s="72"/>
      <c r="C3" s="4"/>
      <c r="D3" s="3"/>
      <c r="E3" s="3"/>
      <c r="F3" s="3"/>
      <c r="G3" s="72"/>
      <c r="H3" s="161"/>
      <c r="I3" s="3"/>
      <c r="J3" s="3"/>
      <c r="K3" s="3"/>
      <c r="O3" s="11" t="s">
        <v>58</v>
      </c>
      <c r="Q3" s="78">
        <f>IF(Q2=0, Q4, (F18-K18-M18)/Q2)</f>
        <v>39.51</v>
      </c>
      <c r="T3" s="118"/>
      <c r="W3" s="92">
        <v>42829</v>
      </c>
      <c r="X3" s="285">
        <v>32.1</v>
      </c>
      <c r="Y3" s="39">
        <v>32.1</v>
      </c>
      <c r="Z3" s="39">
        <v>31.67</v>
      </c>
      <c r="AA3" s="285">
        <v>31.79</v>
      </c>
      <c r="AB3" s="93">
        <v>466600</v>
      </c>
      <c r="AC3" s="191">
        <v>31.79</v>
      </c>
      <c r="AD3" s="2">
        <f>Y3-Z3</f>
        <v>0.42999999999999972</v>
      </c>
      <c r="AE3" s="134">
        <f>AC3/AC4-1</f>
        <v>-9.6573208722742221E-3</v>
      </c>
      <c r="AN3" s="182"/>
    </row>
    <row r="4" spans="1:40" x14ac:dyDescent="0.25">
      <c r="B4" s="72"/>
      <c r="C4" s="4"/>
      <c r="D4" s="3"/>
      <c r="E4" s="3"/>
      <c r="F4" s="3"/>
      <c r="G4" s="72"/>
      <c r="H4" s="161"/>
      <c r="I4" s="3"/>
      <c r="J4" s="3"/>
      <c r="K4" s="3"/>
      <c r="O4" s="11" t="s">
        <v>66</v>
      </c>
      <c r="Q4" s="54">
        <v>39.51</v>
      </c>
      <c r="R4" s="405">
        <v>1.14E-2</v>
      </c>
      <c r="T4" s="118"/>
      <c r="W4" s="92">
        <v>42828</v>
      </c>
      <c r="X4" s="285">
        <v>31.84</v>
      </c>
      <c r="Y4" s="39">
        <v>32.200000000000003</v>
      </c>
      <c r="Z4" s="39">
        <v>31.82</v>
      </c>
      <c r="AA4" s="285">
        <v>32.1</v>
      </c>
      <c r="AB4" s="93">
        <v>472300</v>
      </c>
      <c r="AC4" s="191">
        <v>32.1</v>
      </c>
      <c r="AD4" s="2">
        <f t="shared" ref="AD4:AD67" si="0">Y4-Z4</f>
        <v>0.38000000000000256</v>
      </c>
      <c r="AE4" s="134">
        <f t="shared" ref="AE4:AE67" si="1">AC4/AC5-1</f>
        <v>8.4825636192271681E-3</v>
      </c>
      <c r="AK4" s="182"/>
      <c r="AN4" s="182"/>
    </row>
    <row r="5" spans="1:40" x14ac:dyDescent="0.25">
      <c r="B5" s="72"/>
      <c r="C5" s="4"/>
      <c r="D5" s="3"/>
      <c r="E5" s="3"/>
      <c r="F5" s="3"/>
      <c r="G5" s="72"/>
      <c r="H5" s="161"/>
      <c r="I5" s="3"/>
      <c r="J5" s="3"/>
      <c r="K5" s="3"/>
      <c r="O5" s="11" t="s">
        <v>67</v>
      </c>
      <c r="Q5" s="3">
        <f>Q4*Q2</f>
        <v>0</v>
      </c>
      <c r="W5" s="92">
        <v>42825</v>
      </c>
      <c r="X5" s="285">
        <v>31.85</v>
      </c>
      <c r="Y5" s="39">
        <v>32.090000000000003</v>
      </c>
      <c r="Z5" s="39">
        <v>31.76</v>
      </c>
      <c r="AA5" s="285">
        <v>31.83</v>
      </c>
      <c r="AB5" s="93">
        <v>318100</v>
      </c>
      <c r="AC5" s="191">
        <v>31.83</v>
      </c>
      <c r="AD5" s="2">
        <f t="shared" si="0"/>
        <v>0.33000000000000185</v>
      </c>
      <c r="AE5" s="134">
        <f t="shared" si="1"/>
        <v>-1.5683814303638632E-3</v>
      </c>
      <c r="AK5" s="182"/>
      <c r="AN5" s="182"/>
    </row>
    <row r="6" spans="1:40" x14ac:dyDescent="0.25">
      <c r="B6" s="4"/>
      <c r="C6" s="4"/>
      <c r="D6" s="3"/>
      <c r="E6" s="3"/>
      <c r="F6" s="3"/>
      <c r="G6" s="4"/>
      <c r="H6" s="161"/>
      <c r="I6" s="3"/>
      <c r="J6" s="3"/>
      <c r="K6" s="3"/>
      <c r="O6" s="11" t="s">
        <v>64</v>
      </c>
      <c r="Q6" s="2">
        <f>Q3*Q2</f>
        <v>0</v>
      </c>
      <c r="W6" s="92">
        <v>42824</v>
      </c>
      <c r="X6" s="285">
        <v>31.52</v>
      </c>
      <c r="Y6" s="39">
        <v>31.92</v>
      </c>
      <c r="Z6" s="39">
        <v>31.46</v>
      </c>
      <c r="AA6" s="285">
        <v>31.88</v>
      </c>
      <c r="AB6" s="93">
        <v>261900</v>
      </c>
      <c r="AC6" s="191">
        <v>31.88</v>
      </c>
      <c r="AD6" s="2">
        <f t="shared" si="0"/>
        <v>0.46000000000000085</v>
      </c>
      <c r="AE6" s="134">
        <f t="shared" si="1"/>
        <v>6.3131313131312705E-3</v>
      </c>
    </row>
    <row r="7" spans="1:40" x14ac:dyDescent="0.25">
      <c r="B7" s="4"/>
      <c r="C7" s="4"/>
      <c r="D7" s="3"/>
      <c r="E7" s="3"/>
      <c r="F7" s="3"/>
      <c r="G7" s="4"/>
      <c r="H7" s="4"/>
      <c r="I7" s="3"/>
      <c r="J7" s="3"/>
      <c r="K7" s="3"/>
      <c r="O7" s="11" t="s">
        <v>177</v>
      </c>
      <c r="P7"/>
      <c r="Q7" s="2">
        <f>Q10+Q8</f>
        <v>171.89999999999964</v>
      </c>
      <c r="R7">
        <v>0</v>
      </c>
      <c r="T7" s="83"/>
      <c r="W7" s="92">
        <v>42823</v>
      </c>
      <c r="X7" s="285">
        <v>31.87</v>
      </c>
      <c r="Y7" s="39">
        <v>31.88</v>
      </c>
      <c r="Z7" s="39">
        <v>31.46</v>
      </c>
      <c r="AA7" s="285">
        <v>31.68</v>
      </c>
      <c r="AB7" s="93">
        <v>462100</v>
      </c>
      <c r="AC7" s="191">
        <v>31.68</v>
      </c>
      <c r="AD7" s="2">
        <f t="shared" si="0"/>
        <v>0.41999999999999815</v>
      </c>
      <c r="AE7" s="134">
        <f t="shared" si="1"/>
        <v>-5.3375196232339217E-3</v>
      </c>
      <c r="AK7" s="182"/>
      <c r="AN7" s="182"/>
    </row>
    <row r="8" spans="1:40" x14ac:dyDescent="0.25">
      <c r="B8" s="4"/>
      <c r="C8" s="4"/>
      <c r="D8" s="3"/>
      <c r="E8" s="3"/>
      <c r="F8" s="3"/>
      <c r="G8" s="4"/>
      <c r="H8" s="4"/>
      <c r="I8" s="3"/>
      <c r="J8" s="3"/>
      <c r="K8" s="3"/>
      <c r="O8" s="11" t="s">
        <v>179</v>
      </c>
      <c r="Q8" s="2">
        <f>K18+M18-F18+Q2*Q4</f>
        <v>0</v>
      </c>
      <c r="W8" s="92">
        <v>42822</v>
      </c>
      <c r="X8" s="285">
        <v>31.14</v>
      </c>
      <c r="Y8" s="39">
        <v>31.89</v>
      </c>
      <c r="Z8" s="39">
        <v>30.82</v>
      </c>
      <c r="AA8" s="285">
        <v>31.85</v>
      </c>
      <c r="AB8" s="93">
        <v>888100</v>
      </c>
      <c r="AC8" s="191">
        <v>31.85</v>
      </c>
      <c r="AD8" s="2">
        <f t="shared" si="0"/>
        <v>1.0700000000000003</v>
      </c>
      <c r="AE8" s="134">
        <f t="shared" si="1"/>
        <v>5.2892561983471031E-2</v>
      </c>
    </row>
    <row r="9" spans="1:40" x14ac:dyDescent="0.25">
      <c r="O9" s="11" t="s">
        <v>204</v>
      </c>
      <c r="P9"/>
      <c r="Q9" s="134">
        <f>IF(Q2=0, 0, Q8/Q6)</f>
        <v>0</v>
      </c>
      <c r="W9" s="92">
        <v>42821</v>
      </c>
      <c r="X9" s="285">
        <v>29.99</v>
      </c>
      <c r="Y9" s="39">
        <v>30.37</v>
      </c>
      <c r="Z9" s="39">
        <v>29.99</v>
      </c>
      <c r="AA9" s="285">
        <v>30.25</v>
      </c>
      <c r="AB9" s="93">
        <v>320000</v>
      </c>
      <c r="AC9" s="191">
        <v>30.25</v>
      </c>
      <c r="AD9" s="2">
        <f t="shared" si="0"/>
        <v>0.38000000000000256</v>
      </c>
      <c r="AE9" s="134">
        <f t="shared" si="1"/>
        <v>4.983388704318914E-3</v>
      </c>
      <c r="AK9" s="182"/>
      <c r="AN9" s="182"/>
    </row>
    <row r="10" spans="1:40" ht="12.75" customHeight="1" x14ac:dyDescent="0.25">
      <c r="O10" s="11" t="s">
        <v>203</v>
      </c>
      <c r="Q10" s="2">
        <f>M37</f>
        <v>171.89999999999964</v>
      </c>
      <c r="W10" s="92">
        <v>42818</v>
      </c>
      <c r="X10" s="285">
        <v>29.9</v>
      </c>
      <c r="Y10" s="39">
        <v>30.3</v>
      </c>
      <c r="Z10" s="39">
        <v>29.8</v>
      </c>
      <c r="AA10" s="285">
        <v>30.1</v>
      </c>
      <c r="AB10" s="93">
        <v>528400</v>
      </c>
      <c r="AC10" s="191">
        <v>30.1</v>
      </c>
      <c r="AD10" s="2">
        <f t="shared" si="0"/>
        <v>0.5</v>
      </c>
      <c r="AE10" s="134">
        <f t="shared" si="1"/>
        <v>8.3752093802345051E-3</v>
      </c>
    </row>
    <row r="11" spans="1:40" x14ac:dyDescent="0.25">
      <c r="O11" s="11" t="s">
        <v>175</v>
      </c>
      <c r="Q11" s="134">
        <v>0</v>
      </c>
      <c r="W11" s="92">
        <v>42817</v>
      </c>
      <c r="X11" s="285">
        <v>30.09</v>
      </c>
      <c r="Y11" s="39">
        <v>30.2</v>
      </c>
      <c r="Z11" s="39">
        <v>29.79</v>
      </c>
      <c r="AA11" s="285">
        <v>29.85</v>
      </c>
      <c r="AB11" s="93">
        <v>276500</v>
      </c>
      <c r="AC11" s="191">
        <v>29.85</v>
      </c>
      <c r="AD11" s="2">
        <f t="shared" si="0"/>
        <v>0.41000000000000014</v>
      </c>
      <c r="AE11" s="134">
        <f t="shared" si="1"/>
        <v>-8.3056478405315604E-3</v>
      </c>
      <c r="AK11" s="182"/>
      <c r="AN11" s="182"/>
    </row>
    <row r="12" spans="1:40" x14ac:dyDescent="0.25">
      <c r="W12" s="92">
        <v>42816</v>
      </c>
      <c r="X12" s="285">
        <v>30.32</v>
      </c>
      <c r="Y12" s="39">
        <v>30.42</v>
      </c>
      <c r="Z12" s="39">
        <v>29.93</v>
      </c>
      <c r="AA12" s="285">
        <v>30.1</v>
      </c>
      <c r="AB12" s="93">
        <v>235400</v>
      </c>
      <c r="AC12" s="191">
        <v>30.1</v>
      </c>
      <c r="AD12" s="2">
        <f t="shared" si="0"/>
        <v>0.49000000000000199</v>
      </c>
      <c r="AE12" s="134">
        <f t="shared" si="1"/>
        <v>-8.2372322899505468E-3</v>
      </c>
    </row>
    <row r="13" spans="1:40" x14ac:dyDescent="0.25">
      <c r="W13" s="92">
        <v>42815</v>
      </c>
      <c r="X13" s="285">
        <v>30.91</v>
      </c>
      <c r="Y13" s="39">
        <v>31.31</v>
      </c>
      <c r="Z13" s="39">
        <v>30.28</v>
      </c>
      <c r="AA13" s="285">
        <v>30.35</v>
      </c>
      <c r="AB13" s="93">
        <v>607200</v>
      </c>
      <c r="AC13" s="191">
        <v>30.35</v>
      </c>
      <c r="AD13" s="2">
        <f t="shared" si="0"/>
        <v>1.0299999999999976</v>
      </c>
      <c r="AE13" s="134">
        <f t="shared" si="1"/>
        <v>-1.3970110461338558E-2</v>
      </c>
      <c r="AK13" s="182"/>
      <c r="AN13" s="182"/>
    </row>
    <row r="14" spans="1:40" x14ac:dyDescent="0.25">
      <c r="T14" s="82"/>
      <c r="U14" s="11"/>
      <c r="W14" s="92">
        <v>42814</v>
      </c>
      <c r="X14" s="285">
        <v>31.09</v>
      </c>
      <c r="Y14" s="39">
        <v>31.38</v>
      </c>
      <c r="Z14" s="39">
        <v>30.62</v>
      </c>
      <c r="AA14" s="285">
        <v>30.78</v>
      </c>
      <c r="AB14" s="93">
        <v>1149200</v>
      </c>
      <c r="AC14" s="191">
        <v>30.78</v>
      </c>
      <c r="AD14" s="2">
        <f t="shared" si="0"/>
        <v>0.75999999999999801</v>
      </c>
      <c r="AE14" s="134">
        <f t="shared" si="1"/>
        <v>-1.028938906752408E-2</v>
      </c>
    </row>
    <row r="15" spans="1:40" x14ac:dyDescent="0.25">
      <c r="W15" s="92">
        <v>42811</v>
      </c>
      <c r="X15" s="285">
        <v>31.19</v>
      </c>
      <c r="Y15" s="39">
        <v>31.23</v>
      </c>
      <c r="Z15" s="39">
        <v>30.79</v>
      </c>
      <c r="AA15" s="285">
        <v>31.1</v>
      </c>
      <c r="AB15" s="93">
        <v>314400</v>
      </c>
      <c r="AC15" s="191">
        <v>31.1</v>
      </c>
      <c r="AD15" s="2">
        <f t="shared" si="0"/>
        <v>0.44000000000000128</v>
      </c>
      <c r="AE15" s="134">
        <f t="shared" si="1"/>
        <v>-2.8855402372555128E-3</v>
      </c>
      <c r="AK15" s="182"/>
      <c r="AN15" s="182"/>
    </row>
    <row r="16" spans="1:40" x14ac:dyDescent="0.25">
      <c r="W16" s="92">
        <v>42810</v>
      </c>
      <c r="X16" s="285">
        <v>31.31</v>
      </c>
      <c r="Y16" s="39">
        <v>31.51</v>
      </c>
      <c r="Z16" s="39">
        <v>31.02</v>
      </c>
      <c r="AA16" s="285">
        <v>31.19</v>
      </c>
      <c r="AB16" s="93">
        <v>345600</v>
      </c>
      <c r="AC16" s="191">
        <v>31.19</v>
      </c>
      <c r="AD16" s="2">
        <f t="shared" si="0"/>
        <v>0.49000000000000199</v>
      </c>
      <c r="AE16" s="134">
        <f t="shared" si="1"/>
        <v>-3.5143769968051242E-3</v>
      </c>
    </row>
    <row r="17" spans="1:40" x14ac:dyDescent="0.25">
      <c r="W17" s="92">
        <v>42809</v>
      </c>
      <c r="X17" s="285">
        <v>30.8</v>
      </c>
      <c r="Y17" s="39">
        <v>31.58</v>
      </c>
      <c r="Z17" s="39">
        <v>30.8</v>
      </c>
      <c r="AA17" s="285">
        <v>31.3</v>
      </c>
      <c r="AB17" s="93">
        <v>598800</v>
      </c>
      <c r="AC17" s="191">
        <v>31.3</v>
      </c>
      <c r="AD17" s="2">
        <f t="shared" si="0"/>
        <v>0.77999999999999758</v>
      </c>
      <c r="AE17" s="134">
        <f t="shared" si="1"/>
        <v>1.065547303842429E-2</v>
      </c>
      <c r="AK17" s="182"/>
      <c r="AN17" s="182"/>
    </row>
    <row r="18" spans="1:40" x14ac:dyDescent="0.25">
      <c r="A18" s="31" t="s">
        <v>81</v>
      </c>
      <c r="B18" s="14"/>
      <c r="C18" s="14">
        <f>SUM(C2:C6)</f>
        <v>0</v>
      </c>
      <c r="D18" s="14"/>
      <c r="E18" s="14"/>
      <c r="F18" s="18">
        <f>SUM(F2:F6)</f>
        <v>0</v>
      </c>
      <c r="G18" s="18"/>
      <c r="H18" s="71">
        <f>SUM(H2:H6)</f>
        <v>0</v>
      </c>
      <c r="I18" s="18"/>
      <c r="J18" s="18"/>
      <c r="K18" s="18">
        <f>SUM(K2:K6)</f>
        <v>0</v>
      </c>
      <c r="L18" s="18"/>
      <c r="M18" s="18">
        <f>SUM(M2:M6)</f>
        <v>0</v>
      </c>
      <c r="W18" s="92">
        <v>42808</v>
      </c>
      <c r="X18" s="285">
        <v>31</v>
      </c>
      <c r="Y18" s="39">
        <v>31.02</v>
      </c>
      <c r="Z18" s="39">
        <v>30.66</v>
      </c>
      <c r="AA18" s="285">
        <v>30.97</v>
      </c>
      <c r="AB18" s="93">
        <v>236500</v>
      </c>
      <c r="AC18" s="191">
        <v>30.97</v>
      </c>
      <c r="AD18" s="2">
        <f t="shared" si="0"/>
        <v>0.35999999999999943</v>
      </c>
      <c r="AE18" s="134">
        <f t="shared" si="1"/>
        <v>-2.8976175144881378E-3</v>
      </c>
    </row>
    <row r="19" spans="1:40" x14ac:dyDescent="0.25">
      <c r="W19" s="92">
        <v>42807</v>
      </c>
      <c r="X19" s="285">
        <v>30.56</v>
      </c>
      <c r="Y19" s="39">
        <v>31.14</v>
      </c>
      <c r="Z19" s="39">
        <v>30.56</v>
      </c>
      <c r="AA19" s="285">
        <v>31.06</v>
      </c>
      <c r="AB19" s="93">
        <v>348200</v>
      </c>
      <c r="AC19" s="191">
        <v>31.06</v>
      </c>
      <c r="AD19" s="2">
        <f t="shared" si="0"/>
        <v>0.58000000000000185</v>
      </c>
      <c r="AE19" s="134">
        <f t="shared" si="1"/>
        <v>6.8071312803887896E-3</v>
      </c>
      <c r="AK19" s="182"/>
      <c r="AN19" s="182"/>
    </row>
    <row r="20" spans="1:40" x14ac:dyDescent="0.25">
      <c r="B20" s="162" t="s">
        <v>113</v>
      </c>
      <c r="C20" s="162" t="s">
        <v>145</v>
      </c>
      <c r="D20" s="163" t="s">
        <v>144</v>
      </c>
      <c r="E20" s="165" t="s">
        <v>146</v>
      </c>
      <c r="F20" s="165" t="s">
        <v>65</v>
      </c>
      <c r="G20" s="177" t="s">
        <v>150</v>
      </c>
      <c r="H20" s="177" t="s">
        <v>88</v>
      </c>
      <c r="I20" s="177" t="s">
        <v>153</v>
      </c>
      <c r="W20" s="92">
        <v>42804</v>
      </c>
      <c r="X20" s="285">
        <v>30.96</v>
      </c>
      <c r="Y20" s="39">
        <v>30.98</v>
      </c>
      <c r="Z20" s="39">
        <v>30.6</v>
      </c>
      <c r="AA20" s="285">
        <v>30.85</v>
      </c>
      <c r="AB20" s="93">
        <v>256300</v>
      </c>
      <c r="AC20" s="191">
        <v>30.85</v>
      </c>
      <c r="AD20" s="2">
        <f t="shared" si="0"/>
        <v>0.37999999999999901</v>
      </c>
      <c r="AE20" s="134">
        <f t="shared" si="1"/>
        <v>1.9486846378695688E-3</v>
      </c>
    </row>
    <row r="21" spans="1:40" x14ac:dyDescent="0.25">
      <c r="B21" s="164"/>
      <c r="C21" s="10"/>
      <c r="D21" s="39"/>
      <c r="E21" s="39"/>
      <c r="F21" s="39"/>
      <c r="G21" s="39"/>
      <c r="H21" s="179"/>
      <c r="I21" s="39"/>
      <c r="W21" s="92">
        <v>42803</v>
      </c>
      <c r="X21" s="285">
        <v>30.79</v>
      </c>
      <c r="Y21" s="39">
        <v>30.9</v>
      </c>
      <c r="Z21" s="39">
        <v>30.61</v>
      </c>
      <c r="AA21" s="285">
        <v>30.79</v>
      </c>
      <c r="AB21" s="93">
        <v>235100</v>
      </c>
      <c r="AC21" s="191">
        <v>30.79</v>
      </c>
      <c r="AD21" s="2">
        <f t="shared" si="0"/>
        <v>0.28999999999999915</v>
      </c>
      <c r="AE21" s="134">
        <f t="shared" si="1"/>
        <v>-3.2467532467539417E-4</v>
      </c>
      <c r="AK21" s="182"/>
      <c r="AN21" s="182"/>
    </row>
    <row r="22" spans="1:40" x14ac:dyDescent="0.25">
      <c r="B22" s="164"/>
      <c r="C22" s="10"/>
      <c r="D22" s="39"/>
      <c r="E22" s="39"/>
      <c r="F22" s="39"/>
      <c r="G22" s="39"/>
      <c r="H22" s="179"/>
      <c r="I22" s="39"/>
      <c r="W22" s="92">
        <v>42802</v>
      </c>
      <c r="X22" s="285">
        <v>30.76</v>
      </c>
      <c r="Y22" s="39">
        <v>30.88</v>
      </c>
      <c r="Z22" s="39">
        <v>30.63</v>
      </c>
      <c r="AA22" s="285">
        <v>30.8</v>
      </c>
      <c r="AB22" s="93">
        <v>254700</v>
      </c>
      <c r="AC22" s="191">
        <v>30.8</v>
      </c>
      <c r="AD22" s="2">
        <f t="shared" si="0"/>
        <v>0.25</v>
      </c>
      <c r="AE22" s="134">
        <f t="shared" si="1"/>
        <v>2.277904328018332E-3</v>
      </c>
    </row>
    <row r="23" spans="1:40" x14ac:dyDescent="0.25">
      <c r="B23" s="164"/>
      <c r="C23" s="10"/>
      <c r="D23" s="39"/>
      <c r="E23" s="39"/>
      <c r="F23" s="39"/>
      <c r="G23" s="39"/>
      <c r="H23" s="179"/>
      <c r="I23" s="39"/>
      <c r="W23" s="92">
        <v>42801</v>
      </c>
      <c r="X23" s="285">
        <v>31.07</v>
      </c>
      <c r="Y23" s="39">
        <v>31.09</v>
      </c>
      <c r="Z23" s="39">
        <v>30.67</v>
      </c>
      <c r="AA23" s="285">
        <v>30.73</v>
      </c>
      <c r="AB23" s="93">
        <v>319300</v>
      </c>
      <c r="AC23" s="191">
        <v>30.73</v>
      </c>
      <c r="AD23" s="2">
        <f t="shared" si="0"/>
        <v>0.41999999999999815</v>
      </c>
      <c r="AE23" s="134">
        <f t="shared" si="1"/>
        <v>-1.1261261261261146E-2</v>
      </c>
      <c r="AK23" s="182"/>
    </row>
    <row r="24" spans="1:40" x14ac:dyDescent="0.25">
      <c r="B24" s="164"/>
      <c r="C24" s="10"/>
      <c r="D24" s="39"/>
      <c r="E24" s="39"/>
      <c r="F24" s="39"/>
      <c r="G24" s="39"/>
      <c r="H24" s="179"/>
      <c r="I24" s="39"/>
      <c r="W24" s="92">
        <v>42800</v>
      </c>
      <c r="X24" s="285">
        <v>31.01</v>
      </c>
      <c r="Y24" s="39">
        <v>31.24</v>
      </c>
      <c r="Z24" s="39">
        <v>30.93</v>
      </c>
      <c r="AA24" s="285">
        <v>31.08</v>
      </c>
      <c r="AB24" s="93">
        <v>348500</v>
      </c>
      <c r="AC24" s="191">
        <v>31.08</v>
      </c>
      <c r="AD24" s="2">
        <f t="shared" si="0"/>
        <v>0.30999999999999872</v>
      </c>
      <c r="AE24" s="134">
        <f t="shared" si="1"/>
        <v>-2.2471910112359383E-3</v>
      </c>
    </row>
    <row r="25" spans="1:40" x14ac:dyDescent="0.25">
      <c r="B25" s="164"/>
      <c r="C25" s="10"/>
      <c r="D25" s="39"/>
      <c r="E25" s="39"/>
      <c r="F25" s="39"/>
      <c r="G25" s="39"/>
      <c r="H25" s="179"/>
      <c r="I25" s="39"/>
      <c r="W25" s="92">
        <v>42797</v>
      </c>
      <c r="X25" s="285">
        <v>31.1</v>
      </c>
      <c r="Y25" s="39">
        <v>31.36</v>
      </c>
      <c r="Z25" s="39">
        <v>31.03</v>
      </c>
      <c r="AA25" s="285">
        <v>31.15</v>
      </c>
      <c r="AB25" s="93">
        <v>706300</v>
      </c>
      <c r="AC25" s="191">
        <v>31.15</v>
      </c>
      <c r="AD25" s="2">
        <f t="shared" si="0"/>
        <v>0.32999999999999829</v>
      </c>
      <c r="AE25" s="134">
        <f t="shared" si="1"/>
        <v>-7.9617834394904996E-3</v>
      </c>
    </row>
    <row r="26" spans="1:40" x14ac:dyDescent="0.25">
      <c r="B26" s="164"/>
      <c r="C26" s="10"/>
      <c r="D26" s="39"/>
      <c r="E26" s="39"/>
      <c r="F26" s="39"/>
      <c r="G26" s="39"/>
      <c r="H26" s="179"/>
      <c r="I26" s="39"/>
      <c r="W26" s="92">
        <v>42796</v>
      </c>
      <c r="X26" s="285">
        <v>31.54</v>
      </c>
      <c r="Y26" s="39">
        <v>31.54</v>
      </c>
      <c r="Z26" s="39">
        <v>31.24</v>
      </c>
      <c r="AA26" s="285">
        <v>31.4</v>
      </c>
      <c r="AB26" s="93">
        <v>283100</v>
      </c>
      <c r="AC26" s="191">
        <v>31.4</v>
      </c>
      <c r="AD26" s="2">
        <f t="shared" si="0"/>
        <v>0.30000000000000071</v>
      </c>
      <c r="AE26" s="134">
        <f t="shared" si="1"/>
        <v>-2.8580501746585663E-3</v>
      </c>
    </row>
    <row r="27" spans="1:40" x14ac:dyDescent="0.25">
      <c r="B27" s="164"/>
      <c r="C27" s="10"/>
      <c r="D27" s="39"/>
      <c r="E27" s="39"/>
      <c r="F27" s="39"/>
      <c r="G27" s="39"/>
      <c r="H27" s="179"/>
      <c r="I27" s="39"/>
      <c r="W27" s="92">
        <v>42795</v>
      </c>
      <c r="X27" s="285">
        <v>31.49</v>
      </c>
      <c r="Y27" s="39">
        <v>31.77</v>
      </c>
      <c r="Z27" s="39">
        <v>31.3</v>
      </c>
      <c r="AA27" s="285">
        <v>31.49</v>
      </c>
      <c r="AB27" s="93">
        <v>375800</v>
      </c>
      <c r="AC27" s="191">
        <v>31.49</v>
      </c>
      <c r="AD27" s="2">
        <f t="shared" si="0"/>
        <v>0.46999999999999886</v>
      </c>
      <c r="AE27" s="134">
        <f t="shared" si="1"/>
        <v>1.9090041361755627E-3</v>
      </c>
    </row>
    <row r="28" spans="1:40" x14ac:dyDescent="0.25">
      <c r="B28" s="164"/>
      <c r="C28" s="10"/>
      <c r="D28" s="39"/>
      <c r="E28" s="39"/>
      <c r="F28" s="39"/>
      <c r="G28" s="39"/>
      <c r="H28" s="179"/>
      <c r="I28" s="39"/>
      <c r="W28" s="92">
        <v>42794</v>
      </c>
      <c r="X28" s="285">
        <v>31.82</v>
      </c>
      <c r="Y28" s="39">
        <v>32.03</v>
      </c>
      <c r="Z28" s="39">
        <v>31.29</v>
      </c>
      <c r="AA28" s="285">
        <v>31.43</v>
      </c>
      <c r="AB28" s="93">
        <v>613700</v>
      </c>
      <c r="AC28" s="191">
        <v>31.43</v>
      </c>
      <c r="AD28" s="2">
        <f t="shared" si="0"/>
        <v>0.74000000000000199</v>
      </c>
      <c r="AE28" s="134">
        <f t="shared" si="1"/>
        <v>-1.9344773790951564E-2</v>
      </c>
    </row>
    <row r="29" spans="1:40" x14ac:dyDescent="0.25">
      <c r="B29" s="164"/>
      <c r="C29" s="10"/>
      <c r="D29" s="39"/>
      <c r="E29" s="39"/>
      <c r="F29" s="39"/>
      <c r="G29" s="39"/>
      <c r="H29" s="179"/>
      <c r="I29" s="39"/>
      <c r="W29" s="92">
        <v>42793</v>
      </c>
      <c r="X29" s="285">
        <v>31.32</v>
      </c>
      <c r="Y29" s="39">
        <v>32.07</v>
      </c>
      <c r="Z29" s="39">
        <v>31.18</v>
      </c>
      <c r="AA29" s="285">
        <v>32.049999999999997</v>
      </c>
      <c r="AB29" s="93">
        <v>922800</v>
      </c>
      <c r="AC29" s="191">
        <v>32.049999999999997</v>
      </c>
      <c r="AD29" s="2">
        <f t="shared" si="0"/>
        <v>0.89000000000000057</v>
      </c>
      <c r="AE29" s="134">
        <f t="shared" si="1"/>
        <v>2.2654754307594116E-2</v>
      </c>
    </row>
    <row r="30" spans="1:40" x14ac:dyDescent="0.25">
      <c r="B30" s="164"/>
      <c r="C30" s="10"/>
      <c r="D30" s="39"/>
      <c r="E30" s="39"/>
      <c r="F30" s="39"/>
      <c r="G30" s="39"/>
      <c r="H30" s="179"/>
      <c r="I30" s="39"/>
      <c r="W30" s="92">
        <v>42790</v>
      </c>
      <c r="X30" s="285">
        <v>31.28</v>
      </c>
      <c r="Y30" s="39">
        <v>31.45</v>
      </c>
      <c r="Z30" s="39">
        <v>31.25</v>
      </c>
      <c r="AA30" s="285">
        <v>31.34</v>
      </c>
      <c r="AB30" s="93">
        <v>561000</v>
      </c>
      <c r="AC30" s="191">
        <v>31.34</v>
      </c>
      <c r="AD30" s="2">
        <f t="shared" si="0"/>
        <v>0.19999999999999929</v>
      </c>
      <c r="AE30" s="134">
        <f t="shared" si="1"/>
        <v>-3.1806615776082126E-3</v>
      </c>
    </row>
    <row r="31" spans="1:40" x14ac:dyDescent="0.25">
      <c r="B31" s="164"/>
      <c r="C31" s="10"/>
      <c r="D31" s="39"/>
      <c r="E31" s="39"/>
      <c r="F31" s="39"/>
      <c r="G31" s="39"/>
      <c r="H31" s="179"/>
      <c r="I31" s="39"/>
      <c r="W31" s="92">
        <v>42789</v>
      </c>
      <c r="X31" s="285">
        <v>31.69</v>
      </c>
      <c r="Y31" s="39">
        <v>31.82</v>
      </c>
      <c r="Z31" s="39">
        <v>31.39</v>
      </c>
      <c r="AA31" s="285">
        <v>31.44</v>
      </c>
      <c r="AB31" s="93">
        <v>553200</v>
      </c>
      <c r="AC31" s="191">
        <v>31.44</v>
      </c>
      <c r="AD31" s="2">
        <f t="shared" si="0"/>
        <v>0.42999999999999972</v>
      </c>
      <c r="AE31" s="134">
        <f t="shared" si="1"/>
        <v>-9.1396155058304229E-3</v>
      </c>
    </row>
    <row r="32" spans="1:40" x14ac:dyDescent="0.25">
      <c r="B32" s="164"/>
      <c r="C32" s="10"/>
      <c r="D32" s="39"/>
      <c r="E32" s="39"/>
      <c r="F32" s="39"/>
      <c r="G32" s="39"/>
      <c r="H32" s="179"/>
      <c r="I32" s="39"/>
      <c r="W32" s="92">
        <v>42788</v>
      </c>
      <c r="X32" s="285">
        <v>31.5</v>
      </c>
      <c r="Y32" s="39">
        <v>31.98</v>
      </c>
      <c r="Z32" s="39">
        <v>31.5</v>
      </c>
      <c r="AA32" s="285">
        <v>31.73</v>
      </c>
      <c r="AB32" s="93">
        <v>467100</v>
      </c>
      <c r="AC32" s="191">
        <v>31.73</v>
      </c>
      <c r="AD32" s="2">
        <f t="shared" si="0"/>
        <v>0.48000000000000043</v>
      </c>
      <c r="AE32" s="134">
        <f t="shared" si="1"/>
        <v>3.79626700411273E-3</v>
      </c>
    </row>
    <row r="33" spans="1:31" x14ac:dyDescent="0.25">
      <c r="B33" s="164"/>
      <c r="C33" s="10"/>
      <c r="D33" s="39"/>
      <c r="E33" s="39"/>
      <c r="F33" s="39"/>
      <c r="G33" s="39"/>
      <c r="H33" s="179"/>
      <c r="I33" s="39"/>
      <c r="W33" s="92">
        <v>42787</v>
      </c>
      <c r="X33" s="285">
        <v>31.27</v>
      </c>
      <c r="Y33" s="39">
        <v>31.74</v>
      </c>
      <c r="Z33" s="39">
        <v>31.08</v>
      </c>
      <c r="AA33" s="285">
        <v>31.61</v>
      </c>
      <c r="AB33" s="93">
        <v>358700</v>
      </c>
      <c r="AC33" s="191">
        <v>31.61</v>
      </c>
      <c r="AD33" s="2">
        <f t="shared" si="0"/>
        <v>0.66000000000000014</v>
      </c>
      <c r="AE33" s="134">
        <f t="shared" si="1"/>
        <v>8.2934609250397973E-3</v>
      </c>
    </row>
    <row r="34" spans="1:31" x14ac:dyDescent="0.25">
      <c r="B34" s="164"/>
      <c r="C34" s="10"/>
      <c r="D34" s="39"/>
      <c r="E34" s="39"/>
      <c r="F34" s="39"/>
      <c r="G34" s="39"/>
      <c r="H34" s="179"/>
      <c r="I34" s="39"/>
      <c r="W34" s="92">
        <v>42783</v>
      </c>
      <c r="X34" s="285">
        <v>31.19</v>
      </c>
      <c r="Y34" s="39">
        <v>31.41</v>
      </c>
      <c r="Z34" s="39">
        <v>30.97</v>
      </c>
      <c r="AA34" s="285">
        <v>31.35</v>
      </c>
      <c r="AB34" s="93">
        <v>416000</v>
      </c>
      <c r="AC34" s="191">
        <v>31.35</v>
      </c>
      <c r="AD34" s="2">
        <f t="shared" si="0"/>
        <v>0.44000000000000128</v>
      </c>
      <c r="AE34" s="134">
        <f t="shared" si="1"/>
        <v>4.8076923076922906E-3</v>
      </c>
    </row>
    <row r="35" spans="1:31" x14ac:dyDescent="0.25">
      <c r="B35" s="164"/>
      <c r="C35" s="10"/>
      <c r="D35" s="39"/>
      <c r="E35" s="39"/>
      <c r="F35" s="39"/>
      <c r="G35" s="39"/>
      <c r="H35" s="179"/>
      <c r="I35" s="39"/>
      <c r="W35" s="92">
        <v>42782</v>
      </c>
      <c r="X35" s="285">
        <v>31.56</v>
      </c>
      <c r="Y35" s="39">
        <v>31.61</v>
      </c>
      <c r="Z35" s="39">
        <v>31.06</v>
      </c>
      <c r="AA35" s="285">
        <v>31.2</v>
      </c>
      <c r="AB35" s="93">
        <v>459800</v>
      </c>
      <c r="AC35" s="191">
        <v>31.2</v>
      </c>
      <c r="AD35" s="2">
        <f t="shared" si="0"/>
        <v>0.55000000000000071</v>
      </c>
      <c r="AE35" s="134">
        <f t="shared" si="1"/>
        <v>-7.6335877862595547E-3</v>
      </c>
    </row>
    <row r="36" spans="1:31" x14ac:dyDescent="0.25">
      <c r="W36" s="92">
        <v>42781</v>
      </c>
      <c r="X36" s="285">
        <v>31.84</v>
      </c>
      <c r="Y36" s="39">
        <v>31.92</v>
      </c>
      <c r="Z36" s="39">
        <v>31.42</v>
      </c>
      <c r="AA36" s="285">
        <v>31.44</v>
      </c>
      <c r="AB36" s="93">
        <v>501300</v>
      </c>
      <c r="AC36" s="191">
        <v>31.44</v>
      </c>
      <c r="AD36" s="2">
        <f t="shared" si="0"/>
        <v>0.5</v>
      </c>
      <c r="AE36" s="134">
        <f t="shared" si="1"/>
        <v>-1.5962441314553932E-2</v>
      </c>
    </row>
    <row r="37" spans="1:31" x14ac:dyDescent="0.25">
      <c r="L37" t="s">
        <v>203</v>
      </c>
      <c r="M37" s="2">
        <f>M55+K55-F55</f>
        <v>171.89999999999964</v>
      </c>
      <c r="W37" s="92">
        <v>42780</v>
      </c>
      <c r="X37" s="285">
        <v>31.56</v>
      </c>
      <c r="Y37" s="39">
        <v>31.98</v>
      </c>
      <c r="Z37" s="39">
        <v>31.56</v>
      </c>
      <c r="AA37" s="285">
        <v>31.95</v>
      </c>
      <c r="AB37" s="93">
        <v>367800</v>
      </c>
      <c r="AC37" s="191">
        <v>31.95</v>
      </c>
      <c r="AD37" s="2">
        <f t="shared" si="0"/>
        <v>0.42000000000000171</v>
      </c>
      <c r="AE37" s="134">
        <f t="shared" si="1"/>
        <v>1.2678288431061668E-2</v>
      </c>
    </row>
    <row r="38" spans="1:31" x14ac:dyDescent="0.25">
      <c r="A38" s="199" t="s">
        <v>1</v>
      </c>
      <c r="B38" s="199" t="s">
        <v>2</v>
      </c>
      <c r="C38" s="199" t="s">
        <v>4</v>
      </c>
      <c r="D38" s="200" t="s">
        <v>5</v>
      </c>
      <c r="E38" s="200" t="s">
        <v>90</v>
      </c>
      <c r="F38" s="200" t="s">
        <v>60</v>
      </c>
      <c r="G38" s="199" t="s">
        <v>3</v>
      </c>
      <c r="H38" s="199" t="s">
        <v>6</v>
      </c>
      <c r="I38" s="200" t="s">
        <v>7</v>
      </c>
      <c r="J38" s="200" t="s">
        <v>89</v>
      </c>
      <c r="K38" s="200" t="s">
        <v>61</v>
      </c>
      <c r="L38" s="199" t="s">
        <v>77</v>
      </c>
      <c r="M38" s="199" t="s">
        <v>38</v>
      </c>
      <c r="W38" s="92">
        <v>42779</v>
      </c>
      <c r="X38" s="285">
        <v>31.4</v>
      </c>
      <c r="Y38" s="39">
        <v>31.59</v>
      </c>
      <c r="Z38" s="39">
        <v>31.2</v>
      </c>
      <c r="AA38" s="285">
        <v>31.55</v>
      </c>
      <c r="AB38" s="93">
        <v>608400</v>
      </c>
      <c r="AC38" s="191">
        <v>31.55</v>
      </c>
      <c r="AD38" s="2">
        <f t="shared" si="0"/>
        <v>0.39000000000000057</v>
      </c>
      <c r="AE38" s="134">
        <f t="shared" si="1"/>
        <v>7.022023619533968E-3</v>
      </c>
    </row>
    <row r="39" spans="1:31" ht="20.25" thickBot="1" x14ac:dyDescent="0.35">
      <c r="A39" s="201" t="s">
        <v>23</v>
      </c>
      <c r="B39" s="202">
        <v>42619</v>
      </c>
      <c r="C39" s="197">
        <v>50</v>
      </c>
      <c r="D39" s="198">
        <v>31.18</v>
      </c>
      <c r="E39" s="198">
        <v>0</v>
      </c>
      <c r="F39" s="198">
        <f>D39*C39+E39</f>
        <v>1559</v>
      </c>
      <c r="G39" s="202">
        <v>42741</v>
      </c>
      <c r="H39" s="197">
        <v>50</v>
      </c>
      <c r="I39" s="198">
        <v>31.62</v>
      </c>
      <c r="J39" s="198">
        <v>0.03</v>
      </c>
      <c r="K39" s="198">
        <f>I39*H39-J39</f>
        <v>1580.97</v>
      </c>
      <c r="L39" s="202"/>
      <c r="M39" s="198"/>
      <c r="O39" s="11"/>
      <c r="P39" s="884" t="s">
        <v>78</v>
      </c>
      <c r="Q39" s="884"/>
      <c r="R39" s="33"/>
      <c r="T39" s="89" t="s">
        <v>112</v>
      </c>
      <c r="W39" s="92">
        <v>42776</v>
      </c>
      <c r="X39" s="285">
        <v>31.47</v>
      </c>
      <c r="Y39" s="39">
        <v>31.64</v>
      </c>
      <c r="Z39" s="39">
        <v>31.04</v>
      </c>
      <c r="AA39" s="285">
        <v>31.33</v>
      </c>
      <c r="AB39" s="93">
        <v>491100</v>
      </c>
      <c r="AC39" s="191">
        <v>31.33</v>
      </c>
      <c r="AD39" s="2">
        <f t="shared" si="0"/>
        <v>0.60000000000000142</v>
      </c>
      <c r="AE39" s="134">
        <f t="shared" si="1"/>
        <v>-4.4486812837623013E-3</v>
      </c>
    </row>
    <row r="40" spans="1:31" ht="15.75" thickTop="1" x14ac:dyDescent="0.25">
      <c r="A40" s="204" t="s">
        <v>71</v>
      </c>
      <c r="B40" s="72">
        <v>42773</v>
      </c>
      <c r="C40">
        <v>100</v>
      </c>
      <c r="D40" s="2">
        <v>29.28</v>
      </c>
      <c r="E40" s="2">
        <v>0</v>
      </c>
      <c r="F40" s="2">
        <f>C40*D40+E40</f>
        <v>2928</v>
      </c>
      <c r="G40" s="72">
        <v>42804</v>
      </c>
      <c r="H40">
        <v>100</v>
      </c>
      <c r="I40" s="2">
        <v>30.78</v>
      </c>
      <c r="J40" s="2">
        <v>7.0000000000000007E-2</v>
      </c>
      <c r="K40" s="2">
        <f>H40*I40-J40</f>
        <v>3077.93</v>
      </c>
      <c r="L40" s="1"/>
      <c r="M40" s="197"/>
      <c r="O40" s="2"/>
      <c r="P40" s="81">
        <v>1.1000000000000001</v>
      </c>
      <c r="Q40" s="81">
        <f>P40*$Q$4</f>
        <v>43.460999999999999</v>
      </c>
      <c r="R40" s="33"/>
      <c r="T40" s="95" t="s">
        <v>97</v>
      </c>
      <c r="U40" s="126">
        <v>31.79</v>
      </c>
      <c r="W40" s="92">
        <v>42775</v>
      </c>
      <c r="X40" s="285">
        <v>31.14</v>
      </c>
      <c r="Y40" s="39">
        <v>31.56</v>
      </c>
      <c r="Z40" s="39">
        <v>31.02</v>
      </c>
      <c r="AA40" s="285">
        <v>31.47</v>
      </c>
      <c r="AB40" s="93">
        <v>597900</v>
      </c>
      <c r="AC40" s="191">
        <v>31.47</v>
      </c>
      <c r="AD40" s="2">
        <f t="shared" si="0"/>
        <v>0.53999999999999915</v>
      </c>
      <c r="AE40" s="134">
        <f t="shared" si="1"/>
        <v>1.2548262548262468E-2</v>
      </c>
    </row>
    <row r="41" spans="1:31" x14ac:dyDescent="0.25">
      <c r="A41" s="197"/>
      <c r="B41" s="202"/>
      <c r="C41" s="197"/>
      <c r="D41" s="198"/>
      <c r="E41" s="198"/>
      <c r="F41" s="198"/>
      <c r="G41" s="202"/>
      <c r="H41" s="203"/>
      <c r="I41" s="198"/>
      <c r="J41" s="198"/>
      <c r="K41" s="198"/>
      <c r="L41" s="197"/>
      <c r="M41" s="197"/>
      <c r="O41" s="2"/>
      <c r="P41" s="81">
        <v>1.0900000000000001</v>
      </c>
      <c r="Q41" s="81">
        <f t="shared" ref="Q41:Q60" si="2">P41*$Q$4</f>
        <v>43.065899999999999</v>
      </c>
      <c r="R41" s="33"/>
      <c r="T41" s="85" t="s">
        <v>98</v>
      </c>
      <c r="U41" s="127">
        <v>31.9</v>
      </c>
      <c r="W41" s="92">
        <v>42774</v>
      </c>
      <c r="X41" s="285">
        <v>30.82</v>
      </c>
      <c r="Y41" s="39">
        <v>31.19</v>
      </c>
      <c r="Z41" s="39">
        <v>30.72</v>
      </c>
      <c r="AA41" s="285">
        <v>31.08</v>
      </c>
      <c r="AB41" s="93">
        <v>950100</v>
      </c>
      <c r="AC41" s="191">
        <v>31.08</v>
      </c>
      <c r="AD41" s="2">
        <f t="shared" si="0"/>
        <v>0.47000000000000242</v>
      </c>
      <c r="AE41" s="134">
        <f t="shared" si="1"/>
        <v>1.073170731707318E-2</v>
      </c>
    </row>
    <row r="42" spans="1:31" x14ac:dyDescent="0.25">
      <c r="A42" s="197"/>
      <c r="B42" s="202"/>
      <c r="C42" s="197"/>
      <c r="D42" s="198"/>
      <c r="E42" s="198"/>
      <c r="F42" s="198"/>
      <c r="G42" s="202"/>
      <c r="H42" s="203"/>
      <c r="I42" s="198"/>
      <c r="J42" s="198"/>
      <c r="K42" s="198"/>
      <c r="L42" s="197"/>
      <c r="M42" s="197"/>
      <c r="O42" s="2"/>
      <c r="P42" s="81">
        <v>1.08</v>
      </c>
      <c r="Q42" s="81">
        <f t="shared" si="2"/>
        <v>42.6708</v>
      </c>
      <c r="R42" s="33"/>
      <c r="T42" s="85" t="s">
        <v>99</v>
      </c>
      <c r="U42" s="127" t="s">
        <v>128</v>
      </c>
      <c r="W42" s="92">
        <v>42773</v>
      </c>
      <c r="X42" s="285">
        <v>31.54</v>
      </c>
      <c r="Y42" s="39">
        <v>31.9</v>
      </c>
      <c r="Z42" s="39">
        <v>29.15</v>
      </c>
      <c r="AA42" s="285">
        <v>30.75</v>
      </c>
      <c r="AB42" s="93">
        <v>2003200</v>
      </c>
      <c r="AC42" s="191">
        <v>30.75</v>
      </c>
      <c r="AD42" s="2">
        <f t="shared" si="0"/>
        <v>2.75</v>
      </c>
      <c r="AE42" s="134">
        <f t="shared" si="1"/>
        <v>-4.4437538844002478E-2</v>
      </c>
    </row>
    <row r="43" spans="1:31" x14ac:dyDescent="0.25">
      <c r="A43" s="197"/>
      <c r="B43" s="197"/>
      <c r="C43" s="197"/>
      <c r="D43" s="198"/>
      <c r="E43" s="198"/>
      <c r="F43" s="198"/>
      <c r="G43" s="197"/>
      <c r="H43" s="203"/>
      <c r="I43" s="198"/>
      <c r="J43" s="198"/>
      <c r="K43" s="198"/>
      <c r="L43" s="197"/>
      <c r="M43" s="197"/>
      <c r="O43" s="2"/>
      <c r="P43" s="81">
        <v>1.07</v>
      </c>
      <c r="Q43" s="81">
        <f t="shared" si="2"/>
        <v>42.275700000000001</v>
      </c>
      <c r="R43" s="81"/>
      <c r="T43" s="85" t="s">
        <v>100</v>
      </c>
      <c r="U43" s="127" t="s">
        <v>513</v>
      </c>
      <c r="W43" s="92">
        <v>42772</v>
      </c>
      <c r="X43" s="285">
        <v>31.72</v>
      </c>
      <c r="Y43" s="39">
        <v>32.26</v>
      </c>
      <c r="Z43" s="39">
        <v>31.58</v>
      </c>
      <c r="AA43" s="285">
        <v>32.18</v>
      </c>
      <c r="AB43" s="93">
        <v>704900</v>
      </c>
      <c r="AC43" s="191">
        <v>32.18</v>
      </c>
      <c r="AD43" s="2">
        <f t="shared" si="0"/>
        <v>0.67999999999999972</v>
      </c>
      <c r="AE43" s="134">
        <f t="shared" si="1"/>
        <v>1.0678391959799027E-2</v>
      </c>
    </row>
    <row r="44" spans="1:31" x14ac:dyDescent="0.25">
      <c r="A44" s="197"/>
      <c r="B44" s="197"/>
      <c r="C44" s="197"/>
      <c r="D44" s="198"/>
      <c r="E44" s="198"/>
      <c r="F44" s="198"/>
      <c r="G44" s="197"/>
      <c r="H44" s="197"/>
      <c r="I44" s="198"/>
      <c r="J44" s="198"/>
      <c r="K44" s="198"/>
      <c r="L44" s="197"/>
      <c r="M44" s="197"/>
      <c r="O44" s="2"/>
      <c r="P44" s="81">
        <v>1.06</v>
      </c>
      <c r="Q44" s="81">
        <f t="shared" si="2"/>
        <v>41.880600000000001</v>
      </c>
      <c r="R44" s="81"/>
      <c r="T44" s="85" t="s">
        <v>101</v>
      </c>
      <c r="U44" s="127">
        <v>37.67</v>
      </c>
      <c r="W44" s="92">
        <v>42769</v>
      </c>
      <c r="X44" s="285">
        <v>31.43</v>
      </c>
      <c r="Y44" s="39">
        <v>32.03</v>
      </c>
      <c r="Z44" s="39">
        <v>31.37</v>
      </c>
      <c r="AA44" s="285">
        <v>31.84</v>
      </c>
      <c r="AB44" s="93">
        <v>503400</v>
      </c>
      <c r="AC44" s="191">
        <v>31.84</v>
      </c>
      <c r="AD44" s="2">
        <f t="shared" si="0"/>
        <v>0.66000000000000014</v>
      </c>
      <c r="AE44" s="134">
        <f t="shared" si="1"/>
        <v>1.1435832274459878E-2</v>
      </c>
    </row>
    <row r="45" spans="1:31" x14ac:dyDescent="0.25">
      <c r="A45" s="197"/>
      <c r="B45" s="197"/>
      <c r="C45" s="197"/>
      <c r="D45" s="198"/>
      <c r="E45" s="198"/>
      <c r="F45" s="198"/>
      <c r="G45" s="197"/>
      <c r="H45" s="197"/>
      <c r="I45" s="198"/>
      <c r="J45" s="198"/>
      <c r="K45" s="198"/>
      <c r="L45" s="197"/>
      <c r="M45" s="197"/>
      <c r="O45" s="2"/>
      <c r="P45" s="81">
        <v>1.05</v>
      </c>
      <c r="Q45" s="81">
        <f t="shared" si="2"/>
        <v>41.485500000000002</v>
      </c>
      <c r="R45" s="81"/>
      <c r="T45" s="85" t="s">
        <v>102</v>
      </c>
      <c r="U45" s="127">
        <v>0.445183</v>
      </c>
      <c r="W45" s="92">
        <v>42768</v>
      </c>
      <c r="X45" s="285">
        <v>31.7</v>
      </c>
      <c r="Y45" s="39">
        <v>31.83</v>
      </c>
      <c r="Z45" s="39">
        <v>31.37</v>
      </c>
      <c r="AA45" s="285">
        <v>31.48</v>
      </c>
      <c r="AB45" s="93">
        <v>417200</v>
      </c>
      <c r="AC45" s="191">
        <v>31.48</v>
      </c>
      <c r="AD45" s="2">
        <f t="shared" si="0"/>
        <v>0.4599999999999973</v>
      </c>
      <c r="AE45" s="134">
        <f t="shared" si="1"/>
        <v>-5.3712480252764427E-3</v>
      </c>
    </row>
    <row r="46" spans="1:31" x14ac:dyDescent="0.25">
      <c r="A46" s="197"/>
      <c r="B46" s="197"/>
      <c r="C46" s="197"/>
      <c r="D46" s="198"/>
      <c r="E46" s="198"/>
      <c r="F46" s="198"/>
      <c r="G46" s="197"/>
      <c r="H46" s="197"/>
      <c r="I46" s="198"/>
      <c r="J46" s="198"/>
      <c r="K46" s="198"/>
      <c r="L46" s="197"/>
      <c r="M46" s="197"/>
      <c r="O46" s="2"/>
      <c r="P46" s="81">
        <v>1.04</v>
      </c>
      <c r="Q46" s="81">
        <f t="shared" si="2"/>
        <v>41.090400000000002</v>
      </c>
      <c r="R46" s="81"/>
      <c r="T46" s="85" t="s">
        <v>121</v>
      </c>
      <c r="U46" s="180" t="s">
        <v>412</v>
      </c>
      <c r="W46" s="92">
        <v>42767</v>
      </c>
      <c r="X46" s="285">
        <v>31.89</v>
      </c>
      <c r="Y46" s="39">
        <v>32.17</v>
      </c>
      <c r="Z46" s="39">
        <v>31.47</v>
      </c>
      <c r="AA46" s="285">
        <v>31.65</v>
      </c>
      <c r="AB46" s="93">
        <v>357500</v>
      </c>
      <c r="AC46" s="191">
        <v>31.65</v>
      </c>
      <c r="AD46" s="2">
        <f t="shared" si="0"/>
        <v>0.70000000000000284</v>
      </c>
      <c r="AE46" s="134">
        <f t="shared" si="1"/>
        <v>-6.5913370998117449E-3</v>
      </c>
    </row>
    <row r="47" spans="1:31" x14ac:dyDescent="0.25">
      <c r="A47" s="197"/>
      <c r="B47" s="197"/>
      <c r="C47" s="197"/>
      <c r="D47" s="198"/>
      <c r="E47" s="198"/>
      <c r="F47" s="198"/>
      <c r="G47" s="197"/>
      <c r="H47" s="197"/>
      <c r="I47" s="198"/>
      <c r="J47" s="198"/>
      <c r="K47" s="198"/>
      <c r="L47" s="197"/>
      <c r="M47" s="197"/>
      <c r="O47" s="2"/>
      <c r="P47" s="81">
        <v>1.03</v>
      </c>
      <c r="Q47" s="81">
        <f t="shared" si="2"/>
        <v>40.695299999999996</v>
      </c>
      <c r="R47" s="81"/>
      <c r="T47" s="85"/>
      <c r="U47" s="127"/>
      <c r="W47" s="92">
        <v>42766</v>
      </c>
      <c r="X47" s="285">
        <v>31.04</v>
      </c>
      <c r="Y47" s="39">
        <v>31.87</v>
      </c>
      <c r="Z47" s="39">
        <v>30.97</v>
      </c>
      <c r="AA47" s="285">
        <v>31.86</v>
      </c>
      <c r="AB47" s="93">
        <v>623000</v>
      </c>
      <c r="AC47" s="191">
        <v>31.86</v>
      </c>
      <c r="AD47" s="2">
        <f t="shared" si="0"/>
        <v>0.90000000000000213</v>
      </c>
      <c r="AE47" s="134">
        <f t="shared" si="1"/>
        <v>2.774193548387105E-2</v>
      </c>
    </row>
    <row r="48" spans="1:31" x14ac:dyDescent="0.25">
      <c r="A48" s="197"/>
      <c r="B48" s="197"/>
      <c r="C48" s="197"/>
      <c r="D48" s="198"/>
      <c r="E48" s="198"/>
      <c r="F48" s="198"/>
      <c r="G48" s="197"/>
      <c r="H48" s="197"/>
      <c r="I48" s="198"/>
      <c r="J48" s="198"/>
      <c r="K48" s="198"/>
      <c r="L48" s="197"/>
      <c r="M48" s="197"/>
      <c r="O48" s="2"/>
      <c r="P48" s="81">
        <v>1.02</v>
      </c>
      <c r="Q48" s="81">
        <f t="shared" si="2"/>
        <v>40.300199999999997</v>
      </c>
      <c r="R48" s="81"/>
      <c r="T48" s="85" t="s">
        <v>104</v>
      </c>
      <c r="U48" s="127" t="s">
        <v>553</v>
      </c>
      <c r="W48" s="92">
        <v>42765</v>
      </c>
      <c r="X48" s="285">
        <v>31.05</v>
      </c>
      <c r="Y48" s="39">
        <v>31.15</v>
      </c>
      <c r="Z48" s="39">
        <v>30.82</v>
      </c>
      <c r="AA48" s="285">
        <v>31</v>
      </c>
      <c r="AB48" s="93">
        <v>453200</v>
      </c>
      <c r="AC48" s="191">
        <v>31</v>
      </c>
      <c r="AD48" s="2">
        <f t="shared" si="0"/>
        <v>0.32999999999999829</v>
      </c>
      <c r="AE48" s="134">
        <f t="shared" si="1"/>
        <v>-7.0467648942984518E-3</v>
      </c>
    </row>
    <row r="49" spans="1:31" x14ac:dyDescent="0.25">
      <c r="A49" s="197"/>
      <c r="B49" s="197"/>
      <c r="C49" s="197"/>
      <c r="D49" s="198"/>
      <c r="E49" s="198"/>
      <c r="F49" s="198"/>
      <c r="G49" s="197"/>
      <c r="H49" s="197"/>
      <c r="I49" s="198"/>
      <c r="J49" s="198"/>
      <c r="K49" s="198"/>
      <c r="L49" s="197"/>
      <c r="M49" s="197"/>
      <c r="O49" s="2"/>
      <c r="P49" s="81">
        <v>1.01</v>
      </c>
      <c r="Q49" s="81">
        <f t="shared" si="2"/>
        <v>39.905099999999997</v>
      </c>
      <c r="R49" s="81"/>
      <c r="T49" s="85" t="s">
        <v>105</v>
      </c>
      <c r="U49" s="127" t="s">
        <v>320</v>
      </c>
      <c r="W49" s="92">
        <v>42762</v>
      </c>
      <c r="X49" s="285">
        <v>31.63</v>
      </c>
      <c r="Y49" s="39">
        <v>31.63</v>
      </c>
      <c r="Z49" s="39">
        <v>31.03</v>
      </c>
      <c r="AA49" s="285">
        <v>31.22</v>
      </c>
      <c r="AB49" s="93">
        <v>809200</v>
      </c>
      <c r="AC49" s="191">
        <v>31.22</v>
      </c>
      <c r="AD49" s="2">
        <f t="shared" si="0"/>
        <v>0.59999999999999787</v>
      </c>
      <c r="AE49" s="134">
        <f t="shared" si="1"/>
        <v>-9.2034274833386887E-3</v>
      </c>
    </row>
    <row r="50" spans="1:31" x14ac:dyDescent="0.25">
      <c r="A50" s="197"/>
      <c r="B50" s="197"/>
      <c r="C50" s="197"/>
      <c r="D50" s="198"/>
      <c r="E50" s="198"/>
      <c r="F50" s="198"/>
      <c r="G50" s="197"/>
      <c r="H50" s="197"/>
      <c r="I50" s="198"/>
      <c r="J50" s="198"/>
      <c r="K50" s="198"/>
      <c r="L50" s="197"/>
      <c r="M50" s="197"/>
      <c r="O50" s="2"/>
      <c r="P50" s="81">
        <v>1</v>
      </c>
      <c r="Q50" s="81">
        <f t="shared" si="2"/>
        <v>39.51</v>
      </c>
      <c r="R50" s="81"/>
      <c r="T50" s="85" t="s">
        <v>106</v>
      </c>
      <c r="U50" s="128">
        <v>349106</v>
      </c>
      <c r="W50" s="92">
        <v>42761</v>
      </c>
      <c r="X50" s="285">
        <v>31.42</v>
      </c>
      <c r="Y50" s="39">
        <v>31.8</v>
      </c>
      <c r="Z50" s="39">
        <v>31.27</v>
      </c>
      <c r="AA50" s="285">
        <v>31.51</v>
      </c>
      <c r="AB50" s="93">
        <v>839400</v>
      </c>
      <c r="AC50" s="191">
        <v>31.51</v>
      </c>
      <c r="AD50" s="2">
        <f t="shared" si="0"/>
        <v>0.53000000000000114</v>
      </c>
      <c r="AE50" s="134">
        <f t="shared" si="1"/>
        <v>3.5031847133759619E-3</v>
      </c>
    </row>
    <row r="51" spans="1:31" x14ac:dyDescent="0.25">
      <c r="A51" s="197"/>
      <c r="B51" s="197"/>
      <c r="C51" s="197"/>
      <c r="D51" s="198"/>
      <c r="E51" s="198"/>
      <c r="F51" s="198"/>
      <c r="G51" s="197"/>
      <c r="H51" s="197"/>
      <c r="I51" s="198"/>
      <c r="J51" s="198"/>
      <c r="K51" s="198"/>
      <c r="L51" s="197"/>
      <c r="M51" s="197"/>
      <c r="O51" s="2"/>
      <c r="P51" s="81">
        <v>0.99</v>
      </c>
      <c r="Q51" s="81">
        <f t="shared" si="2"/>
        <v>39.114899999999999</v>
      </c>
      <c r="R51" s="81"/>
      <c r="T51" s="85" t="s">
        <v>109</v>
      </c>
      <c r="U51" s="128">
        <v>511145</v>
      </c>
      <c r="W51" s="92">
        <v>42760</v>
      </c>
      <c r="X51" s="285">
        <v>31.65</v>
      </c>
      <c r="Y51" s="39">
        <v>31.83</v>
      </c>
      <c r="Z51" s="39">
        <v>31.38</v>
      </c>
      <c r="AA51" s="285">
        <v>31.4</v>
      </c>
      <c r="AB51" s="93">
        <v>807700</v>
      </c>
      <c r="AC51" s="191">
        <v>31.4</v>
      </c>
      <c r="AD51" s="2">
        <f t="shared" si="0"/>
        <v>0.44999999999999929</v>
      </c>
      <c r="AE51" s="134">
        <f t="shared" si="1"/>
        <v>-8.5254183770130387E-3</v>
      </c>
    </row>
    <row r="52" spans="1:31" x14ac:dyDescent="0.25">
      <c r="A52" s="197"/>
      <c r="B52" s="197"/>
      <c r="C52" s="197"/>
      <c r="D52" s="198"/>
      <c r="E52" s="198"/>
      <c r="F52" s="198"/>
      <c r="G52" s="197"/>
      <c r="H52" s="197"/>
      <c r="I52" s="198"/>
      <c r="J52" s="198"/>
      <c r="K52" s="198"/>
      <c r="L52" s="197"/>
      <c r="M52" s="197"/>
      <c r="O52" s="2"/>
      <c r="P52" s="81">
        <v>0.98</v>
      </c>
      <c r="Q52" s="81">
        <f t="shared" si="2"/>
        <v>38.719799999999999</v>
      </c>
      <c r="R52" s="81"/>
      <c r="T52" s="85" t="s">
        <v>107</v>
      </c>
      <c r="U52" s="127" t="s">
        <v>554</v>
      </c>
      <c r="W52" s="92">
        <v>42759</v>
      </c>
      <c r="X52" s="285">
        <v>31.76</v>
      </c>
      <c r="Y52" s="39">
        <v>31.84</v>
      </c>
      <c r="Z52" s="39">
        <v>31.32</v>
      </c>
      <c r="AA52" s="285">
        <v>31.67</v>
      </c>
      <c r="AB52" s="93">
        <v>1254600</v>
      </c>
      <c r="AC52" s="191">
        <v>31.67</v>
      </c>
      <c r="AD52" s="2">
        <f t="shared" si="0"/>
        <v>0.51999999999999957</v>
      </c>
      <c r="AE52" s="134">
        <f t="shared" si="1"/>
        <v>-4.0880503144653524E-3</v>
      </c>
    </row>
    <row r="53" spans="1:31" x14ac:dyDescent="0.25">
      <c r="A53" s="197"/>
      <c r="B53" s="197"/>
      <c r="C53" s="197"/>
      <c r="D53" s="198"/>
      <c r="E53" s="198"/>
      <c r="F53" s="198"/>
      <c r="G53" s="197"/>
      <c r="H53" s="197"/>
      <c r="I53" s="198"/>
      <c r="J53" s="198"/>
      <c r="K53" s="198"/>
      <c r="L53" s="197"/>
      <c r="M53" s="197"/>
      <c r="O53" s="2"/>
      <c r="P53" s="81">
        <v>0.97</v>
      </c>
      <c r="Q53" s="81">
        <f t="shared" si="2"/>
        <v>38.3247</v>
      </c>
      <c r="R53" s="81"/>
      <c r="T53" s="85" t="s">
        <v>110</v>
      </c>
      <c r="U53" s="127">
        <v>15.28</v>
      </c>
      <c r="W53" s="92">
        <v>42758</v>
      </c>
      <c r="X53" s="285">
        <v>32.340000000000003</v>
      </c>
      <c r="Y53" s="39">
        <v>32.340000000000003</v>
      </c>
      <c r="Z53" s="39">
        <v>31.79</v>
      </c>
      <c r="AA53" s="285">
        <v>31.8</v>
      </c>
      <c r="AB53" s="93">
        <v>430400</v>
      </c>
      <c r="AC53" s="191">
        <v>31.8</v>
      </c>
      <c r="AD53" s="2">
        <f t="shared" si="0"/>
        <v>0.55000000000000426</v>
      </c>
      <c r="AE53" s="134">
        <f t="shared" si="1"/>
        <v>-1.8215498610682279E-2</v>
      </c>
    </row>
    <row r="54" spans="1:31" x14ac:dyDescent="0.25">
      <c r="A54" s="197"/>
      <c r="B54" s="197"/>
      <c r="C54" s="197"/>
      <c r="D54" s="198"/>
      <c r="E54" s="198"/>
      <c r="F54" s="198"/>
      <c r="G54" s="197"/>
      <c r="H54" s="197"/>
      <c r="I54" s="198"/>
      <c r="J54" s="198"/>
      <c r="K54" s="198"/>
      <c r="L54" s="197"/>
      <c r="M54" s="197"/>
      <c r="O54" s="2"/>
      <c r="P54" s="81">
        <v>0.96</v>
      </c>
      <c r="Q54" s="81">
        <f t="shared" si="2"/>
        <v>37.929599999999994</v>
      </c>
      <c r="R54" s="81"/>
      <c r="T54" s="85" t="s">
        <v>111</v>
      </c>
      <c r="U54" s="127">
        <v>2.0699999999999998</v>
      </c>
      <c r="W54" s="92">
        <v>42755</v>
      </c>
      <c r="X54" s="285">
        <v>32.5</v>
      </c>
      <c r="Y54" s="39">
        <v>32.56</v>
      </c>
      <c r="Z54" s="39">
        <v>32.29</v>
      </c>
      <c r="AA54" s="285">
        <v>32.39</v>
      </c>
      <c r="AB54" s="93">
        <v>214600</v>
      </c>
      <c r="AC54" s="191">
        <v>32.39</v>
      </c>
      <c r="AD54" s="2">
        <f t="shared" si="0"/>
        <v>0.27000000000000313</v>
      </c>
      <c r="AE54" s="134">
        <f t="shared" si="1"/>
        <v>1.2364760432765909E-3</v>
      </c>
    </row>
    <row r="55" spans="1:31" x14ac:dyDescent="0.25">
      <c r="A55" s="31" t="s">
        <v>81</v>
      </c>
      <c r="B55" s="14"/>
      <c r="C55" s="14">
        <f>SUM(C39:C43)</f>
        <v>150</v>
      </c>
      <c r="D55" s="14"/>
      <c r="E55" s="14"/>
      <c r="F55" s="18">
        <f>SUM(F39:F43)</f>
        <v>4487</v>
      </c>
      <c r="G55" s="18"/>
      <c r="H55" s="71">
        <f>SUM(H39:H43)</f>
        <v>150</v>
      </c>
      <c r="I55" s="18"/>
      <c r="J55" s="18"/>
      <c r="K55" s="18">
        <f>SUM(K39:K43)</f>
        <v>4658.8999999999996</v>
      </c>
      <c r="L55" s="18"/>
      <c r="M55" s="18">
        <f>SUM(M39:M43)</f>
        <v>0</v>
      </c>
      <c r="O55" s="2"/>
      <c r="P55" s="81">
        <v>0.95</v>
      </c>
      <c r="Q55" s="81">
        <f t="shared" si="2"/>
        <v>37.534499999999994</v>
      </c>
      <c r="R55" s="81"/>
      <c r="T55" s="85" t="s">
        <v>108</v>
      </c>
      <c r="U55" s="127" t="s">
        <v>122</v>
      </c>
      <c r="W55" s="92">
        <v>42754</v>
      </c>
      <c r="X55" s="285">
        <v>32.69</v>
      </c>
      <c r="Y55" s="39">
        <v>32.79</v>
      </c>
      <c r="Z55" s="39">
        <v>32.33</v>
      </c>
      <c r="AA55" s="285">
        <v>32.35</v>
      </c>
      <c r="AB55" s="93">
        <v>347500</v>
      </c>
      <c r="AC55" s="191">
        <v>32.35</v>
      </c>
      <c r="AD55" s="2">
        <f t="shared" si="0"/>
        <v>0.46000000000000085</v>
      </c>
      <c r="AE55" s="134">
        <f t="shared" si="1"/>
        <v>-1.2816600549282908E-2</v>
      </c>
    </row>
    <row r="56" spans="1:31" x14ac:dyDescent="0.25">
      <c r="O56" s="2"/>
      <c r="P56" s="81">
        <v>0.94</v>
      </c>
      <c r="Q56" s="81">
        <f t="shared" si="2"/>
        <v>37.139399999999995</v>
      </c>
      <c r="R56" s="81"/>
      <c r="W56" s="92">
        <v>42753</v>
      </c>
      <c r="X56" s="285">
        <v>32.75</v>
      </c>
      <c r="Y56" s="39">
        <v>32.86</v>
      </c>
      <c r="Z56" s="39">
        <v>32.4</v>
      </c>
      <c r="AA56" s="285">
        <v>32.770000000000003</v>
      </c>
      <c r="AB56" s="93">
        <v>353000</v>
      </c>
      <c r="AC56" s="191">
        <v>32.770000000000003</v>
      </c>
      <c r="AD56" s="2">
        <f t="shared" si="0"/>
        <v>0.46000000000000085</v>
      </c>
      <c r="AE56" s="134">
        <f t="shared" si="1"/>
        <v>3.9828431372550543E-3</v>
      </c>
    </row>
    <row r="57" spans="1:31" x14ac:dyDescent="0.25">
      <c r="O57" s="2"/>
      <c r="P57" s="81">
        <v>0.93</v>
      </c>
      <c r="Q57" s="81">
        <f t="shared" si="2"/>
        <v>36.744300000000003</v>
      </c>
      <c r="R57" s="81"/>
      <c r="W57" s="92">
        <v>42752</v>
      </c>
      <c r="X57" s="285">
        <v>32.46</v>
      </c>
      <c r="Y57" s="39">
        <v>32.67</v>
      </c>
      <c r="Z57" s="39">
        <v>32.159999999999997</v>
      </c>
      <c r="AA57" s="285">
        <v>32.64</v>
      </c>
      <c r="AB57" s="93">
        <v>283300</v>
      </c>
      <c r="AC57" s="191">
        <v>32.64</v>
      </c>
      <c r="AD57" s="2">
        <f t="shared" si="0"/>
        <v>0.51000000000000512</v>
      </c>
      <c r="AE57" s="134">
        <f t="shared" si="1"/>
        <v>3.6900369003689537E-3</v>
      </c>
    </row>
    <row r="58" spans="1:31" x14ac:dyDescent="0.25">
      <c r="O58" s="2"/>
      <c r="P58" s="81">
        <v>0.92</v>
      </c>
      <c r="Q58" s="81">
        <f t="shared" si="2"/>
        <v>36.349200000000003</v>
      </c>
      <c r="R58" s="81"/>
      <c r="W58" s="92">
        <v>42748</v>
      </c>
      <c r="X58" s="285">
        <v>32.15</v>
      </c>
      <c r="Y58" s="39">
        <v>32.54</v>
      </c>
      <c r="Z58" s="39">
        <v>32.04</v>
      </c>
      <c r="AA58" s="285">
        <v>32.520000000000003</v>
      </c>
      <c r="AB58" s="93">
        <v>257000</v>
      </c>
      <c r="AC58" s="191">
        <v>32.520000000000003</v>
      </c>
      <c r="AD58" s="2">
        <f t="shared" si="0"/>
        <v>0.5</v>
      </c>
      <c r="AE58" s="134">
        <f t="shared" si="1"/>
        <v>1.2768607910308427E-2</v>
      </c>
    </row>
    <row r="59" spans="1:31" x14ac:dyDescent="0.25">
      <c r="B59" s="162" t="s">
        <v>113</v>
      </c>
      <c r="C59" s="162" t="s">
        <v>145</v>
      </c>
      <c r="D59" s="163" t="s">
        <v>144</v>
      </c>
      <c r="E59" s="165" t="s">
        <v>146</v>
      </c>
      <c r="F59" s="165" t="s">
        <v>65</v>
      </c>
      <c r="G59" s="177" t="s">
        <v>150</v>
      </c>
      <c r="H59" s="177" t="s">
        <v>88</v>
      </c>
      <c r="I59" s="177" t="s">
        <v>153</v>
      </c>
      <c r="O59" s="2"/>
      <c r="P59" s="81">
        <v>0.91</v>
      </c>
      <c r="Q59" s="81">
        <f t="shared" si="2"/>
        <v>35.954099999999997</v>
      </c>
      <c r="R59" s="81"/>
      <c r="W59" s="92">
        <v>42747</v>
      </c>
      <c r="X59" s="285">
        <v>31.7</v>
      </c>
      <c r="Y59" s="39">
        <v>32.15</v>
      </c>
      <c r="Z59" s="39">
        <v>31.61</v>
      </c>
      <c r="AA59" s="285">
        <v>32.11</v>
      </c>
      <c r="AB59" s="93">
        <v>244700</v>
      </c>
      <c r="AC59" s="191">
        <v>32.11</v>
      </c>
      <c r="AD59" s="2">
        <f t="shared" si="0"/>
        <v>0.53999999999999915</v>
      </c>
      <c r="AE59" s="134">
        <f t="shared" si="1"/>
        <v>8.1632653061223248E-3</v>
      </c>
    </row>
    <row r="60" spans="1:31" x14ac:dyDescent="0.25">
      <c r="B60" s="202">
        <v>42619</v>
      </c>
      <c r="C60" s="197">
        <v>50</v>
      </c>
      <c r="D60" s="198">
        <v>31.18</v>
      </c>
      <c r="E60" s="198">
        <v>31.29</v>
      </c>
      <c r="F60" s="198">
        <f t="shared" ref="F60:F65" si="3">C60*(E60-D60)</f>
        <v>5.4999999999999716</v>
      </c>
      <c r="G60" s="198">
        <f t="shared" ref="G60:G65" si="4">D60*C60</f>
        <v>1559</v>
      </c>
      <c r="H60" s="212">
        <f t="shared" ref="H60:H65" si="5">(E60-D60)/D60</f>
        <v>3.5279025016035736E-3</v>
      </c>
      <c r="I60" s="198"/>
      <c r="O60" s="2"/>
      <c r="P60" s="81">
        <v>0.9</v>
      </c>
      <c r="Q60" s="81">
        <f t="shared" si="2"/>
        <v>35.558999999999997</v>
      </c>
      <c r="R60" s="81"/>
      <c r="W60" s="92">
        <v>42746</v>
      </c>
      <c r="X60" s="285">
        <v>32.090000000000003</v>
      </c>
      <c r="Y60" s="39">
        <v>32.24</v>
      </c>
      <c r="Z60" s="39">
        <v>31.69</v>
      </c>
      <c r="AA60" s="285">
        <v>31.85</v>
      </c>
      <c r="AB60" s="93">
        <v>292300</v>
      </c>
      <c r="AC60" s="191">
        <v>31.85</v>
      </c>
      <c r="AD60" s="2">
        <f t="shared" si="0"/>
        <v>0.55000000000000071</v>
      </c>
      <c r="AE60" s="134">
        <f t="shared" si="1"/>
        <v>-7.7881619937694158E-3</v>
      </c>
    </row>
    <row r="61" spans="1:31" x14ac:dyDescent="0.25">
      <c r="B61" s="202">
        <v>42620</v>
      </c>
      <c r="C61" s="197">
        <v>50</v>
      </c>
      <c r="D61" s="198">
        <v>31.18</v>
      </c>
      <c r="E61" s="198">
        <v>31.51</v>
      </c>
      <c r="F61" s="198">
        <f t="shared" si="3"/>
        <v>16.500000000000092</v>
      </c>
      <c r="G61" s="198">
        <f t="shared" si="4"/>
        <v>1559</v>
      </c>
      <c r="H61" s="212">
        <f t="shared" si="5"/>
        <v>1.0583707504810835E-2</v>
      </c>
      <c r="I61" s="198"/>
      <c r="W61" s="92">
        <v>42745</v>
      </c>
      <c r="X61" s="285">
        <v>31.82</v>
      </c>
      <c r="Y61" s="39">
        <v>32.340000000000003</v>
      </c>
      <c r="Z61" s="39">
        <v>31.66</v>
      </c>
      <c r="AA61" s="285">
        <v>32.1</v>
      </c>
      <c r="AB61" s="93">
        <v>581000</v>
      </c>
      <c r="AC61" s="191">
        <v>32.1</v>
      </c>
      <c r="AD61" s="2">
        <f t="shared" si="0"/>
        <v>0.68000000000000327</v>
      </c>
      <c r="AE61" s="134">
        <f t="shared" si="1"/>
        <v>9.7514941805600941E-3</v>
      </c>
    </row>
    <row r="62" spans="1:31" x14ac:dyDescent="0.25">
      <c r="B62" s="202">
        <v>42621</v>
      </c>
      <c r="C62" s="197">
        <v>50</v>
      </c>
      <c r="D62" s="198">
        <v>31.18</v>
      </c>
      <c r="E62" s="198">
        <v>31.65</v>
      </c>
      <c r="F62" s="198">
        <f t="shared" si="3"/>
        <v>23.499999999999943</v>
      </c>
      <c r="G62" s="198">
        <f t="shared" si="4"/>
        <v>1559</v>
      </c>
      <c r="H62" s="212">
        <f t="shared" si="5"/>
        <v>1.5073765234124403E-2</v>
      </c>
      <c r="I62" s="198"/>
      <c r="W62" s="92">
        <v>42744</v>
      </c>
      <c r="X62" s="285">
        <v>31.86</v>
      </c>
      <c r="Y62" s="39">
        <v>31.97</v>
      </c>
      <c r="Z62" s="39">
        <v>31.62</v>
      </c>
      <c r="AA62" s="285">
        <v>31.79</v>
      </c>
      <c r="AB62" s="93">
        <v>678600</v>
      </c>
      <c r="AC62" s="191">
        <v>31.79</v>
      </c>
      <c r="AD62" s="2">
        <f t="shared" si="0"/>
        <v>0.34999999999999787</v>
      </c>
      <c r="AE62" s="134">
        <f t="shared" si="1"/>
        <v>-6.2873310279787376E-4</v>
      </c>
    </row>
    <row r="63" spans="1:31" x14ac:dyDescent="0.25">
      <c r="B63" s="202">
        <v>42622</v>
      </c>
      <c r="C63" s="197">
        <v>50</v>
      </c>
      <c r="D63" s="198">
        <v>31.18</v>
      </c>
      <c r="E63" s="198">
        <v>31.5</v>
      </c>
      <c r="F63" s="198">
        <f t="shared" si="3"/>
        <v>16.000000000000014</v>
      </c>
      <c r="G63" s="198">
        <f t="shared" si="4"/>
        <v>1559</v>
      </c>
      <c r="H63" s="212">
        <f t="shared" si="5"/>
        <v>1.0262989095574096E-2</v>
      </c>
      <c r="I63" s="198"/>
      <c r="W63" s="92">
        <v>42741</v>
      </c>
      <c r="X63" s="285">
        <v>31.12</v>
      </c>
      <c r="Y63" s="39">
        <v>31.82</v>
      </c>
      <c r="Z63" s="39">
        <v>31</v>
      </c>
      <c r="AA63" s="285">
        <v>31.81</v>
      </c>
      <c r="AB63" s="93">
        <v>376900</v>
      </c>
      <c r="AC63" s="191">
        <v>31.81</v>
      </c>
      <c r="AD63" s="2">
        <f t="shared" si="0"/>
        <v>0.82000000000000028</v>
      </c>
      <c r="AE63" s="134">
        <f t="shared" si="1"/>
        <v>2.2172236503855913E-2</v>
      </c>
    </row>
    <row r="64" spans="1:31" x14ac:dyDescent="0.25">
      <c r="B64" s="202">
        <v>42634</v>
      </c>
      <c r="C64" s="197">
        <v>50</v>
      </c>
      <c r="D64" s="198">
        <v>31.18</v>
      </c>
      <c r="E64" s="198">
        <v>32.049999999999997</v>
      </c>
      <c r="F64" s="198">
        <f t="shared" si="3"/>
        <v>43.499999999999872</v>
      </c>
      <c r="G64" s="198">
        <f t="shared" si="4"/>
        <v>1559</v>
      </c>
      <c r="H64" s="212">
        <f t="shared" si="5"/>
        <v>2.7902501603591964E-2</v>
      </c>
      <c r="I64" s="198"/>
      <c r="W64" s="92">
        <v>42740</v>
      </c>
      <c r="X64" s="285">
        <v>31.12</v>
      </c>
      <c r="Y64" s="39">
        <v>31.55</v>
      </c>
      <c r="Z64" s="39">
        <v>31.03</v>
      </c>
      <c r="AA64" s="285">
        <v>31.12</v>
      </c>
      <c r="AB64" s="93">
        <v>871500</v>
      </c>
      <c r="AC64" s="191">
        <v>31.12</v>
      </c>
      <c r="AD64" s="2">
        <f t="shared" si="0"/>
        <v>0.51999999999999957</v>
      </c>
      <c r="AE64" s="134">
        <f t="shared" si="1"/>
        <v>3.2144005143042165E-4</v>
      </c>
    </row>
    <row r="65" spans="2:31" x14ac:dyDescent="0.25">
      <c r="B65" s="202">
        <v>42648</v>
      </c>
      <c r="C65" s="197">
        <v>50</v>
      </c>
      <c r="D65" s="198">
        <v>31.18</v>
      </c>
      <c r="E65" s="198">
        <v>31.87</v>
      </c>
      <c r="F65" s="198">
        <f t="shared" si="3"/>
        <v>34.500000000000064</v>
      </c>
      <c r="G65" s="198">
        <f t="shared" si="4"/>
        <v>1559</v>
      </c>
      <c r="H65" s="212">
        <f t="shared" si="5"/>
        <v>2.2129570237331662E-2</v>
      </c>
      <c r="I65" s="198"/>
      <c r="W65" s="92">
        <v>42739</v>
      </c>
      <c r="X65" s="285">
        <v>31.05</v>
      </c>
      <c r="Y65" s="39">
        <v>31.65</v>
      </c>
      <c r="Z65" s="39">
        <v>30.96</v>
      </c>
      <c r="AA65" s="285">
        <v>31.11</v>
      </c>
      <c r="AB65" s="93">
        <v>895800</v>
      </c>
      <c r="AC65" s="191">
        <v>31.11</v>
      </c>
      <c r="AD65" s="2">
        <f t="shared" si="0"/>
        <v>0.68999999999999773</v>
      </c>
      <c r="AE65" s="134">
        <f t="shared" si="1"/>
        <v>9.6525096525090781E-4</v>
      </c>
    </row>
    <row r="66" spans="2:31" x14ac:dyDescent="0.25">
      <c r="B66" s="202">
        <v>42649</v>
      </c>
      <c r="C66" s="197">
        <v>50</v>
      </c>
      <c r="D66" s="198">
        <v>31.18</v>
      </c>
      <c r="E66" s="198">
        <v>31.61</v>
      </c>
      <c r="F66" s="198">
        <f>C66*(E66-D66)</f>
        <v>21.499999999999986</v>
      </c>
      <c r="G66" s="198">
        <f>D66*C66</f>
        <v>1559</v>
      </c>
      <c r="H66" s="212">
        <f>(E66-D66)/D66</f>
        <v>1.379089159717767E-2</v>
      </c>
      <c r="I66" s="198"/>
      <c r="W66" s="92">
        <v>42738</v>
      </c>
      <c r="X66" s="285">
        <v>30.41</v>
      </c>
      <c r="Y66" s="39">
        <v>31.08</v>
      </c>
      <c r="Z66" s="39">
        <v>30.26</v>
      </c>
      <c r="AA66" s="285">
        <v>31.08</v>
      </c>
      <c r="AB66" s="93">
        <v>572200</v>
      </c>
      <c r="AC66" s="191">
        <v>31.08</v>
      </c>
      <c r="AD66" s="2">
        <f t="shared" si="0"/>
        <v>0.81999999999999673</v>
      </c>
      <c r="AE66" s="134">
        <f t="shared" si="1"/>
        <v>2.3715415019762709E-2</v>
      </c>
    </row>
    <row r="67" spans="2:31" x14ac:dyDescent="0.25">
      <c r="B67" s="202">
        <v>42701</v>
      </c>
      <c r="C67" s="197">
        <v>50</v>
      </c>
      <c r="D67" s="198">
        <v>31.18</v>
      </c>
      <c r="E67" s="198">
        <v>29.98</v>
      </c>
      <c r="F67" s="198">
        <f>C67*(E67-D67)</f>
        <v>-59.999999999999964</v>
      </c>
      <c r="G67" s="198">
        <f>D67*C67</f>
        <v>1559</v>
      </c>
      <c r="H67" s="212">
        <f>(E67-D67)/D67</f>
        <v>-3.8486209108402801E-2</v>
      </c>
      <c r="I67" s="198"/>
      <c r="W67" s="92">
        <v>42734</v>
      </c>
      <c r="X67" s="285">
        <v>30.42</v>
      </c>
      <c r="Y67" s="39">
        <v>30.48</v>
      </c>
      <c r="Z67" s="39">
        <v>30.21</v>
      </c>
      <c r="AA67" s="285">
        <v>30.36</v>
      </c>
      <c r="AB67" s="93">
        <v>304700</v>
      </c>
      <c r="AC67" s="191">
        <v>30.36</v>
      </c>
      <c r="AD67" s="2">
        <f t="shared" si="0"/>
        <v>0.26999999999999957</v>
      </c>
      <c r="AE67" s="134" t="e">
        <f t="shared" si="1"/>
        <v>#DIV/0!</v>
      </c>
    </row>
    <row r="68" spans="2:31" x14ac:dyDescent="0.25">
      <c r="B68" s="202">
        <v>42741</v>
      </c>
      <c r="C68" s="197">
        <v>0</v>
      </c>
      <c r="D68" s="198"/>
      <c r="E68" s="198">
        <v>21.97</v>
      </c>
      <c r="F68" s="198"/>
      <c r="G68" s="198"/>
      <c r="H68" s="212"/>
      <c r="I68" s="198"/>
      <c r="W68" s="92" t="s">
        <v>120</v>
      </c>
      <c r="X68" s="10"/>
      <c r="Y68" s="39"/>
      <c r="Z68" s="39"/>
      <c r="AA68" s="10"/>
      <c r="AB68" s="93"/>
      <c r="AC68" s="191"/>
      <c r="AD68" s="2">
        <f>Y68-Z68</f>
        <v>0</v>
      </c>
      <c r="AE68" s="134" t="e">
        <f>AC68/AC69-1</f>
        <v>#DIV/0!</v>
      </c>
    </row>
    <row r="69" spans="2:31" x14ac:dyDescent="0.25">
      <c r="B69" s="164">
        <v>42773</v>
      </c>
      <c r="C69" s="10">
        <v>100</v>
      </c>
      <c r="D69" s="39">
        <v>29.28</v>
      </c>
      <c r="E69" s="39">
        <v>30.75</v>
      </c>
      <c r="F69" s="39">
        <f>C69*(E69-D69)</f>
        <v>146.99999999999989</v>
      </c>
      <c r="G69" s="39">
        <f>D69*C69</f>
        <v>2928</v>
      </c>
      <c r="H69" s="179">
        <f>(E69-D69)/D69</f>
        <v>5.0204918032786844E-2</v>
      </c>
      <c r="I69" s="39"/>
      <c r="W69" s="175"/>
      <c r="X69" s="94"/>
      <c r="Y69" s="191"/>
      <c r="Z69" s="191"/>
      <c r="AA69" s="94"/>
      <c r="AB69" s="176"/>
      <c r="AC69" s="191"/>
      <c r="AD69" s="2">
        <f>Y69-Z69</f>
        <v>0</v>
      </c>
      <c r="AE69" s="134" t="e">
        <f>AC69/AC70-1</f>
        <v>#DIV/0!</v>
      </c>
    </row>
    <row r="70" spans="2:31" x14ac:dyDescent="0.25">
      <c r="B70" s="164">
        <v>42804</v>
      </c>
      <c r="C70" s="10">
        <v>0</v>
      </c>
      <c r="D70" s="39"/>
      <c r="E70" s="39">
        <v>30.85</v>
      </c>
      <c r="F70" s="39">
        <v>149.93</v>
      </c>
      <c r="G70" s="39"/>
      <c r="H70" s="179"/>
      <c r="I70" s="39"/>
    </row>
    <row r="71" spans="2:31" x14ac:dyDescent="0.25">
      <c r="B71" s="164"/>
      <c r="C71" s="10"/>
      <c r="D71" s="39"/>
      <c r="E71" s="39"/>
      <c r="F71" s="39"/>
      <c r="G71" s="39"/>
      <c r="H71" s="179"/>
      <c r="I71" s="39"/>
    </row>
    <row r="72" spans="2:31" x14ac:dyDescent="0.25">
      <c r="B72" s="164"/>
      <c r="C72" s="10"/>
      <c r="D72" s="39"/>
      <c r="E72" s="39"/>
      <c r="F72" s="39"/>
      <c r="G72" s="39"/>
      <c r="H72" s="179"/>
      <c r="I72" s="39"/>
    </row>
    <row r="73" spans="2:31" x14ac:dyDescent="0.25">
      <c r="B73" s="164"/>
      <c r="C73" s="10"/>
      <c r="D73" s="39"/>
      <c r="E73" s="39"/>
      <c r="F73" s="39"/>
      <c r="G73" s="39"/>
      <c r="H73" s="179"/>
      <c r="I73" s="39"/>
    </row>
    <row r="74" spans="2:31" x14ac:dyDescent="0.25">
      <c r="B74" s="164"/>
      <c r="C74" s="10"/>
      <c r="D74" s="39"/>
      <c r="E74" s="39"/>
      <c r="F74" s="39"/>
      <c r="G74" s="39"/>
      <c r="H74" s="179"/>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3538" priority="31">
      <formula>F29&gt;0</formula>
    </cfRule>
    <cfRule type="expression" dxfId="3537" priority="32">
      <formula>F29&lt;0</formula>
    </cfRule>
  </conditionalFormatting>
  <conditionalFormatting sqref="F29 F31:F35">
    <cfRule type="expression" dxfId="3536" priority="33">
      <formula>F29&gt;0</formula>
    </cfRule>
    <cfRule type="expression" dxfId="3535" priority="34">
      <formula>F29&lt;0</formula>
    </cfRule>
  </conditionalFormatting>
  <conditionalFormatting sqref="H29 H31:H35">
    <cfRule type="expression" dxfId="3534" priority="29">
      <formula>H29&gt;0</formula>
    </cfRule>
    <cfRule type="expression" dxfId="3533" priority="30">
      <formula>H29&lt;0</formula>
    </cfRule>
  </conditionalFormatting>
  <conditionalFormatting sqref="F21:F28">
    <cfRule type="expression" dxfId="3532" priority="27">
      <formula>F21&gt;0</formula>
    </cfRule>
    <cfRule type="expression" dxfId="3531" priority="28">
      <formula>F21&lt;0</formula>
    </cfRule>
  </conditionalFormatting>
  <conditionalFormatting sqref="H21:H28">
    <cfRule type="expression" dxfId="3530" priority="25">
      <formula>H21&gt;0</formula>
    </cfRule>
    <cfRule type="expression" dxfId="3529" priority="26">
      <formula>H21&lt;0</formula>
    </cfRule>
  </conditionalFormatting>
  <conditionalFormatting sqref="Q8">
    <cfRule type="expression" dxfId="3528" priority="21">
      <formula>Q8&gt;0</formula>
    </cfRule>
    <cfRule type="expression" dxfId="3527" priority="22">
      <formula>Q8&lt;0</formula>
    </cfRule>
  </conditionalFormatting>
  <conditionalFormatting sqref="Q7">
    <cfRule type="expression" dxfId="3526" priority="23">
      <formula>Q7&gt;0</formula>
    </cfRule>
    <cfRule type="expression" dxfId="3525" priority="24">
      <formula>Q7&lt;0</formula>
    </cfRule>
  </conditionalFormatting>
  <conditionalFormatting sqref="F30">
    <cfRule type="expression" dxfId="3524" priority="19">
      <formula>F30&gt;0</formula>
    </cfRule>
    <cfRule type="expression" dxfId="3523" priority="20">
      <formula>F30&lt;0</formula>
    </cfRule>
  </conditionalFormatting>
  <conditionalFormatting sqref="H30">
    <cfRule type="expression" dxfId="3522" priority="17">
      <formula>H30&gt;0</formula>
    </cfRule>
    <cfRule type="expression" dxfId="3521" priority="18">
      <formula>H30&lt;0</formula>
    </cfRule>
  </conditionalFormatting>
  <conditionalFormatting sqref="F68 F70:F74">
    <cfRule type="expression" dxfId="3520" priority="13">
      <formula>F68&gt;0</formula>
    </cfRule>
    <cfRule type="expression" dxfId="3519" priority="14">
      <formula>F68&lt;0</formula>
    </cfRule>
  </conditionalFormatting>
  <conditionalFormatting sqref="F68 F70:F74">
    <cfRule type="expression" dxfId="3518" priority="15">
      <formula>F68&gt;0</formula>
    </cfRule>
    <cfRule type="expression" dxfId="3517" priority="16">
      <formula>F68&lt;0</formula>
    </cfRule>
  </conditionalFormatting>
  <conditionalFormatting sqref="H68 H70:H74">
    <cfRule type="expression" dxfId="3516" priority="11">
      <formula>H68&gt;0</formula>
    </cfRule>
    <cfRule type="expression" dxfId="3515" priority="12">
      <formula>H68&lt;0</formula>
    </cfRule>
  </conditionalFormatting>
  <conditionalFormatting sqref="F60:F67">
    <cfRule type="expression" dxfId="3514" priority="9">
      <formula>F60&gt;0</formula>
    </cfRule>
    <cfRule type="expression" dxfId="3513" priority="10">
      <formula>F60&lt;0</formula>
    </cfRule>
  </conditionalFormatting>
  <conditionalFormatting sqref="H60:H67">
    <cfRule type="expression" dxfId="3512" priority="7">
      <formula>H60&gt;0</formula>
    </cfRule>
    <cfRule type="expression" dxfId="3511" priority="8">
      <formula>H60&lt;0</formula>
    </cfRule>
  </conditionalFormatting>
  <conditionalFormatting sqref="F69">
    <cfRule type="expression" dxfId="3510" priority="5">
      <formula>F69&gt;0</formula>
    </cfRule>
    <cfRule type="expression" dxfId="3509" priority="6">
      <formula>F69&lt;0</formula>
    </cfRule>
  </conditionalFormatting>
  <conditionalFormatting sqref="H69">
    <cfRule type="expression" dxfId="3508" priority="3">
      <formula>H69&gt;0</formula>
    </cfRule>
    <cfRule type="expression" dxfId="3507" priority="4">
      <formula>H69&lt;0</formula>
    </cfRule>
  </conditionalFormatting>
  <conditionalFormatting sqref="Q10">
    <cfRule type="expression" dxfId="3506" priority="1">
      <formula>Q10&gt;0</formula>
    </cfRule>
    <cfRule type="expression" dxfId="3505"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261</v>
      </c>
      <c r="B2" s="72"/>
      <c r="C2" s="4"/>
      <c r="D2" s="3"/>
      <c r="E2" s="3"/>
      <c r="F2" s="3"/>
      <c r="G2" s="72"/>
      <c r="H2" s="161"/>
      <c r="I2" s="3"/>
      <c r="J2" s="3"/>
      <c r="K2" s="3"/>
      <c r="L2" s="72"/>
      <c r="M2" s="3"/>
      <c r="O2" s="11" t="s">
        <v>57</v>
      </c>
      <c r="Q2">
        <f>C18-H18</f>
        <v>0</v>
      </c>
      <c r="T2" s="1"/>
      <c r="W2" s="130">
        <v>42830</v>
      </c>
      <c r="X2" s="10">
        <v>31.78</v>
      </c>
      <c r="Y2" s="10">
        <v>31.85</v>
      </c>
      <c r="Z2" s="10">
        <v>31.26</v>
      </c>
      <c r="AA2" s="10">
        <v>31.38</v>
      </c>
      <c r="AB2" s="93">
        <v>8365200</v>
      </c>
      <c r="AC2" s="10">
        <v>31.38</v>
      </c>
      <c r="AD2" s="2">
        <f>Y2-Z2</f>
        <v>0.58999999999999986</v>
      </c>
      <c r="AE2" s="134">
        <f>AC2/AC3-1</f>
        <v>-1.1653543307086678E-2</v>
      </c>
    </row>
    <row r="3" spans="1:31" x14ac:dyDescent="0.25">
      <c r="A3" s="22" t="s">
        <v>71</v>
      </c>
      <c r="B3" s="72"/>
      <c r="C3" s="4"/>
      <c r="D3" s="3"/>
      <c r="E3" s="3"/>
      <c r="F3" s="3"/>
      <c r="G3" s="72"/>
      <c r="H3" s="161"/>
      <c r="I3" s="3"/>
      <c r="J3" s="3"/>
      <c r="K3" s="3"/>
      <c r="L3" s="4"/>
      <c r="M3" s="4"/>
      <c r="O3" s="11" t="s">
        <v>58</v>
      </c>
      <c r="Q3" s="178">
        <f>IF(Q2=0, Q4, (F18-K18-M18)/Q2)</f>
        <v>49.04</v>
      </c>
      <c r="T3" s="1"/>
      <c r="W3" s="130">
        <v>42829</v>
      </c>
      <c r="X3" s="10">
        <v>32.01</v>
      </c>
      <c r="Y3" s="10">
        <v>32.17</v>
      </c>
      <c r="Z3" s="10">
        <v>31.61</v>
      </c>
      <c r="AA3" s="10">
        <v>31.75</v>
      </c>
      <c r="AB3" s="93">
        <v>9084900</v>
      </c>
      <c r="AC3" s="10">
        <v>31.75</v>
      </c>
      <c r="AD3" s="2">
        <f t="shared" ref="AD3:AD66" si="0">Y3-Z3</f>
        <v>0.56000000000000227</v>
      </c>
      <c r="AE3" s="134">
        <f t="shared" ref="AE3:AE66" si="1">AC3/AC4-1</f>
        <v>-1.244167962674958E-2</v>
      </c>
    </row>
    <row r="4" spans="1:31" x14ac:dyDescent="0.25">
      <c r="B4" s="72"/>
      <c r="C4" s="4"/>
      <c r="D4" s="3"/>
      <c r="E4" s="3"/>
      <c r="F4" s="3"/>
      <c r="G4" s="72"/>
      <c r="H4" s="161"/>
      <c r="I4" s="3"/>
      <c r="J4" s="3"/>
      <c r="K4" s="3"/>
      <c r="L4" s="4"/>
      <c r="M4" s="4"/>
      <c r="O4" s="11" t="s">
        <v>66</v>
      </c>
      <c r="Q4" s="54">
        <v>49.04</v>
      </c>
      <c r="R4" s="405">
        <v>3.0999999999999999E-3</v>
      </c>
      <c r="T4" s="156"/>
      <c r="U4" s="1"/>
      <c r="W4" s="130">
        <v>42828</v>
      </c>
      <c r="X4" s="10">
        <v>32.479999999999997</v>
      </c>
      <c r="Y4" s="10">
        <v>32.54</v>
      </c>
      <c r="Z4" s="10">
        <v>32.03</v>
      </c>
      <c r="AA4" s="10">
        <v>32.15</v>
      </c>
      <c r="AB4" s="93">
        <v>5842400</v>
      </c>
      <c r="AC4" s="10">
        <v>32.15</v>
      </c>
      <c r="AD4" s="2">
        <f t="shared" si="0"/>
        <v>0.50999999999999801</v>
      </c>
      <c r="AE4" s="134">
        <f t="shared" si="1"/>
        <v>-7.4096943501080759E-3</v>
      </c>
    </row>
    <row r="5" spans="1:31" x14ac:dyDescent="0.25">
      <c r="B5" s="72"/>
      <c r="C5" s="4"/>
      <c r="D5" s="3"/>
      <c r="E5" s="3"/>
      <c r="F5" s="3"/>
      <c r="G5" s="4"/>
      <c r="H5" s="161"/>
      <c r="I5" s="3"/>
      <c r="J5" s="3"/>
      <c r="K5" s="3"/>
      <c r="L5" s="4"/>
      <c r="M5" s="4"/>
      <c r="O5" s="11" t="s">
        <v>67</v>
      </c>
      <c r="Q5" s="3">
        <f>Q4*Q2</f>
        <v>0</v>
      </c>
      <c r="W5" s="130">
        <v>42825</v>
      </c>
      <c r="X5" s="10">
        <v>32.22</v>
      </c>
      <c r="Y5" s="10">
        <v>32.6</v>
      </c>
      <c r="Z5" s="10">
        <v>32.200000000000003</v>
      </c>
      <c r="AA5" s="10">
        <v>32.39</v>
      </c>
      <c r="AB5" s="93">
        <v>6709800</v>
      </c>
      <c r="AC5" s="10">
        <v>32.39</v>
      </c>
      <c r="AD5" s="2">
        <f t="shared" si="0"/>
        <v>0.39999999999999858</v>
      </c>
      <c r="AE5" s="134">
        <f t="shared" si="1"/>
        <v>9.2707045735473947E-4</v>
      </c>
    </row>
    <row r="6" spans="1:31" x14ac:dyDescent="0.25">
      <c r="B6" s="72"/>
      <c r="C6" s="4"/>
      <c r="D6" s="3"/>
      <c r="E6" s="3"/>
      <c r="F6" s="3"/>
      <c r="G6" s="4"/>
      <c r="H6" s="161"/>
      <c r="I6" s="3"/>
      <c r="J6" s="3"/>
      <c r="K6" s="3"/>
      <c r="L6" s="4"/>
      <c r="M6" s="4"/>
      <c r="O6" s="11" t="s">
        <v>64</v>
      </c>
      <c r="Q6" s="2">
        <f>Q3*Q2</f>
        <v>0</v>
      </c>
      <c r="W6" s="130">
        <v>42824</v>
      </c>
      <c r="X6" s="10">
        <v>32.04</v>
      </c>
      <c r="Y6" s="10">
        <v>32.39</v>
      </c>
      <c r="Z6" s="10">
        <v>32.01</v>
      </c>
      <c r="AA6" s="10">
        <v>32.36</v>
      </c>
      <c r="AB6" s="93">
        <v>4124000</v>
      </c>
      <c r="AC6" s="10">
        <v>32.36</v>
      </c>
      <c r="AD6" s="2">
        <f t="shared" si="0"/>
        <v>0.38000000000000256</v>
      </c>
      <c r="AE6" s="134">
        <f t="shared" si="1"/>
        <v>7.7857365306757131E-3</v>
      </c>
    </row>
    <row r="7" spans="1:31" x14ac:dyDescent="0.25">
      <c r="B7" s="4"/>
      <c r="C7" s="4"/>
      <c r="D7" s="3"/>
      <c r="E7" s="3"/>
      <c r="F7" s="3"/>
      <c r="G7" s="4"/>
      <c r="H7" s="161"/>
      <c r="I7" s="3"/>
      <c r="J7" s="3"/>
      <c r="K7" s="3"/>
      <c r="L7" s="4"/>
      <c r="M7" s="4"/>
      <c r="O7" s="11" t="s">
        <v>177</v>
      </c>
      <c r="Q7" s="2">
        <f>Q10+Q8</f>
        <v>98.449999999999818</v>
      </c>
      <c r="R7">
        <v>0</v>
      </c>
      <c r="W7" s="130">
        <v>42823</v>
      </c>
      <c r="X7" s="10">
        <v>32.31</v>
      </c>
      <c r="Y7" s="10">
        <v>32.49</v>
      </c>
      <c r="Z7" s="10">
        <v>32.07</v>
      </c>
      <c r="AA7" s="10">
        <v>32.11</v>
      </c>
      <c r="AB7" s="93">
        <v>7239100</v>
      </c>
      <c r="AC7" s="10">
        <v>32.11</v>
      </c>
      <c r="AD7" s="2">
        <f t="shared" si="0"/>
        <v>0.42000000000000171</v>
      </c>
      <c r="AE7" s="134">
        <f t="shared" si="1"/>
        <v>-1.0172626387176309E-2</v>
      </c>
    </row>
    <row r="8" spans="1:31" x14ac:dyDescent="0.25">
      <c r="B8" s="4"/>
      <c r="C8" s="4"/>
      <c r="D8" s="3"/>
      <c r="E8" s="3"/>
      <c r="F8" s="3"/>
      <c r="G8" s="4"/>
      <c r="H8" s="161"/>
      <c r="I8" s="3"/>
      <c r="J8" s="3"/>
      <c r="K8" s="3"/>
      <c r="L8" s="4"/>
      <c r="M8" s="4"/>
      <c r="O8" s="11" t="s">
        <v>179</v>
      </c>
      <c r="P8" s="33"/>
      <c r="Q8" s="2">
        <f>K18+M18-F18+Q2*Q4</f>
        <v>0</v>
      </c>
      <c r="W8" s="130">
        <v>42822</v>
      </c>
      <c r="X8" s="10">
        <v>31.76</v>
      </c>
      <c r="Y8" s="10">
        <v>32.58</v>
      </c>
      <c r="Z8" s="10">
        <v>31.75</v>
      </c>
      <c r="AA8" s="10">
        <v>32.44</v>
      </c>
      <c r="AB8" s="93">
        <v>11092100</v>
      </c>
      <c r="AC8" s="10">
        <v>32.44</v>
      </c>
      <c r="AD8" s="2">
        <f t="shared" si="0"/>
        <v>0.82999999999999829</v>
      </c>
      <c r="AE8" s="134">
        <f t="shared" si="1"/>
        <v>1.6927899686520309E-2</v>
      </c>
    </row>
    <row r="9" spans="1:31" x14ac:dyDescent="0.25">
      <c r="B9" s="4"/>
      <c r="C9" s="4"/>
      <c r="D9" s="3"/>
      <c r="E9" s="3"/>
      <c r="F9" s="3"/>
      <c r="G9" s="4"/>
      <c r="H9" s="161"/>
      <c r="I9" s="3"/>
      <c r="J9" s="3"/>
      <c r="K9" s="3"/>
      <c r="L9" s="4"/>
      <c r="M9" s="4"/>
      <c r="O9" s="11" t="s">
        <v>204</v>
      </c>
      <c r="Q9" s="134">
        <f>IF(Q2=0, 0, Q8/Q6)</f>
        <v>0</v>
      </c>
      <c r="W9" s="130">
        <v>42821</v>
      </c>
      <c r="X9" s="10">
        <v>31.4</v>
      </c>
      <c r="Y9" s="10">
        <v>32.049999999999997</v>
      </c>
      <c r="Z9" s="10">
        <v>31.31</v>
      </c>
      <c r="AA9" s="10">
        <v>31.9</v>
      </c>
      <c r="AB9" s="93">
        <v>11019100</v>
      </c>
      <c r="AC9" s="10">
        <v>31.9</v>
      </c>
      <c r="AD9" s="2">
        <f t="shared" si="0"/>
        <v>0.73999999999999844</v>
      </c>
      <c r="AE9" s="134">
        <f t="shared" si="1"/>
        <v>1.2055837563451854E-2</v>
      </c>
    </row>
    <row r="10" spans="1:31" x14ac:dyDescent="0.25">
      <c r="H10" s="70"/>
      <c r="O10" s="11" t="s">
        <v>203</v>
      </c>
      <c r="P10" s="33"/>
      <c r="Q10" s="2">
        <f>M44</f>
        <v>98.449999999999818</v>
      </c>
      <c r="W10" s="130">
        <v>42818</v>
      </c>
      <c r="X10" s="10">
        <v>31.38</v>
      </c>
      <c r="Y10" s="10">
        <v>31.85</v>
      </c>
      <c r="Z10" s="10">
        <v>31.26</v>
      </c>
      <c r="AA10" s="10">
        <v>31.52</v>
      </c>
      <c r="AB10" s="93">
        <v>10347800</v>
      </c>
      <c r="AC10" s="10">
        <v>31.52</v>
      </c>
      <c r="AD10" s="2">
        <f t="shared" si="0"/>
        <v>0.58999999999999986</v>
      </c>
      <c r="AE10" s="134">
        <f t="shared" si="1"/>
        <v>6.0644749441429724E-3</v>
      </c>
    </row>
    <row r="11" spans="1:31" x14ac:dyDescent="0.25">
      <c r="H11" s="70"/>
      <c r="O11" s="11" t="s">
        <v>175</v>
      </c>
      <c r="P11" s="33"/>
      <c r="Q11" s="134">
        <f>IF(U58="N/A (N/A)", 0, VALUE(TRIM(CLEAN(MID(U58, FIND("(", U58)+1, 5)))))</f>
        <v>1.11E-2</v>
      </c>
      <c r="W11" s="130">
        <v>42817</v>
      </c>
      <c r="X11" s="10">
        <v>30.97</v>
      </c>
      <c r="Y11" s="10">
        <v>31.55</v>
      </c>
      <c r="Z11" s="10">
        <v>30.88</v>
      </c>
      <c r="AA11" s="10">
        <v>31.33</v>
      </c>
      <c r="AB11" s="93">
        <v>11218600</v>
      </c>
      <c r="AC11" s="10">
        <v>31.33</v>
      </c>
      <c r="AD11" s="2">
        <f t="shared" si="0"/>
        <v>0.67000000000000171</v>
      </c>
      <c r="AE11" s="134">
        <f t="shared" si="1"/>
        <v>1.1624152405553811E-2</v>
      </c>
    </row>
    <row r="12" spans="1:31" x14ac:dyDescent="0.25">
      <c r="H12" s="70"/>
      <c r="W12" s="130">
        <v>42816</v>
      </c>
      <c r="X12" s="10">
        <v>30.63</v>
      </c>
      <c r="Y12" s="10">
        <v>31.09</v>
      </c>
      <c r="Z12" s="10">
        <v>30.49</v>
      </c>
      <c r="AA12" s="10">
        <v>30.97</v>
      </c>
      <c r="AB12" s="93">
        <v>6602500</v>
      </c>
      <c r="AC12" s="10">
        <v>30.97</v>
      </c>
      <c r="AD12" s="2">
        <f t="shared" si="0"/>
        <v>0.60000000000000142</v>
      </c>
      <c r="AE12" s="134">
        <f t="shared" si="1"/>
        <v>1.3416230366492199E-2</v>
      </c>
    </row>
    <row r="13" spans="1:31" x14ac:dyDescent="0.25">
      <c r="H13" s="70"/>
      <c r="W13" s="130">
        <v>42815</v>
      </c>
      <c r="X13" s="10">
        <v>30.77</v>
      </c>
      <c r="Y13" s="10">
        <v>30.86</v>
      </c>
      <c r="Z13" s="10">
        <v>30.52</v>
      </c>
      <c r="AA13" s="10">
        <v>30.56</v>
      </c>
      <c r="AB13" s="93">
        <v>9621300</v>
      </c>
      <c r="AC13" s="10">
        <v>30.56</v>
      </c>
      <c r="AD13" s="2">
        <f t="shared" si="0"/>
        <v>0.33999999999999986</v>
      </c>
      <c r="AE13" s="134">
        <f t="shared" si="1"/>
        <v>-2.285341168788757E-3</v>
      </c>
    </row>
    <row r="14" spans="1:31" x14ac:dyDescent="0.25">
      <c r="H14" s="70"/>
      <c r="W14" s="130">
        <v>42814</v>
      </c>
      <c r="X14" s="10">
        <v>30.85</v>
      </c>
      <c r="Y14" s="10">
        <v>31.01</v>
      </c>
      <c r="Z14" s="10">
        <v>30.58</v>
      </c>
      <c r="AA14" s="10">
        <v>30.63</v>
      </c>
      <c r="AB14" s="93">
        <v>4134000</v>
      </c>
      <c r="AC14" s="10">
        <v>30.63</v>
      </c>
      <c r="AD14" s="2">
        <f t="shared" si="0"/>
        <v>0.43000000000000327</v>
      </c>
      <c r="AE14" s="134">
        <f t="shared" si="1"/>
        <v>-6.1648280337444072E-3</v>
      </c>
    </row>
    <row r="15" spans="1:31" x14ac:dyDescent="0.25">
      <c r="H15" s="70"/>
      <c r="W15" s="130">
        <v>42811</v>
      </c>
      <c r="X15" s="10">
        <v>30.97</v>
      </c>
      <c r="Y15" s="10">
        <v>31.03</v>
      </c>
      <c r="Z15" s="10">
        <v>30.65</v>
      </c>
      <c r="AA15" s="10">
        <v>30.82</v>
      </c>
      <c r="AB15" s="93">
        <v>9431700</v>
      </c>
      <c r="AC15" s="10">
        <v>30.82</v>
      </c>
      <c r="AD15" s="2">
        <f t="shared" si="0"/>
        <v>0.38000000000000256</v>
      </c>
      <c r="AE15" s="134">
        <f t="shared" si="1"/>
        <v>1.9505851755525772E-3</v>
      </c>
    </row>
    <row r="16" spans="1:31" x14ac:dyDescent="0.25">
      <c r="H16" s="70"/>
      <c r="W16" s="130">
        <v>42810</v>
      </c>
      <c r="X16" s="10">
        <v>30.68</v>
      </c>
      <c r="Y16" s="10">
        <v>30.78</v>
      </c>
      <c r="Z16" s="10">
        <v>30.42</v>
      </c>
      <c r="AA16" s="10">
        <v>30.76</v>
      </c>
      <c r="AB16" s="93">
        <v>8728100</v>
      </c>
      <c r="AC16" s="10">
        <v>30.76</v>
      </c>
      <c r="AD16" s="2">
        <f t="shared" si="0"/>
        <v>0.35999999999999943</v>
      </c>
      <c r="AE16" s="134">
        <f t="shared" si="1"/>
        <v>6.5061808718303027E-4</v>
      </c>
    </row>
    <row r="17" spans="1:31" x14ac:dyDescent="0.25">
      <c r="W17" s="130">
        <v>42809</v>
      </c>
      <c r="X17" s="10">
        <v>30.67</v>
      </c>
      <c r="Y17" s="10">
        <v>30.92</v>
      </c>
      <c r="Z17" s="10">
        <v>30.44</v>
      </c>
      <c r="AA17" s="10">
        <v>30.74</v>
      </c>
      <c r="AB17" s="93">
        <v>4065200</v>
      </c>
      <c r="AC17" s="10">
        <v>30.74</v>
      </c>
      <c r="AD17" s="2">
        <f t="shared" si="0"/>
        <v>0.48000000000000043</v>
      </c>
      <c r="AE17" s="134">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42808</v>
      </c>
      <c r="X18" s="10">
        <v>30.49</v>
      </c>
      <c r="Y18" s="10">
        <v>30.61</v>
      </c>
      <c r="Z18" s="10">
        <v>30.32</v>
      </c>
      <c r="AA18" s="10">
        <v>30.52</v>
      </c>
      <c r="AB18" s="93">
        <v>4307000</v>
      </c>
      <c r="AC18" s="10">
        <v>30.52</v>
      </c>
      <c r="AD18" s="2">
        <f t="shared" si="0"/>
        <v>0.28999999999999915</v>
      </c>
      <c r="AE18" s="134">
        <f t="shared" si="1"/>
        <v>6.5573770491811345E-4</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30.4</v>
      </c>
      <c r="Y19" s="10">
        <v>30.55</v>
      </c>
      <c r="Z19" s="10">
        <v>30.35</v>
      </c>
      <c r="AA19" s="10">
        <v>30.5</v>
      </c>
      <c r="AB19" s="93">
        <v>5352000</v>
      </c>
      <c r="AC19" s="10">
        <v>30.5</v>
      </c>
      <c r="AD19" s="2">
        <f t="shared" si="0"/>
        <v>0.19999999999999929</v>
      </c>
      <c r="AE19" s="134" t="e">
        <f t="shared" si="1"/>
        <v>#DIV/0!</v>
      </c>
    </row>
    <row r="20" spans="1:31" x14ac:dyDescent="0.25">
      <c r="W20" s="130">
        <v>42807</v>
      </c>
      <c r="X20" s="10" t="s">
        <v>266</v>
      </c>
      <c r="Y20" s="10"/>
      <c r="Z20" s="10"/>
      <c r="AA20" s="10"/>
      <c r="AB20" s="93"/>
      <c r="AC20" s="10"/>
      <c r="AD20" s="2">
        <f t="shared" si="0"/>
        <v>0</v>
      </c>
      <c r="AE20" s="134">
        <f t="shared" si="1"/>
        <v>-1</v>
      </c>
    </row>
    <row r="21" spans="1:31" x14ac:dyDescent="0.25">
      <c r="W21" s="130">
        <v>42804</v>
      </c>
      <c r="X21" s="10">
        <v>30.83</v>
      </c>
      <c r="Y21" s="10">
        <v>30.92</v>
      </c>
      <c r="Z21" s="10">
        <v>30.4</v>
      </c>
      <c r="AA21" s="10">
        <v>30.55</v>
      </c>
      <c r="AB21" s="93">
        <v>7785800</v>
      </c>
      <c r="AC21" s="10">
        <v>30.37</v>
      </c>
      <c r="AD21" s="2">
        <f t="shared" si="0"/>
        <v>0.52000000000000313</v>
      </c>
      <c r="AE21" s="134">
        <f t="shared" si="1"/>
        <v>-4.9148099606814988E-3</v>
      </c>
    </row>
    <row r="22" spans="1:31" x14ac:dyDescent="0.25">
      <c r="W22" s="130">
        <v>42803</v>
      </c>
      <c r="X22" s="10">
        <v>30.36</v>
      </c>
      <c r="Y22" s="10">
        <v>30.83</v>
      </c>
      <c r="Z22" s="10">
        <v>30.36</v>
      </c>
      <c r="AA22" s="10">
        <v>30.7</v>
      </c>
      <c r="AB22" s="93">
        <v>6664200</v>
      </c>
      <c r="AC22" s="10">
        <v>30.52</v>
      </c>
      <c r="AD22" s="2">
        <f t="shared" si="0"/>
        <v>0.46999999999999886</v>
      </c>
      <c r="AE22" s="134">
        <f t="shared" si="1"/>
        <v>1.1600928074245953E-2</v>
      </c>
    </row>
    <row r="23" spans="1:31" x14ac:dyDescent="0.25">
      <c r="W23" s="130">
        <v>42802</v>
      </c>
      <c r="X23" s="10">
        <v>30.59</v>
      </c>
      <c r="Y23" s="10">
        <v>30.6</v>
      </c>
      <c r="Z23" s="10">
        <v>30.33</v>
      </c>
      <c r="AA23" s="10">
        <v>30.35</v>
      </c>
      <c r="AB23" s="93">
        <v>4993300</v>
      </c>
      <c r="AC23" s="10">
        <v>30.17</v>
      </c>
      <c r="AD23" s="2">
        <f t="shared" si="0"/>
        <v>0.27000000000000313</v>
      </c>
      <c r="AE23" s="134">
        <f t="shared" si="1"/>
        <v>-5.6031641397494836E-3</v>
      </c>
    </row>
    <row r="24" spans="1:31" x14ac:dyDescent="0.25">
      <c r="B24" s="162" t="s">
        <v>113</v>
      </c>
      <c r="C24" s="162" t="s">
        <v>145</v>
      </c>
      <c r="D24" s="163" t="s">
        <v>144</v>
      </c>
      <c r="E24" s="165" t="s">
        <v>146</v>
      </c>
      <c r="F24" s="165" t="s">
        <v>65</v>
      </c>
      <c r="G24" s="177" t="s">
        <v>150</v>
      </c>
      <c r="H24" s="177" t="s">
        <v>88</v>
      </c>
      <c r="I24" s="177" t="s">
        <v>153</v>
      </c>
      <c r="W24" s="130">
        <v>42801</v>
      </c>
      <c r="X24" s="10">
        <v>30.61</v>
      </c>
      <c r="Y24" s="10">
        <v>30.77</v>
      </c>
      <c r="Z24" s="10">
        <v>30.23</v>
      </c>
      <c r="AA24" s="10">
        <v>30.52</v>
      </c>
      <c r="AB24" s="93">
        <v>6845900</v>
      </c>
      <c r="AC24" s="10">
        <v>30.34</v>
      </c>
      <c r="AD24" s="2">
        <f t="shared" si="0"/>
        <v>0.53999999999999915</v>
      </c>
      <c r="AE24" s="134">
        <f t="shared" si="1"/>
        <v>-5.5719436250409871E-3</v>
      </c>
    </row>
    <row r="25" spans="1:31" x14ac:dyDescent="0.25">
      <c r="B25" s="164">
        <v>42619</v>
      </c>
      <c r="C25" s="10">
        <v>100</v>
      </c>
      <c r="D25" s="39">
        <v>24.28</v>
      </c>
      <c r="E25" s="39">
        <v>24.42</v>
      </c>
      <c r="F25" s="39">
        <f t="shared" ref="F25:F31" si="2">C25*(E25-D25)</f>
        <v>14.000000000000057</v>
      </c>
      <c r="G25" s="39">
        <f t="shared" ref="G25:G31" si="3">D25*C25</f>
        <v>2428</v>
      </c>
      <c r="H25" s="179">
        <f t="shared" ref="H25:H31" si="4">(E25-D25)/D25</f>
        <v>5.7660626029654265E-3</v>
      </c>
      <c r="I25" s="39"/>
      <c r="W25" s="130">
        <v>42800</v>
      </c>
      <c r="X25" s="10">
        <v>30.41</v>
      </c>
      <c r="Y25" s="10">
        <v>31.03</v>
      </c>
      <c r="Z25" s="10">
        <v>30.29</v>
      </c>
      <c r="AA25" s="10">
        <v>30.69</v>
      </c>
      <c r="AB25" s="93">
        <v>10712300</v>
      </c>
      <c r="AC25" s="10">
        <v>30.51</v>
      </c>
      <c r="AD25" s="2">
        <f t="shared" si="0"/>
        <v>0.74000000000000199</v>
      </c>
      <c r="AE25" s="134">
        <f t="shared" si="1"/>
        <v>7.5957727873183778E-3</v>
      </c>
    </row>
    <row r="26" spans="1:31" x14ac:dyDescent="0.25">
      <c r="B26" s="164">
        <v>42620</v>
      </c>
      <c r="C26" s="10">
        <v>100</v>
      </c>
      <c r="D26" s="39">
        <v>24.28</v>
      </c>
      <c r="E26" s="39">
        <v>24.38</v>
      </c>
      <c r="F26" s="39">
        <f t="shared" si="2"/>
        <v>9.9999999999997868</v>
      </c>
      <c r="G26" s="39">
        <f t="shared" si="3"/>
        <v>2428</v>
      </c>
      <c r="H26" s="179">
        <f t="shared" si="4"/>
        <v>4.1186161449752005E-3</v>
      </c>
      <c r="I26" s="39"/>
      <c r="W26" s="130">
        <v>42797</v>
      </c>
      <c r="X26" s="10">
        <v>30.2</v>
      </c>
      <c r="Y26" s="10">
        <v>30.52</v>
      </c>
      <c r="Z26" s="10">
        <v>30.03</v>
      </c>
      <c r="AA26" s="10">
        <v>30.46</v>
      </c>
      <c r="AB26" s="93">
        <v>4421900</v>
      </c>
      <c r="AC26" s="10">
        <v>30.28</v>
      </c>
      <c r="AD26" s="2">
        <f t="shared" si="0"/>
        <v>0.48999999999999844</v>
      </c>
      <c r="AE26" s="134">
        <f t="shared" si="1"/>
        <v>8.6608927381746081E-3</v>
      </c>
    </row>
    <row r="27" spans="1:31" x14ac:dyDescent="0.25">
      <c r="B27" s="164">
        <v>42621</v>
      </c>
      <c r="C27" s="10">
        <v>100</v>
      </c>
      <c r="D27" s="39">
        <v>24.28</v>
      </c>
      <c r="E27" s="39">
        <v>24.75</v>
      </c>
      <c r="F27" s="39">
        <f t="shared" si="2"/>
        <v>46.999999999999886</v>
      </c>
      <c r="G27" s="39">
        <f t="shared" si="3"/>
        <v>2428</v>
      </c>
      <c r="H27" s="179">
        <f t="shared" si="4"/>
        <v>1.9357495881383809E-2</v>
      </c>
      <c r="I27" s="39"/>
      <c r="W27" s="130">
        <v>42796</v>
      </c>
      <c r="X27" s="10">
        <v>30.33</v>
      </c>
      <c r="Y27" s="10">
        <v>30.48</v>
      </c>
      <c r="Z27" s="10">
        <v>30.09</v>
      </c>
      <c r="AA27" s="10">
        <v>30.2</v>
      </c>
      <c r="AB27" s="93">
        <v>6699200</v>
      </c>
      <c r="AC27" s="10">
        <v>30.02</v>
      </c>
      <c r="AD27" s="2">
        <f t="shared" si="0"/>
        <v>0.39000000000000057</v>
      </c>
      <c r="AE27" s="134">
        <f t="shared" si="1"/>
        <v>-6.9467416473701915E-3</v>
      </c>
    </row>
    <row r="28" spans="1:31" x14ac:dyDescent="0.25">
      <c r="B28" s="164">
        <v>42622</v>
      </c>
      <c r="C28" s="10">
        <v>100</v>
      </c>
      <c r="D28" s="39">
        <v>24.28</v>
      </c>
      <c r="E28" s="39">
        <v>23.57</v>
      </c>
      <c r="F28" s="39">
        <f t="shared" si="2"/>
        <v>-71.000000000000085</v>
      </c>
      <c r="G28" s="39">
        <f t="shared" si="3"/>
        <v>2428</v>
      </c>
      <c r="H28" s="179">
        <f t="shared" si="4"/>
        <v>-2.9242174629324581E-2</v>
      </c>
      <c r="I28" s="39"/>
      <c r="W28" s="130">
        <v>42795</v>
      </c>
      <c r="X28" s="10">
        <v>30.2</v>
      </c>
      <c r="Y28" s="10">
        <v>30.73</v>
      </c>
      <c r="Z28" s="10">
        <v>30.15</v>
      </c>
      <c r="AA28" s="10">
        <v>30.41</v>
      </c>
      <c r="AB28" s="93">
        <v>8348600</v>
      </c>
      <c r="AC28" s="10">
        <v>30.23</v>
      </c>
      <c r="AD28" s="2">
        <f t="shared" si="0"/>
        <v>0.58000000000000185</v>
      </c>
      <c r="AE28" s="134">
        <f t="shared" si="1"/>
        <v>1.6476126429051829E-2</v>
      </c>
    </row>
    <row r="29" spans="1:31" x14ac:dyDescent="0.25">
      <c r="B29" s="164">
        <v>42635</v>
      </c>
      <c r="C29" s="10">
        <v>100</v>
      </c>
      <c r="D29" s="39">
        <v>24.28</v>
      </c>
      <c r="E29" s="39">
        <v>24.3</v>
      </c>
      <c r="F29" s="39">
        <f t="shared" si="2"/>
        <v>1.9999999999999574</v>
      </c>
      <c r="G29" s="39">
        <f t="shared" si="3"/>
        <v>2428</v>
      </c>
      <c r="H29" s="179">
        <f t="shared" si="4"/>
        <v>8.2372322899504011E-4</v>
      </c>
      <c r="I29" s="39"/>
      <c r="W29" s="130">
        <v>42794</v>
      </c>
      <c r="X29" s="10">
        <v>30.33</v>
      </c>
      <c r="Y29" s="10">
        <v>30.42</v>
      </c>
      <c r="Z29" s="10">
        <v>29.9</v>
      </c>
      <c r="AA29" s="10">
        <v>29.92</v>
      </c>
      <c r="AB29" s="93">
        <v>8553500</v>
      </c>
      <c r="AC29" s="10">
        <v>29.74</v>
      </c>
      <c r="AD29" s="2">
        <f t="shared" si="0"/>
        <v>0.52000000000000313</v>
      </c>
      <c r="AE29" s="134">
        <f t="shared" si="1"/>
        <v>-1.6859504132231473E-2</v>
      </c>
    </row>
    <row r="30" spans="1:31" x14ac:dyDescent="0.25">
      <c r="B30" s="164">
        <v>42640</v>
      </c>
      <c r="C30" s="10">
        <v>100</v>
      </c>
      <c r="D30" s="39">
        <v>24.28</v>
      </c>
      <c r="E30" s="39">
        <v>24.2</v>
      </c>
      <c r="F30" s="39">
        <f t="shared" si="2"/>
        <v>-8.0000000000001847</v>
      </c>
      <c r="G30" s="39">
        <f t="shared" si="3"/>
        <v>2428</v>
      </c>
      <c r="H30" s="179">
        <f t="shared" si="4"/>
        <v>-3.2948929159803066E-3</v>
      </c>
      <c r="I30" s="39"/>
      <c r="W30" s="130">
        <v>42793</v>
      </c>
      <c r="X30" s="10">
        <v>30.51</v>
      </c>
      <c r="Y30" s="10">
        <v>30.7</v>
      </c>
      <c r="Z30" s="10">
        <v>30.29</v>
      </c>
      <c r="AA30" s="10">
        <v>30.43</v>
      </c>
      <c r="AB30" s="93">
        <v>6475700</v>
      </c>
      <c r="AC30" s="10">
        <v>30.25</v>
      </c>
      <c r="AD30" s="2">
        <f t="shared" si="0"/>
        <v>0.41000000000000014</v>
      </c>
      <c r="AE30" s="134">
        <f t="shared" si="1"/>
        <v>-5.9152152481104503E-3</v>
      </c>
    </row>
    <row r="31" spans="1:31" x14ac:dyDescent="0.25">
      <c r="B31" s="164">
        <v>42646</v>
      </c>
      <c r="C31" s="10">
        <v>100</v>
      </c>
      <c r="D31" s="39">
        <v>24.28</v>
      </c>
      <c r="E31" s="39">
        <v>24.73</v>
      </c>
      <c r="F31" s="39">
        <f t="shared" si="2"/>
        <v>44.999999999999929</v>
      </c>
      <c r="G31" s="39">
        <f t="shared" si="3"/>
        <v>2428</v>
      </c>
      <c r="H31" s="179">
        <f t="shared" si="4"/>
        <v>1.8533772652388768E-2</v>
      </c>
      <c r="I31" s="39"/>
      <c r="W31" s="130">
        <v>42790</v>
      </c>
      <c r="X31" s="10">
        <v>30.44</v>
      </c>
      <c r="Y31" s="10">
        <v>30.62</v>
      </c>
      <c r="Z31" s="10">
        <v>30.27</v>
      </c>
      <c r="AA31" s="10">
        <v>30.61</v>
      </c>
      <c r="AB31" s="93">
        <v>4930200</v>
      </c>
      <c r="AC31" s="10">
        <v>30.43</v>
      </c>
      <c r="AD31" s="2">
        <f t="shared" si="0"/>
        <v>0.35000000000000142</v>
      </c>
      <c r="AE31" s="134">
        <f t="shared" si="1"/>
        <v>8.9522546419098514E-3</v>
      </c>
    </row>
    <row r="32" spans="1:31" x14ac:dyDescent="0.25">
      <c r="B32" s="164">
        <v>42663</v>
      </c>
      <c r="C32" s="10">
        <v>0</v>
      </c>
      <c r="D32" s="39"/>
      <c r="E32" s="39"/>
      <c r="F32" s="39">
        <v>98.45</v>
      </c>
      <c r="G32" s="39"/>
      <c r="H32" s="179"/>
      <c r="I32" s="39"/>
      <c r="W32" s="130">
        <v>42789</v>
      </c>
      <c r="X32" s="10">
        <v>30.29</v>
      </c>
      <c r="Y32" s="10">
        <v>30.68</v>
      </c>
      <c r="Z32" s="10">
        <v>30.17</v>
      </c>
      <c r="AA32" s="10">
        <v>30.34</v>
      </c>
      <c r="AB32" s="93">
        <v>4368900</v>
      </c>
      <c r="AC32" s="10">
        <v>30.16</v>
      </c>
      <c r="AD32" s="2">
        <f t="shared" si="0"/>
        <v>0.50999999999999801</v>
      </c>
      <c r="AE32" s="134">
        <f t="shared" si="1"/>
        <v>-4.2918454935622075E-3</v>
      </c>
    </row>
    <row r="33" spans="1:31" x14ac:dyDescent="0.25">
      <c r="B33" s="164"/>
      <c r="C33" s="10"/>
      <c r="D33" s="39"/>
      <c r="E33" s="39"/>
      <c r="F33" s="39"/>
      <c r="G33" s="39"/>
      <c r="H33" s="179"/>
      <c r="I33" s="184"/>
      <c r="W33" s="130">
        <v>42788</v>
      </c>
      <c r="X33" s="10">
        <v>30.39</v>
      </c>
      <c r="Y33" s="10">
        <v>30.6</v>
      </c>
      <c r="Z33" s="10">
        <v>30.39</v>
      </c>
      <c r="AA33" s="10">
        <v>30.47</v>
      </c>
      <c r="AB33" s="93">
        <v>4596900</v>
      </c>
      <c r="AC33" s="10">
        <v>30.29</v>
      </c>
      <c r="AD33" s="2">
        <f t="shared" si="0"/>
        <v>0.21000000000000085</v>
      </c>
      <c r="AE33" s="134">
        <f t="shared" si="1"/>
        <v>-2.6341784655911082E-3</v>
      </c>
    </row>
    <row r="34" spans="1:31" x14ac:dyDescent="0.25">
      <c r="B34" s="164"/>
      <c r="C34" s="10"/>
      <c r="D34" s="39"/>
      <c r="E34" s="39"/>
      <c r="F34" s="39"/>
      <c r="G34" s="39"/>
      <c r="H34" s="179"/>
      <c r="I34" s="39"/>
      <c r="W34" s="130">
        <v>42787</v>
      </c>
      <c r="X34" s="10">
        <v>30.24</v>
      </c>
      <c r="Y34" s="10">
        <v>30.8</v>
      </c>
      <c r="Z34" s="10">
        <v>30.23</v>
      </c>
      <c r="AA34" s="10">
        <v>30.55</v>
      </c>
      <c r="AB34" s="93">
        <v>9231400</v>
      </c>
      <c r="AC34" s="10">
        <v>30.37</v>
      </c>
      <c r="AD34" s="2">
        <f t="shared" si="0"/>
        <v>0.57000000000000028</v>
      </c>
      <c r="AE34" s="134">
        <f t="shared" si="1"/>
        <v>6.6291017567119415E-3</v>
      </c>
    </row>
    <row r="35" spans="1:31" x14ac:dyDescent="0.25">
      <c r="B35" s="164"/>
      <c r="C35" s="10"/>
      <c r="D35" s="39"/>
      <c r="E35" s="39"/>
      <c r="F35" s="39"/>
      <c r="G35" s="39"/>
      <c r="H35" s="179"/>
      <c r="I35" s="39"/>
      <c r="W35" s="130">
        <v>42783</v>
      </c>
      <c r="X35" s="10">
        <v>30.42</v>
      </c>
      <c r="Y35" s="10">
        <v>30.51</v>
      </c>
      <c r="Z35" s="10">
        <v>30.16</v>
      </c>
      <c r="AA35" s="10">
        <v>30.35</v>
      </c>
      <c r="AB35" s="93">
        <v>5004100</v>
      </c>
      <c r="AC35" s="10">
        <v>30.17</v>
      </c>
      <c r="AD35" s="2">
        <f t="shared" si="0"/>
        <v>0.35000000000000142</v>
      </c>
      <c r="AE35" s="134">
        <f t="shared" si="1"/>
        <v>-5.2753049785689843E-3</v>
      </c>
    </row>
    <row r="36" spans="1:31" x14ac:dyDescent="0.25">
      <c r="B36" s="164"/>
      <c r="C36" s="10"/>
      <c r="D36" s="39"/>
      <c r="E36" s="39"/>
      <c r="F36" s="39"/>
      <c r="G36" s="39"/>
      <c r="H36" s="179"/>
      <c r="I36" s="39"/>
      <c r="W36" s="130">
        <v>42782</v>
      </c>
      <c r="X36" s="10">
        <v>30.58</v>
      </c>
      <c r="Y36" s="10">
        <v>30.75</v>
      </c>
      <c r="Z36" s="10">
        <v>30.41</v>
      </c>
      <c r="AA36" s="10">
        <v>30.51</v>
      </c>
      <c r="AB36" s="93">
        <v>4313900</v>
      </c>
      <c r="AC36" s="10">
        <v>30.33</v>
      </c>
      <c r="AD36" s="2">
        <f t="shared" si="0"/>
        <v>0.33999999999999986</v>
      </c>
      <c r="AE36" s="134">
        <f t="shared" si="1"/>
        <v>-6.2254259501965947E-3</v>
      </c>
    </row>
    <row r="37" spans="1:31" x14ac:dyDescent="0.25">
      <c r="B37" s="72"/>
      <c r="C37" s="4"/>
      <c r="D37" s="3"/>
      <c r="E37" s="3"/>
      <c r="F37" s="3"/>
      <c r="G37" s="3"/>
      <c r="H37" s="216"/>
      <c r="I37" s="3"/>
      <c r="W37" s="130">
        <v>42781</v>
      </c>
      <c r="X37" s="10">
        <v>30.08</v>
      </c>
      <c r="Y37" s="10">
        <v>30.7</v>
      </c>
      <c r="Z37" s="10">
        <v>30.07</v>
      </c>
      <c r="AA37" s="10">
        <v>30.7</v>
      </c>
      <c r="AB37" s="93">
        <v>7597400</v>
      </c>
      <c r="AC37" s="10">
        <v>30.52</v>
      </c>
      <c r="AD37" s="2">
        <f t="shared" si="0"/>
        <v>0.62999999999999901</v>
      </c>
      <c r="AE37" s="134">
        <f t="shared" si="1"/>
        <v>1.3280212483399723E-2</v>
      </c>
    </row>
    <row r="38" spans="1:31" x14ac:dyDescent="0.25">
      <c r="B38" s="72"/>
      <c r="C38" s="4"/>
      <c r="D38" s="3"/>
      <c r="E38" s="3"/>
      <c r="F38" s="3"/>
      <c r="G38" s="3"/>
      <c r="H38" s="216"/>
      <c r="I38" s="3"/>
      <c r="W38" s="130">
        <v>42780</v>
      </c>
      <c r="X38" s="10">
        <v>29.74</v>
      </c>
      <c r="Y38" s="10">
        <v>30.4</v>
      </c>
      <c r="Z38" s="10">
        <v>29.57</v>
      </c>
      <c r="AA38" s="10">
        <v>30.3</v>
      </c>
      <c r="AB38" s="93">
        <v>9255700</v>
      </c>
      <c r="AC38" s="10">
        <v>30.12</v>
      </c>
      <c r="AD38" s="2">
        <f t="shared" si="0"/>
        <v>0.82999999999999829</v>
      </c>
      <c r="AE38" s="134">
        <f t="shared" si="1"/>
        <v>1.9634394041976977E-2</v>
      </c>
    </row>
    <row r="39" spans="1:31" x14ac:dyDescent="0.25">
      <c r="A39" s="22" t="s">
        <v>278</v>
      </c>
      <c r="B39" s="72"/>
      <c r="C39" s="4"/>
      <c r="D39" s="3"/>
      <c r="E39" s="3"/>
      <c r="F39" s="3"/>
      <c r="G39" s="3"/>
      <c r="H39" s="216"/>
      <c r="I39" s="3"/>
      <c r="W39" s="130">
        <v>42779</v>
      </c>
      <c r="X39" s="10">
        <v>30.09</v>
      </c>
      <c r="Y39" s="10">
        <v>30.12</v>
      </c>
      <c r="Z39" s="10">
        <v>29.51</v>
      </c>
      <c r="AA39" s="10">
        <v>29.72</v>
      </c>
      <c r="AB39" s="93">
        <v>6974000</v>
      </c>
      <c r="AC39" s="10">
        <v>29.54</v>
      </c>
      <c r="AD39" s="2">
        <f t="shared" si="0"/>
        <v>0.60999999999999943</v>
      </c>
      <c r="AE39" s="134">
        <f t="shared" si="1"/>
        <v>-6.3908509922637746E-3</v>
      </c>
    </row>
    <row r="40" spans="1:31" ht="20.25" thickBot="1" x14ac:dyDescent="0.35">
      <c r="B40" s="72"/>
      <c r="C40" s="4"/>
      <c r="D40" s="3"/>
      <c r="E40" s="3"/>
      <c r="F40" s="3"/>
      <c r="G40" s="3"/>
      <c r="H40" s="216"/>
      <c r="I40" s="3"/>
      <c r="O40" s="884" t="s">
        <v>78</v>
      </c>
      <c r="P40" s="884"/>
      <c r="W40" s="130">
        <v>42776</v>
      </c>
      <c r="X40" s="10">
        <v>30.19</v>
      </c>
      <c r="Y40" s="10">
        <v>30.28</v>
      </c>
      <c r="Z40" s="10">
        <v>29.81</v>
      </c>
      <c r="AA40" s="10">
        <v>29.91</v>
      </c>
      <c r="AB40" s="93">
        <v>8876300</v>
      </c>
      <c r="AC40" s="10">
        <v>29.73</v>
      </c>
      <c r="AD40" s="2">
        <f t="shared" si="0"/>
        <v>0.47000000000000242</v>
      </c>
      <c r="AE40" s="134">
        <f t="shared" si="1"/>
        <v>-7.014028056112287E-3</v>
      </c>
    </row>
    <row r="41" spans="1:31" ht="15.75" thickTop="1" x14ac:dyDescent="0.25">
      <c r="B41" s="72"/>
      <c r="C41" s="4"/>
      <c r="D41" s="3"/>
      <c r="E41" s="3"/>
      <c r="F41" s="3"/>
      <c r="G41" s="3"/>
      <c r="H41" s="216"/>
      <c r="I41" s="3"/>
      <c r="O41" s="81">
        <v>1.1000000000000001</v>
      </c>
      <c r="P41" s="81">
        <f>O41*$Q$4</f>
        <v>53.944000000000003</v>
      </c>
      <c r="Q41" s="2"/>
      <c r="W41" s="130">
        <v>42775</v>
      </c>
      <c r="X41" s="10">
        <v>30.35</v>
      </c>
      <c r="Y41" s="10">
        <v>30.51</v>
      </c>
      <c r="Z41" s="10">
        <v>30.09</v>
      </c>
      <c r="AA41" s="10">
        <v>30.12</v>
      </c>
      <c r="AB41" s="93">
        <v>5773100</v>
      </c>
      <c r="AC41" s="10">
        <v>29.94</v>
      </c>
      <c r="AD41" s="2">
        <f t="shared" si="0"/>
        <v>0.42000000000000171</v>
      </c>
      <c r="AE41" s="134">
        <f t="shared" si="1"/>
        <v>-2.9970029970030065E-3</v>
      </c>
    </row>
    <row r="42" spans="1:31" ht="20.25" thickBot="1" x14ac:dyDescent="0.35">
      <c r="B42" s="72"/>
      <c r="C42" s="4"/>
      <c r="D42" s="3"/>
      <c r="E42" s="3"/>
      <c r="F42" s="3"/>
      <c r="G42" s="3"/>
      <c r="H42" s="216"/>
      <c r="I42" s="3"/>
      <c r="O42" s="81">
        <v>1.0900000000000001</v>
      </c>
      <c r="P42" s="81">
        <f t="shared" ref="P42:P61" si="5">O42*$Q$4</f>
        <v>53.453600000000002</v>
      </c>
      <c r="Q42" s="2"/>
      <c r="T42" s="89" t="s">
        <v>112</v>
      </c>
      <c r="W42" s="130">
        <v>42774</v>
      </c>
      <c r="X42" s="10">
        <v>30.47</v>
      </c>
      <c r="Y42" s="10">
        <v>30.57</v>
      </c>
      <c r="Z42" s="10">
        <v>29.96</v>
      </c>
      <c r="AA42" s="10">
        <v>30.21</v>
      </c>
      <c r="AB42" s="93">
        <v>7847500</v>
      </c>
      <c r="AC42" s="10">
        <v>30.03</v>
      </c>
      <c r="AD42" s="2">
        <f t="shared" si="0"/>
        <v>0.60999999999999943</v>
      </c>
      <c r="AE42" s="134">
        <f t="shared" si="1"/>
        <v>-8.9108910891089188E-3</v>
      </c>
    </row>
    <row r="43" spans="1:31" ht="15.75" thickTop="1" x14ac:dyDescent="0.25">
      <c r="B43" s="72"/>
      <c r="C43" s="4"/>
      <c r="D43" s="3"/>
      <c r="E43" s="3"/>
      <c r="F43" s="3"/>
      <c r="G43" s="3"/>
      <c r="H43" s="216"/>
      <c r="I43" s="3"/>
      <c r="O43" s="81">
        <v>1.08</v>
      </c>
      <c r="P43" s="81">
        <f t="shared" si="5"/>
        <v>52.963200000000001</v>
      </c>
      <c r="Q43" s="2"/>
      <c r="T43" s="125" t="s">
        <v>97</v>
      </c>
      <c r="U43" s="126">
        <v>31.75</v>
      </c>
      <c r="W43" s="130">
        <v>42773</v>
      </c>
      <c r="X43" s="10">
        <v>30.85</v>
      </c>
      <c r="Y43" s="10">
        <v>31.46</v>
      </c>
      <c r="Z43" s="10">
        <v>30.14</v>
      </c>
      <c r="AA43" s="10">
        <v>30.48</v>
      </c>
      <c r="AB43" s="93">
        <v>15176600</v>
      </c>
      <c r="AC43" s="10">
        <v>30.3</v>
      </c>
      <c r="AD43" s="2">
        <f t="shared" si="0"/>
        <v>1.3200000000000003</v>
      </c>
      <c r="AE43" s="134">
        <f t="shared" si="1"/>
        <v>-1.8782383419689075E-2</v>
      </c>
    </row>
    <row r="44" spans="1:31" x14ac:dyDescent="0.25">
      <c r="B44" s="72"/>
      <c r="C44" s="4"/>
      <c r="D44" s="3"/>
      <c r="E44" s="3"/>
      <c r="F44" s="3"/>
      <c r="G44" s="3"/>
      <c r="H44" s="216"/>
      <c r="I44" s="3"/>
      <c r="L44" t="s">
        <v>65</v>
      </c>
      <c r="M44" s="2">
        <f>M62+K62-F62</f>
        <v>98.449999999999818</v>
      </c>
      <c r="O44" s="81">
        <v>1.07</v>
      </c>
      <c r="P44" s="81">
        <f t="shared" si="5"/>
        <v>52.472799999999999</v>
      </c>
      <c r="Q44" s="2"/>
      <c r="T44" s="91" t="s">
        <v>98</v>
      </c>
      <c r="U44" s="127">
        <v>31.78</v>
      </c>
      <c r="W44" s="130">
        <v>42772</v>
      </c>
      <c r="X44" s="10">
        <v>31.19</v>
      </c>
      <c r="Y44" s="10">
        <v>31.5</v>
      </c>
      <c r="Z44" s="10">
        <v>30.96</v>
      </c>
      <c r="AA44" s="10">
        <v>31.06</v>
      </c>
      <c r="AB44" s="93">
        <v>13631800</v>
      </c>
      <c r="AC44" s="10">
        <v>30.88</v>
      </c>
      <c r="AD44" s="2">
        <f t="shared" si="0"/>
        <v>0.53999999999999915</v>
      </c>
      <c r="AE44" s="134">
        <f t="shared" si="1"/>
        <v>-1.0573534123678341E-2</v>
      </c>
    </row>
    <row r="45" spans="1:31" x14ac:dyDescent="0.25">
      <c r="A45" s="199" t="s">
        <v>1</v>
      </c>
      <c r="B45" s="199" t="s">
        <v>2</v>
      </c>
      <c r="C45" s="199" t="s">
        <v>4</v>
      </c>
      <c r="D45" s="200" t="s">
        <v>5</v>
      </c>
      <c r="E45" s="200" t="s">
        <v>94</v>
      </c>
      <c r="F45" s="200" t="s">
        <v>60</v>
      </c>
      <c r="G45" s="199" t="s">
        <v>3</v>
      </c>
      <c r="H45" s="199" t="s">
        <v>6</v>
      </c>
      <c r="I45" s="200" t="s">
        <v>7</v>
      </c>
      <c r="J45" s="200" t="s">
        <v>95</v>
      </c>
      <c r="K45" s="200" t="s">
        <v>61</v>
      </c>
      <c r="L45" s="199" t="s">
        <v>37</v>
      </c>
      <c r="M45" s="199" t="s">
        <v>38</v>
      </c>
      <c r="O45" s="81">
        <v>1.06</v>
      </c>
      <c r="P45" s="81">
        <f t="shared" si="5"/>
        <v>51.982399999999998</v>
      </c>
      <c r="Q45" s="2"/>
      <c r="T45" s="91" t="s">
        <v>99</v>
      </c>
      <c r="U45" s="127" t="s">
        <v>555</v>
      </c>
      <c r="W45" s="130">
        <v>42769</v>
      </c>
      <c r="X45" s="10">
        <v>31.46</v>
      </c>
      <c r="Y45" s="10">
        <v>31.62</v>
      </c>
      <c r="Z45" s="10">
        <v>31.16</v>
      </c>
      <c r="AA45" s="10">
        <v>31.4</v>
      </c>
      <c r="AB45" s="93">
        <v>7520500</v>
      </c>
      <c r="AC45" s="10">
        <v>31.21</v>
      </c>
      <c r="AD45" s="2">
        <f t="shared" si="0"/>
        <v>0.46000000000000085</v>
      </c>
      <c r="AE45" s="134">
        <f t="shared" si="1"/>
        <v>-1.9187719859289354E-3</v>
      </c>
    </row>
    <row r="46" spans="1:31" x14ac:dyDescent="0.25">
      <c r="A46" s="201" t="s">
        <v>261</v>
      </c>
      <c r="B46" s="202">
        <v>42619</v>
      </c>
      <c r="C46" s="197">
        <v>100</v>
      </c>
      <c r="D46" s="198">
        <v>24.28</v>
      </c>
      <c r="E46" s="198">
        <v>0</v>
      </c>
      <c r="F46" s="198">
        <f>D46*C46+E46</f>
        <v>2428</v>
      </c>
      <c r="G46" s="202">
        <v>42663</v>
      </c>
      <c r="H46" s="203">
        <v>100</v>
      </c>
      <c r="I46" s="198">
        <v>25.09</v>
      </c>
      <c r="J46" s="198">
        <v>0.55000000000000004</v>
      </c>
      <c r="K46" s="198">
        <f>H46*I46-J46</f>
        <v>2508.4499999999998</v>
      </c>
      <c r="L46" s="202">
        <v>42662</v>
      </c>
      <c r="M46" s="198">
        <v>18</v>
      </c>
      <c r="O46" s="81">
        <v>1.05</v>
      </c>
      <c r="P46" s="81">
        <f t="shared" si="5"/>
        <v>51.492000000000004</v>
      </c>
      <c r="Q46" s="2"/>
      <c r="T46" s="91" t="s">
        <v>100</v>
      </c>
      <c r="U46" s="127" t="s">
        <v>128</v>
      </c>
      <c r="W46" s="130">
        <v>42768</v>
      </c>
      <c r="X46" s="10">
        <v>31.53</v>
      </c>
      <c r="Y46" s="10">
        <v>31.59</v>
      </c>
      <c r="Z46" s="10">
        <v>31.29</v>
      </c>
      <c r="AA46" s="10">
        <v>31.46</v>
      </c>
      <c r="AB46" s="93">
        <v>4731000</v>
      </c>
      <c r="AC46" s="10">
        <v>31.27</v>
      </c>
      <c r="AD46" s="2">
        <f t="shared" si="0"/>
        <v>0.30000000000000071</v>
      </c>
      <c r="AE46" s="134">
        <f t="shared" si="1"/>
        <v>-5.0906776964683154E-3</v>
      </c>
    </row>
    <row r="47" spans="1:31" x14ac:dyDescent="0.25">
      <c r="A47" s="204" t="s">
        <v>71</v>
      </c>
      <c r="B47" s="202"/>
      <c r="C47" s="197"/>
      <c r="D47" s="198"/>
      <c r="E47" s="198"/>
      <c r="F47" s="198"/>
      <c r="G47" s="202"/>
      <c r="H47" s="203"/>
      <c r="I47" s="198"/>
      <c r="J47" s="198"/>
      <c r="K47" s="198"/>
      <c r="L47" s="197"/>
      <c r="M47" s="197"/>
      <c r="O47" s="81">
        <v>1.04</v>
      </c>
      <c r="P47" s="81">
        <f t="shared" si="5"/>
        <v>51.001600000000003</v>
      </c>
      <c r="Q47" s="2"/>
      <c r="T47" s="91" t="s">
        <v>101</v>
      </c>
      <c r="U47" s="127">
        <v>34.090000000000003</v>
      </c>
      <c r="W47" s="130">
        <v>42767</v>
      </c>
      <c r="X47" s="10">
        <v>31.32</v>
      </c>
      <c r="Y47" s="10">
        <v>31.75</v>
      </c>
      <c r="Z47" s="10">
        <v>31.32</v>
      </c>
      <c r="AA47" s="10">
        <v>31.62</v>
      </c>
      <c r="AB47" s="93">
        <v>7435000</v>
      </c>
      <c r="AC47" s="10">
        <v>31.43</v>
      </c>
      <c r="AD47" s="2">
        <f t="shared" si="0"/>
        <v>0.42999999999999972</v>
      </c>
      <c r="AE47" s="134">
        <f t="shared" si="1"/>
        <v>7.3717948717948456E-3</v>
      </c>
    </row>
    <row r="48" spans="1:31" x14ac:dyDescent="0.25">
      <c r="A48" s="197"/>
      <c r="B48" s="202"/>
      <c r="C48" s="197"/>
      <c r="D48" s="198"/>
      <c r="E48" s="198"/>
      <c r="F48" s="198"/>
      <c r="G48" s="202"/>
      <c r="H48" s="203"/>
      <c r="I48" s="198"/>
      <c r="J48" s="198"/>
      <c r="K48" s="198"/>
      <c r="L48" s="197"/>
      <c r="M48" s="197"/>
      <c r="O48" s="81">
        <v>1.03</v>
      </c>
      <c r="P48" s="81">
        <f t="shared" si="5"/>
        <v>50.511200000000002</v>
      </c>
      <c r="Q48" s="2"/>
      <c r="T48" s="91" t="s">
        <v>102</v>
      </c>
      <c r="U48" s="127">
        <v>1.5157</v>
      </c>
      <c r="W48" s="130">
        <v>42766</v>
      </c>
      <c r="X48" s="10">
        <v>31.2</v>
      </c>
      <c r="Y48" s="10">
        <v>31.44</v>
      </c>
      <c r="Z48" s="10">
        <v>31.05</v>
      </c>
      <c r="AA48" s="10">
        <v>31.38</v>
      </c>
      <c r="AB48" s="93">
        <v>5170600</v>
      </c>
      <c r="AC48" s="10">
        <v>31.2</v>
      </c>
      <c r="AD48" s="2">
        <f t="shared" si="0"/>
        <v>0.39000000000000057</v>
      </c>
      <c r="AE48" s="134">
        <f t="shared" si="1"/>
        <v>3.2061558191731621E-4</v>
      </c>
    </row>
    <row r="49" spans="1:31" x14ac:dyDescent="0.25">
      <c r="A49" s="197"/>
      <c r="B49" s="202"/>
      <c r="C49" s="197"/>
      <c r="D49" s="198"/>
      <c r="E49" s="198"/>
      <c r="F49" s="198"/>
      <c r="G49" s="197"/>
      <c r="H49" s="203"/>
      <c r="I49" s="198"/>
      <c r="J49" s="198"/>
      <c r="K49" s="198"/>
      <c r="L49" s="197"/>
      <c r="M49" s="197"/>
      <c r="O49" s="81">
        <v>1.02</v>
      </c>
      <c r="P49" s="81">
        <f t="shared" si="5"/>
        <v>50.020800000000001</v>
      </c>
      <c r="Q49" s="2"/>
      <c r="T49" s="91" t="s">
        <v>121</v>
      </c>
      <c r="U49" s="127" t="s">
        <v>413</v>
      </c>
      <c r="W49" s="130">
        <v>42765</v>
      </c>
      <c r="X49" s="10">
        <v>31.28</v>
      </c>
      <c r="Y49" s="10">
        <v>31.4</v>
      </c>
      <c r="Z49" s="10">
        <v>31</v>
      </c>
      <c r="AA49" s="10">
        <v>31.37</v>
      </c>
      <c r="AB49" s="93">
        <v>9097500</v>
      </c>
      <c r="AC49" s="10">
        <v>31.19</v>
      </c>
      <c r="AD49" s="2">
        <f t="shared" si="0"/>
        <v>0.39999999999999858</v>
      </c>
      <c r="AE49" s="134">
        <f t="shared" si="1"/>
        <v>2.5715204114433732E-3</v>
      </c>
    </row>
    <row r="50" spans="1:31" x14ac:dyDescent="0.25">
      <c r="A50" s="197"/>
      <c r="B50" s="202"/>
      <c r="C50" s="197"/>
      <c r="D50" s="198"/>
      <c r="E50" s="198"/>
      <c r="F50" s="198"/>
      <c r="G50" s="197"/>
      <c r="H50" s="203"/>
      <c r="I50" s="198"/>
      <c r="J50" s="198"/>
      <c r="K50" s="198"/>
      <c r="L50" s="197"/>
      <c r="M50" s="197"/>
      <c r="O50" s="81">
        <v>1.01</v>
      </c>
      <c r="P50" s="81">
        <f t="shared" si="5"/>
        <v>49.5304</v>
      </c>
      <c r="Q50" s="2"/>
      <c r="T50" s="91"/>
      <c r="U50" s="127"/>
      <c r="W50" s="130">
        <v>42762</v>
      </c>
      <c r="X50" s="10">
        <v>31.14</v>
      </c>
      <c r="Y50" s="10">
        <v>31.52</v>
      </c>
      <c r="Z50" s="10">
        <v>30.88</v>
      </c>
      <c r="AA50" s="10">
        <v>31.29</v>
      </c>
      <c r="AB50" s="93">
        <v>8259000</v>
      </c>
      <c r="AC50" s="10">
        <v>31.11</v>
      </c>
      <c r="AD50" s="2">
        <f t="shared" si="0"/>
        <v>0.64000000000000057</v>
      </c>
      <c r="AE50" s="134">
        <f t="shared" si="1"/>
        <v>9.4094743672938908E-3</v>
      </c>
    </row>
    <row r="51" spans="1:31" x14ac:dyDescent="0.25">
      <c r="A51" s="197"/>
      <c r="B51" s="197"/>
      <c r="C51" s="197"/>
      <c r="D51" s="198"/>
      <c r="E51" s="198"/>
      <c r="F51" s="198"/>
      <c r="G51" s="197"/>
      <c r="H51" s="203"/>
      <c r="I51" s="198"/>
      <c r="J51" s="198"/>
      <c r="K51" s="198"/>
      <c r="L51" s="197"/>
      <c r="M51" s="197"/>
      <c r="O51" s="81">
        <v>1</v>
      </c>
      <c r="P51" s="81">
        <f t="shared" si="5"/>
        <v>49.04</v>
      </c>
      <c r="Q51" s="2"/>
      <c r="T51" s="91" t="s">
        <v>104</v>
      </c>
      <c r="U51" s="127" t="s">
        <v>556</v>
      </c>
      <c r="W51" s="130">
        <v>42761</v>
      </c>
      <c r="X51" s="10">
        <v>30.43</v>
      </c>
      <c r="Y51" s="10">
        <v>31.61</v>
      </c>
      <c r="Z51" s="10">
        <v>30.31</v>
      </c>
      <c r="AA51" s="10">
        <v>31</v>
      </c>
      <c r="AB51" s="93">
        <v>12695500</v>
      </c>
      <c r="AC51" s="10">
        <v>30.82</v>
      </c>
      <c r="AD51" s="2">
        <f t="shared" si="0"/>
        <v>1.3000000000000007</v>
      </c>
      <c r="AE51" s="134">
        <f t="shared" si="1"/>
        <v>2.3240371845949515E-2</v>
      </c>
    </row>
    <row r="52" spans="1:31" x14ac:dyDescent="0.25">
      <c r="A52" s="197"/>
      <c r="B52" s="197"/>
      <c r="C52" s="197"/>
      <c r="D52" s="198"/>
      <c r="E52" s="198"/>
      <c r="F52" s="198"/>
      <c r="G52" s="197"/>
      <c r="H52" s="203"/>
      <c r="I52" s="198"/>
      <c r="J52" s="198"/>
      <c r="K52" s="198"/>
      <c r="L52" s="197"/>
      <c r="M52" s="197"/>
      <c r="O52" s="81">
        <v>0.99</v>
      </c>
      <c r="P52" s="81">
        <f t="shared" si="5"/>
        <v>48.549599999999998</v>
      </c>
      <c r="Q52" s="2"/>
      <c r="T52" s="91" t="s">
        <v>105</v>
      </c>
      <c r="U52" s="127" t="s">
        <v>517</v>
      </c>
      <c r="W52" s="130">
        <v>42760</v>
      </c>
      <c r="X52" s="10">
        <v>30.37</v>
      </c>
      <c r="Y52" s="10">
        <v>30.44</v>
      </c>
      <c r="Z52" s="10">
        <v>30.17</v>
      </c>
      <c r="AA52" s="10">
        <v>30.3</v>
      </c>
      <c r="AB52" s="93">
        <v>5237500</v>
      </c>
      <c r="AC52" s="10">
        <v>30.12</v>
      </c>
      <c r="AD52" s="2">
        <f t="shared" si="0"/>
        <v>0.26999999999999957</v>
      </c>
      <c r="AE52" s="134">
        <f t="shared" si="1"/>
        <v>6.6445182724250706E-4</v>
      </c>
    </row>
    <row r="53" spans="1:31" x14ac:dyDescent="0.25">
      <c r="A53" s="197"/>
      <c r="B53" s="197"/>
      <c r="C53" s="197"/>
      <c r="D53" s="198"/>
      <c r="E53" s="198"/>
      <c r="F53" s="198"/>
      <c r="G53" s="197"/>
      <c r="H53" s="203"/>
      <c r="I53" s="198"/>
      <c r="J53" s="198"/>
      <c r="K53" s="198"/>
      <c r="L53" s="197"/>
      <c r="M53" s="197"/>
      <c r="O53" s="81">
        <v>0.98</v>
      </c>
      <c r="P53" s="81">
        <f t="shared" si="5"/>
        <v>48.059199999999997</v>
      </c>
      <c r="Q53" s="2"/>
      <c r="T53" s="91" t="s">
        <v>106</v>
      </c>
      <c r="U53" s="128">
        <v>8602257</v>
      </c>
      <c r="W53" s="130">
        <v>42759</v>
      </c>
      <c r="X53" s="10">
        <v>30.11</v>
      </c>
      <c r="Y53" s="10">
        <v>30.3</v>
      </c>
      <c r="Z53" s="10">
        <v>29.89</v>
      </c>
      <c r="AA53" s="10">
        <v>30.28</v>
      </c>
      <c r="AB53" s="93">
        <v>4774700</v>
      </c>
      <c r="AC53" s="10">
        <v>30.1</v>
      </c>
      <c r="AD53" s="2">
        <f t="shared" si="0"/>
        <v>0.41000000000000014</v>
      </c>
      <c r="AE53" s="134">
        <f t="shared" si="1"/>
        <v>9.3896713615024829E-3</v>
      </c>
    </row>
    <row r="54" spans="1:31" x14ac:dyDescent="0.25">
      <c r="A54" s="197"/>
      <c r="B54" s="197"/>
      <c r="C54" s="197"/>
      <c r="D54" s="198"/>
      <c r="E54" s="198"/>
      <c r="F54" s="198"/>
      <c r="G54" s="197"/>
      <c r="H54" s="203"/>
      <c r="I54" s="198"/>
      <c r="J54" s="198"/>
      <c r="K54" s="198"/>
      <c r="L54" s="197"/>
      <c r="M54" s="197"/>
      <c r="O54" s="81">
        <v>0.97</v>
      </c>
      <c r="P54" s="81">
        <f t="shared" si="5"/>
        <v>47.568799999999996</v>
      </c>
      <c r="T54" s="91" t="s">
        <v>109</v>
      </c>
      <c r="U54" s="128">
        <v>7388890</v>
      </c>
      <c r="W54" s="130">
        <v>42758</v>
      </c>
      <c r="X54" s="10">
        <v>30.06</v>
      </c>
      <c r="Y54" s="10">
        <v>30.17</v>
      </c>
      <c r="Z54" s="10">
        <v>29.82</v>
      </c>
      <c r="AA54" s="10">
        <v>30</v>
      </c>
      <c r="AB54" s="93">
        <v>5811600</v>
      </c>
      <c r="AC54" s="10">
        <v>29.82</v>
      </c>
      <c r="AD54" s="2">
        <f t="shared" si="0"/>
        <v>0.35000000000000142</v>
      </c>
      <c r="AE54" s="134">
        <f t="shared" si="1"/>
        <v>-1.6739203213926857E-3</v>
      </c>
    </row>
    <row r="55" spans="1:31" x14ac:dyDescent="0.25">
      <c r="A55" s="197"/>
      <c r="B55" s="197"/>
      <c r="C55" s="197"/>
      <c r="D55" s="198"/>
      <c r="E55" s="198"/>
      <c r="F55" s="198"/>
      <c r="G55" s="197"/>
      <c r="H55" s="203"/>
      <c r="I55" s="198"/>
      <c r="J55" s="198"/>
      <c r="K55" s="198"/>
      <c r="L55" s="197"/>
      <c r="M55" s="197"/>
      <c r="O55" s="81">
        <v>0.96</v>
      </c>
      <c r="P55" s="81">
        <f t="shared" si="5"/>
        <v>47.078399999999995</v>
      </c>
      <c r="T55" s="91" t="s">
        <v>107</v>
      </c>
      <c r="U55" s="127" t="s">
        <v>557</v>
      </c>
      <c r="W55" s="130">
        <v>42755</v>
      </c>
      <c r="X55" s="10">
        <v>29.88</v>
      </c>
      <c r="Y55" s="10">
        <v>30.13</v>
      </c>
      <c r="Z55" s="10">
        <v>29.84</v>
      </c>
      <c r="AA55" s="10">
        <v>30.05</v>
      </c>
      <c r="AB55" s="93">
        <v>6710600</v>
      </c>
      <c r="AC55" s="10">
        <v>29.87</v>
      </c>
      <c r="AD55" s="2">
        <f t="shared" si="0"/>
        <v>0.28999999999999915</v>
      </c>
      <c r="AE55" s="134">
        <f t="shared" si="1"/>
        <v>8.4402430790007088E-3</v>
      </c>
    </row>
    <row r="56" spans="1:31" x14ac:dyDescent="0.25">
      <c r="A56" s="197"/>
      <c r="B56" s="197"/>
      <c r="C56" s="197"/>
      <c r="D56" s="198"/>
      <c r="E56" s="198"/>
      <c r="F56" s="198"/>
      <c r="G56" s="197"/>
      <c r="H56" s="203"/>
      <c r="I56" s="198"/>
      <c r="J56" s="198"/>
      <c r="K56" s="198"/>
      <c r="L56" s="197"/>
      <c r="M56" s="197"/>
      <c r="O56" s="81">
        <v>0.95</v>
      </c>
      <c r="P56" s="81">
        <f t="shared" si="5"/>
        <v>46.587999999999994</v>
      </c>
      <c r="T56" s="91" t="s">
        <v>110</v>
      </c>
      <c r="U56" s="127">
        <v>19.12</v>
      </c>
      <c r="W56" s="130">
        <v>42754</v>
      </c>
      <c r="X56" s="10">
        <v>30.16</v>
      </c>
      <c r="Y56" s="10">
        <v>30.37</v>
      </c>
      <c r="Z56" s="10">
        <v>29.71</v>
      </c>
      <c r="AA56" s="10">
        <v>29.8</v>
      </c>
      <c r="AB56" s="93">
        <v>9174400</v>
      </c>
      <c r="AC56" s="10">
        <v>29.62</v>
      </c>
      <c r="AD56" s="2">
        <f t="shared" si="0"/>
        <v>0.66000000000000014</v>
      </c>
      <c r="AE56" s="134">
        <f t="shared" si="1"/>
        <v>-1.5619807244931838E-2</v>
      </c>
    </row>
    <row r="57" spans="1:31" x14ac:dyDescent="0.25">
      <c r="A57" s="197"/>
      <c r="B57" s="197"/>
      <c r="C57" s="197"/>
      <c r="D57" s="198"/>
      <c r="E57" s="198"/>
      <c r="F57" s="198"/>
      <c r="G57" s="197"/>
      <c r="H57" s="203"/>
      <c r="I57" s="198"/>
      <c r="J57" s="198"/>
      <c r="K57" s="198"/>
      <c r="L57" s="197"/>
      <c r="M57" s="197"/>
      <c r="O57" s="81">
        <v>0.94</v>
      </c>
      <c r="P57" s="81">
        <f t="shared" si="5"/>
        <v>46.0976</v>
      </c>
      <c r="T57" s="91" t="s">
        <v>111</v>
      </c>
      <c r="U57" s="127">
        <v>1.64</v>
      </c>
      <c r="W57" s="130">
        <v>42753</v>
      </c>
      <c r="X57" s="10">
        <v>30.01</v>
      </c>
      <c r="Y57" s="10">
        <v>30.33</v>
      </c>
      <c r="Z57" s="10">
        <v>29.92</v>
      </c>
      <c r="AA57" s="10">
        <v>30.27</v>
      </c>
      <c r="AB57" s="93">
        <v>7185800</v>
      </c>
      <c r="AC57" s="10">
        <v>30.09</v>
      </c>
      <c r="AD57" s="2">
        <f t="shared" si="0"/>
        <v>0.40999999999999659</v>
      </c>
      <c r="AE57" s="134">
        <f t="shared" si="1"/>
        <v>1.1428571428571344E-2</v>
      </c>
    </row>
    <row r="58" spans="1:31" x14ac:dyDescent="0.25">
      <c r="A58" s="197"/>
      <c r="B58" s="197"/>
      <c r="C58" s="197"/>
      <c r="D58" s="198"/>
      <c r="E58" s="198"/>
      <c r="F58" s="198"/>
      <c r="G58" s="197"/>
      <c r="H58" s="203"/>
      <c r="I58" s="198"/>
      <c r="J58" s="198"/>
      <c r="K58" s="198"/>
      <c r="L58" s="197"/>
      <c r="M58" s="197"/>
      <c r="O58" s="81">
        <v>0.93</v>
      </c>
      <c r="P58" s="81">
        <f t="shared" si="5"/>
        <v>45.607199999999999</v>
      </c>
      <c r="T58" s="91" t="s">
        <v>108</v>
      </c>
      <c r="U58" s="127" t="s">
        <v>518</v>
      </c>
      <c r="W58" s="130">
        <v>42752</v>
      </c>
      <c r="X58" s="10">
        <v>29.89</v>
      </c>
      <c r="Y58" s="10">
        <v>30.11</v>
      </c>
      <c r="Z58" s="10">
        <v>29.86</v>
      </c>
      <c r="AA58" s="10">
        <v>29.93</v>
      </c>
      <c r="AB58" s="93">
        <v>4861800</v>
      </c>
      <c r="AC58" s="10">
        <v>29.75</v>
      </c>
      <c r="AD58" s="2">
        <f t="shared" si="0"/>
        <v>0.25</v>
      </c>
      <c r="AE58" s="134">
        <f t="shared" si="1"/>
        <v>-3.3500837520938909E-3</v>
      </c>
    </row>
    <row r="59" spans="1:31" x14ac:dyDescent="0.25">
      <c r="A59" s="197"/>
      <c r="B59" s="197"/>
      <c r="C59" s="197"/>
      <c r="D59" s="198"/>
      <c r="E59" s="198"/>
      <c r="F59" s="198"/>
      <c r="G59" s="197"/>
      <c r="H59" s="203"/>
      <c r="I59" s="198"/>
      <c r="J59" s="198"/>
      <c r="K59" s="198"/>
      <c r="L59" s="197"/>
      <c r="M59" s="197"/>
      <c r="O59" s="81">
        <v>0.92</v>
      </c>
      <c r="P59" s="81">
        <f t="shared" si="5"/>
        <v>45.116799999999998</v>
      </c>
      <c r="W59" s="130">
        <v>42748</v>
      </c>
      <c r="X59" s="10">
        <v>29.77</v>
      </c>
      <c r="Y59" s="10">
        <v>30.09</v>
      </c>
      <c r="Z59" s="10">
        <v>29.62</v>
      </c>
      <c r="AA59" s="10">
        <v>30.03</v>
      </c>
      <c r="AB59" s="93">
        <v>5500600</v>
      </c>
      <c r="AC59" s="10">
        <v>29.85</v>
      </c>
      <c r="AD59" s="2">
        <f t="shared" si="0"/>
        <v>0.46999999999999886</v>
      </c>
      <c r="AE59" s="134">
        <f t="shared" si="1"/>
        <v>7.4249071886602902E-3</v>
      </c>
    </row>
    <row r="60" spans="1:31" x14ac:dyDescent="0.25">
      <c r="A60" s="197"/>
      <c r="B60" s="197"/>
      <c r="C60" s="197"/>
      <c r="D60" s="198"/>
      <c r="E60" s="198"/>
      <c r="F60" s="198"/>
      <c r="G60" s="197"/>
      <c r="H60" s="203"/>
      <c r="I60" s="198"/>
      <c r="J60" s="198"/>
      <c r="K60" s="198"/>
      <c r="L60" s="197"/>
      <c r="M60" s="197"/>
      <c r="O60" s="81">
        <v>0.91</v>
      </c>
      <c r="P60" s="81">
        <f t="shared" si="5"/>
        <v>44.626400000000004</v>
      </c>
      <c r="W60" s="130">
        <v>42747</v>
      </c>
      <c r="X60" s="10">
        <v>30.05</v>
      </c>
      <c r="Y60" s="10">
        <v>30.07</v>
      </c>
      <c r="Z60" s="10">
        <v>29.67</v>
      </c>
      <c r="AA60" s="10">
        <v>29.81</v>
      </c>
      <c r="AB60" s="93">
        <v>6010300</v>
      </c>
      <c r="AC60" s="10">
        <v>29.63</v>
      </c>
      <c r="AD60" s="2">
        <f t="shared" si="0"/>
        <v>0.39999999999999858</v>
      </c>
      <c r="AE60" s="134">
        <f t="shared" si="1"/>
        <v>-9.0301003344481767E-3</v>
      </c>
    </row>
    <row r="61" spans="1:31" x14ac:dyDescent="0.25">
      <c r="A61" s="197"/>
      <c r="B61" s="197"/>
      <c r="C61" s="197"/>
      <c r="D61" s="198"/>
      <c r="E61" s="198"/>
      <c r="F61" s="198"/>
      <c r="G61" s="197"/>
      <c r="H61" s="197"/>
      <c r="I61" s="198"/>
      <c r="J61" s="198"/>
      <c r="K61" s="198"/>
      <c r="L61" s="197"/>
      <c r="M61" s="197"/>
      <c r="O61" s="81">
        <v>0.9</v>
      </c>
      <c r="P61" s="81">
        <f t="shared" si="5"/>
        <v>44.136000000000003</v>
      </c>
      <c r="W61" s="130">
        <v>42746</v>
      </c>
      <c r="X61" s="10">
        <v>29.72</v>
      </c>
      <c r="Y61" s="10">
        <v>30.1</v>
      </c>
      <c r="Z61" s="10">
        <v>29.59</v>
      </c>
      <c r="AA61" s="10">
        <v>30.08</v>
      </c>
      <c r="AB61" s="93">
        <v>8220900</v>
      </c>
      <c r="AC61" s="10">
        <v>29.9</v>
      </c>
      <c r="AD61" s="2">
        <f t="shared" si="0"/>
        <v>0.51000000000000156</v>
      </c>
      <c r="AE61" s="134">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30">
        <v>42745</v>
      </c>
      <c r="X62" s="10">
        <v>29.58</v>
      </c>
      <c r="Y62" s="10">
        <v>30.08</v>
      </c>
      <c r="Z62" s="10">
        <v>29.25</v>
      </c>
      <c r="AA62" s="10">
        <v>29.67</v>
      </c>
      <c r="AB62" s="93">
        <v>8469300</v>
      </c>
      <c r="AC62" s="10">
        <v>29.5</v>
      </c>
      <c r="AD62" s="2">
        <f t="shared" si="0"/>
        <v>0.82999999999999829</v>
      </c>
      <c r="AE62" s="134">
        <f t="shared" si="1"/>
        <v>6.8259385665527805E-3</v>
      </c>
    </row>
    <row r="63" spans="1:31" ht="15.75" thickBot="1" x14ac:dyDescent="0.3">
      <c r="A63" s="373" t="s">
        <v>191</v>
      </c>
      <c r="B63" s="374"/>
      <c r="C63" s="375">
        <f>SumByColor($A$19,C46:C61)</f>
        <v>0</v>
      </c>
      <c r="D63" s="375"/>
      <c r="E63" s="375"/>
      <c r="F63" s="376">
        <f>SumByColor($A$19,F46:F61)</f>
        <v>0</v>
      </c>
      <c r="G63" s="375"/>
      <c r="H63" s="375">
        <f>SumByColor($A$19,H46:H61)</f>
        <v>0</v>
      </c>
      <c r="I63" s="375"/>
      <c r="J63" s="375"/>
      <c r="K63" s="376">
        <f>SumByColor($A$19,K46:K61)</f>
        <v>0</v>
      </c>
      <c r="L63" s="375"/>
      <c r="M63" s="376">
        <f>SumByColor($A$19,M46:M61)</f>
        <v>0</v>
      </c>
      <c r="W63" s="130">
        <v>42744</v>
      </c>
      <c r="X63" s="10">
        <v>29.58</v>
      </c>
      <c r="Y63" s="10">
        <v>29.66</v>
      </c>
      <c r="Z63" s="10">
        <v>29.25</v>
      </c>
      <c r="AA63" s="10">
        <v>29.47</v>
      </c>
      <c r="AB63" s="93">
        <v>6543300</v>
      </c>
      <c r="AC63" s="10">
        <v>29.3</v>
      </c>
      <c r="AD63" s="2">
        <f t="shared" si="0"/>
        <v>0.41000000000000014</v>
      </c>
      <c r="AE63" s="134">
        <f t="shared" si="1"/>
        <v>-1.7035775127768327E-3</v>
      </c>
    </row>
    <row r="64" spans="1:31" x14ac:dyDescent="0.25">
      <c r="B64" s="4"/>
      <c r="C64" s="4"/>
      <c r="D64" s="3"/>
      <c r="E64" s="3"/>
      <c r="F64" s="3"/>
      <c r="G64" s="4"/>
      <c r="H64" s="4"/>
      <c r="I64" s="3"/>
      <c r="W64" s="130">
        <v>42741</v>
      </c>
      <c r="X64" s="10">
        <v>29.03</v>
      </c>
      <c r="Y64" s="10">
        <v>29.6</v>
      </c>
      <c r="Z64" s="10">
        <v>28.85</v>
      </c>
      <c r="AA64" s="10">
        <v>29.52</v>
      </c>
      <c r="AB64" s="93">
        <v>8338400</v>
      </c>
      <c r="AC64" s="10">
        <v>29.35</v>
      </c>
      <c r="AD64" s="2">
        <f t="shared" si="0"/>
        <v>0.75</v>
      </c>
      <c r="AE64" s="134">
        <f t="shared" si="1"/>
        <v>1.803676725633041E-2</v>
      </c>
    </row>
    <row r="65" spans="2:31" x14ac:dyDescent="0.25">
      <c r="B65" s="4"/>
      <c r="C65" s="4"/>
      <c r="D65" s="3"/>
      <c r="E65" s="3"/>
      <c r="F65" s="3"/>
      <c r="G65" s="4"/>
      <c r="H65" s="4"/>
      <c r="I65" s="3"/>
      <c r="W65" s="130">
        <v>42740</v>
      </c>
      <c r="X65" s="10">
        <v>28.83</v>
      </c>
      <c r="Y65" s="10">
        <v>29.17</v>
      </c>
      <c r="Z65" s="10">
        <v>28.65</v>
      </c>
      <c r="AA65" s="10">
        <v>29</v>
      </c>
      <c r="AB65" s="93">
        <v>6325400</v>
      </c>
      <c r="AC65" s="10">
        <v>28.83</v>
      </c>
      <c r="AD65" s="2">
        <f t="shared" si="0"/>
        <v>0.52000000000000313</v>
      </c>
      <c r="AE65" s="134">
        <f t="shared" si="1"/>
        <v>-6.9324090121325455E-4</v>
      </c>
    </row>
    <row r="66" spans="2:31" x14ac:dyDescent="0.25">
      <c r="W66" s="130">
        <v>42739</v>
      </c>
      <c r="X66" s="10">
        <v>28.88</v>
      </c>
      <c r="Y66" s="10">
        <v>29.19</v>
      </c>
      <c r="Z66" s="10">
        <v>28.76</v>
      </c>
      <c r="AA66" s="10">
        <v>29.02</v>
      </c>
      <c r="AB66" s="93">
        <v>8645600</v>
      </c>
      <c r="AC66" s="10">
        <v>28.85</v>
      </c>
      <c r="AD66" s="2">
        <f t="shared" si="0"/>
        <v>0.42999999999999972</v>
      </c>
      <c r="AE66" s="134">
        <f t="shared" si="1"/>
        <v>1.0507880910683109E-2</v>
      </c>
    </row>
    <row r="67" spans="2:31" x14ac:dyDescent="0.25">
      <c r="W67" s="130">
        <v>42738</v>
      </c>
      <c r="X67" s="10">
        <v>28.42</v>
      </c>
      <c r="Y67" s="10">
        <v>29.04</v>
      </c>
      <c r="Z67" s="10">
        <v>28.27</v>
      </c>
      <c r="AA67" s="10">
        <v>28.72</v>
      </c>
      <c r="AB67" s="93">
        <v>10597900</v>
      </c>
      <c r="AC67" s="10">
        <v>28.55</v>
      </c>
      <c r="AD67" s="2">
        <f>Y67-Z67</f>
        <v>0.76999999999999957</v>
      </c>
      <c r="AE67" s="134" t="e">
        <f>AC67/#REF!-1</f>
        <v>#REF!</v>
      </c>
    </row>
    <row r="68" spans="2:31" x14ac:dyDescent="0.25">
      <c r="W68" s="130">
        <v>42734</v>
      </c>
      <c r="X68" s="10">
        <v>28.29</v>
      </c>
      <c r="Y68" s="10">
        <v>28.37</v>
      </c>
      <c r="Z68" s="10">
        <v>27.92</v>
      </c>
      <c r="AA68" s="10">
        <v>28.04</v>
      </c>
      <c r="AB68" s="93">
        <v>6161200</v>
      </c>
      <c r="AC68" s="10">
        <v>27.87</v>
      </c>
      <c r="AD68" s="2" t="e">
        <f>#REF!-#REF!</f>
        <v>#REF!</v>
      </c>
      <c r="AE68" s="134" t="e">
        <f>#REF!/AC70-1</f>
        <v>#REF!</v>
      </c>
    </row>
    <row r="69" spans="2:31" x14ac:dyDescent="0.25">
      <c r="W69" s="130" t="s">
        <v>120</v>
      </c>
      <c r="X69" s="10"/>
      <c r="Y69" s="10"/>
      <c r="Z69" s="10"/>
      <c r="AA69" s="10"/>
      <c r="AB69" s="93"/>
      <c r="AC69" s="10"/>
      <c r="AD69" s="2">
        <f>Y70-Z70</f>
        <v>0</v>
      </c>
      <c r="AE69" s="134" t="e">
        <f>AC70/AC71-1</f>
        <v>#DIV/0!</v>
      </c>
    </row>
    <row r="70" spans="2:31" x14ac:dyDescent="0.25">
      <c r="W70" s="130"/>
      <c r="X70" s="10"/>
      <c r="Y70" s="10"/>
      <c r="Z70" s="10"/>
      <c r="AA70" s="10"/>
      <c r="AB70" s="93"/>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504" priority="11">
      <formula>F33&gt;0</formula>
    </cfRule>
    <cfRule type="expression" dxfId="3503" priority="12">
      <formula>F33&lt;0</formula>
    </cfRule>
  </conditionalFormatting>
  <conditionalFormatting sqref="Q7">
    <cfRule type="expression" dxfId="3502" priority="9">
      <formula>Q7&gt;0</formula>
    </cfRule>
    <cfRule type="expression" dxfId="3501" priority="10">
      <formula>Q7&lt;0</formula>
    </cfRule>
  </conditionalFormatting>
  <conditionalFormatting sqref="Q8">
    <cfRule type="expression" dxfId="3500" priority="7">
      <formula>Q8&gt;0</formula>
    </cfRule>
    <cfRule type="expression" dxfId="3499" priority="8">
      <formula>Q8&lt;0</formula>
    </cfRule>
  </conditionalFormatting>
  <conditionalFormatting sqref="F25:F32">
    <cfRule type="expression" dxfId="3498" priority="5">
      <formula>F25&gt;0</formula>
    </cfRule>
    <cfRule type="expression" dxfId="3497" priority="6">
      <formula>F25&lt;0</formula>
    </cfRule>
  </conditionalFormatting>
  <conditionalFormatting sqref="H25:H32">
    <cfRule type="expression" dxfId="3496" priority="3">
      <formula>H25&gt;0</formula>
    </cfRule>
    <cfRule type="expression" dxfId="3495" priority="4">
      <formula>H25&lt;0</formula>
    </cfRule>
  </conditionalFormatting>
  <conditionalFormatting sqref="Q10">
    <cfRule type="expression" dxfId="3494" priority="1">
      <formula>Q10&gt;0</formula>
    </cfRule>
    <cfRule type="expression" dxfId="3493"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318</v>
      </c>
      <c r="B2" s="368">
        <v>42969</v>
      </c>
      <c r="C2" s="4">
        <v>50</v>
      </c>
      <c r="D2" s="3">
        <v>18.100000000000001</v>
      </c>
      <c r="E2" s="3">
        <v>0</v>
      </c>
      <c r="F2" s="3">
        <f t="shared" ref="F2:F7" si="0">C2*D2+E2</f>
        <v>905.00000000000011</v>
      </c>
      <c r="G2" s="368">
        <v>42984</v>
      </c>
      <c r="H2" s="7">
        <v>50</v>
      </c>
      <c r="I2" s="43">
        <v>16.899999999999999</v>
      </c>
      <c r="J2" s="43">
        <v>0.02</v>
      </c>
      <c r="K2" s="43">
        <f t="shared" ref="K2:K10" si="1">H2*I2-J2</f>
        <v>844.9799999999999</v>
      </c>
      <c r="L2" s="72"/>
      <c r="M2" s="3"/>
      <c r="O2" s="11" t="s">
        <v>57</v>
      </c>
      <c r="Q2">
        <f>C18-H18</f>
        <v>0</v>
      </c>
      <c r="T2" s="1" t="s">
        <v>443</v>
      </c>
      <c r="X2" s="660"/>
      <c r="AA2" s="2"/>
      <c r="AD2" s="2"/>
      <c r="AG2" s="2"/>
      <c r="AI2" s="2"/>
      <c r="AM2" s="2"/>
    </row>
    <row r="3" spans="1:39" x14ac:dyDescent="0.25">
      <c r="A3" s="22" t="s">
        <v>71</v>
      </c>
      <c r="B3" s="368">
        <v>42969</v>
      </c>
      <c r="C3" s="4">
        <v>100</v>
      </c>
      <c r="D3" s="3">
        <v>18.100000000000001</v>
      </c>
      <c r="E3" s="3">
        <v>0</v>
      </c>
      <c r="F3" s="3">
        <f t="shared" si="0"/>
        <v>1810.0000000000002</v>
      </c>
      <c r="G3" s="368">
        <v>42986</v>
      </c>
      <c r="H3" s="80">
        <v>200</v>
      </c>
      <c r="I3" s="43">
        <v>14.6</v>
      </c>
      <c r="J3" s="43">
        <v>7.0000000000000007E-2</v>
      </c>
      <c r="K3" s="43">
        <f t="shared" si="1"/>
        <v>2919.93</v>
      </c>
      <c r="L3" s="4"/>
      <c r="M3" s="4"/>
      <c r="O3" s="11" t="s">
        <v>58</v>
      </c>
      <c r="Q3" s="396">
        <f>IF(Q2=0, Q4, (F18-K18-M18)/Q2)</f>
        <v>12</v>
      </c>
      <c r="T3" s="495" t="s">
        <v>464</v>
      </c>
      <c r="AA3" s="2"/>
      <c r="AD3" s="2"/>
      <c r="AG3" s="2"/>
      <c r="AI3" s="2"/>
    </row>
    <row r="4" spans="1:39" x14ac:dyDescent="0.25">
      <c r="B4" s="368">
        <v>42977</v>
      </c>
      <c r="C4" s="4">
        <v>50</v>
      </c>
      <c r="D4" s="3">
        <v>16.535</v>
      </c>
      <c r="E4" s="3">
        <v>0</v>
      </c>
      <c r="F4" s="3">
        <f t="shared" si="0"/>
        <v>826.75</v>
      </c>
      <c r="G4" s="368">
        <v>43040</v>
      </c>
      <c r="H4" s="80">
        <v>100</v>
      </c>
      <c r="I4" s="43">
        <v>14.69</v>
      </c>
      <c r="J4" s="43">
        <v>0.03</v>
      </c>
      <c r="K4" s="43">
        <f t="shared" si="1"/>
        <v>1468.97</v>
      </c>
      <c r="L4" s="4"/>
      <c r="M4" s="4"/>
      <c r="O4" s="11" t="s">
        <v>66</v>
      </c>
      <c r="Q4" s="349">
        <v>12</v>
      </c>
      <c r="R4" s="405">
        <v>2.06E-2</v>
      </c>
      <c r="T4" s="156" t="s">
        <v>465</v>
      </c>
      <c r="U4" s="1"/>
      <c r="AA4" s="2"/>
      <c r="AD4" s="2"/>
      <c r="AG4" s="2"/>
      <c r="AI4" s="2"/>
    </row>
    <row r="5" spans="1:39" x14ac:dyDescent="0.25">
      <c r="A5" s="1"/>
      <c r="B5" s="368">
        <v>42977</v>
      </c>
      <c r="C5" s="7">
        <v>50</v>
      </c>
      <c r="D5" s="43">
        <v>16.535</v>
      </c>
      <c r="E5" s="43">
        <v>0</v>
      </c>
      <c r="F5" s="43">
        <f t="shared" si="0"/>
        <v>826.75</v>
      </c>
      <c r="G5" s="368">
        <v>43069</v>
      </c>
      <c r="H5" s="80">
        <v>100</v>
      </c>
      <c r="I5" s="43">
        <v>14.23</v>
      </c>
      <c r="J5" s="43">
        <v>0.03</v>
      </c>
      <c r="K5" s="43">
        <f t="shared" si="1"/>
        <v>1422.97</v>
      </c>
      <c r="L5" s="4"/>
      <c r="M5" s="4"/>
      <c r="O5" s="11" t="s">
        <v>67</v>
      </c>
      <c r="Q5" s="3">
        <f>Q4*Q2</f>
        <v>0</v>
      </c>
      <c r="T5" t="s">
        <v>466</v>
      </c>
      <c r="AA5" s="2"/>
      <c r="AD5" s="2"/>
      <c r="AG5" s="2"/>
      <c r="AI5" s="2"/>
    </row>
    <row r="6" spans="1:39" x14ac:dyDescent="0.25">
      <c r="B6" s="368">
        <v>42986</v>
      </c>
      <c r="C6" s="7">
        <v>100</v>
      </c>
      <c r="D6" s="43">
        <v>13.84</v>
      </c>
      <c r="E6" s="43">
        <v>0</v>
      </c>
      <c r="F6" s="43">
        <f t="shared" si="0"/>
        <v>1384</v>
      </c>
      <c r="G6" s="368">
        <v>43095</v>
      </c>
      <c r="H6" s="80">
        <v>300</v>
      </c>
      <c r="I6" s="43">
        <v>13.28</v>
      </c>
      <c r="J6" s="43">
        <v>0.09</v>
      </c>
      <c r="K6" s="43">
        <f t="shared" si="1"/>
        <v>3983.91</v>
      </c>
      <c r="L6" s="4"/>
      <c r="M6" s="4"/>
      <c r="O6" s="11" t="s">
        <v>64</v>
      </c>
      <c r="Q6" s="2">
        <f>Q3*Q2</f>
        <v>0</v>
      </c>
      <c r="AA6" s="2"/>
      <c r="AD6" s="2"/>
      <c r="AG6" s="2"/>
      <c r="AI6" s="2"/>
    </row>
    <row r="7" spans="1:39" x14ac:dyDescent="0.25">
      <c r="B7" s="368">
        <v>42986</v>
      </c>
      <c r="C7" s="7">
        <v>100</v>
      </c>
      <c r="D7" s="43">
        <v>13.84</v>
      </c>
      <c r="E7" s="43">
        <v>0</v>
      </c>
      <c r="F7" s="43">
        <f t="shared" si="0"/>
        <v>1384</v>
      </c>
      <c r="G7" s="368">
        <v>43126</v>
      </c>
      <c r="H7" s="80">
        <v>300</v>
      </c>
      <c r="I7" s="43">
        <v>12.48</v>
      </c>
      <c r="J7" s="43">
        <v>0.09</v>
      </c>
      <c r="K7" s="43">
        <f t="shared" si="1"/>
        <v>3743.91</v>
      </c>
      <c r="L7" s="4"/>
      <c r="M7" s="4"/>
      <c r="O7" s="11" t="s">
        <v>177</v>
      </c>
      <c r="Q7" s="2">
        <f>Q10+Q8</f>
        <v>98.479999999995925</v>
      </c>
      <c r="R7">
        <v>0</v>
      </c>
      <c r="T7" s="1">
        <v>43453</v>
      </c>
      <c r="U7" t="s">
        <v>813</v>
      </c>
      <c r="AA7" s="2"/>
      <c r="AD7" s="2"/>
      <c r="AG7" s="2"/>
      <c r="AI7" s="2"/>
    </row>
    <row r="8" spans="1:39" x14ac:dyDescent="0.25">
      <c r="B8" s="368">
        <v>43035</v>
      </c>
      <c r="C8" s="7">
        <v>100</v>
      </c>
      <c r="D8" s="43">
        <v>13.88</v>
      </c>
      <c r="E8" s="43">
        <v>0</v>
      </c>
      <c r="F8" s="43">
        <f t="shared" ref="F8:F14" si="2">C8*D8+E8</f>
        <v>1388</v>
      </c>
      <c r="G8" s="368">
        <v>43161</v>
      </c>
      <c r="H8" s="161">
        <v>200</v>
      </c>
      <c r="I8" s="3">
        <v>9.2799999999999994</v>
      </c>
      <c r="J8" s="3">
        <v>0.04</v>
      </c>
      <c r="K8" s="3">
        <f t="shared" si="1"/>
        <v>1855.9599999999998</v>
      </c>
      <c r="L8" s="4"/>
      <c r="M8" s="4"/>
      <c r="O8" s="11" t="s">
        <v>179</v>
      </c>
      <c r="P8" s="33"/>
      <c r="Q8" s="2">
        <f>K18+M18-F18+Q2*Q4</f>
        <v>-1184.9399999999987</v>
      </c>
      <c r="AA8" s="2"/>
      <c r="AD8" s="2"/>
      <c r="AG8" s="2"/>
      <c r="AI8" s="2"/>
    </row>
    <row r="9" spans="1:39" x14ac:dyDescent="0.25">
      <c r="B9" s="368">
        <v>43048</v>
      </c>
      <c r="C9" s="7">
        <v>100</v>
      </c>
      <c r="D9" s="43">
        <v>12.98</v>
      </c>
      <c r="E9" s="43">
        <v>0</v>
      </c>
      <c r="F9" s="43">
        <f t="shared" si="2"/>
        <v>1298</v>
      </c>
      <c r="G9" s="368">
        <v>43161</v>
      </c>
      <c r="H9" s="161">
        <v>100</v>
      </c>
      <c r="I9" s="3">
        <v>9.6999999999999993</v>
      </c>
      <c r="J9" s="3">
        <v>0.02</v>
      </c>
      <c r="K9" s="3">
        <f t="shared" si="1"/>
        <v>969.9799999999999</v>
      </c>
      <c r="L9" s="4"/>
      <c r="M9" s="4"/>
      <c r="O9" s="11" t="s">
        <v>204</v>
      </c>
      <c r="Q9" s="179">
        <f>IF(Q2=0, 0, Q8/Q6)</f>
        <v>0</v>
      </c>
      <c r="T9" s="29">
        <v>43103</v>
      </c>
      <c r="U9" t="s">
        <v>805</v>
      </c>
      <c r="AA9" s="2"/>
      <c r="AD9" s="2"/>
      <c r="AG9" s="2"/>
      <c r="AI9" s="2"/>
    </row>
    <row r="10" spans="1:39" x14ac:dyDescent="0.25">
      <c r="A10" t="s">
        <v>758</v>
      </c>
      <c r="B10" s="368">
        <v>43089</v>
      </c>
      <c r="C10" s="4">
        <v>100</v>
      </c>
      <c r="D10" s="3">
        <v>13.42</v>
      </c>
      <c r="E10" s="3">
        <v>0</v>
      </c>
      <c r="F10" s="3">
        <f t="shared" si="2"/>
        <v>1342</v>
      </c>
      <c r="G10" s="368">
        <v>43249</v>
      </c>
      <c r="H10" s="161">
        <v>300</v>
      </c>
      <c r="I10" s="3">
        <v>12.75</v>
      </c>
      <c r="J10" s="3">
        <v>0.05</v>
      </c>
      <c r="K10" s="3">
        <f t="shared" si="1"/>
        <v>3824.95</v>
      </c>
      <c r="L10" s="4"/>
      <c r="M10" s="4"/>
      <c r="O10" s="11" t="s">
        <v>203</v>
      </c>
      <c r="P10" s="33"/>
      <c r="Q10" s="2">
        <f>M58</f>
        <v>1283.4199999999946</v>
      </c>
      <c r="U10" t="s">
        <v>806</v>
      </c>
      <c r="AA10" s="2"/>
      <c r="AD10" s="2"/>
      <c r="AG10" s="2"/>
      <c r="AI10" s="2"/>
    </row>
    <row r="11" spans="1:39" x14ac:dyDescent="0.25">
      <c r="B11" s="368">
        <v>43091</v>
      </c>
      <c r="C11" s="7">
        <v>300</v>
      </c>
      <c r="D11" s="43">
        <v>12.88</v>
      </c>
      <c r="E11" s="43">
        <v>0</v>
      </c>
      <c r="F11" s="43">
        <f t="shared" si="2"/>
        <v>3864.0000000000005</v>
      </c>
      <c r="G11" s="4"/>
      <c r="H11" s="161"/>
      <c r="I11" s="3"/>
      <c r="J11" s="3"/>
      <c r="K11" s="3"/>
      <c r="L11" s="4"/>
      <c r="M11" s="4"/>
      <c r="O11" s="11" t="s">
        <v>175</v>
      </c>
      <c r="P11" s="33"/>
      <c r="Q11" s="134">
        <v>0</v>
      </c>
      <c r="U11" t="s">
        <v>807</v>
      </c>
      <c r="AA11" s="2"/>
      <c r="AD11" s="2"/>
      <c r="AG11" s="2"/>
      <c r="AI11" s="2"/>
    </row>
    <row r="12" spans="1:39" x14ac:dyDescent="0.25">
      <c r="B12" s="368">
        <v>43103</v>
      </c>
      <c r="C12" s="7">
        <v>300</v>
      </c>
      <c r="D12" s="43">
        <v>12.16</v>
      </c>
      <c r="E12" s="43">
        <v>0</v>
      </c>
      <c r="F12" s="43">
        <f t="shared" si="2"/>
        <v>3648</v>
      </c>
      <c r="G12" s="4"/>
      <c r="H12" s="161"/>
      <c r="I12" s="3"/>
      <c r="J12" s="3"/>
      <c r="K12" s="3"/>
      <c r="L12" s="4"/>
      <c r="M12" s="4"/>
      <c r="O12" s="11" t="s">
        <v>969</v>
      </c>
      <c r="Q12" s="1"/>
      <c r="AA12" s="2"/>
      <c r="AD12" s="2"/>
      <c r="AG12" s="2"/>
      <c r="AI12" s="2"/>
    </row>
    <row r="13" spans="1:39" x14ac:dyDescent="0.25">
      <c r="B13" s="368">
        <v>43131</v>
      </c>
      <c r="C13" s="4">
        <v>200</v>
      </c>
      <c r="D13" s="3">
        <v>11.88</v>
      </c>
      <c r="E13" s="3">
        <v>0</v>
      </c>
      <c r="F13" s="3">
        <f t="shared" si="2"/>
        <v>2376</v>
      </c>
      <c r="G13" s="4"/>
      <c r="H13" s="161"/>
      <c r="I13" s="3"/>
      <c r="J13" s="3"/>
      <c r="K13" s="3"/>
      <c r="L13" s="4"/>
      <c r="M13" s="4"/>
      <c r="O13" s="11" t="s">
        <v>947</v>
      </c>
      <c r="Q13">
        <f>Q4/0.32</f>
        <v>37.5</v>
      </c>
      <c r="U13" t="s">
        <v>814</v>
      </c>
      <c r="AA13" s="2"/>
      <c r="AD13" s="2"/>
      <c r="AG13" s="2"/>
      <c r="AI13" s="2"/>
    </row>
    <row r="14" spans="1:39" x14ac:dyDescent="0.25">
      <c r="B14" s="368">
        <v>43132</v>
      </c>
      <c r="C14" s="4">
        <v>100</v>
      </c>
      <c r="D14" s="3">
        <v>11.68</v>
      </c>
      <c r="E14" s="3">
        <v>0</v>
      </c>
      <c r="F14" s="3">
        <f t="shared" si="2"/>
        <v>1168</v>
      </c>
      <c r="G14" s="4"/>
      <c r="H14" s="161"/>
      <c r="I14" s="3"/>
      <c r="J14" s="3"/>
      <c r="K14" s="3"/>
      <c r="L14" s="4"/>
      <c r="M14" s="4"/>
      <c r="AA14" s="2"/>
      <c r="AD14" s="2"/>
      <c r="AG14" s="2"/>
      <c r="AI14" s="2"/>
    </row>
    <row r="15" spans="1:39" ht="20.25" thickBot="1" x14ac:dyDescent="0.35">
      <c r="C15" s="4"/>
      <c r="H15" s="70"/>
      <c r="O15" s="884" t="s">
        <v>78</v>
      </c>
      <c r="P15" s="884"/>
      <c r="T15" s="1">
        <v>43114</v>
      </c>
      <c r="U15" t="s">
        <v>845</v>
      </c>
      <c r="AA15" s="2"/>
      <c r="AD15" s="2"/>
      <c r="AG15" s="2"/>
      <c r="AI15" s="2"/>
    </row>
    <row r="16" spans="1:39" ht="15.75" thickTop="1" x14ac:dyDescent="0.25">
      <c r="H16" s="70"/>
      <c r="O16" s="81">
        <v>1.1499999999999999</v>
      </c>
      <c r="P16" s="81">
        <f t="shared" ref="P16:P27" si="3">O16*$Q$4</f>
        <v>13.799999999999999</v>
      </c>
      <c r="U16" s="405" t="s">
        <v>846</v>
      </c>
      <c r="AA16" s="2"/>
      <c r="AD16" s="2"/>
      <c r="AG16" s="2"/>
      <c r="AI16" s="2"/>
    </row>
    <row r="17" spans="1:39" x14ac:dyDescent="0.25">
      <c r="O17" s="81">
        <v>1.1399999999999999</v>
      </c>
      <c r="P17" s="81">
        <f t="shared" si="3"/>
        <v>13.68</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81">
        <v>1.1299999999999999</v>
      </c>
      <c r="P18" s="81">
        <f t="shared" si="3"/>
        <v>13.559999999999999</v>
      </c>
      <c r="T18" s="1">
        <v>43140</v>
      </c>
      <c r="U18" t="s">
        <v>900</v>
      </c>
      <c r="X18" s="134"/>
    </row>
    <row r="19" spans="1:39" ht="15.75" thickBot="1" x14ac:dyDescent="0.3">
      <c r="A19" s="277" t="s">
        <v>191</v>
      </c>
      <c r="B19" s="278"/>
      <c r="C19" s="279">
        <f>SumByColor($A$19,C2:C17)</f>
        <v>1050</v>
      </c>
      <c r="D19" s="279"/>
      <c r="E19" s="279"/>
      <c r="F19" s="280">
        <f>SumByColor($A$19,F2:F17)</f>
        <v>13793</v>
      </c>
      <c r="G19" s="279"/>
      <c r="H19" s="279">
        <f>SumByColor($A$19,H2:H17)</f>
        <v>1050</v>
      </c>
      <c r="I19" s="279"/>
      <c r="J19" s="279"/>
      <c r="K19" s="280">
        <f>SumByColor($A$19,K2:K17)</f>
        <v>14385</v>
      </c>
      <c r="L19" s="279"/>
      <c r="M19" s="280">
        <f>SumByColor($A$19,M2:M17)</f>
        <v>0</v>
      </c>
      <c r="O19" s="81">
        <v>1.1200000000000001</v>
      </c>
      <c r="P19" s="81">
        <f t="shared" si="3"/>
        <v>13.440000000000001</v>
      </c>
      <c r="X19" s="134"/>
    </row>
    <row r="20" spans="1:39" x14ac:dyDescent="0.25">
      <c r="O20" s="81">
        <v>1.1100000000000001</v>
      </c>
      <c r="P20" s="81">
        <f t="shared" si="3"/>
        <v>13.32</v>
      </c>
      <c r="T20" s="1">
        <v>43152</v>
      </c>
      <c r="U20" t="s">
        <v>904</v>
      </c>
      <c r="X20" s="134"/>
    </row>
    <row r="21" spans="1:39" x14ac:dyDescent="0.25">
      <c r="O21" s="81">
        <v>1.1000000000000001</v>
      </c>
      <c r="P21" s="81">
        <f t="shared" si="3"/>
        <v>13.200000000000001</v>
      </c>
      <c r="X21" s="134"/>
    </row>
    <row r="22" spans="1:39" x14ac:dyDescent="0.25">
      <c r="O22" s="81">
        <v>1.0900000000000001</v>
      </c>
      <c r="P22" s="81">
        <f t="shared" si="3"/>
        <v>13.080000000000002</v>
      </c>
      <c r="T22" s="1">
        <v>43160</v>
      </c>
      <c r="U22" t="s">
        <v>852</v>
      </c>
      <c r="X22" s="134"/>
    </row>
    <row r="23" spans="1:39" x14ac:dyDescent="0.25">
      <c r="O23" s="81">
        <v>1.08</v>
      </c>
      <c r="P23" s="81">
        <f t="shared" si="3"/>
        <v>12.96</v>
      </c>
      <c r="X23" s="134"/>
    </row>
    <row r="24" spans="1:39" x14ac:dyDescent="0.25">
      <c r="B24" s="162" t="s">
        <v>113</v>
      </c>
      <c r="C24" s="162" t="s">
        <v>145</v>
      </c>
      <c r="D24" s="163" t="s">
        <v>144</v>
      </c>
      <c r="E24" s="165" t="s">
        <v>146</v>
      </c>
      <c r="F24" s="165" t="s">
        <v>65</v>
      </c>
      <c r="G24" s="177" t="s">
        <v>150</v>
      </c>
      <c r="H24" s="177" t="s">
        <v>88</v>
      </c>
      <c r="I24" s="177" t="s">
        <v>153</v>
      </c>
      <c r="J24" s="177" t="s">
        <v>149</v>
      </c>
      <c r="K24" s="177" t="s">
        <v>487</v>
      </c>
      <c r="O24" s="81">
        <v>1.07</v>
      </c>
      <c r="P24" s="81">
        <f t="shared" si="3"/>
        <v>12.84</v>
      </c>
      <c r="T24" s="1">
        <v>43191</v>
      </c>
      <c r="U24" t="s">
        <v>967</v>
      </c>
      <c r="X24" s="134"/>
    </row>
    <row r="25" spans="1:39" x14ac:dyDescent="0.25">
      <c r="A25" s="4"/>
      <c r="B25" s="164">
        <v>42969</v>
      </c>
      <c r="C25" s="10">
        <v>150</v>
      </c>
      <c r="D25" s="171">
        <v>18.100000000000001</v>
      </c>
      <c r="E25" s="39">
        <v>18.010000000000002</v>
      </c>
      <c r="F25" s="39">
        <f t="shared" ref="F25:F30" si="4">C25*(E25-D25)</f>
        <v>-13.499999999999979</v>
      </c>
      <c r="G25" s="39">
        <f t="shared" ref="G25:G30" si="5">D25*C25</f>
        <v>2715</v>
      </c>
      <c r="H25" s="179">
        <f t="shared" ref="H25:H30" si="6">(E25-D25)/D25</f>
        <v>-4.9723756906077266E-3</v>
      </c>
      <c r="I25" s="39"/>
      <c r="J25" s="39"/>
      <c r="K25" s="39"/>
      <c r="L25" s="4"/>
      <c r="O25" s="81">
        <v>1.06</v>
      </c>
      <c r="P25" s="81">
        <f t="shared" si="3"/>
        <v>12.72</v>
      </c>
      <c r="X25" s="134"/>
    </row>
    <row r="26" spans="1:39" x14ac:dyDescent="0.25">
      <c r="A26" s="4"/>
      <c r="B26" s="164">
        <v>42977</v>
      </c>
      <c r="C26" s="10">
        <v>250</v>
      </c>
      <c r="D26" s="171">
        <v>17.474</v>
      </c>
      <c r="E26" s="39">
        <v>16.510000000000002</v>
      </c>
      <c r="F26" s="39">
        <f t="shared" si="4"/>
        <v>-240.99999999999966</v>
      </c>
      <c r="G26" s="39">
        <f t="shared" si="5"/>
        <v>4368.5</v>
      </c>
      <c r="H26" s="179">
        <f t="shared" si="6"/>
        <v>-5.5167677692571741E-2</v>
      </c>
      <c r="I26" s="39"/>
      <c r="J26" s="39"/>
      <c r="K26" s="39"/>
      <c r="L26" s="4"/>
      <c r="O26" s="81">
        <v>1.05</v>
      </c>
      <c r="P26" s="81">
        <f t="shared" si="3"/>
        <v>12.600000000000001</v>
      </c>
      <c r="T26" s="1">
        <v>43237</v>
      </c>
      <c r="U26" t="s">
        <v>1061</v>
      </c>
      <c r="X26" s="134"/>
    </row>
    <row r="27" spans="1:39" x14ac:dyDescent="0.25">
      <c r="A27" s="4"/>
      <c r="B27" s="164">
        <v>42983</v>
      </c>
      <c r="C27" s="10">
        <v>250</v>
      </c>
      <c r="D27" s="171">
        <v>17.474</v>
      </c>
      <c r="E27" s="39">
        <v>16.309999999999999</v>
      </c>
      <c r="F27" s="39">
        <f t="shared" si="4"/>
        <v>-291.00000000000034</v>
      </c>
      <c r="G27" s="39">
        <f t="shared" si="5"/>
        <v>4368.5</v>
      </c>
      <c r="H27" s="179">
        <f t="shared" si="6"/>
        <v>-6.6613253977337847E-2</v>
      </c>
      <c r="I27" s="39"/>
      <c r="J27" s="39">
        <v>992</v>
      </c>
      <c r="K27" s="39"/>
      <c r="L27" s="4"/>
      <c r="O27" s="81">
        <v>1.04</v>
      </c>
      <c r="P27" s="81">
        <f t="shared" si="3"/>
        <v>12.48</v>
      </c>
      <c r="X27" s="134"/>
    </row>
    <row r="28" spans="1:39" x14ac:dyDescent="0.25">
      <c r="A28" s="4"/>
      <c r="B28" s="164">
        <v>42984</v>
      </c>
      <c r="C28" s="10">
        <v>200</v>
      </c>
      <c r="D28" s="171">
        <v>17.617599999999999</v>
      </c>
      <c r="E28" s="39">
        <v>16.899999999999999</v>
      </c>
      <c r="F28" s="39">
        <f t="shared" si="4"/>
        <v>-143.52000000000018</v>
      </c>
      <c r="G28" s="39">
        <f t="shared" si="5"/>
        <v>3523.52</v>
      </c>
      <c r="H28" s="179">
        <f t="shared" si="6"/>
        <v>-4.0731995277449876E-2</v>
      </c>
      <c r="I28" s="39"/>
      <c r="J28" s="39">
        <v>1082</v>
      </c>
      <c r="K28" s="39"/>
      <c r="L28" s="4"/>
      <c r="O28" s="81">
        <v>1.03</v>
      </c>
      <c r="P28" s="81">
        <f t="shared" ref="P28:P41" si="7">O28*$Q$4</f>
        <v>12.36</v>
      </c>
      <c r="X28" s="134"/>
    </row>
    <row r="29" spans="1:39" x14ac:dyDescent="0.25">
      <c r="A29" s="4"/>
      <c r="B29" s="164">
        <v>42986</v>
      </c>
      <c r="C29" s="10">
        <v>200</v>
      </c>
      <c r="D29" s="171">
        <v>16.857949999999999</v>
      </c>
      <c r="E29" s="39">
        <v>13.8</v>
      </c>
      <c r="F29" s="39">
        <f t="shared" si="4"/>
        <v>-611.58999999999969</v>
      </c>
      <c r="G29" s="39">
        <f t="shared" si="5"/>
        <v>3371.5899999999997</v>
      </c>
      <c r="H29" s="179">
        <f t="shared" si="6"/>
        <v>-0.18139512811462832</v>
      </c>
      <c r="I29" s="39"/>
      <c r="J29" s="39">
        <v>672</v>
      </c>
      <c r="K29" s="39"/>
      <c r="L29" s="4"/>
      <c r="O29" s="81">
        <v>1.02</v>
      </c>
      <c r="P29" s="81">
        <f t="shared" si="7"/>
        <v>12.24</v>
      </c>
      <c r="X29" s="134"/>
    </row>
    <row r="30" spans="1:39" x14ac:dyDescent="0.25">
      <c r="A30" s="4"/>
      <c r="B30" s="164">
        <v>42999</v>
      </c>
      <c r="C30" s="10">
        <v>200</v>
      </c>
      <c r="D30" s="171">
        <v>16.858000000000001</v>
      </c>
      <c r="E30" s="39">
        <v>15.16</v>
      </c>
      <c r="F30" s="39">
        <f t="shared" si="4"/>
        <v>-339.60000000000008</v>
      </c>
      <c r="G30" s="39">
        <f t="shared" si="5"/>
        <v>3371.6</v>
      </c>
      <c r="H30" s="179">
        <f t="shared" si="6"/>
        <v>-0.10072369201566024</v>
      </c>
      <c r="I30" s="39"/>
      <c r="J30" s="39">
        <v>944</v>
      </c>
      <c r="K30" s="39"/>
      <c r="L30" s="4"/>
      <c r="O30" s="81">
        <v>1.01</v>
      </c>
      <c r="P30" s="81">
        <f t="shared" si="7"/>
        <v>12.120000000000001</v>
      </c>
      <c r="X30" s="134"/>
    </row>
    <row r="31" spans="1:39" x14ac:dyDescent="0.25">
      <c r="A31" s="4"/>
      <c r="B31" s="164">
        <v>43023</v>
      </c>
      <c r="C31" s="10">
        <v>200</v>
      </c>
      <c r="D31" s="171">
        <v>16.858000000000001</v>
      </c>
      <c r="E31" s="39">
        <v>14.1</v>
      </c>
      <c r="F31" s="39">
        <f t="shared" ref="F31:F39" si="8">C31*(E31-D31)</f>
        <v>-551.60000000000014</v>
      </c>
      <c r="G31" s="39">
        <f t="shared" ref="G31:G39" si="9">D31*C31</f>
        <v>3371.6</v>
      </c>
      <c r="H31" s="179">
        <f t="shared" ref="H31:H39" si="10">(E31-D31)/D31</f>
        <v>-0.16360185075335157</v>
      </c>
      <c r="I31" s="39"/>
      <c r="J31" s="39">
        <v>732</v>
      </c>
      <c r="K31" s="39"/>
      <c r="L31" s="4"/>
      <c r="O31" s="81">
        <v>1</v>
      </c>
      <c r="P31" s="81">
        <f t="shared" si="7"/>
        <v>12</v>
      </c>
      <c r="X31" s="134"/>
    </row>
    <row r="32" spans="1:39" x14ac:dyDescent="0.25">
      <c r="A32" s="4"/>
      <c r="B32" s="164">
        <v>43035</v>
      </c>
      <c r="C32" s="7">
        <v>300</v>
      </c>
      <c r="D32" s="77">
        <v>15.8653</v>
      </c>
      <c r="E32" s="39">
        <v>13.88</v>
      </c>
      <c r="F32" s="39">
        <f t="shared" si="8"/>
        <v>-595.58999999999958</v>
      </c>
      <c r="G32" s="39">
        <f t="shared" si="9"/>
        <v>4759.59</v>
      </c>
      <c r="H32" s="179">
        <f t="shared" si="10"/>
        <v>-0.12513472799127648</v>
      </c>
      <c r="I32" s="39"/>
      <c r="J32" s="39"/>
      <c r="K32" s="39"/>
      <c r="L32" s="4"/>
      <c r="O32" s="81">
        <v>0.99</v>
      </c>
      <c r="P32" s="81">
        <f t="shared" si="7"/>
        <v>11.879999999999999</v>
      </c>
      <c r="X32" s="134"/>
    </row>
    <row r="33" spans="1:24" x14ac:dyDescent="0.25">
      <c r="A33" s="4">
        <v>100</v>
      </c>
      <c r="B33" s="164">
        <v>43040</v>
      </c>
      <c r="C33" s="10">
        <v>200</v>
      </c>
      <c r="D33" s="171">
        <v>16.453099999999999</v>
      </c>
      <c r="E33" s="39">
        <v>14.44</v>
      </c>
      <c r="F33" s="39">
        <f t="shared" si="8"/>
        <v>-402.61999999999995</v>
      </c>
      <c r="G33" s="39">
        <f t="shared" si="9"/>
        <v>3290.62</v>
      </c>
      <c r="H33" s="179">
        <f t="shared" si="10"/>
        <v>-0.12235384213309344</v>
      </c>
      <c r="I33" s="39"/>
      <c r="J33" s="39">
        <v>880.8</v>
      </c>
      <c r="K33" s="39"/>
      <c r="L33" s="4"/>
      <c r="O33" s="81">
        <v>0.98</v>
      </c>
      <c r="P33" s="81">
        <f t="shared" si="7"/>
        <v>11.76</v>
      </c>
      <c r="X33" s="134"/>
    </row>
    <row r="34" spans="1:24" x14ac:dyDescent="0.25">
      <c r="A34" s="4">
        <v>100</v>
      </c>
      <c r="B34" s="164">
        <v>43048</v>
      </c>
      <c r="C34" s="7">
        <v>300</v>
      </c>
      <c r="D34" s="77">
        <v>15.295400000000001</v>
      </c>
      <c r="E34" s="39">
        <v>13.44</v>
      </c>
      <c r="F34" s="39">
        <f t="shared" si="8"/>
        <v>-556.62000000000035</v>
      </c>
      <c r="G34" s="39">
        <f t="shared" si="9"/>
        <v>4588.62</v>
      </c>
      <c r="H34" s="179">
        <f t="shared" si="10"/>
        <v>-0.12130444447350192</v>
      </c>
      <c r="I34" s="39"/>
      <c r="J34" s="39">
        <v>727</v>
      </c>
      <c r="K34" s="39"/>
      <c r="L34" s="4"/>
      <c r="O34" s="81">
        <v>0.97</v>
      </c>
      <c r="P34" s="81">
        <f t="shared" si="7"/>
        <v>11.64</v>
      </c>
      <c r="X34" s="134"/>
    </row>
    <row r="35" spans="1:24" x14ac:dyDescent="0.25">
      <c r="A35" s="4"/>
      <c r="B35" s="164">
        <v>43069</v>
      </c>
      <c r="C35" s="10">
        <v>200</v>
      </c>
      <c r="D35" s="171">
        <v>15.828250000000001</v>
      </c>
      <c r="E35" s="39">
        <v>14.03</v>
      </c>
      <c r="F35" s="39">
        <f t="shared" si="8"/>
        <v>-359.65000000000026</v>
      </c>
      <c r="G35" s="39">
        <f t="shared" si="9"/>
        <v>3165.65</v>
      </c>
      <c r="H35" s="179">
        <f t="shared" si="10"/>
        <v>-0.11361015905106384</v>
      </c>
      <c r="I35" s="39"/>
      <c r="J35" s="39">
        <v>924</v>
      </c>
      <c r="K35" s="39"/>
      <c r="L35" s="4"/>
      <c r="O35" s="81">
        <v>0.96</v>
      </c>
      <c r="P35" s="81">
        <f t="shared" si="7"/>
        <v>11.52</v>
      </c>
      <c r="X35" s="134"/>
    </row>
    <row r="36" spans="1:24" x14ac:dyDescent="0.25">
      <c r="A36" s="4">
        <v>200</v>
      </c>
      <c r="B36" s="164">
        <v>43089</v>
      </c>
      <c r="C36" s="7">
        <v>300</v>
      </c>
      <c r="D36" s="77">
        <v>15.026</v>
      </c>
      <c r="E36" s="39">
        <v>13.38</v>
      </c>
      <c r="F36" s="39">
        <f t="shared" si="8"/>
        <v>-493.79999999999973</v>
      </c>
      <c r="G36" s="39">
        <f t="shared" si="9"/>
        <v>4507.8</v>
      </c>
      <c r="H36" s="179">
        <f t="shared" si="10"/>
        <v>-0.10954345800612265</v>
      </c>
      <c r="I36" s="39">
        <v>14.75</v>
      </c>
      <c r="J36" s="39">
        <v>790</v>
      </c>
      <c r="K36" s="39"/>
      <c r="L36" s="4"/>
      <c r="O36" s="81">
        <v>0.95</v>
      </c>
      <c r="P36" s="81">
        <f t="shared" si="7"/>
        <v>11.399999999999999</v>
      </c>
      <c r="X36" s="134"/>
    </row>
    <row r="37" spans="1:24" x14ac:dyDescent="0.25">
      <c r="A37" s="4">
        <v>200</v>
      </c>
      <c r="B37" s="164">
        <v>43091</v>
      </c>
      <c r="C37" s="10">
        <v>600</v>
      </c>
      <c r="D37" s="171">
        <v>13.952999999999999</v>
      </c>
      <c r="E37" s="39">
        <v>12.99</v>
      </c>
      <c r="F37" s="39">
        <f t="shared" si="8"/>
        <v>-577.7999999999995</v>
      </c>
      <c r="G37" s="39">
        <f t="shared" si="9"/>
        <v>8371.7999999999993</v>
      </c>
      <c r="H37" s="179">
        <f t="shared" si="10"/>
        <v>-6.9017415609546273E-2</v>
      </c>
      <c r="I37" s="39"/>
      <c r="J37" s="39">
        <v>706</v>
      </c>
      <c r="K37" s="39"/>
      <c r="L37" s="4"/>
      <c r="O37" s="81">
        <v>0.94</v>
      </c>
      <c r="P37" s="81">
        <f t="shared" si="7"/>
        <v>11.28</v>
      </c>
      <c r="X37" s="134"/>
    </row>
    <row r="38" spans="1:24" x14ac:dyDescent="0.25">
      <c r="A38" s="4">
        <v>0</v>
      </c>
      <c r="B38" s="164">
        <v>43095</v>
      </c>
      <c r="C38" s="7">
        <v>300</v>
      </c>
      <c r="D38" s="77">
        <v>14.625999999999999</v>
      </c>
      <c r="E38" s="39">
        <v>13.28</v>
      </c>
      <c r="F38" s="39">
        <f t="shared" si="8"/>
        <v>-403.8</v>
      </c>
      <c r="G38" s="39">
        <f t="shared" si="9"/>
        <v>4387.8</v>
      </c>
      <c r="H38" s="179">
        <f t="shared" si="10"/>
        <v>-9.2027895528510886E-2</v>
      </c>
      <c r="I38" s="438" t="s">
        <v>883</v>
      </c>
      <c r="J38" s="39">
        <v>880</v>
      </c>
      <c r="K38" s="39"/>
      <c r="L38" s="4"/>
      <c r="O38" s="81">
        <v>0.93</v>
      </c>
      <c r="P38" s="81">
        <f t="shared" si="7"/>
        <v>11.16</v>
      </c>
      <c r="X38" s="134"/>
    </row>
    <row r="39" spans="1:24" x14ac:dyDescent="0.25">
      <c r="A39" s="4">
        <v>0</v>
      </c>
      <c r="B39" s="164">
        <v>43103</v>
      </c>
      <c r="C39" s="10">
        <v>600</v>
      </c>
      <c r="D39" s="171">
        <v>13.392899999999999</v>
      </c>
      <c r="E39" s="39">
        <v>12.14</v>
      </c>
      <c r="F39" s="39">
        <f t="shared" si="8"/>
        <v>-751.7399999999991</v>
      </c>
      <c r="G39" s="39">
        <f t="shared" si="9"/>
        <v>8035.74</v>
      </c>
      <c r="H39" s="179">
        <f t="shared" si="10"/>
        <v>-9.3549567308051182E-2</v>
      </c>
      <c r="I39" s="39"/>
      <c r="J39" s="39">
        <v>532</v>
      </c>
      <c r="K39" s="39">
        <v>36</v>
      </c>
      <c r="L39" s="4"/>
      <c r="O39" s="81">
        <v>0.92</v>
      </c>
      <c r="P39" s="81">
        <f t="shared" si="7"/>
        <v>11.040000000000001</v>
      </c>
      <c r="X39" s="134"/>
    </row>
    <row r="40" spans="1:24" x14ac:dyDescent="0.25">
      <c r="A40" s="4">
        <v>0</v>
      </c>
      <c r="B40" s="164">
        <v>43108</v>
      </c>
      <c r="C40" s="480">
        <v>600</v>
      </c>
      <c r="D40" s="505">
        <v>13.392899999999999</v>
      </c>
      <c r="E40" s="39">
        <v>12.09</v>
      </c>
      <c r="F40" s="39">
        <f t="shared" ref="F40:F45" si="11">C40*(E40-D40)</f>
        <v>-781.73999999999955</v>
      </c>
      <c r="G40" s="39">
        <f t="shared" ref="G40:G45" si="12">D40*C40</f>
        <v>8035.74</v>
      </c>
      <c r="H40" s="179">
        <f t="shared" ref="H40:H45" si="13">(E40-D40)/D40</f>
        <v>-9.7282888694756126E-2</v>
      </c>
      <c r="I40" s="39"/>
      <c r="J40" s="39">
        <v>502</v>
      </c>
      <c r="K40" s="39"/>
      <c r="L40" s="4"/>
      <c r="O40" s="81">
        <v>0.91</v>
      </c>
      <c r="P40" s="81">
        <f t="shared" si="7"/>
        <v>10.92</v>
      </c>
      <c r="X40" s="134"/>
    </row>
    <row r="41" spans="1:24" x14ac:dyDescent="0.25">
      <c r="A41" s="4">
        <v>0</v>
      </c>
      <c r="B41" s="164">
        <v>43110</v>
      </c>
      <c r="C41" s="10">
        <v>600</v>
      </c>
      <c r="D41" s="171">
        <v>13.393000000000001</v>
      </c>
      <c r="E41" s="39">
        <v>11.9</v>
      </c>
      <c r="F41" s="39">
        <f t="shared" si="11"/>
        <v>-895.80000000000018</v>
      </c>
      <c r="G41" s="39">
        <f t="shared" si="12"/>
        <v>8035.8</v>
      </c>
      <c r="H41" s="179">
        <f t="shared" si="13"/>
        <v>-0.1114761442544613</v>
      </c>
      <c r="I41" s="39"/>
      <c r="J41" s="39">
        <v>388</v>
      </c>
      <c r="K41" s="39"/>
      <c r="L41" s="4"/>
      <c r="O41" s="81">
        <v>0.9</v>
      </c>
      <c r="P41" s="81">
        <f t="shared" si="7"/>
        <v>10.8</v>
      </c>
      <c r="X41" s="134"/>
    </row>
    <row r="42" spans="1:24" x14ac:dyDescent="0.25">
      <c r="A42" s="4">
        <v>0</v>
      </c>
      <c r="B42" s="164">
        <v>43126</v>
      </c>
      <c r="C42" s="7">
        <v>300</v>
      </c>
      <c r="D42" s="77">
        <v>14.305999999999999</v>
      </c>
      <c r="E42" s="39">
        <v>12.48</v>
      </c>
      <c r="F42" s="39">
        <f t="shared" si="11"/>
        <v>-547.79999999999961</v>
      </c>
      <c r="G42" s="39">
        <f t="shared" si="12"/>
        <v>4291.8</v>
      </c>
      <c r="H42" s="179">
        <f t="shared" si="13"/>
        <v>-0.12763875297078142</v>
      </c>
      <c r="I42" s="438" t="s">
        <v>884</v>
      </c>
      <c r="J42" s="39">
        <v>736</v>
      </c>
      <c r="K42" s="39"/>
      <c r="L42" s="4"/>
      <c r="O42" s="81">
        <v>0.89</v>
      </c>
      <c r="P42" s="81">
        <f>O42*$Q$4</f>
        <v>10.68</v>
      </c>
      <c r="Q42" s="2"/>
      <c r="X42" s="134"/>
    </row>
    <row r="43" spans="1:24" x14ac:dyDescent="0.25">
      <c r="A43" s="4">
        <v>0</v>
      </c>
      <c r="B43" s="164">
        <v>43131</v>
      </c>
      <c r="C43" s="10">
        <v>500</v>
      </c>
      <c r="D43" s="171">
        <v>13.335660000000001</v>
      </c>
      <c r="E43" s="39">
        <v>11.93</v>
      </c>
      <c r="F43" s="39">
        <f t="shared" si="11"/>
        <v>-702.8300000000005</v>
      </c>
      <c r="G43" s="39">
        <f t="shared" si="12"/>
        <v>6667.83</v>
      </c>
      <c r="H43" s="179">
        <f t="shared" si="13"/>
        <v>-0.10540610663439237</v>
      </c>
      <c r="I43" s="39"/>
      <c r="J43" s="39">
        <v>581</v>
      </c>
      <c r="K43" s="39"/>
      <c r="L43" s="4"/>
      <c r="O43" s="81">
        <v>0.88</v>
      </c>
      <c r="P43" s="81">
        <f>O43*$Q$4</f>
        <v>10.56</v>
      </c>
      <c r="Q43" s="2"/>
      <c r="X43" s="134"/>
    </row>
    <row r="44" spans="1:24" x14ac:dyDescent="0.25">
      <c r="A44" s="4"/>
      <c r="B44" s="164">
        <v>43132</v>
      </c>
      <c r="C44" s="480">
        <v>600</v>
      </c>
      <c r="D44" s="505">
        <v>13.06</v>
      </c>
      <c r="E44" s="39">
        <v>11.45</v>
      </c>
      <c r="F44" s="39">
        <f t="shared" si="11"/>
        <v>-966.00000000000068</v>
      </c>
      <c r="G44" s="39">
        <f t="shared" si="12"/>
        <v>7836</v>
      </c>
      <c r="H44" s="179">
        <f t="shared" si="13"/>
        <v>-0.1232771822358347</v>
      </c>
      <c r="I44" s="39"/>
      <c r="J44" s="39">
        <v>318</v>
      </c>
      <c r="K44" s="39"/>
      <c r="L44" s="4"/>
      <c r="O44" s="81">
        <v>0.87</v>
      </c>
      <c r="P44" s="81">
        <f>O44*$Q$4</f>
        <v>10.44</v>
      </c>
      <c r="Q44" s="2"/>
      <c r="X44" s="134"/>
    </row>
    <row r="45" spans="1:24" x14ac:dyDescent="0.25">
      <c r="A45" s="4"/>
      <c r="B45" s="164">
        <v>43137</v>
      </c>
      <c r="C45" s="10">
        <v>600</v>
      </c>
      <c r="D45" s="171">
        <v>13.06</v>
      </c>
      <c r="E45" s="39">
        <v>10.6</v>
      </c>
      <c r="F45" s="39">
        <f t="shared" si="11"/>
        <v>-1476.0000000000005</v>
      </c>
      <c r="G45" s="39">
        <f t="shared" si="12"/>
        <v>7836</v>
      </c>
      <c r="H45" s="179">
        <f t="shared" si="13"/>
        <v>-0.18836140888208275</v>
      </c>
      <c r="I45" s="39"/>
      <c r="J45" s="39">
        <v>-192</v>
      </c>
      <c r="K45" s="39"/>
      <c r="L45" s="4"/>
      <c r="O45" s="81"/>
      <c r="P45" s="81"/>
      <c r="Q45" s="2"/>
      <c r="X45" s="134"/>
    </row>
    <row r="46" spans="1:24" x14ac:dyDescent="0.25">
      <c r="A46" s="4"/>
      <c r="B46" s="164">
        <v>43151</v>
      </c>
      <c r="C46" s="10">
        <v>600</v>
      </c>
      <c r="D46" s="171">
        <v>13.06</v>
      </c>
      <c r="E46" s="39">
        <v>10.18</v>
      </c>
      <c r="F46" s="39">
        <f t="shared" ref="F46:F53" si="14">C46*(E46-D46)</f>
        <v>-1728.0000000000005</v>
      </c>
      <c r="G46" s="39">
        <f t="shared" ref="G46:G53" si="15">D46*C46</f>
        <v>7836</v>
      </c>
      <c r="H46" s="179">
        <f t="shared" ref="H46:H53" si="16">(E46-D46)/D46</f>
        <v>-0.22052067381317003</v>
      </c>
      <c r="I46" s="39"/>
      <c r="J46" s="39">
        <v>-444</v>
      </c>
      <c r="K46" s="39"/>
      <c r="L46" s="4"/>
      <c r="O46" s="81"/>
      <c r="P46" s="81"/>
      <c r="Q46" s="2"/>
      <c r="X46" s="134"/>
    </row>
    <row r="47" spans="1:24" x14ac:dyDescent="0.25">
      <c r="A47" s="4">
        <v>300</v>
      </c>
      <c r="B47" s="164">
        <v>43158</v>
      </c>
      <c r="C47" s="10">
        <v>600</v>
      </c>
      <c r="D47" s="171">
        <v>13.06</v>
      </c>
      <c r="E47" s="39">
        <v>9.3000000000000007</v>
      </c>
      <c r="F47" s="39">
        <f t="shared" si="14"/>
        <v>-2256</v>
      </c>
      <c r="G47" s="39">
        <f t="shared" si="15"/>
        <v>7836</v>
      </c>
      <c r="H47" s="179">
        <f t="shared" si="16"/>
        <v>-0.28790199081163859</v>
      </c>
      <c r="I47" s="39"/>
      <c r="J47" s="39">
        <v>-972</v>
      </c>
      <c r="K47" s="39"/>
      <c r="L47" s="4"/>
      <c r="O47" s="81"/>
      <c r="P47" s="81"/>
      <c r="Q47" s="2"/>
      <c r="S47" t="s">
        <v>471</v>
      </c>
      <c r="T47" s="495" t="s">
        <v>464</v>
      </c>
      <c r="X47" s="134"/>
    </row>
    <row r="48" spans="1:24" x14ac:dyDescent="0.25">
      <c r="A48" s="4">
        <v>300</v>
      </c>
      <c r="B48" s="164">
        <v>43162</v>
      </c>
      <c r="C48" s="7">
        <v>300</v>
      </c>
      <c r="D48" s="77">
        <v>16.7</v>
      </c>
      <c r="E48" s="39">
        <v>9.75</v>
      </c>
      <c r="F48" s="39">
        <f t="shared" si="14"/>
        <v>-2085</v>
      </c>
      <c r="G48" s="39">
        <f t="shared" si="15"/>
        <v>5010</v>
      </c>
      <c r="H48" s="179">
        <f t="shared" si="16"/>
        <v>-0.41616766467065863</v>
      </c>
      <c r="I48" s="39"/>
      <c r="J48" s="39">
        <v>-801</v>
      </c>
      <c r="K48" s="39"/>
      <c r="L48" s="4"/>
      <c r="O48" s="81"/>
      <c r="P48" s="81"/>
      <c r="Q48" s="2"/>
      <c r="S48" t="s">
        <v>475</v>
      </c>
      <c r="T48" s="22" t="s">
        <v>474</v>
      </c>
      <c r="X48" s="134"/>
    </row>
    <row r="49" spans="1:24" x14ac:dyDescent="0.25">
      <c r="A49" s="4"/>
      <c r="B49" s="164">
        <v>43172</v>
      </c>
      <c r="C49" s="7">
        <v>300</v>
      </c>
      <c r="D49" s="77">
        <v>16.7</v>
      </c>
      <c r="E49" s="39">
        <v>10.58</v>
      </c>
      <c r="F49" s="39">
        <f t="shared" si="14"/>
        <v>-1835.9999999999998</v>
      </c>
      <c r="G49" s="39">
        <f t="shared" si="15"/>
        <v>5010</v>
      </c>
      <c r="H49" s="179">
        <f t="shared" si="16"/>
        <v>-0.36646706586826344</v>
      </c>
      <c r="I49" s="39"/>
      <c r="J49" s="39">
        <v>-552</v>
      </c>
      <c r="K49" s="39"/>
      <c r="L49" s="4"/>
      <c r="O49" s="81"/>
      <c r="P49" s="81"/>
      <c r="Q49" s="2"/>
      <c r="S49" t="s">
        <v>476</v>
      </c>
      <c r="T49" s="22" t="s">
        <v>477</v>
      </c>
      <c r="X49" s="134"/>
    </row>
    <row r="50" spans="1:24" x14ac:dyDescent="0.25">
      <c r="A50" s="4">
        <v>300</v>
      </c>
      <c r="B50" s="164">
        <v>43184</v>
      </c>
      <c r="C50" s="7">
        <v>300</v>
      </c>
      <c r="D50" s="77">
        <v>16.7</v>
      </c>
      <c r="E50" s="39">
        <v>9.84</v>
      </c>
      <c r="F50" s="39">
        <f t="shared" si="14"/>
        <v>-2058</v>
      </c>
      <c r="G50" s="39">
        <f t="shared" si="15"/>
        <v>5010</v>
      </c>
      <c r="H50" s="179">
        <f t="shared" si="16"/>
        <v>-0.41077844311377243</v>
      </c>
      <c r="I50" s="39"/>
      <c r="J50" s="39">
        <v>-775</v>
      </c>
      <c r="K50" s="39"/>
      <c r="L50" s="4"/>
      <c r="O50" s="81"/>
      <c r="P50" s="81"/>
      <c r="Q50" s="2"/>
      <c r="S50" t="s">
        <v>478</v>
      </c>
      <c r="T50" s="22" t="s">
        <v>479</v>
      </c>
      <c r="X50" s="134"/>
    </row>
    <row r="51" spans="1:24" x14ac:dyDescent="0.25">
      <c r="A51" s="4"/>
      <c r="B51" s="164">
        <v>43185</v>
      </c>
      <c r="C51" s="7">
        <v>300</v>
      </c>
      <c r="D51" s="77">
        <v>16.7</v>
      </c>
      <c r="E51" s="39">
        <v>9.61</v>
      </c>
      <c r="F51" s="39">
        <f t="shared" si="14"/>
        <v>-2127</v>
      </c>
      <c r="G51" s="39">
        <f t="shared" si="15"/>
        <v>5010</v>
      </c>
      <c r="H51" s="179">
        <f t="shared" si="16"/>
        <v>-0.42455089820359282</v>
      </c>
      <c r="I51" s="39"/>
      <c r="J51" s="39">
        <v>-843</v>
      </c>
      <c r="K51" s="39"/>
      <c r="L51" s="4"/>
      <c r="O51" s="81"/>
      <c r="P51" s="81"/>
      <c r="Q51" s="2"/>
      <c r="X51" s="134"/>
    </row>
    <row r="52" spans="1:24" x14ac:dyDescent="0.25">
      <c r="B52" s="164">
        <v>43207</v>
      </c>
      <c r="C52" s="10">
        <v>300</v>
      </c>
      <c r="D52" s="39">
        <v>16.7</v>
      </c>
      <c r="E52" s="39">
        <v>11.05</v>
      </c>
      <c r="F52" s="39">
        <f t="shared" si="14"/>
        <v>-1694.9999999999995</v>
      </c>
      <c r="G52" s="39">
        <f t="shared" si="15"/>
        <v>5010</v>
      </c>
      <c r="H52" s="179">
        <f t="shared" si="16"/>
        <v>-0.33832335329341312</v>
      </c>
      <c r="I52" s="39"/>
      <c r="J52" s="39">
        <v>-411</v>
      </c>
      <c r="K52" s="39"/>
      <c r="O52" s="81"/>
      <c r="P52" s="81"/>
      <c r="Q52" s="2"/>
      <c r="X52" s="134"/>
    </row>
    <row r="53" spans="1:24" x14ac:dyDescent="0.25">
      <c r="A53">
        <v>300</v>
      </c>
      <c r="B53" s="164">
        <v>43229</v>
      </c>
      <c r="C53" s="10">
        <v>300</v>
      </c>
      <c r="D53" s="39">
        <v>16.7</v>
      </c>
      <c r="E53" s="39">
        <v>10.83</v>
      </c>
      <c r="F53" s="39">
        <f t="shared" si="14"/>
        <v>-1760.9999999999998</v>
      </c>
      <c r="G53" s="39">
        <f t="shared" si="15"/>
        <v>5010</v>
      </c>
      <c r="H53" s="179">
        <f t="shared" si="16"/>
        <v>-0.35149700598802391</v>
      </c>
      <c r="I53" s="39"/>
      <c r="J53" s="39">
        <v>-477</v>
      </c>
      <c r="K53" s="39"/>
      <c r="O53" s="81"/>
      <c r="P53" s="81"/>
      <c r="Q53" s="2"/>
      <c r="S53" t="s">
        <v>482</v>
      </c>
      <c r="T53" s="22" t="s">
        <v>472</v>
      </c>
      <c r="X53" s="134"/>
    </row>
    <row r="54" spans="1:24" x14ac:dyDescent="0.25">
      <c r="B54" s="164">
        <v>43249</v>
      </c>
      <c r="C54" s="10">
        <v>0</v>
      </c>
      <c r="D54" s="39"/>
      <c r="E54" s="39">
        <v>12.62</v>
      </c>
      <c r="F54" s="39">
        <v>-1184.94</v>
      </c>
      <c r="G54" s="39"/>
      <c r="H54" s="179"/>
      <c r="I54" s="39"/>
      <c r="J54" s="39">
        <v>98.48</v>
      </c>
      <c r="K54" s="39"/>
      <c r="O54" s="81"/>
      <c r="P54" s="81"/>
      <c r="S54" t="s">
        <v>481</v>
      </c>
      <c r="T54" s="22" t="s">
        <v>473</v>
      </c>
      <c r="X54" s="134"/>
    </row>
    <row r="55" spans="1:24" x14ac:dyDescent="0.25">
      <c r="B55" s="164"/>
      <c r="C55" s="10"/>
      <c r="D55" s="39"/>
      <c r="E55" s="39"/>
      <c r="F55" s="39"/>
      <c r="G55" s="39"/>
      <c r="H55" s="179"/>
      <c r="I55" s="39"/>
      <c r="J55" s="39"/>
      <c r="K55" s="39"/>
      <c r="O55" s="81"/>
      <c r="P55" s="81"/>
      <c r="S55" t="s">
        <v>480</v>
      </c>
      <c r="T55" s="22" t="s">
        <v>483</v>
      </c>
      <c r="X55" s="134"/>
    </row>
    <row r="56" spans="1:24" x14ac:dyDescent="0.25">
      <c r="B56" s="164"/>
      <c r="C56" s="10"/>
      <c r="D56" s="39"/>
      <c r="E56" s="39"/>
      <c r="F56" s="39"/>
      <c r="G56" s="39"/>
      <c r="H56" s="179"/>
      <c r="I56" s="39"/>
      <c r="J56" s="39"/>
      <c r="K56" s="39"/>
      <c r="O56" s="81"/>
      <c r="P56" s="81"/>
      <c r="X56" s="134"/>
    </row>
    <row r="57" spans="1:24" x14ac:dyDescent="0.25">
      <c r="B57" s="164"/>
      <c r="C57" s="10"/>
      <c r="D57" s="39"/>
      <c r="E57" s="39"/>
      <c r="F57" s="39"/>
      <c r="G57" s="39"/>
      <c r="H57" s="179"/>
      <c r="I57" s="39"/>
      <c r="J57" s="39"/>
      <c r="K57" s="39"/>
      <c r="O57" s="81"/>
      <c r="P57" s="81"/>
      <c r="X57" s="134"/>
    </row>
    <row r="58" spans="1:24" x14ac:dyDescent="0.25">
      <c r="L58" t="s">
        <v>65</v>
      </c>
      <c r="M58" s="2">
        <f>M76+K76-F76</f>
        <v>1283.4199999999946</v>
      </c>
      <c r="O58" s="81"/>
      <c r="P58" s="81"/>
      <c r="X58" s="134"/>
    </row>
    <row r="59" spans="1:24" x14ac:dyDescent="0.25">
      <c r="A59" s="440" t="s">
        <v>1</v>
      </c>
      <c r="B59" s="440" t="s">
        <v>2</v>
      </c>
      <c r="C59" s="440" t="s">
        <v>4</v>
      </c>
      <c r="D59" s="441" t="s">
        <v>5</v>
      </c>
      <c r="E59" s="441" t="s">
        <v>94</v>
      </c>
      <c r="F59" s="441" t="s">
        <v>60</v>
      </c>
      <c r="G59" s="440" t="s">
        <v>3</v>
      </c>
      <c r="H59" s="440" t="s">
        <v>6</v>
      </c>
      <c r="I59" s="441" t="s">
        <v>7</v>
      </c>
      <c r="J59" s="441" t="s">
        <v>95</v>
      </c>
      <c r="K59" s="441" t="s">
        <v>61</v>
      </c>
      <c r="L59" s="440" t="s">
        <v>37</v>
      </c>
      <c r="M59" s="440" t="s">
        <v>38</v>
      </c>
      <c r="O59" s="81"/>
      <c r="P59" s="81"/>
      <c r="X59" s="134"/>
    </row>
    <row r="60" spans="1:24" x14ac:dyDescent="0.25">
      <c r="A60" s="442" t="s">
        <v>275</v>
      </c>
      <c r="B60" s="426">
        <v>42639</v>
      </c>
      <c r="C60" s="427">
        <v>80</v>
      </c>
      <c r="D60" s="429">
        <v>26.38</v>
      </c>
      <c r="E60" s="429">
        <v>0</v>
      </c>
      <c r="F60" s="429">
        <f>C60*D60+E60</f>
        <v>2110.4</v>
      </c>
      <c r="G60" s="426">
        <v>42677</v>
      </c>
      <c r="H60" s="443">
        <v>100</v>
      </c>
      <c r="I60" s="429">
        <v>26.49</v>
      </c>
      <c r="J60" s="429">
        <v>0.56000000000000005</v>
      </c>
      <c r="K60" s="429">
        <f>I60*H60-J60</f>
        <v>2648.44</v>
      </c>
      <c r="L60" s="426"/>
      <c r="M60" s="429"/>
      <c r="O60" s="81"/>
      <c r="P60" s="81"/>
      <c r="X60" s="134"/>
    </row>
    <row r="61" spans="1:24" x14ac:dyDescent="0.25">
      <c r="A61" s="444" t="s">
        <v>71</v>
      </c>
      <c r="B61" s="426">
        <v>42639</v>
      </c>
      <c r="C61" s="427">
        <v>20</v>
      </c>
      <c r="D61" s="429">
        <v>25.48</v>
      </c>
      <c r="E61" s="429">
        <v>0</v>
      </c>
      <c r="F61" s="429">
        <f>C61*D61+E61</f>
        <v>509.6</v>
      </c>
      <c r="G61" s="426">
        <v>42678</v>
      </c>
      <c r="H61" s="443">
        <v>20</v>
      </c>
      <c r="I61" s="429">
        <v>27.31</v>
      </c>
      <c r="J61" s="429">
        <v>0.01</v>
      </c>
      <c r="K61" s="429">
        <f>I61*H61-J61</f>
        <v>546.18999999999994</v>
      </c>
      <c r="L61" s="427"/>
      <c r="M61" s="427"/>
      <c r="X61" s="134"/>
    </row>
    <row r="62" spans="1:24" x14ac:dyDescent="0.25">
      <c r="A62" s="427"/>
      <c r="B62" s="426">
        <v>42639</v>
      </c>
      <c r="C62" s="427">
        <v>20</v>
      </c>
      <c r="D62" s="429">
        <v>25.48</v>
      </c>
      <c r="E62" s="429">
        <v>0</v>
      </c>
      <c r="F62" s="429">
        <f>C62*D62+E62</f>
        <v>509.6</v>
      </c>
      <c r="G62" s="426">
        <v>42681</v>
      </c>
      <c r="H62" s="443">
        <v>80</v>
      </c>
      <c r="I62" s="429">
        <v>28.17</v>
      </c>
      <c r="J62" s="429">
        <v>0.05</v>
      </c>
      <c r="K62" s="429">
        <f>I62*H62-J62</f>
        <v>2253.5500000000002</v>
      </c>
      <c r="L62" s="427"/>
      <c r="M62" s="427"/>
      <c r="X62" s="134"/>
    </row>
    <row r="63" spans="1:24" x14ac:dyDescent="0.25">
      <c r="A63" s="427"/>
      <c r="B63" s="426">
        <v>42649</v>
      </c>
      <c r="C63" s="427">
        <v>80</v>
      </c>
      <c r="D63" s="429">
        <v>24.67</v>
      </c>
      <c r="E63" s="429">
        <v>0</v>
      </c>
      <c r="F63" s="429">
        <f>C63*D63+E63</f>
        <v>1973.6000000000001</v>
      </c>
      <c r="G63" s="427"/>
      <c r="H63" s="443"/>
      <c r="I63" s="429"/>
      <c r="J63" s="429"/>
      <c r="K63" s="429"/>
      <c r="L63" s="427"/>
      <c r="M63" s="427"/>
      <c r="X63" s="134"/>
    </row>
    <row r="64" spans="1:24" x14ac:dyDescent="0.25">
      <c r="A64" s="427"/>
      <c r="B64" s="368">
        <v>42684</v>
      </c>
      <c r="C64" s="7">
        <v>100</v>
      </c>
      <c r="D64" s="43">
        <v>22.54</v>
      </c>
      <c r="E64" s="43">
        <v>0</v>
      </c>
      <c r="F64" s="43">
        <f t="shared" ref="F64:F74" si="17">D64*C64+E64</f>
        <v>2254</v>
      </c>
      <c r="G64" s="368">
        <v>42724</v>
      </c>
      <c r="H64" s="7">
        <v>100</v>
      </c>
      <c r="I64" s="43">
        <v>21.98</v>
      </c>
      <c r="J64" s="43">
        <v>0.55000000000000004</v>
      </c>
      <c r="K64" s="43">
        <f t="shared" ref="K64:K72" si="18">I64*H64-J64</f>
        <v>2197.4499999999998</v>
      </c>
      <c r="L64" s="72"/>
      <c r="M64" s="3"/>
      <c r="X64" s="134"/>
    </row>
    <row r="65" spans="1:24" x14ac:dyDescent="0.25">
      <c r="A65" s="427"/>
      <c r="B65" s="368">
        <v>42685</v>
      </c>
      <c r="C65" s="7">
        <v>100</v>
      </c>
      <c r="D65" s="43">
        <v>21.28</v>
      </c>
      <c r="E65" s="43">
        <v>0</v>
      </c>
      <c r="F65" s="43">
        <f t="shared" si="17"/>
        <v>2128</v>
      </c>
      <c r="G65" s="368">
        <v>42766</v>
      </c>
      <c r="H65" s="80">
        <v>100</v>
      </c>
      <c r="I65" s="43">
        <v>21.22</v>
      </c>
      <c r="J65" s="43">
        <v>0.05</v>
      </c>
      <c r="K65" s="43">
        <f t="shared" si="18"/>
        <v>2121.9499999999998</v>
      </c>
      <c r="L65" s="4"/>
      <c r="M65" s="4"/>
      <c r="X65" s="134"/>
    </row>
    <row r="66" spans="1:24" x14ac:dyDescent="0.25">
      <c r="A66" s="427"/>
      <c r="B66" s="368">
        <v>42706</v>
      </c>
      <c r="C66" s="7">
        <v>100</v>
      </c>
      <c r="D66" s="43">
        <v>21.13</v>
      </c>
      <c r="E66" s="43">
        <v>0</v>
      </c>
      <c r="F66" s="43">
        <f t="shared" si="17"/>
        <v>2113</v>
      </c>
      <c r="G66" s="368">
        <v>42766</v>
      </c>
      <c r="H66" s="80">
        <v>100</v>
      </c>
      <c r="I66" s="43">
        <v>21.58</v>
      </c>
      <c r="J66" s="43">
        <v>0.05</v>
      </c>
      <c r="K66" s="43">
        <f t="shared" si="18"/>
        <v>2157.9499999999998</v>
      </c>
      <c r="L66" s="4"/>
      <c r="M66" s="4"/>
      <c r="X66" s="134"/>
    </row>
    <row r="67" spans="1:24" x14ac:dyDescent="0.25">
      <c r="A67" s="427"/>
      <c r="B67" s="368">
        <v>42732</v>
      </c>
      <c r="C67" s="7">
        <v>100</v>
      </c>
      <c r="D67" s="43">
        <v>21.06</v>
      </c>
      <c r="E67" s="43">
        <v>0</v>
      </c>
      <c r="F67" s="43">
        <f t="shared" si="17"/>
        <v>2106</v>
      </c>
      <c r="G67" s="368">
        <v>42828</v>
      </c>
      <c r="H67" s="80">
        <v>200</v>
      </c>
      <c r="I67" s="43">
        <v>19.98</v>
      </c>
      <c r="J67" s="43">
        <v>1.0900000000000001</v>
      </c>
      <c r="K67" s="43">
        <f t="shared" si="18"/>
        <v>3994.91</v>
      </c>
      <c r="L67" s="4"/>
      <c r="M67" s="4"/>
      <c r="X67" s="134"/>
    </row>
    <row r="68" spans="1:24" x14ac:dyDescent="0.25">
      <c r="A68" s="427"/>
      <c r="B68" s="368">
        <v>42746</v>
      </c>
      <c r="C68" s="7">
        <v>100</v>
      </c>
      <c r="D68" s="43">
        <v>20.18</v>
      </c>
      <c r="E68" s="43">
        <v>0</v>
      </c>
      <c r="F68" s="43">
        <f t="shared" si="17"/>
        <v>2018</v>
      </c>
      <c r="G68" s="368">
        <v>42828</v>
      </c>
      <c r="H68" s="80">
        <v>200</v>
      </c>
      <c r="I68" s="43">
        <v>20.71</v>
      </c>
      <c r="J68" s="43">
        <v>0.09</v>
      </c>
      <c r="K68" s="43">
        <f t="shared" si="18"/>
        <v>4141.91</v>
      </c>
      <c r="L68" s="4"/>
      <c r="M68" s="4"/>
      <c r="X68" s="134"/>
    </row>
    <row r="69" spans="1:24" x14ac:dyDescent="0.25">
      <c r="A69" s="427"/>
      <c r="B69" s="368">
        <v>42753</v>
      </c>
      <c r="C69" s="7">
        <v>100</v>
      </c>
      <c r="D69" s="43">
        <v>20.28</v>
      </c>
      <c r="E69" s="43">
        <v>0</v>
      </c>
      <c r="F69" s="43">
        <f t="shared" si="17"/>
        <v>2028</v>
      </c>
      <c r="G69" s="368">
        <v>42830</v>
      </c>
      <c r="H69" s="80">
        <v>100</v>
      </c>
      <c r="I69" s="43">
        <v>20.04</v>
      </c>
      <c r="J69" s="43">
        <v>0.04</v>
      </c>
      <c r="K69" s="43">
        <f t="shared" si="18"/>
        <v>2003.96</v>
      </c>
      <c r="L69" s="4"/>
      <c r="M69" s="4"/>
      <c r="X69" s="134"/>
    </row>
    <row r="70" spans="1:24" x14ac:dyDescent="0.25">
      <c r="A70" s="427"/>
      <c r="B70" s="368">
        <v>42754</v>
      </c>
      <c r="C70" s="7">
        <v>100</v>
      </c>
      <c r="D70" s="43">
        <v>20.079999999999998</v>
      </c>
      <c r="E70" s="43">
        <v>0</v>
      </c>
      <c r="F70" s="43">
        <f t="shared" si="17"/>
        <v>2007.9999999999998</v>
      </c>
      <c r="G70" s="368">
        <v>42831</v>
      </c>
      <c r="H70" s="80">
        <v>100</v>
      </c>
      <c r="I70" s="43">
        <v>20.420000000000002</v>
      </c>
      <c r="J70" s="43">
        <v>0.04</v>
      </c>
      <c r="K70" s="43">
        <f t="shared" si="18"/>
        <v>2041.9600000000003</v>
      </c>
      <c r="L70" s="4"/>
      <c r="M70" s="4"/>
    </row>
    <row r="71" spans="1:24" x14ac:dyDescent="0.25">
      <c r="A71" s="427"/>
      <c r="B71" s="368">
        <v>42768</v>
      </c>
      <c r="C71" s="7">
        <v>100</v>
      </c>
      <c r="D71" s="43">
        <v>20.68</v>
      </c>
      <c r="E71" s="43">
        <v>0</v>
      </c>
      <c r="F71" s="43">
        <f t="shared" si="17"/>
        <v>2068</v>
      </c>
      <c r="G71" s="368">
        <v>42852</v>
      </c>
      <c r="H71" s="80">
        <v>100</v>
      </c>
      <c r="I71" s="43">
        <v>21.87</v>
      </c>
      <c r="J71" s="43">
        <v>0.55000000000000004</v>
      </c>
      <c r="K71" s="43">
        <f t="shared" si="18"/>
        <v>2186.4499999999998</v>
      </c>
      <c r="L71" s="4"/>
      <c r="M71" s="4"/>
    </row>
    <row r="72" spans="1:24" x14ac:dyDescent="0.25">
      <c r="A72" s="427"/>
      <c r="B72" s="368">
        <v>42773</v>
      </c>
      <c r="C72" s="7">
        <v>100</v>
      </c>
      <c r="D72" s="43">
        <v>19.48</v>
      </c>
      <c r="E72" s="43">
        <v>0</v>
      </c>
      <c r="F72" s="43">
        <f t="shared" si="17"/>
        <v>1948</v>
      </c>
      <c r="G72" s="368">
        <v>42864</v>
      </c>
      <c r="H72" s="80">
        <v>200</v>
      </c>
      <c r="I72" s="43">
        <v>22.46</v>
      </c>
      <c r="J72" s="43">
        <v>1.1000000000000001</v>
      </c>
      <c r="K72" s="43">
        <f t="shared" si="18"/>
        <v>4490.8999999999996</v>
      </c>
    </row>
    <row r="73" spans="1:24" x14ac:dyDescent="0.25">
      <c r="A73" s="427"/>
      <c r="B73" s="368">
        <v>42816</v>
      </c>
      <c r="C73" s="7">
        <v>200</v>
      </c>
      <c r="D73" s="43">
        <v>18.8</v>
      </c>
      <c r="E73" s="43">
        <v>0</v>
      </c>
      <c r="F73" s="43">
        <f t="shared" si="17"/>
        <v>3760</v>
      </c>
      <c r="H73" s="70"/>
    </row>
    <row r="74" spans="1:24" x14ac:dyDescent="0.25">
      <c r="A74" s="427"/>
      <c r="B74" s="368">
        <v>42829</v>
      </c>
      <c r="C74" s="7">
        <v>100</v>
      </c>
      <c r="D74" s="43">
        <v>19.68</v>
      </c>
      <c r="E74" s="43">
        <v>0</v>
      </c>
      <c r="F74" s="43">
        <f t="shared" si="17"/>
        <v>1968</v>
      </c>
      <c r="H74" s="70"/>
    </row>
    <row r="75" spans="1:24" x14ac:dyDescent="0.25">
      <c r="A75" s="427"/>
      <c r="H75" s="70"/>
    </row>
    <row r="76" spans="1:24" x14ac:dyDescent="0.25">
      <c r="A76" s="445" t="s">
        <v>81</v>
      </c>
      <c r="B76" s="446"/>
      <c r="C76" s="446">
        <f>SUM(C60:C75)</f>
        <v>1400</v>
      </c>
      <c r="D76" s="447"/>
      <c r="E76" s="447"/>
      <c r="F76" s="447">
        <f>SUM(F60:F75)</f>
        <v>29502.2</v>
      </c>
      <c r="G76" s="446"/>
      <c r="H76" s="468">
        <f>SUM(H60:H75)</f>
        <v>1400</v>
      </c>
      <c r="I76" s="447"/>
      <c r="J76" s="447"/>
      <c r="K76" s="447">
        <f>SUM(K60:K75)</f>
        <v>30785.619999999995</v>
      </c>
      <c r="L76" s="446"/>
      <c r="M76" s="447">
        <f>SUM(M60:M68)</f>
        <v>0</v>
      </c>
    </row>
    <row r="77" spans="1:24" ht="15.75" thickBot="1" x14ac:dyDescent="0.3">
      <c r="A77" s="448" t="s">
        <v>191</v>
      </c>
      <c r="B77" s="449"/>
      <c r="C77" s="450">
        <f>SumByColor($A$19,C60:C75)</f>
        <v>1200</v>
      </c>
      <c r="D77" s="450"/>
      <c r="E77" s="450"/>
      <c r="F77" s="451">
        <f>SumByColor($A$19,F60:F75)</f>
        <v>24399</v>
      </c>
      <c r="G77" s="450"/>
      <c r="H77" s="450">
        <f>SumByColor($A$19,H60:H75)</f>
        <v>1200</v>
      </c>
      <c r="I77" s="450"/>
      <c r="J77" s="450"/>
      <c r="K77" s="451">
        <f>SumByColor($A$19,K60:K75)</f>
        <v>25337</v>
      </c>
      <c r="L77" s="450"/>
      <c r="M77" s="451">
        <f>SumByColor($A$19,M60:M75)</f>
        <v>0</v>
      </c>
    </row>
    <row r="82" spans="2:11" x14ac:dyDescent="0.25">
      <c r="B82" s="162" t="s">
        <v>113</v>
      </c>
      <c r="C82" s="162" t="s">
        <v>145</v>
      </c>
      <c r="D82" s="163" t="s">
        <v>144</v>
      </c>
      <c r="E82" s="165" t="s">
        <v>146</v>
      </c>
      <c r="F82" s="165" t="s">
        <v>65</v>
      </c>
      <c r="G82" s="177" t="s">
        <v>150</v>
      </c>
      <c r="H82" s="177" t="s">
        <v>88</v>
      </c>
      <c r="I82" s="177" t="s">
        <v>153</v>
      </c>
    </row>
    <row r="83" spans="2:11" x14ac:dyDescent="0.25">
      <c r="B83" s="297">
        <v>42639</v>
      </c>
      <c r="C83" s="298">
        <v>80</v>
      </c>
      <c r="D83" s="299">
        <v>26.38</v>
      </c>
      <c r="E83" s="299">
        <v>25.53</v>
      </c>
      <c r="F83" s="299">
        <f t="shared" ref="F83:F92" si="19">C83*(E83-D83)</f>
        <v>-67.999999999999829</v>
      </c>
      <c r="G83" s="299">
        <f t="shared" ref="G83:G92" si="20">D83*C83</f>
        <v>2110.4</v>
      </c>
      <c r="H83" s="300">
        <f t="shared" ref="H83:H92" si="21">(E83-D83)/D83</f>
        <v>-3.2221379833206894E-2</v>
      </c>
      <c r="I83" s="299"/>
    </row>
    <row r="84" spans="2:11" x14ac:dyDescent="0.25">
      <c r="B84" s="297">
        <v>42639</v>
      </c>
      <c r="C84" s="298">
        <v>120</v>
      </c>
      <c r="D84" s="299">
        <v>26.08</v>
      </c>
      <c r="E84" s="299">
        <v>25.53</v>
      </c>
      <c r="F84" s="299">
        <f t="shared" si="19"/>
        <v>-65.999999999999659</v>
      </c>
      <c r="G84" s="299">
        <f t="shared" si="20"/>
        <v>3129.6</v>
      </c>
      <c r="H84" s="300">
        <f t="shared" si="21"/>
        <v>-2.1088957055214616E-2</v>
      </c>
      <c r="I84" s="299"/>
    </row>
    <row r="85" spans="2:11" x14ac:dyDescent="0.25">
      <c r="B85" s="297">
        <v>42641</v>
      </c>
      <c r="C85" s="298">
        <v>120</v>
      </c>
      <c r="D85" s="299">
        <v>26.08</v>
      </c>
      <c r="E85" s="299">
        <v>26</v>
      </c>
      <c r="F85" s="299">
        <f t="shared" si="19"/>
        <v>-9.5999999999997954</v>
      </c>
      <c r="G85" s="299">
        <f t="shared" si="20"/>
        <v>3129.6</v>
      </c>
      <c r="H85" s="300">
        <f t="shared" si="21"/>
        <v>-3.0674846625766221E-3</v>
      </c>
      <c r="I85" s="299"/>
    </row>
    <row r="86" spans="2:11" x14ac:dyDescent="0.25">
      <c r="B86" s="297">
        <v>42643</v>
      </c>
      <c r="C86" s="298">
        <v>120</v>
      </c>
      <c r="D86" s="299">
        <v>26.08</v>
      </c>
      <c r="E86" s="299">
        <v>26.59</v>
      </c>
      <c r="F86" s="299">
        <f t="shared" si="19"/>
        <v>61.200000000000188</v>
      </c>
      <c r="G86" s="299">
        <f t="shared" si="20"/>
        <v>3129.6</v>
      </c>
      <c r="H86" s="300">
        <f t="shared" si="21"/>
        <v>1.9555214723926441E-2</v>
      </c>
      <c r="I86" s="299"/>
    </row>
    <row r="87" spans="2:11" x14ac:dyDescent="0.25">
      <c r="B87" s="297">
        <v>42649</v>
      </c>
      <c r="C87" s="298">
        <v>200</v>
      </c>
      <c r="D87" s="299">
        <v>25.515999999999998</v>
      </c>
      <c r="E87" s="299">
        <v>25.21</v>
      </c>
      <c r="F87" s="299">
        <f t="shared" si="19"/>
        <v>-61.199999999999477</v>
      </c>
      <c r="G87" s="299">
        <f t="shared" si="20"/>
        <v>5103.2</v>
      </c>
      <c r="H87" s="300">
        <f t="shared" si="21"/>
        <v>-1.1992475309609556E-2</v>
      </c>
      <c r="I87" s="299"/>
    </row>
    <row r="88" spans="2:11" x14ac:dyDescent="0.25">
      <c r="B88" s="297">
        <v>42650</v>
      </c>
      <c r="C88" s="298">
        <v>200</v>
      </c>
      <c r="D88" s="299">
        <v>25.515999999999998</v>
      </c>
      <c r="E88" s="299">
        <v>25.33</v>
      </c>
      <c r="F88" s="299">
        <f t="shared" si="19"/>
        <v>-37.199999999999989</v>
      </c>
      <c r="G88" s="299">
        <f t="shared" si="20"/>
        <v>5103.2</v>
      </c>
      <c r="H88" s="300">
        <f t="shared" si="21"/>
        <v>-7.2895438156450835E-3</v>
      </c>
      <c r="I88" s="299"/>
    </row>
    <row r="89" spans="2:11" x14ac:dyDescent="0.25">
      <c r="B89" s="297">
        <v>42661</v>
      </c>
      <c r="C89" s="298">
        <v>200</v>
      </c>
      <c r="D89" s="299">
        <v>25.515999999999998</v>
      </c>
      <c r="E89" s="299">
        <v>26.25</v>
      </c>
      <c r="F89" s="299">
        <f t="shared" si="19"/>
        <v>146.80000000000035</v>
      </c>
      <c r="G89" s="299">
        <f t="shared" si="20"/>
        <v>5103.2</v>
      </c>
      <c r="H89" s="300">
        <f t="shared" si="21"/>
        <v>2.876626430475003E-2</v>
      </c>
      <c r="I89" s="299"/>
    </row>
    <row r="90" spans="2:11" x14ac:dyDescent="0.25">
      <c r="B90" s="297">
        <v>42674</v>
      </c>
      <c r="C90" s="298">
        <v>200</v>
      </c>
      <c r="D90" s="299">
        <v>25.515999999999998</v>
      </c>
      <c r="E90" s="299">
        <v>26.42</v>
      </c>
      <c r="F90" s="299">
        <f t="shared" si="19"/>
        <v>180.80000000000069</v>
      </c>
      <c r="G90" s="299">
        <f t="shared" si="20"/>
        <v>5103.2</v>
      </c>
      <c r="H90" s="300">
        <f t="shared" si="21"/>
        <v>3.5428750587866577E-2</v>
      </c>
      <c r="I90" s="299"/>
    </row>
    <row r="91" spans="2:11" x14ac:dyDescent="0.25">
      <c r="B91" s="297">
        <v>42677</v>
      </c>
      <c r="C91" s="298">
        <v>100</v>
      </c>
      <c r="D91" s="299">
        <v>24.547599999999999</v>
      </c>
      <c r="E91" s="299">
        <v>26.69</v>
      </c>
      <c r="F91" s="299">
        <f t="shared" si="19"/>
        <v>214.24000000000021</v>
      </c>
      <c r="G91" s="299">
        <f t="shared" si="20"/>
        <v>2454.7599999999998</v>
      </c>
      <c r="H91" s="300">
        <f t="shared" si="21"/>
        <v>8.7275334452247971E-2</v>
      </c>
      <c r="I91" s="377"/>
    </row>
    <row r="92" spans="2:11" x14ac:dyDescent="0.25">
      <c r="B92" s="297">
        <v>42678</v>
      </c>
      <c r="C92" s="298">
        <v>80</v>
      </c>
      <c r="D92" s="299">
        <v>23.857099999999999</v>
      </c>
      <c r="E92" s="299">
        <v>27.24</v>
      </c>
      <c r="F92" s="299">
        <f t="shared" si="19"/>
        <v>270.63199999999995</v>
      </c>
      <c r="G92" s="299">
        <f t="shared" si="20"/>
        <v>1908.568</v>
      </c>
      <c r="H92" s="300">
        <f t="shared" si="21"/>
        <v>0.1417984583205838</v>
      </c>
      <c r="I92" s="299"/>
    </row>
    <row r="93" spans="2:11" x14ac:dyDescent="0.25">
      <c r="B93" s="297">
        <v>42681</v>
      </c>
      <c r="C93" s="298">
        <v>0</v>
      </c>
      <c r="D93" s="299"/>
      <c r="E93" s="299"/>
      <c r="F93" s="299">
        <v>344.98</v>
      </c>
      <c r="G93" s="299"/>
      <c r="H93" s="300"/>
      <c r="I93" s="299"/>
    </row>
    <row r="94" spans="2:11" x14ac:dyDescent="0.25">
      <c r="B94" s="297"/>
      <c r="C94" s="298"/>
      <c r="D94" s="299"/>
      <c r="E94" s="299"/>
      <c r="F94" s="299"/>
      <c r="G94" s="299"/>
      <c r="H94" s="300"/>
      <c r="I94" s="299"/>
    </row>
    <row r="95" spans="2:11" x14ac:dyDescent="0.25">
      <c r="B95" s="162" t="s">
        <v>113</v>
      </c>
      <c r="C95" s="162" t="s">
        <v>145</v>
      </c>
      <c r="D95" s="163" t="s">
        <v>144</v>
      </c>
      <c r="E95" s="165" t="s">
        <v>146</v>
      </c>
      <c r="F95" s="165" t="s">
        <v>65</v>
      </c>
      <c r="G95" s="177" t="s">
        <v>150</v>
      </c>
      <c r="H95" s="177" t="s">
        <v>88</v>
      </c>
      <c r="I95" s="177" t="s">
        <v>153</v>
      </c>
      <c r="J95" s="177" t="s">
        <v>149</v>
      </c>
      <c r="K95" s="177" t="s">
        <v>646</v>
      </c>
    </row>
    <row r="96" spans="2:11" x14ac:dyDescent="0.25">
      <c r="B96" s="164">
        <v>42701</v>
      </c>
      <c r="C96" s="10">
        <v>200</v>
      </c>
      <c r="D96" s="171">
        <v>21.91</v>
      </c>
      <c r="E96" s="39">
        <v>23.82</v>
      </c>
      <c r="F96" s="39">
        <f t="shared" ref="F96:F120" si="22">C96*(E96-D96)</f>
        <v>382</v>
      </c>
      <c r="G96" s="39">
        <f t="shared" ref="G96:G120" si="23">D96*C96</f>
        <v>4382</v>
      </c>
      <c r="H96" s="179">
        <f t="shared" ref="H96:H120" si="24">(E96-D96)/D96</f>
        <v>8.7174806024646292E-2</v>
      </c>
      <c r="I96" s="39"/>
      <c r="J96" s="39"/>
      <c r="K96" s="39"/>
    </row>
    <row r="97" spans="1:11" x14ac:dyDescent="0.25">
      <c r="B97" s="164">
        <v>42706</v>
      </c>
      <c r="C97" s="10">
        <v>300</v>
      </c>
      <c r="D97" s="171">
        <v>21.65</v>
      </c>
      <c r="E97" s="39">
        <v>21.1</v>
      </c>
      <c r="F97" s="39">
        <f t="shared" si="22"/>
        <v>-164.99999999999915</v>
      </c>
      <c r="G97" s="39">
        <f t="shared" si="23"/>
        <v>6495</v>
      </c>
      <c r="H97" s="179">
        <f t="shared" si="24"/>
        <v>-2.5404157043879778E-2</v>
      </c>
      <c r="I97" s="39"/>
      <c r="J97" s="39"/>
      <c r="K97" s="39"/>
    </row>
    <row r="98" spans="1:11" x14ac:dyDescent="0.25">
      <c r="B98" s="164">
        <v>42724</v>
      </c>
      <c r="C98" s="10">
        <v>200</v>
      </c>
      <c r="D98" s="171">
        <v>21.4878</v>
      </c>
      <c r="E98" s="39">
        <v>21.98</v>
      </c>
      <c r="F98" s="39">
        <f t="shared" si="22"/>
        <v>98.440000000000083</v>
      </c>
      <c r="G98" s="39">
        <f t="shared" si="23"/>
        <v>4297.5600000000004</v>
      </c>
      <c r="H98" s="179">
        <f t="shared" si="24"/>
        <v>2.2906021091037725E-2</v>
      </c>
      <c r="I98" s="39"/>
      <c r="J98" s="39"/>
      <c r="K98" s="39"/>
    </row>
    <row r="99" spans="1:11" x14ac:dyDescent="0.25">
      <c r="B99" s="164">
        <v>42732</v>
      </c>
      <c r="C99" s="10">
        <v>300</v>
      </c>
      <c r="D99" s="171">
        <v>21.345199999999998</v>
      </c>
      <c r="E99" s="39">
        <v>21.56</v>
      </c>
      <c r="F99" s="39">
        <f t="shared" si="22"/>
        <v>64.440000000000097</v>
      </c>
      <c r="G99" s="39">
        <f t="shared" si="23"/>
        <v>6403.5599999999995</v>
      </c>
      <c r="H99" s="179">
        <f t="shared" si="24"/>
        <v>1.0063152371493373E-2</v>
      </c>
      <c r="I99" s="39"/>
      <c r="J99" s="39"/>
      <c r="K99" s="39"/>
    </row>
    <row r="100" spans="1:11" x14ac:dyDescent="0.25">
      <c r="B100" s="164">
        <v>42739</v>
      </c>
      <c r="C100" s="10">
        <v>300</v>
      </c>
      <c r="D100" s="171">
        <v>21.345199999999998</v>
      </c>
      <c r="E100" s="39">
        <v>20.9</v>
      </c>
      <c r="F100" s="39">
        <f t="shared" si="22"/>
        <v>-133.55999999999995</v>
      </c>
      <c r="G100" s="39">
        <f t="shared" si="23"/>
        <v>6403.5599999999995</v>
      </c>
      <c r="H100" s="179">
        <f t="shared" si="24"/>
        <v>-2.0857148211307453E-2</v>
      </c>
      <c r="I100" s="39"/>
      <c r="J100" s="39"/>
      <c r="K100" s="39"/>
    </row>
    <row r="101" spans="1:11" x14ac:dyDescent="0.25">
      <c r="B101" s="164">
        <v>42745</v>
      </c>
      <c r="C101" s="7">
        <v>300</v>
      </c>
      <c r="D101" s="77">
        <v>21.345199999999998</v>
      </c>
      <c r="E101" s="39">
        <v>20.58</v>
      </c>
      <c r="F101" s="39">
        <f t="shared" si="22"/>
        <v>-229.56000000000003</v>
      </c>
      <c r="G101" s="39">
        <f t="shared" si="23"/>
        <v>6403.5599999999995</v>
      </c>
      <c r="H101" s="179">
        <f t="shared" si="24"/>
        <v>-3.5848809099938164E-2</v>
      </c>
      <c r="I101" s="39"/>
      <c r="J101" s="39"/>
      <c r="K101" s="39"/>
    </row>
    <row r="102" spans="1:11" x14ac:dyDescent="0.25">
      <c r="B102" s="164">
        <v>42746</v>
      </c>
      <c r="C102" s="10">
        <v>400</v>
      </c>
      <c r="D102" s="171">
        <v>21.053879999999999</v>
      </c>
      <c r="E102" s="39">
        <v>20.309999999999999</v>
      </c>
      <c r="F102" s="39">
        <f t="shared" si="22"/>
        <v>-297.55200000000031</v>
      </c>
      <c r="G102" s="39">
        <f t="shared" si="23"/>
        <v>8421.5519999999997</v>
      </c>
      <c r="H102" s="179">
        <f t="shared" si="24"/>
        <v>-3.5332204800255382E-2</v>
      </c>
      <c r="I102" s="39"/>
      <c r="J102" s="39"/>
      <c r="K102" s="39"/>
    </row>
    <row r="103" spans="1:11" x14ac:dyDescent="0.25">
      <c r="A103" t="s">
        <v>329</v>
      </c>
      <c r="B103" s="164">
        <v>42754</v>
      </c>
      <c r="C103" s="480">
        <v>600</v>
      </c>
      <c r="D103" s="505">
        <v>20.76258</v>
      </c>
      <c r="E103" s="39">
        <v>20.260000000000002</v>
      </c>
      <c r="F103" s="39">
        <f t="shared" si="22"/>
        <v>-301.54799999999898</v>
      </c>
      <c r="G103" s="39">
        <f t="shared" si="23"/>
        <v>12457.548000000001</v>
      </c>
      <c r="H103" s="179">
        <f t="shared" si="24"/>
        <v>-2.4206047610653314E-2</v>
      </c>
      <c r="I103" s="39" t="s">
        <v>323</v>
      </c>
      <c r="J103" s="39"/>
      <c r="K103" s="39"/>
    </row>
    <row r="104" spans="1:11" x14ac:dyDescent="0.25">
      <c r="A104" t="s">
        <v>329</v>
      </c>
      <c r="B104" s="164">
        <v>42760</v>
      </c>
      <c r="C104" s="10">
        <v>600</v>
      </c>
      <c r="D104" s="171">
        <v>20.76258</v>
      </c>
      <c r="E104" s="39">
        <v>20.89</v>
      </c>
      <c r="F104" s="39">
        <f t="shared" si="22"/>
        <v>76.452000000000453</v>
      </c>
      <c r="G104" s="39">
        <f t="shared" si="23"/>
        <v>12457.548000000001</v>
      </c>
      <c r="H104" s="179">
        <f t="shared" si="24"/>
        <v>6.1370022415326402E-3</v>
      </c>
      <c r="I104" s="39"/>
      <c r="J104" s="39"/>
      <c r="K104" s="39"/>
    </row>
    <row r="105" spans="1:11" x14ac:dyDescent="0.25">
      <c r="A105" t="s">
        <v>359</v>
      </c>
      <c r="B105" s="164">
        <v>42764</v>
      </c>
      <c r="C105" s="10">
        <v>600</v>
      </c>
      <c r="D105" s="171">
        <v>20.76258</v>
      </c>
      <c r="E105" s="39">
        <v>20.58</v>
      </c>
      <c r="F105" s="39">
        <f t="shared" si="22"/>
        <v>-109.54800000000091</v>
      </c>
      <c r="G105" s="39">
        <f t="shared" si="23"/>
        <v>12457.548000000001</v>
      </c>
      <c r="H105" s="179">
        <f t="shared" si="24"/>
        <v>-8.7937048285907406E-3</v>
      </c>
      <c r="I105" s="39"/>
      <c r="J105" s="39"/>
      <c r="K105" s="39"/>
    </row>
    <row r="106" spans="1:11" x14ac:dyDescent="0.25">
      <c r="A106" t="s">
        <v>369</v>
      </c>
      <c r="B106" s="164">
        <v>42766</v>
      </c>
      <c r="C106" s="10">
        <v>400</v>
      </c>
      <c r="D106" s="171">
        <v>20.444130000000001</v>
      </c>
      <c r="E106" s="39">
        <v>21.3</v>
      </c>
      <c r="F106" s="39">
        <f t="shared" si="22"/>
        <v>342.34799999999979</v>
      </c>
      <c r="G106" s="39">
        <f t="shared" si="23"/>
        <v>8177.652</v>
      </c>
      <c r="H106" s="179">
        <f t="shared" si="24"/>
        <v>4.1863850405960017E-2</v>
      </c>
      <c r="I106" s="39"/>
      <c r="J106" s="39"/>
      <c r="K106" s="39"/>
    </row>
    <row r="107" spans="1:11" x14ac:dyDescent="0.25">
      <c r="A107" t="s">
        <v>377</v>
      </c>
      <c r="B107" s="164">
        <v>42768</v>
      </c>
      <c r="C107" s="10">
        <v>500</v>
      </c>
      <c r="D107" s="171">
        <v>20.491299999999999</v>
      </c>
      <c r="E107" s="39">
        <v>20.52</v>
      </c>
      <c r="F107" s="39">
        <f t="shared" si="22"/>
        <v>14.350000000000307</v>
      </c>
      <c r="G107" s="39">
        <f t="shared" si="23"/>
        <v>10245.65</v>
      </c>
      <c r="H107" s="179">
        <f t="shared" si="24"/>
        <v>1.4005943985984596E-3</v>
      </c>
      <c r="I107" s="39"/>
      <c r="J107" s="39"/>
      <c r="K107" s="39"/>
    </row>
    <row r="108" spans="1:11" x14ac:dyDescent="0.25">
      <c r="A108" t="s">
        <v>397</v>
      </c>
      <c r="B108" s="164">
        <v>42773</v>
      </c>
      <c r="C108" s="480">
        <v>600</v>
      </c>
      <c r="D108" s="505">
        <v>20.322749999999999</v>
      </c>
      <c r="E108" s="39">
        <v>19.61</v>
      </c>
      <c r="F108" s="39">
        <f t="shared" si="22"/>
        <v>-427.64999999999986</v>
      </c>
      <c r="G108" s="39">
        <f t="shared" si="23"/>
        <v>12193.65</v>
      </c>
      <c r="H108" s="179">
        <f t="shared" si="24"/>
        <v>-3.5071533134049267E-2</v>
      </c>
      <c r="I108" s="39"/>
      <c r="J108" s="39"/>
      <c r="K108" s="39"/>
    </row>
    <row r="109" spans="1:11" x14ac:dyDescent="0.25">
      <c r="A109" t="s">
        <v>329</v>
      </c>
      <c r="B109" s="164">
        <v>42778</v>
      </c>
      <c r="C109" s="10">
        <v>600</v>
      </c>
      <c r="D109" s="171">
        <v>20.322749999999999</v>
      </c>
      <c r="E109" s="39">
        <v>20.07</v>
      </c>
      <c r="F109" s="39">
        <f t="shared" si="22"/>
        <v>-151.64999999999935</v>
      </c>
      <c r="G109" s="39">
        <f t="shared" si="23"/>
        <v>12193.65</v>
      </c>
      <c r="H109" s="179">
        <f t="shared" si="24"/>
        <v>-1.2436801121895361E-2</v>
      </c>
      <c r="I109" s="39"/>
      <c r="J109" s="39"/>
      <c r="K109" s="39"/>
    </row>
    <row r="110" spans="1:11" x14ac:dyDescent="0.25">
      <c r="A110" t="s">
        <v>329</v>
      </c>
      <c r="B110" s="164">
        <v>42779</v>
      </c>
      <c r="C110" s="10">
        <v>600</v>
      </c>
      <c r="D110" s="171">
        <v>20.322749999999999</v>
      </c>
      <c r="E110" s="39">
        <v>19.23</v>
      </c>
      <c r="F110" s="39">
        <f t="shared" si="22"/>
        <v>-655.6499999999993</v>
      </c>
      <c r="G110" s="39">
        <f t="shared" si="23"/>
        <v>12193.65</v>
      </c>
      <c r="H110" s="179">
        <f t="shared" si="24"/>
        <v>-5.3769790013654589E-2</v>
      </c>
      <c r="I110" s="39"/>
      <c r="J110" s="39"/>
      <c r="K110" s="39"/>
    </row>
    <row r="111" spans="1:11" x14ac:dyDescent="0.25">
      <c r="A111" t="s">
        <v>425</v>
      </c>
      <c r="B111" s="164">
        <v>42785</v>
      </c>
      <c r="C111" s="10">
        <v>600</v>
      </c>
      <c r="D111" s="171">
        <v>20.322749999999999</v>
      </c>
      <c r="E111" s="39">
        <v>19.22</v>
      </c>
      <c r="F111" s="39">
        <f t="shared" si="22"/>
        <v>-661.6500000000002</v>
      </c>
      <c r="G111" s="39">
        <f t="shared" si="23"/>
        <v>12193.65</v>
      </c>
      <c r="H111" s="179">
        <f t="shared" si="24"/>
        <v>-5.4261849405223231E-2</v>
      </c>
      <c r="I111" s="39"/>
      <c r="J111" s="39"/>
      <c r="K111" s="39"/>
    </row>
    <row r="112" spans="1:11" x14ac:dyDescent="0.25">
      <c r="A112">
        <v>600</v>
      </c>
      <c r="B112" s="164">
        <v>42805</v>
      </c>
      <c r="C112" s="10">
        <v>600</v>
      </c>
      <c r="D112" s="171">
        <v>20.322749999999999</v>
      </c>
      <c r="E112" s="39">
        <v>19.52</v>
      </c>
      <c r="F112" s="39">
        <f t="shared" si="22"/>
        <v>-481.64999999999975</v>
      </c>
      <c r="G112" s="39">
        <f t="shared" si="23"/>
        <v>12193.65</v>
      </c>
      <c r="H112" s="179">
        <f t="shared" si="24"/>
        <v>-3.9500067658166327E-2</v>
      </c>
      <c r="I112" s="39"/>
      <c r="J112" s="39">
        <v>-137</v>
      </c>
      <c r="K112" s="39">
        <f>(G112-J112)/C112</f>
        <v>20.551083333333334</v>
      </c>
    </row>
    <row r="113" spans="1:11" x14ac:dyDescent="0.25">
      <c r="A113">
        <v>600</v>
      </c>
      <c r="B113" s="164">
        <v>42808</v>
      </c>
      <c r="C113" s="10">
        <v>600</v>
      </c>
      <c r="D113" s="171">
        <v>20.322749999999999</v>
      </c>
      <c r="E113" s="39">
        <v>19.2</v>
      </c>
      <c r="F113" s="39">
        <f t="shared" si="22"/>
        <v>-673.65</v>
      </c>
      <c r="G113" s="39">
        <f t="shared" si="23"/>
        <v>12193.65</v>
      </c>
      <c r="H113" s="179">
        <f t="shared" si="24"/>
        <v>-5.5245968188360334E-2</v>
      </c>
      <c r="I113" s="39"/>
      <c r="J113" s="39">
        <v>-329</v>
      </c>
      <c r="K113" s="39">
        <f t="shared" ref="K113:K120" si="25">(G113-J113)/C113</f>
        <v>20.871083333333331</v>
      </c>
    </row>
    <row r="114" spans="1:11" x14ac:dyDescent="0.25">
      <c r="A114">
        <v>600</v>
      </c>
      <c r="B114" s="164">
        <v>42816</v>
      </c>
      <c r="C114" s="10">
        <v>800</v>
      </c>
      <c r="D114" s="171">
        <v>19.9421</v>
      </c>
      <c r="E114" s="39">
        <v>18.77</v>
      </c>
      <c r="F114" s="39">
        <f t="shared" si="22"/>
        <v>-937.68000000000029</v>
      </c>
      <c r="G114" s="39">
        <f t="shared" si="23"/>
        <v>15953.68</v>
      </c>
      <c r="H114" s="179">
        <f t="shared" si="24"/>
        <v>-5.8775154071035667E-2</v>
      </c>
      <c r="I114" s="39"/>
      <c r="J114" s="39">
        <v>-593</v>
      </c>
      <c r="K114" s="39">
        <f t="shared" si="25"/>
        <v>20.683350000000001</v>
      </c>
    </row>
    <row r="115" spans="1:11" x14ac:dyDescent="0.25">
      <c r="B115" s="164">
        <v>42828</v>
      </c>
      <c r="C115" s="10">
        <v>400</v>
      </c>
      <c r="D115" s="171">
        <v>19.542000000000002</v>
      </c>
      <c r="E115" s="39">
        <v>20.45</v>
      </c>
      <c r="F115" s="39">
        <f t="shared" si="22"/>
        <v>363.19999999999908</v>
      </c>
      <c r="G115" s="39">
        <f t="shared" si="23"/>
        <v>7816.8000000000011</v>
      </c>
      <c r="H115" s="179">
        <f t="shared" si="24"/>
        <v>4.6464026199979407E-2</v>
      </c>
      <c r="I115" s="39"/>
      <c r="J115" s="39">
        <v>708</v>
      </c>
      <c r="K115" s="39">
        <f t="shared" si="25"/>
        <v>17.772000000000002</v>
      </c>
    </row>
    <row r="116" spans="1:11" x14ac:dyDescent="0.25">
      <c r="A116">
        <v>200</v>
      </c>
      <c r="B116" s="164">
        <v>42829</v>
      </c>
      <c r="C116" s="10">
        <v>500</v>
      </c>
      <c r="D116" s="171">
        <v>19.57</v>
      </c>
      <c r="E116" s="39">
        <v>19.690000000000001</v>
      </c>
      <c r="F116" s="39">
        <f t="shared" si="22"/>
        <v>60.000000000000497</v>
      </c>
      <c r="G116" s="39">
        <f t="shared" si="23"/>
        <v>9785</v>
      </c>
      <c r="H116" s="179">
        <f t="shared" si="24"/>
        <v>6.1318344404701578E-3</v>
      </c>
      <c r="I116" s="39"/>
      <c r="J116" s="39">
        <v>405</v>
      </c>
      <c r="K116" s="39">
        <f t="shared" si="25"/>
        <v>18.760000000000002</v>
      </c>
    </row>
    <row r="117" spans="1:11" x14ac:dyDescent="0.25">
      <c r="A117">
        <v>100</v>
      </c>
      <c r="B117" s="164">
        <v>42830</v>
      </c>
      <c r="C117" s="10">
        <v>400</v>
      </c>
      <c r="D117" s="171">
        <v>19.452000000000002</v>
      </c>
      <c r="E117" s="39">
        <v>20.100000000000001</v>
      </c>
      <c r="F117" s="39">
        <f t="shared" si="22"/>
        <v>259.19999999999987</v>
      </c>
      <c r="G117" s="39">
        <f t="shared" si="23"/>
        <v>7780.8000000000011</v>
      </c>
      <c r="H117" s="179">
        <f t="shared" si="24"/>
        <v>3.3312769895126444E-2</v>
      </c>
      <c r="I117" s="39"/>
      <c r="J117" s="39">
        <v>604</v>
      </c>
      <c r="K117" s="39">
        <f t="shared" si="25"/>
        <v>17.942000000000004</v>
      </c>
    </row>
    <row r="118" spans="1:11" x14ac:dyDescent="0.25">
      <c r="A118">
        <v>0</v>
      </c>
      <c r="B118" s="164">
        <v>42836</v>
      </c>
      <c r="C118" s="7">
        <v>300</v>
      </c>
      <c r="D118" s="77">
        <v>19.13</v>
      </c>
      <c r="E118" s="39">
        <v>21.91</v>
      </c>
      <c r="F118" s="39">
        <f t="shared" si="22"/>
        <v>834.00000000000034</v>
      </c>
      <c r="G118" s="39">
        <f t="shared" si="23"/>
        <v>5739</v>
      </c>
      <c r="H118" s="179">
        <f t="shared" si="24"/>
        <v>0.14532148457919505</v>
      </c>
      <c r="I118" s="39"/>
      <c r="J118" s="39">
        <v>1179</v>
      </c>
      <c r="K118" s="39">
        <f t="shared" si="25"/>
        <v>15.2</v>
      </c>
    </row>
    <row r="119" spans="1:11" x14ac:dyDescent="0.25">
      <c r="A119">
        <v>0</v>
      </c>
      <c r="B119" s="164">
        <v>42843</v>
      </c>
      <c r="C119" s="10">
        <v>300</v>
      </c>
      <c r="D119" s="171">
        <v>19.13</v>
      </c>
      <c r="E119" s="39">
        <v>21.19</v>
      </c>
      <c r="F119" s="39">
        <f t="shared" si="22"/>
        <v>618.00000000000068</v>
      </c>
      <c r="G119" s="39">
        <f t="shared" si="23"/>
        <v>5739</v>
      </c>
      <c r="H119" s="179">
        <f t="shared" si="24"/>
        <v>0.10768426555148992</v>
      </c>
      <c r="I119" s="39"/>
      <c r="J119" s="39">
        <v>963</v>
      </c>
      <c r="K119" s="39">
        <f t="shared" si="25"/>
        <v>15.92</v>
      </c>
    </row>
    <row r="120" spans="1:11" x14ac:dyDescent="0.25">
      <c r="A120">
        <v>100</v>
      </c>
      <c r="B120" s="164">
        <v>42852</v>
      </c>
      <c r="C120" s="10">
        <v>200</v>
      </c>
      <c r="D120" s="171">
        <v>17.7623</v>
      </c>
      <c r="E120" s="39">
        <v>21.89</v>
      </c>
      <c r="F120" s="39">
        <f t="shared" si="22"/>
        <v>825.54000000000019</v>
      </c>
      <c r="G120" s="39">
        <f t="shared" si="23"/>
        <v>3552.46</v>
      </c>
      <c r="H120" s="179">
        <f t="shared" si="24"/>
        <v>0.23238544557855689</v>
      </c>
      <c r="I120" s="39"/>
      <c r="J120" s="39">
        <v>1171</v>
      </c>
      <c r="K120" s="39">
        <f t="shared" si="25"/>
        <v>11.907299999999999</v>
      </c>
    </row>
    <row r="121" spans="1:11" x14ac:dyDescent="0.25">
      <c r="B121" s="164">
        <v>42864</v>
      </c>
      <c r="C121" s="10">
        <v>0</v>
      </c>
      <c r="D121" s="171"/>
      <c r="E121" s="39"/>
      <c r="F121" s="39"/>
      <c r="G121" s="39"/>
      <c r="H121" s="179"/>
      <c r="I121" s="39"/>
      <c r="J121" s="39">
        <v>1283.42</v>
      </c>
      <c r="K121" s="39"/>
    </row>
    <row r="122" spans="1:11" x14ac:dyDescent="0.25">
      <c r="B122" s="164"/>
      <c r="C122" s="10"/>
      <c r="D122" s="39"/>
      <c r="E122" s="39"/>
      <c r="F122" s="39"/>
      <c r="G122" s="39"/>
      <c r="H122" s="179"/>
      <c r="I122" s="39"/>
      <c r="J122" s="39"/>
      <c r="K122" s="39"/>
    </row>
    <row r="123" spans="1:11" x14ac:dyDescent="0.25">
      <c r="B123" s="164"/>
      <c r="C123" s="10"/>
      <c r="D123" s="39"/>
      <c r="E123" s="39"/>
      <c r="F123" s="39"/>
      <c r="G123" s="39"/>
      <c r="H123" s="179"/>
      <c r="I123" s="39"/>
      <c r="J123" s="39"/>
      <c r="K123" s="39"/>
    </row>
    <row r="124" spans="1:11" x14ac:dyDescent="0.25">
      <c r="B124" s="164"/>
      <c r="C124" s="10"/>
      <c r="D124" s="39"/>
      <c r="E124" s="39"/>
      <c r="F124" s="39"/>
      <c r="G124" s="39"/>
      <c r="H124" s="179"/>
      <c r="I124" s="39"/>
      <c r="J124" s="39"/>
      <c r="K124" s="39"/>
    </row>
    <row r="125" spans="1:11" x14ac:dyDescent="0.25">
      <c r="B125" s="164"/>
      <c r="C125" s="10"/>
      <c r="D125" s="39"/>
      <c r="E125" s="39"/>
      <c r="F125" s="39"/>
      <c r="G125" s="39"/>
      <c r="H125" s="179"/>
      <c r="I125" s="39"/>
      <c r="J125" s="39"/>
      <c r="K125" s="39"/>
    </row>
    <row r="126" spans="1:11" x14ac:dyDescent="0.25">
      <c r="B126" s="164"/>
      <c r="C126" s="10"/>
      <c r="D126" s="39"/>
      <c r="E126" s="39"/>
      <c r="F126" s="39"/>
      <c r="G126" s="39"/>
      <c r="H126" s="179"/>
      <c r="I126" s="39"/>
      <c r="J126" s="39"/>
      <c r="K126" s="39"/>
    </row>
    <row r="127" spans="1:11" x14ac:dyDescent="0.25">
      <c r="B127" s="164"/>
      <c r="C127" s="10"/>
      <c r="D127" s="39"/>
      <c r="E127" s="39"/>
      <c r="F127" s="39"/>
      <c r="G127" s="39"/>
      <c r="H127" s="179"/>
      <c r="I127" s="39"/>
      <c r="J127" s="39"/>
      <c r="K127" s="39"/>
    </row>
    <row r="128" spans="1:11" x14ac:dyDescent="0.25">
      <c r="B128" s="164"/>
      <c r="C128" s="10"/>
      <c r="D128" s="39"/>
      <c r="E128" s="39"/>
      <c r="F128" s="39"/>
      <c r="G128" s="39"/>
      <c r="H128" s="179"/>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3492" priority="75">
      <formula>F32&gt;0</formula>
    </cfRule>
    <cfRule type="expression" dxfId="3491" priority="76">
      <formula>F32&lt;0</formula>
    </cfRule>
  </conditionalFormatting>
  <conditionalFormatting sqref="Q7">
    <cfRule type="expression" dxfId="3490" priority="73">
      <formula>Q7&gt;0</formula>
    </cfRule>
    <cfRule type="expression" dxfId="3489" priority="74">
      <formula>Q7&lt;0</formula>
    </cfRule>
  </conditionalFormatting>
  <conditionalFormatting sqref="Q8">
    <cfRule type="expression" dxfId="3488" priority="71">
      <formula>Q8&gt;0</formula>
    </cfRule>
    <cfRule type="expression" dxfId="3487"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3486" priority="63">
      <formula>M58&gt;0</formula>
    </cfRule>
    <cfRule type="expression" dxfId="3485" priority="64">
      <formula>M58&lt;0</formula>
    </cfRule>
  </conditionalFormatting>
  <conditionalFormatting sqref="Q10">
    <cfRule type="expression" dxfId="3484" priority="61">
      <formula>Q10&gt;0</formula>
    </cfRule>
    <cfRule type="expression" dxfId="3483" priority="62">
      <formula>Q10&lt;0</formula>
    </cfRule>
  </conditionalFormatting>
  <conditionalFormatting sqref="F29:F31">
    <cfRule type="expression" dxfId="3482" priority="59">
      <formula>F29&gt;0</formula>
    </cfRule>
    <cfRule type="expression" dxfId="3481" priority="60">
      <formula>F29&lt;0</formula>
    </cfRule>
  </conditionalFormatting>
  <conditionalFormatting sqref="H29:H31">
    <cfRule type="expression" dxfId="3480" priority="57">
      <formula>H29&gt;0</formula>
    </cfRule>
    <cfRule type="expression" dxfId="3479" priority="58">
      <formula>H29&lt;0</formula>
    </cfRule>
  </conditionalFormatting>
  <conditionalFormatting sqref="F83:F94">
    <cfRule type="expression" dxfId="3478" priority="55">
      <formula>F83&gt;0</formula>
    </cfRule>
    <cfRule type="expression" dxfId="3477" priority="56">
      <formula>F83&lt;0</formula>
    </cfRule>
  </conditionalFormatting>
  <conditionalFormatting sqref="H83:H94">
    <cfRule type="expression" dxfId="3476" priority="53">
      <formula>H83&gt;0</formula>
    </cfRule>
    <cfRule type="expression" dxfId="3475" priority="54">
      <formula>H83&lt;0</formula>
    </cfRule>
  </conditionalFormatting>
  <conditionalFormatting sqref="J41">
    <cfRule type="expression" dxfId="3474" priority="51">
      <formula>J41&gt;0</formula>
    </cfRule>
    <cfRule type="expression" dxfId="3473" priority="52">
      <formula>J41&lt;0</formula>
    </cfRule>
  </conditionalFormatting>
  <conditionalFormatting sqref="J39:J47">
    <cfRule type="expression" dxfId="3472" priority="49">
      <formula>J39&gt;0</formula>
    </cfRule>
    <cfRule type="expression" dxfId="3471" priority="50">
      <formula>J39&lt;0</formula>
    </cfRule>
  </conditionalFormatting>
  <conditionalFormatting sqref="F48:F51 H48:H51">
    <cfRule type="expression" dxfId="3470" priority="47">
      <formula>F48&gt;0</formula>
    </cfRule>
    <cfRule type="expression" dxfId="3469" priority="48">
      <formula>F48&lt;0</formula>
    </cfRule>
  </conditionalFormatting>
  <conditionalFormatting sqref="J48:J57">
    <cfRule type="expression" dxfId="3468" priority="45">
      <formula>J48&gt;0</formula>
    </cfRule>
    <cfRule type="expression" dxfId="3467" priority="46">
      <formula>J48&lt;0</formula>
    </cfRule>
  </conditionalFormatting>
  <conditionalFormatting sqref="K45:K52">
    <cfRule type="expression" dxfId="3466" priority="43">
      <formula>K45&gt;0</formula>
    </cfRule>
    <cfRule type="expression" dxfId="3465" priority="44">
      <formula>K45&lt;0</formula>
    </cfRule>
  </conditionalFormatting>
  <conditionalFormatting sqref="K45:K52">
    <cfRule type="expression" dxfId="3464" priority="41">
      <formula>K45&gt;0</formula>
    </cfRule>
    <cfRule type="expression" dxfId="3463" priority="42">
      <formula>K45&lt;0</formula>
    </cfRule>
  </conditionalFormatting>
  <conditionalFormatting sqref="F102:F118 H102:H118 H120:H128 F120:F128">
    <cfRule type="expression" dxfId="3462" priority="37">
      <formula>F102&gt;0</formula>
    </cfRule>
    <cfRule type="expression" dxfId="3461" priority="38">
      <formula>F102&lt;0</formula>
    </cfRule>
  </conditionalFormatting>
  <conditionalFormatting sqref="F96:F101">
    <cfRule type="expression" dxfId="3460" priority="35">
      <formula>F96&gt;0</formula>
    </cfRule>
    <cfRule type="expression" dxfId="3459" priority="36">
      <formula>F96&lt;0</formula>
    </cfRule>
  </conditionalFormatting>
  <conditionalFormatting sqref="H96:H101">
    <cfRule type="expression" dxfId="3458" priority="33">
      <formula>H96&gt;0</formula>
    </cfRule>
    <cfRule type="expression" dxfId="3457" priority="34">
      <formula>H96&lt;0</formula>
    </cfRule>
  </conditionalFormatting>
  <conditionalFormatting sqref="J112">
    <cfRule type="expression" dxfId="3456" priority="31">
      <formula>J112&gt;0</formula>
    </cfRule>
    <cfRule type="expression" dxfId="3455" priority="32">
      <formula>J112&lt;0</formula>
    </cfRule>
  </conditionalFormatting>
  <conditionalFormatting sqref="J110:J118 J120">
    <cfRule type="expression" dxfId="3454" priority="29">
      <formula>J110&gt;0</formula>
    </cfRule>
    <cfRule type="expression" dxfId="3453" priority="30">
      <formula>J110&lt;0</formula>
    </cfRule>
  </conditionalFormatting>
  <conditionalFormatting sqref="F119 H119">
    <cfRule type="expression" dxfId="3452" priority="27">
      <formula>F119&gt;0</formula>
    </cfRule>
    <cfRule type="expression" dxfId="3451" priority="28">
      <formula>F119&lt;0</formula>
    </cfRule>
  </conditionalFormatting>
  <conditionalFormatting sqref="J119">
    <cfRule type="expression" dxfId="3450" priority="25">
      <formula>J119&gt;0</formula>
    </cfRule>
    <cfRule type="expression" dxfId="3449" priority="26">
      <formula>J119&lt;0</formula>
    </cfRule>
  </conditionalFormatting>
  <conditionalFormatting sqref="K112:K123">
    <cfRule type="expression" dxfId="3448" priority="23">
      <formula>K112&gt;0</formula>
    </cfRule>
    <cfRule type="expression" dxfId="3447" priority="24">
      <formula>K112&lt;0</formula>
    </cfRule>
  </conditionalFormatting>
  <conditionalFormatting sqref="K110:K123">
    <cfRule type="expression" dxfId="3446" priority="21">
      <formula>K110&gt;0</formula>
    </cfRule>
    <cfRule type="expression" dxfId="3445" priority="22">
      <formula>K110&lt;0</formula>
    </cfRule>
  </conditionalFormatting>
  <conditionalFormatting sqref="J121">
    <cfRule type="expression" dxfId="3444" priority="19">
      <formula>J121&gt;0</formula>
    </cfRule>
    <cfRule type="expression" dxfId="3443" priority="20">
      <formula>J121&lt;0</formula>
    </cfRule>
  </conditionalFormatting>
  <conditionalFormatting sqref="F25:F28">
    <cfRule type="expression" dxfId="3442" priority="17">
      <formula>F25&gt;0</formula>
    </cfRule>
    <cfRule type="expression" dxfId="3441" priority="18">
      <formula>F25&lt;0</formula>
    </cfRule>
  </conditionalFormatting>
  <conditionalFormatting sqref="H25:H28">
    <cfRule type="expression" dxfId="3440" priority="15">
      <formula>H25&gt;0</formula>
    </cfRule>
    <cfRule type="expression" dxfId="3439" priority="16">
      <formula>H25&lt;0</formula>
    </cfRule>
  </conditionalFormatting>
  <conditionalFormatting sqref="J27:J29">
    <cfRule type="expression" dxfId="3438" priority="13">
      <formula>J27&gt;0</formula>
    </cfRule>
    <cfRule type="expression" dxfId="3437" priority="14">
      <formula>J27&lt;0</formula>
    </cfRule>
  </conditionalFormatting>
  <conditionalFormatting sqref="J30:J31">
    <cfRule type="expression" dxfId="3436" priority="11">
      <formula>J30&gt;0</formula>
    </cfRule>
    <cfRule type="expression" dxfId="3435" priority="12">
      <formula>J30&lt;0</formula>
    </cfRule>
  </conditionalFormatting>
  <conditionalFormatting sqref="J33">
    <cfRule type="expression" dxfId="3434" priority="9">
      <formula>J33&gt;0</formula>
    </cfRule>
    <cfRule type="expression" dxfId="3433" priority="10">
      <formula>J33&lt;0</formula>
    </cfRule>
  </conditionalFormatting>
  <conditionalFormatting sqref="J34">
    <cfRule type="expression" dxfId="3432" priority="7">
      <formula>J34&gt;0</formula>
    </cfRule>
    <cfRule type="expression" dxfId="3431" priority="8">
      <formula>J34&lt;0</formula>
    </cfRule>
  </conditionalFormatting>
  <conditionalFormatting sqref="J35:J43">
    <cfRule type="expression" dxfId="3430" priority="5">
      <formula>J35&gt;0</formula>
    </cfRule>
    <cfRule type="expression" dxfId="3429"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428" priority="1">
      <formula>Q9&gt;0</formula>
    </cfRule>
    <cfRule type="expression" dxfId="3427"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72"/>
      <c r="C2" s="4"/>
      <c r="D2" s="3"/>
      <c r="E2" s="3"/>
      <c r="F2" s="3"/>
      <c r="G2" s="72"/>
      <c r="H2" s="161"/>
      <c r="I2" s="3"/>
      <c r="J2" s="3"/>
      <c r="K2" s="3"/>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57.49</v>
      </c>
      <c r="T3" s="1"/>
    </row>
    <row r="4" spans="1:21" x14ac:dyDescent="0.25">
      <c r="B4" s="72"/>
      <c r="C4" s="4"/>
      <c r="D4" s="3"/>
      <c r="E4" s="3"/>
      <c r="F4" s="3"/>
      <c r="G4" s="4"/>
      <c r="H4" s="161"/>
      <c r="I4" s="3"/>
      <c r="J4" s="3"/>
      <c r="K4" s="3"/>
      <c r="L4" s="4"/>
      <c r="M4" s="4"/>
      <c r="O4" s="11" t="s">
        <v>66</v>
      </c>
      <c r="Q4" s="54">
        <v>57.49</v>
      </c>
      <c r="R4" s="405">
        <v>-6.7999999999999996E-3</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4"/>
      <c r="C7" s="4"/>
      <c r="D7" s="3"/>
      <c r="E7" s="3"/>
      <c r="F7" s="3"/>
      <c r="G7" s="4"/>
      <c r="H7" s="161"/>
      <c r="I7" s="3"/>
      <c r="J7" s="3"/>
      <c r="K7" s="3"/>
      <c r="L7" s="4"/>
      <c r="M7" s="4"/>
      <c r="O7" s="11" t="s">
        <v>177</v>
      </c>
      <c r="Q7" s="2">
        <f>Q10+Q8</f>
        <v>117.73999999999978</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B10" s="4"/>
      <c r="C10" s="4"/>
      <c r="D10" s="3"/>
      <c r="E10" s="3"/>
      <c r="F10" s="3"/>
      <c r="G10" s="4"/>
      <c r="H10" s="161"/>
      <c r="I10" s="3"/>
      <c r="J10" s="3"/>
      <c r="K10" s="3"/>
      <c r="L10" s="4"/>
      <c r="M10" s="4"/>
      <c r="O10" s="11" t="s">
        <v>203</v>
      </c>
      <c r="P10" s="33"/>
      <c r="Q10" s="2">
        <f>M55</f>
        <v>117.73999999999978</v>
      </c>
    </row>
    <row r="11" spans="1:21" x14ac:dyDescent="0.25">
      <c r="B11" s="4"/>
      <c r="C11" s="4"/>
      <c r="D11" s="3"/>
      <c r="E11" s="3"/>
      <c r="F11" s="3"/>
      <c r="G11" s="4"/>
      <c r="H11" s="161"/>
      <c r="I11" s="3"/>
      <c r="J11" s="3"/>
      <c r="K11" s="3"/>
      <c r="L11" s="4"/>
      <c r="M11" s="4"/>
      <c r="O11" s="11" t="s">
        <v>175</v>
      </c>
      <c r="P11" s="33"/>
      <c r="Q11" s="134">
        <v>0</v>
      </c>
    </row>
    <row r="12" spans="1:21" x14ac:dyDescent="0.25">
      <c r="B12" s="4"/>
      <c r="C12" s="4"/>
      <c r="D12" s="3"/>
      <c r="E12" s="3"/>
      <c r="F12" s="3"/>
      <c r="G12" s="4"/>
      <c r="H12" s="161"/>
      <c r="I12" s="3"/>
      <c r="J12" s="3"/>
      <c r="K12" s="3"/>
      <c r="L12" s="4"/>
      <c r="M12" s="4"/>
    </row>
    <row r="13" spans="1:21" x14ac:dyDescent="0.25">
      <c r="B13" s="4"/>
      <c r="C13" s="4"/>
      <c r="D13" s="3"/>
      <c r="E13" s="3"/>
      <c r="F13" s="3"/>
      <c r="G13" s="4"/>
      <c r="H13" s="161"/>
      <c r="I13" s="3"/>
      <c r="J13" s="3"/>
      <c r="K13" s="3"/>
      <c r="L13" s="4"/>
      <c r="M13" s="4"/>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v>42572</v>
      </c>
      <c r="C25" s="7">
        <v>140</v>
      </c>
      <c r="D25" s="43">
        <v>38.5229</v>
      </c>
      <c r="E25" s="39">
        <v>37.32</v>
      </c>
      <c r="F25" s="39">
        <f>C25*(E25-D25)</f>
        <v>-168.40599999999995</v>
      </c>
      <c r="G25" s="39">
        <f t="shared" ref="G25:G43" si="0">D25*C25</f>
        <v>5393.2060000000001</v>
      </c>
      <c r="H25" s="179">
        <f t="shared" ref="H25:H43" si="1">(E25-D25)/D25</f>
        <v>-3.1225582705351872E-2</v>
      </c>
      <c r="I25" s="39"/>
    </row>
    <row r="26" spans="1:13" x14ac:dyDescent="0.25">
      <c r="B26" s="164">
        <v>42575</v>
      </c>
      <c r="C26" s="10">
        <v>140</v>
      </c>
      <c r="D26" s="39">
        <v>38.5229</v>
      </c>
      <c r="E26" s="39">
        <v>37.83</v>
      </c>
      <c r="F26" s="39">
        <f>C26*(E26-D26)</f>
        <v>-97.006000000000228</v>
      </c>
      <c r="G26" s="39">
        <f t="shared" si="0"/>
        <v>5393.2060000000001</v>
      </c>
      <c r="H26" s="179">
        <f t="shared" si="1"/>
        <v>-1.7986704012418631E-2</v>
      </c>
      <c r="I26" s="39"/>
    </row>
    <row r="27" spans="1:13" x14ac:dyDescent="0.25">
      <c r="B27" s="164">
        <v>42576</v>
      </c>
      <c r="C27" s="10">
        <v>170</v>
      </c>
      <c r="D27" s="39">
        <v>38.2806</v>
      </c>
      <c r="E27" s="39">
        <v>37.36</v>
      </c>
      <c r="F27" s="39">
        <f t="shared" ref="F27:F32" si="2">C27*(E27-D27)</f>
        <v>-156.50200000000007</v>
      </c>
      <c r="G27" s="39">
        <f t="shared" si="0"/>
        <v>6507.7020000000002</v>
      </c>
      <c r="H27" s="179">
        <f t="shared" si="1"/>
        <v>-2.4048734868314506E-2</v>
      </c>
      <c r="I27" s="39"/>
    </row>
    <row r="28" spans="1:13" x14ac:dyDescent="0.25">
      <c r="B28" s="164">
        <v>42577</v>
      </c>
      <c r="C28" s="10">
        <v>170</v>
      </c>
      <c r="D28" s="39">
        <v>38.2806</v>
      </c>
      <c r="E28" s="39">
        <v>38.28</v>
      </c>
      <c r="F28" s="39">
        <f t="shared" si="2"/>
        <v>-0.10199999999976228</v>
      </c>
      <c r="G28" s="39">
        <f t="shared" si="0"/>
        <v>6507.7020000000002</v>
      </c>
      <c r="H28" s="179">
        <f t="shared" si="1"/>
        <v>-1.5673735521350285E-5</v>
      </c>
      <c r="I28" s="39"/>
    </row>
    <row r="29" spans="1:13" x14ac:dyDescent="0.25">
      <c r="B29" s="164">
        <v>42580</v>
      </c>
      <c r="C29" s="10">
        <v>170</v>
      </c>
      <c r="D29" s="39">
        <v>38.2806</v>
      </c>
      <c r="E29" s="39">
        <v>37.01</v>
      </c>
      <c r="F29" s="39">
        <f t="shared" si="2"/>
        <v>-216.00200000000029</v>
      </c>
      <c r="G29" s="39">
        <f t="shared" si="0"/>
        <v>6507.7020000000002</v>
      </c>
      <c r="H29" s="179">
        <f t="shared" si="1"/>
        <v>-3.3191747255790181E-2</v>
      </c>
      <c r="I29" s="39"/>
    </row>
    <row r="30" spans="1:13" x14ac:dyDescent="0.25">
      <c r="B30" s="164">
        <v>42585</v>
      </c>
      <c r="C30" s="10">
        <v>170</v>
      </c>
      <c r="D30" s="39">
        <v>38.2806</v>
      </c>
      <c r="E30" s="39">
        <v>35.54</v>
      </c>
      <c r="F30" s="39">
        <f t="shared" si="2"/>
        <v>-465.9020000000001</v>
      </c>
      <c r="G30" s="39">
        <f t="shared" si="0"/>
        <v>6507.7020000000002</v>
      </c>
      <c r="H30" s="179">
        <f t="shared" si="1"/>
        <v>-7.1592399283187849E-2</v>
      </c>
      <c r="I30" s="39"/>
    </row>
    <row r="31" spans="1:13" x14ac:dyDescent="0.25">
      <c r="B31" s="164">
        <v>42593</v>
      </c>
      <c r="C31" s="10">
        <v>170</v>
      </c>
      <c r="D31" s="39">
        <v>38.2806</v>
      </c>
      <c r="E31" s="39">
        <v>36.99</v>
      </c>
      <c r="F31" s="39">
        <f t="shared" si="2"/>
        <v>-219.40199999999962</v>
      </c>
      <c r="G31" s="39">
        <f t="shared" si="0"/>
        <v>6507.7020000000002</v>
      </c>
      <c r="H31" s="179">
        <f t="shared" si="1"/>
        <v>-3.3714205106502977E-2</v>
      </c>
      <c r="I31" s="39"/>
    </row>
    <row r="32" spans="1:13" x14ac:dyDescent="0.25">
      <c r="B32" s="164">
        <v>42598</v>
      </c>
      <c r="C32" s="395">
        <v>200</v>
      </c>
      <c r="D32" s="397">
        <v>38.025500000000001</v>
      </c>
      <c r="E32" s="39">
        <v>36.520000000000003</v>
      </c>
      <c r="F32" s="39">
        <f t="shared" si="2"/>
        <v>-301.09999999999957</v>
      </c>
      <c r="G32" s="39">
        <f t="shared" si="0"/>
        <v>7605.1</v>
      </c>
      <c r="H32" s="179">
        <f t="shared" si="1"/>
        <v>-3.9591852835597109E-2</v>
      </c>
      <c r="I32" s="39"/>
    </row>
    <row r="33" spans="2:17" x14ac:dyDescent="0.25">
      <c r="B33" s="164">
        <v>42599</v>
      </c>
      <c r="C33" s="10">
        <v>200</v>
      </c>
      <c r="D33" s="39">
        <v>38.025500000000001</v>
      </c>
      <c r="E33" s="39">
        <v>36.85</v>
      </c>
      <c r="F33" s="39">
        <f t="shared" ref="F33:F43" si="3">C33*(E33-D33)</f>
        <v>-235.09999999999991</v>
      </c>
      <c r="G33" s="39">
        <f t="shared" si="0"/>
        <v>7605.1</v>
      </c>
      <c r="H33" s="179">
        <f t="shared" si="1"/>
        <v>-3.0913465963629656E-2</v>
      </c>
      <c r="I33" s="184"/>
    </row>
    <row r="34" spans="2:17" x14ac:dyDescent="0.25">
      <c r="B34" s="164">
        <v>42601</v>
      </c>
      <c r="C34" s="10">
        <v>200</v>
      </c>
      <c r="D34" s="39">
        <v>38.025500000000001</v>
      </c>
      <c r="E34" s="39">
        <v>36.35</v>
      </c>
      <c r="F34" s="39">
        <f t="shared" si="3"/>
        <v>-335.09999999999991</v>
      </c>
      <c r="G34" s="39">
        <f t="shared" si="0"/>
        <v>7605.1</v>
      </c>
      <c r="H34" s="179">
        <f t="shared" si="1"/>
        <v>-4.4062536981762226E-2</v>
      </c>
      <c r="I34" s="39"/>
    </row>
    <row r="35" spans="2:17" x14ac:dyDescent="0.25">
      <c r="B35" s="164">
        <v>42605</v>
      </c>
      <c r="C35" s="10">
        <v>200</v>
      </c>
      <c r="D35" s="39">
        <v>38.025500000000001</v>
      </c>
      <c r="E35" s="39">
        <v>36.69</v>
      </c>
      <c r="F35" s="39">
        <f t="shared" si="3"/>
        <v>-267.10000000000065</v>
      </c>
      <c r="G35" s="39">
        <f t="shared" si="0"/>
        <v>7605.1</v>
      </c>
      <c r="H35" s="179">
        <f t="shared" si="1"/>
        <v>-3.5121168689432179E-2</v>
      </c>
      <c r="I35" s="39"/>
    </row>
    <row r="36" spans="2:17" x14ac:dyDescent="0.25">
      <c r="B36" s="164">
        <v>42611</v>
      </c>
      <c r="C36" s="10">
        <v>200</v>
      </c>
      <c r="D36" s="39">
        <v>38.025500000000001</v>
      </c>
      <c r="E36" s="39">
        <v>36.450000000000003</v>
      </c>
      <c r="F36" s="39">
        <f t="shared" si="3"/>
        <v>-315.09999999999962</v>
      </c>
      <c r="G36" s="39">
        <f t="shared" si="0"/>
        <v>7605.1</v>
      </c>
      <c r="H36" s="179">
        <f t="shared" si="1"/>
        <v>-4.1432722778135672E-2</v>
      </c>
      <c r="I36" s="39"/>
    </row>
    <row r="37" spans="2:17" x14ac:dyDescent="0.25">
      <c r="B37" s="164">
        <v>42612</v>
      </c>
      <c r="C37" s="10">
        <v>200</v>
      </c>
      <c r="D37" s="39">
        <v>38.025500000000001</v>
      </c>
      <c r="E37" s="39">
        <v>37.18</v>
      </c>
      <c r="F37" s="39">
        <f t="shared" si="3"/>
        <v>-169.10000000000025</v>
      </c>
      <c r="G37" s="39">
        <f t="shared" si="0"/>
        <v>7605.1</v>
      </c>
      <c r="H37" s="179">
        <f t="shared" si="1"/>
        <v>-2.2235079091662207E-2</v>
      </c>
      <c r="I37" s="39"/>
    </row>
    <row r="38" spans="2:17" x14ac:dyDescent="0.25">
      <c r="B38" s="164">
        <v>42615</v>
      </c>
      <c r="C38" s="10">
        <v>200</v>
      </c>
      <c r="D38" s="39">
        <v>38.025500000000001</v>
      </c>
      <c r="E38" s="39">
        <v>36.89</v>
      </c>
      <c r="F38" s="39">
        <f t="shared" si="3"/>
        <v>-227.10000000000008</v>
      </c>
      <c r="G38" s="39">
        <f t="shared" si="0"/>
        <v>7605.1</v>
      </c>
      <c r="H38" s="179">
        <f t="shared" si="1"/>
        <v>-2.9861540282179074E-2</v>
      </c>
      <c r="I38" s="39"/>
    </row>
    <row r="39" spans="2:17" x14ac:dyDescent="0.25">
      <c r="B39" s="164">
        <v>42620</v>
      </c>
      <c r="C39" s="10">
        <v>100</v>
      </c>
      <c r="D39" s="39">
        <v>37.571800000000003</v>
      </c>
      <c r="E39" s="39">
        <v>38.68</v>
      </c>
      <c r="F39" s="39">
        <f t="shared" si="3"/>
        <v>110.81999999999965</v>
      </c>
      <c r="G39" s="39">
        <f t="shared" si="0"/>
        <v>3757.1800000000003</v>
      </c>
      <c r="H39" s="179">
        <f t="shared" si="1"/>
        <v>2.9495525899743861E-2</v>
      </c>
      <c r="I39" s="39"/>
    </row>
    <row r="40" spans="2:17" ht="20.25" thickBot="1" x14ac:dyDescent="0.35">
      <c r="B40" s="164">
        <v>42621</v>
      </c>
      <c r="C40" s="10">
        <v>100</v>
      </c>
      <c r="D40" s="39">
        <v>37.3718</v>
      </c>
      <c r="E40" s="39">
        <v>38.76</v>
      </c>
      <c r="F40" s="39">
        <f t="shared" si="3"/>
        <v>138.81999999999977</v>
      </c>
      <c r="G40" s="39">
        <f t="shared" si="0"/>
        <v>3737.18</v>
      </c>
      <c r="H40" s="179">
        <f t="shared" si="1"/>
        <v>3.7145655280184459E-2</v>
      </c>
      <c r="I40" s="39"/>
      <c r="O40" s="884" t="s">
        <v>78</v>
      </c>
      <c r="P40" s="884"/>
    </row>
    <row r="41" spans="2:17" ht="15.75" thickTop="1" x14ac:dyDescent="0.25">
      <c r="B41" s="164">
        <v>42622</v>
      </c>
      <c r="C41" s="10">
        <v>100</v>
      </c>
      <c r="D41" s="39">
        <v>37.3718</v>
      </c>
      <c r="E41" s="39">
        <v>37.340000000000003</v>
      </c>
      <c r="F41" s="39">
        <f t="shared" si="3"/>
        <v>-3.1799999999996942</v>
      </c>
      <c r="G41" s="39">
        <f t="shared" si="0"/>
        <v>3737.18</v>
      </c>
      <c r="H41" s="179">
        <f t="shared" si="1"/>
        <v>-8.5090897414619962E-4</v>
      </c>
      <c r="I41" s="39"/>
      <c r="O41" s="81">
        <v>1.1000000000000001</v>
      </c>
      <c r="P41" s="81">
        <f>O41*$Q$4</f>
        <v>63.239000000000004</v>
      </c>
      <c r="Q41" s="2"/>
    </row>
    <row r="42" spans="2:17" x14ac:dyDescent="0.25">
      <c r="B42" s="164">
        <v>42625</v>
      </c>
      <c r="C42" s="10">
        <v>100</v>
      </c>
      <c r="D42" s="39">
        <v>37.3718</v>
      </c>
      <c r="E42" s="39">
        <v>37.82</v>
      </c>
      <c r="F42" s="39">
        <f t="shared" si="3"/>
        <v>44.819999999999993</v>
      </c>
      <c r="G42" s="39">
        <f t="shared" si="0"/>
        <v>3737.18</v>
      </c>
      <c r="H42" s="179">
        <f t="shared" si="1"/>
        <v>1.1993000069571172E-2</v>
      </c>
      <c r="I42" s="39"/>
      <c r="O42" s="81">
        <v>1.0900000000000001</v>
      </c>
      <c r="P42" s="81">
        <f t="shared" ref="P42:P61" si="4">O42*$Q$4</f>
        <v>62.664100000000005</v>
      </c>
      <c r="Q42" s="2"/>
    </row>
    <row r="43" spans="2:17" x14ac:dyDescent="0.25">
      <c r="B43" s="164">
        <v>42635</v>
      </c>
      <c r="C43" s="10">
        <v>100</v>
      </c>
      <c r="D43" s="39">
        <v>37.3718</v>
      </c>
      <c r="E43" s="39">
        <v>37.33</v>
      </c>
      <c r="F43" s="39">
        <f t="shared" si="3"/>
        <v>-4.1800000000002058</v>
      </c>
      <c r="G43" s="39">
        <f t="shared" si="0"/>
        <v>3737.18</v>
      </c>
      <c r="H43" s="179">
        <f t="shared" si="1"/>
        <v>-1.1184904125571167E-3</v>
      </c>
      <c r="I43" s="39"/>
      <c r="O43" s="81">
        <v>1.08</v>
      </c>
      <c r="P43" s="81">
        <f t="shared" si="4"/>
        <v>62.089200000000005</v>
      </c>
      <c r="Q43" s="2"/>
    </row>
    <row r="44" spans="2:17" x14ac:dyDescent="0.25">
      <c r="B44" s="164">
        <v>42640</v>
      </c>
      <c r="C44" s="10">
        <v>0</v>
      </c>
      <c r="D44" s="39"/>
      <c r="E44" s="39"/>
      <c r="F44" s="39">
        <v>117.74</v>
      </c>
      <c r="G44" s="39"/>
      <c r="H44" s="179"/>
      <c r="I44" s="39"/>
      <c r="O44" s="81">
        <v>1.07</v>
      </c>
      <c r="P44" s="81">
        <f t="shared" si="4"/>
        <v>61.514300000000006</v>
      </c>
      <c r="Q44" s="2"/>
    </row>
    <row r="45" spans="2:17" x14ac:dyDescent="0.25">
      <c r="B45" s="164"/>
      <c r="C45" s="10"/>
      <c r="D45" s="39"/>
      <c r="E45" s="39"/>
      <c r="F45" s="39"/>
      <c r="G45" s="39"/>
      <c r="H45" s="179"/>
      <c r="I45" s="39"/>
      <c r="O45" s="81">
        <v>1.06</v>
      </c>
      <c r="P45" s="81">
        <f t="shared" si="4"/>
        <v>60.939400000000006</v>
      </c>
      <c r="Q45" s="2"/>
    </row>
    <row r="46" spans="2:17" x14ac:dyDescent="0.25">
      <c r="B46" s="164"/>
      <c r="C46" s="10"/>
      <c r="D46" s="39"/>
      <c r="E46" s="39"/>
      <c r="F46" s="39"/>
      <c r="G46" s="39"/>
      <c r="H46" s="179"/>
      <c r="I46" s="39"/>
      <c r="O46" s="81">
        <v>1.05</v>
      </c>
      <c r="P46" s="81">
        <f t="shared" si="4"/>
        <v>60.364500000000007</v>
      </c>
      <c r="Q46" s="2"/>
    </row>
    <row r="47" spans="2:17" x14ac:dyDescent="0.25">
      <c r="B47" s="164"/>
      <c r="C47" s="10"/>
      <c r="D47" s="39"/>
      <c r="E47" s="39"/>
      <c r="F47" s="39"/>
      <c r="G47" s="39"/>
      <c r="H47" s="179"/>
      <c r="I47" s="39"/>
      <c r="O47" s="81">
        <v>1.04</v>
      </c>
      <c r="P47" s="81">
        <f t="shared" si="4"/>
        <v>59.789600000000007</v>
      </c>
      <c r="Q47" s="2"/>
    </row>
    <row r="48" spans="2:17" x14ac:dyDescent="0.25">
      <c r="O48" s="81">
        <v>1.03</v>
      </c>
      <c r="P48" s="81">
        <f t="shared" si="4"/>
        <v>59.214700000000001</v>
      </c>
      <c r="Q48" s="2"/>
    </row>
    <row r="49" spans="1:17" x14ac:dyDescent="0.25">
      <c r="O49" s="81">
        <v>1.02</v>
      </c>
      <c r="P49" s="81">
        <f t="shared" si="4"/>
        <v>58.639800000000001</v>
      </c>
      <c r="Q49" s="2"/>
    </row>
    <row r="50" spans="1:17" x14ac:dyDescent="0.25">
      <c r="O50" s="81">
        <v>1.01</v>
      </c>
      <c r="P50" s="81">
        <f t="shared" si="4"/>
        <v>58.064900000000002</v>
      </c>
      <c r="Q50" s="2"/>
    </row>
    <row r="51" spans="1:17" x14ac:dyDescent="0.25">
      <c r="O51" s="81">
        <v>1</v>
      </c>
      <c r="P51" s="81">
        <f t="shared" si="4"/>
        <v>57.49</v>
      </c>
      <c r="Q51" s="2"/>
    </row>
    <row r="52" spans="1:17" x14ac:dyDescent="0.25">
      <c r="O52" s="81">
        <v>0.99</v>
      </c>
      <c r="P52" s="81">
        <f t="shared" si="4"/>
        <v>56.915100000000002</v>
      </c>
      <c r="Q52" s="2"/>
    </row>
    <row r="53" spans="1:17" x14ac:dyDescent="0.25">
      <c r="O53" s="81">
        <v>0.98</v>
      </c>
      <c r="P53" s="81">
        <f t="shared" si="4"/>
        <v>56.340200000000003</v>
      </c>
      <c r="Q53" s="2"/>
    </row>
    <row r="54" spans="1:17" x14ac:dyDescent="0.25">
      <c r="O54" s="81">
        <v>0.97</v>
      </c>
      <c r="P54" s="81">
        <f t="shared" si="4"/>
        <v>55.765300000000003</v>
      </c>
    </row>
    <row r="55" spans="1:17" x14ac:dyDescent="0.25">
      <c r="L55" t="s">
        <v>65</v>
      </c>
      <c r="M55" s="2">
        <f>M73+K73-F73</f>
        <v>117.73999999999978</v>
      </c>
      <c r="O55" s="81">
        <v>0.96</v>
      </c>
      <c r="P55" s="81">
        <f t="shared" si="4"/>
        <v>55.190399999999997</v>
      </c>
    </row>
    <row r="56" spans="1:17" x14ac:dyDescent="0.25">
      <c r="A56" s="304" t="s">
        <v>1</v>
      </c>
      <c r="B56" s="304" t="s">
        <v>2</v>
      </c>
      <c r="C56" s="304" t="s">
        <v>4</v>
      </c>
      <c r="D56" s="306" t="s">
        <v>5</v>
      </c>
      <c r="E56" s="306" t="s">
        <v>94</v>
      </c>
      <c r="F56" s="306" t="s">
        <v>60</v>
      </c>
      <c r="G56" s="304" t="s">
        <v>3</v>
      </c>
      <c r="H56" s="304" t="s">
        <v>6</v>
      </c>
      <c r="I56" s="306" t="s">
        <v>7</v>
      </c>
      <c r="J56" s="306" t="s">
        <v>95</v>
      </c>
      <c r="K56" s="306" t="s">
        <v>61</v>
      </c>
      <c r="L56" s="304" t="s">
        <v>37</v>
      </c>
      <c r="M56" s="304" t="s">
        <v>38</v>
      </c>
      <c r="O56" s="81">
        <v>0.95</v>
      </c>
      <c r="P56" s="81">
        <f t="shared" si="4"/>
        <v>54.615499999999997</v>
      </c>
    </row>
    <row r="57" spans="1:17" x14ac:dyDescent="0.25">
      <c r="A57" s="307" t="s">
        <v>36</v>
      </c>
      <c r="B57" s="297">
        <v>42572</v>
      </c>
      <c r="C57" s="298">
        <v>60</v>
      </c>
      <c r="D57" s="299">
        <v>39.58</v>
      </c>
      <c r="E57" s="299">
        <v>0</v>
      </c>
      <c r="F57" s="299">
        <f>C57*D57+E57</f>
        <v>2374.7999999999997</v>
      </c>
      <c r="G57" s="297">
        <v>42620</v>
      </c>
      <c r="H57" s="302">
        <v>100</v>
      </c>
      <c r="I57" s="299">
        <v>38.479999999999997</v>
      </c>
      <c r="J57" s="299">
        <v>0.08</v>
      </c>
      <c r="K57" s="299">
        <f>I57*H57-J57</f>
        <v>3847.9199999999996</v>
      </c>
      <c r="L57" s="297">
        <v>42621</v>
      </c>
      <c r="M57" s="299">
        <v>20</v>
      </c>
      <c r="O57" s="81">
        <v>0.94</v>
      </c>
      <c r="P57" s="81">
        <f t="shared" si="4"/>
        <v>54.040599999999998</v>
      </c>
    </row>
    <row r="58" spans="1:17" x14ac:dyDescent="0.25">
      <c r="A58" s="308" t="s">
        <v>71</v>
      </c>
      <c r="B58" s="297">
        <v>42572</v>
      </c>
      <c r="C58" s="298">
        <v>40</v>
      </c>
      <c r="D58" s="299">
        <v>37.880000000000003</v>
      </c>
      <c r="E58" s="299">
        <v>0</v>
      </c>
      <c r="F58" s="299">
        <f>C58*D58+E58</f>
        <v>1515.2</v>
      </c>
      <c r="G58" s="297">
        <v>42640</v>
      </c>
      <c r="H58" s="302">
        <v>100</v>
      </c>
      <c r="I58" s="299">
        <v>38.549999999999997</v>
      </c>
      <c r="J58" s="299">
        <v>0.08</v>
      </c>
      <c r="K58" s="299">
        <f>I58*H58-J58</f>
        <v>3854.9199999999996</v>
      </c>
      <c r="L58" s="298"/>
      <c r="M58" s="298"/>
      <c r="O58" s="81">
        <v>0.93</v>
      </c>
      <c r="P58" s="81">
        <f t="shared" si="4"/>
        <v>53.465700000000005</v>
      </c>
    </row>
    <row r="59" spans="1:17" x14ac:dyDescent="0.25">
      <c r="A59" s="298"/>
      <c r="B59" s="297">
        <v>42572</v>
      </c>
      <c r="C59" s="298">
        <v>40</v>
      </c>
      <c r="D59" s="299">
        <v>37.58</v>
      </c>
      <c r="E59" s="299">
        <v>0</v>
      </c>
      <c r="F59" s="299">
        <f>C59*D59+E59</f>
        <v>1503.1999999999998</v>
      </c>
      <c r="G59" s="298"/>
      <c r="H59" s="302"/>
      <c r="I59" s="299"/>
      <c r="J59" s="299"/>
      <c r="K59" s="299"/>
      <c r="L59" s="298"/>
      <c r="M59" s="298"/>
      <c r="O59" s="81">
        <v>0.92</v>
      </c>
      <c r="P59" s="81">
        <f t="shared" si="4"/>
        <v>52.890800000000006</v>
      </c>
    </row>
    <row r="60" spans="1:17" x14ac:dyDescent="0.25">
      <c r="A60" s="298"/>
      <c r="B60" s="297">
        <v>42576</v>
      </c>
      <c r="C60" s="298">
        <v>30</v>
      </c>
      <c r="D60" s="299">
        <v>37.15</v>
      </c>
      <c r="E60" s="299">
        <v>0</v>
      </c>
      <c r="F60" s="299">
        <f>C60*D60+E60</f>
        <v>1114.5</v>
      </c>
      <c r="G60" s="298"/>
      <c r="H60" s="302"/>
      <c r="I60" s="299"/>
      <c r="J60" s="299"/>
      <c r="K60" s="299"/>
      <c r="L60" s="298"/>
      <c r="M60" s="298"/>
      <c r="O60" s="81">
        <v>0.91</v>
      </c>
      <c r="P60" s="81">
        <f t="shared" si="4"/>
        <v>52.315900000000006</v>
      </c>
    </row>
    <row r="61" spans="1:17" x14ac:dyDescent="0.25">
      <c r="A61" s="298"/>
      <c r="B61" s="297">
        <v>42594</v>
      </c>
      <c r="C61" s="298">
        <v>30</v>
      </c>
      <c r="D61" s="299">
        <v>36.58</v>
      </c>
      <c r="E61" s="299">
        <v>0</v>
      </c>
      <c r="F61" s="299">
        <f>C61*D61+E61</f>
        <v>1097.3999999999999</v>
      </c>
      <c r="G61" s="298"/>
      <c r="H61" s="302"/>
      <c r="I61" s="299"/>
      <c r="J61" s="299"/>
      <c r="K61" s="299"/>
      <c r="L61" s="298"/>
      <c r="M61" s="298"/>
      <c r="O61" s="81">
        <v>0.9</v>
      </c>
      <c r="P61" s="81">
        <f t="shared" si="4"/>
        <v>51.741</v>
      </c>
    </row>
    <row r="62" spans="1:17" x14ac:dyDescent="0.25">
      <c r="A62" s="298"/>
      <c r="B62" s="298"/>
      <c r="C62" s="298"/>
      <c r="D62" s="299"/>
      <c r="E62" s="299"/>
      <c r="F62" s="299"/>
      <c r="G62" s="298"/>
      <c r="H62" s="302"/>
      <c r="I62" s="299"/>
      <c r="J62" s="299"/>
      <c r="K62" s="299"/>
      <c r="L62" s="298"/>
      <c r="M62" s="298"/>
    </row>
    <row r="63" spans="1:17" x14ac:dyDescent="0.25">
      <c r="A63" s="298"/>
      <c r="B63" s="298"/>
      <c r="C63" s="298"/>
      <c r="D63" s="299"/>
      <c r="E63" s="299"/>
      <c r="F63" s="299"/>
      <c r="G63" s="298"/>
      <c r="H63" s="302"/>
      <c r="I63" s="299"/>
      <c r="J63" s="299"/>
      <c r="K63" s="299"/>
      <c r="L63" s="298"/>
      <c r="M63" s="298"/>
    </row>
    <row r="64" spans="1:17" x14ac:dyDescent="0.25">
      <c r="A64" s="298"/>
      <c r="B64" s="298"/>
      <c r="C64" s="298"/>
      <c r="D64" s="299"/>
      <c r="E64" s="299"/>
      <c r="F64" s="299"/>
      <c r="G64" s="298"/>
      <c r="H64" s="302"/>
      <c r="I64" s="299"/>
      <c r="J64" s="299"/>
      <c r="K64" s="299"/>
      <c r="L64" s="298"/>
      <c r="M64" s="298"/>
    </row>
    <row r="65" spans="1:13" x14ac:dyDescent="0.25">
      <c r="A65" s="298"/>
      <c r="B65" s="298"/>
      <c r="C65" s="298"/>
      <c r="D65" s="299"/>
      <c r="E65" s="299"/>
      <c r="F65" s="299"/>
      <c r="G65" s="298"/>
      <c r="H65" s="302"/>
      <c r="I65" s="299"/>
      <c r="J65" s="299"/>
      <c r="K65" s="299"/>
      <c r="L65" s="298"/>
      <c r="M65" s="298"/>
    </row>
    <row r="66" spans="1:13" x14ac:dyDescent="0.25">
      <c r="A66" s="298"/>
      <c r="B66" s="298"/>
      <c r="C66" s="298"/>
      <c r="D66" s="299"/>
      <c r="E66" s="299"/>
      <c r="F66" s="299"/>
      <c r="G66" s="298"/>
      <c r="H66" s="302"/>
      <c r="I66" s="299"/>
      <c r="J66" s="299"/>
      <c r="K66" s="299"/>
      <c r="L66" s="298"/>
      <c r="M66" s="298"/>
    </row>
    <row r="67" spans="1:13" x14ac:dyDescent="0.25">
      <c r="A67" s="298"/>
      <c r="B67" s="298"/>
      <c r="C67" s="298"/>
      <c r="D67" s="299"/>
      <c r="E67" s="299"/>
      <c r="F67" s="299"/>
      <c r="G67" s="298"/>
      <c r="H67" s="302"/>
      <c r="I67" s="299"/>
      <c r="J67" s="299"/>
      <c r="K67" s="299"/>
      <c r="L67" s="298"/>
      <c r="M67" s="298"/>
    </row>
    <row r="68" spans="1:13" x14ac:dyDescent="0.25">
      <c r="A68" s="298"/>
      <c r="B68" s="298"/>
      <c r="C68" s="298"/>
      <c r="D68" s="299"/>
      <c r="E68" s="299"/>
      <c r="F68" s="299"/>
      <c r="G68" s="298"/>
      <c r="H68" s="302"/>
      <c r="I68" s="299"/>
      <c r="J68" s="299"/>
      <c r="K68" s="299"/>
      <c r="L68" s="298"/>
      <c r="M68" s="298"/>
    </row>
    <row r="69" spans="1:13" x14ac:dyDescent="0.25">
      <c r="A69" s="298"/>
      <c r="B69" s="298"/>
      <c r="C69" s="298"/>
      <c r="D69" s="299"/>
      <c r="E69" s="299"/>
      <c r="F69" s="299"/>
      <c r="G69" s="298"/>
      <c r="H69" s="302"/>
      <c r="I69" s="299"/>
      <c r="J69" s="299"/>
      <c r="K69" s="299"/>
      <c r="L69" s="298"/>
      <c r="M69" s="298"/>
    </row>
    <row r="70" spans="1:13" x14ac:dyDescent="0.25">
      <c r="A70" s="298"/>
      <c r="B70" s="298"/>
      <c r="C70" s="298"/>
      <c r="D70" s="299"/>
      <c r="E70" s="299"/>
      <c r="F70" s="299"/>
      <c r="G70" s="298"/>
      <c r="H70" s="302"/>
      <c r="I70" s="299"/>
      <c r="J70" s="299"/>
      <c r="K70" s="299"/>
      <c r="L70" s="298"/>
      <c r="M70" s="298"/>
    </row>
    <row r="71" spans="1:13" x14ac:dyDescent="0.25">
      <c r="A71" s="298"/>
      <c r="B71" s="298"/>
      <c r="C71" s="298"/>
      <c r="D71" s="299"/>
      <c r="E71" s="299"/>
      <c r="F71" s="299"/>
      <c r="G71" s="298"/>
      <c r="H71" s="302"/>
      <c r="I71" s="299"/>
      <c r="J71" s="299"/>
      <c r="K71" s="299"/>
      <c r="L71" s="298"/>
      <c r="M71" s="298"/>
    </row>
    <row r="72" spans="1:13" x14ac:dyDescent="0.25">
      <c r="A72" s="298"/>
      <c r="B72" s="298"/>
      <c r="C72" s="298"/>
      <c r="D72" s="299"/>
      <c r="E72" s="299"/>
      <c r="F72" s="299"/>
      <c r="G72" s="298"/>
      <c r="H72" s="298"/>
      <c r="I72" s="299"/>
      <c r="J72" s="299"/>
      <c r="K72" s="299"/>
      <c r="L72" s="298"/>
      <c r="M72" s="298"/>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8"/>
      <c r="B74" s="379"/>
      <c r="C74" s="380"/>
      <c r="D74" s="380"/>
      <c r="E74" s="380"/>
      <c r="F74" s="381"/>
      <c r="G74" s="380"/>
      <c r="H74" s="380"/>
      <c r="I74" s="380"/>
      <c r="J74" s="380"/>
      <c r="K74" s="381"/>
      <c r="L74" s="380"/>
      <c r="M74" s="381"/>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3426" priority="15">
      <formula>F39&gt;0</formula>
    </cfRule>
    <cfRule type="expression" dxfId="3425" priority="16">
      <formula>F39&lt;0</formula>
    </cfRule>
  </conditionalFormatting>
  <conditionalFormatting sqref="Q7">
    <cfRule type="expression" dxfId="3424" priority="13">
      <formula>Q7&gt;0</formula>
    </cfRule>
    <cfRule type="expression" dxfId="3423" priority="14">
      <formula>Q7&lt;0</formula>
    </cfRule>
  </conditionalFormatting>
  <conditionalFormatting sqref="Q8">
    <cfRule type="expression" dxfId="3422" priority="11">
      <formula>Q8&gt;0</formula>
    </cfRule>
    <cfRule type="expression" dxfId="3421" priority="12">
      <formula>Q8&lt;0</formula>
    </cfRule>
  </conditionalFormatting>
  <conditionalFormatting sqref="F25:F38">
    <cfRule type="expression" dxfId="3420" priority="9">
      <formula>F25&gt;0</formula>
    </cfRule>
    <cfRule type="expression" dxfId="3419" priority="10">
      <formula>F25&lt;0</formula>
    </cfRule>
  </conditionalFormatting>
  <conditionalFormatting sqref="H25:H38">
    <cfRule type="expression" dxfId="3418" priority="7">
      <formula>H25&gt;0</formula>
    </cfRule>
    <cfRule type="expression" dxfId="3417" priority="8">
      <formula>H25&lt;0</formula>
    </cfRule>
  </conditionalFormatting>
  <conditionalFormatting sqref="M55">
    <cfRule type="expression" dxfId="3416" priority="3">
      <formula>M55&gt;0</formula>
    </cfRule>
    <cfRule type="expression" dxfId="3415" priority="4">
      <formula>M55&lt;0</formula>
    </cfRule>
  </conditionalFormatting>
  <conditionalFormatting sqref="Q10">
    <cfRule type="expression" dxfId="3414" priority="1">
      <formula>Q10&gt;0</formula>
    </cfRule>
    <cfRule type="expression" dxfId="3413"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4"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2"/>
    </row>
    <row r="2" spans="1:21" x14ac:dyDescent="0.25">
      <c r="A2" s="6" t="s">
        <v>1349</v>
      </c>
      <c r="B2" s="72"/>
      <c r="C2" s="4"/>
      <c r="D2" s="3"/>
      <c r="E2" s="3"/>
      <c r="F2" s="3"/>
      <c r="G2" s="72"/>
      <c r="H2" s="161"/>
      <c r="I2" s="3"/>
      <c r="J2" s="3"/>
      <c r="K2" s="3"/>
      <c r="L2" s="1"/>
      <c r="O2" s="11" t="s">
        <v>57</v>
      </c>
      <c r="Q2">
        <f>C18-H18</f>
        <v>0</v>
      </c>
      <c r="T2" s="1"/>
    </row>
    <row r="3" spans="1:21" x14ac:dyDescent="0.25">
      <c r="A3" s="22" t="s">
        <v>71</v>
      </c>
      <c r="G3" s="72"/>
      <c r="H3" s="161"/>
      <c r="I3" s="3"/>
      <c r="J3" s="3"/>
      <c r="K3" s="3"/>
      <c r="O3" s="11" t="s">
        <v>58</v>
      </c>
      <c r="Q3" s="396">
        <f>IF(Q2=0, Q4, (F18-K18-M18)/Q2)</f>
        <v>46.16</v>
      </c>
      <c r="T3" s="1"/>
    </row>
    <row r="4" spans="1:21" x14ac:dyDescent="0.25">
      <c r="B4" s="72"/>
      <c r="C4" s="4"/>
      <c r="D4" s="3"/>
      <c r="E4" s="3"/>
      <c r="F4" s="3"/>
      <c r="G4" s="72"/>
      <c r="H4" s="161"/>
      <c r="I4" s="3"/>
      <c r="J4" s="3"/>
      <c r="K4" s="3"/>
      <c r="O4" s="11" t="s">
        <v>66</v>
      </c>
      <c r="Q4" s="54">
        <v>46.16</v>
      </c>
      <c r="R4" s="405">
        <v>0</v>
      </c>
      <c r="T4" s="156"/>
    </row>
    <row r="5" spans="1:21" x14ac:dyDescent="0.25">
      <c r="B5" s="72"/>
      <c r="C5" s="4"/>
      <c r="D5" s="3"/>
      <c r="E5" s="3"/>
      <c r="F5" s="3"/>
      <c r="G5" s="72"/>
      <c r="H5" s="161"/>
      <c r="I5" s="3"/>
      <c r="J5" s="3"/>
      <c r="K5" s="3"/>
      <c r="O5" s="11" t="s">
        <v>67</v>
      </c>
      <c r="Q5" s="3">
        <f>Q4*Q2</f>
        <v>0</v>
      </c>
    </row>
    <row r="6" spans="1:21" x14ac:dyDescent="0.25">
      <c r="B6" s="72"/>
      <c r="C6" s="4"/>
      <c r="D6" s="3"/>
      <c r="E6" s="3"/>
      <c r="F6" s="3"/>
      <c r="G6" s="72"/>
      <c r="H6" s="161"/>
      <c r="I6" s="3"/>
      <c r="J6" s="3"/>
      <c r="K6" s="3"/>
      <c r="O6" s="11" t="s">
        <v>64</v>
      </c>
      <c r="Q6" s="2">
        <f>Q3*Q2</f>
        <v>0</v>
      </c>
    </row>
    <row r="7" spans="1:21" x14ac:dyDescent="0.25">
      <c r="B7" s="72"/>
      <c r="C7" s="4"/>
      <c r="D7" s="3"/>
      <c r="E7" s="3"/>
      <c r="F7" s="3"/>
      <c r="G7" s="4"/>
      <c r="H7" s="161"/>
      <c r="I7" s="3"/>
      <c r="J7" s="3"/>
      <c r="K7" s="3"/>
      <c r="O7" s="11" t="s">
        <v>177</v>
      </c>
      <c r="Q7" s="2">
        <f>Q10+Q8</f>
        <v>264.92000000000007</v>
      </c>
      <c r="R7">
        <v>0</v>
      </c>
    </row>
    <row r="8" spans="1:21" x14ac:dyDescent="0.25">
      <c r="B8" s="72"/>
      <c r="C8" s="4"/>
      <c r="D8" s="3"/>
      <c r="E8" s="3"/>
      <c r="F8" s="3"/>
      <c r="G8" s="4"/>
      <c r="H8" s="161"/>
      <c r="I8" s="3"/>
      <c r="J8" s="3"/>
      <c r="K8" s="3"/>
      <c r="O8" s="11" t="s">
        <v>179</v>
      </c>
      <c r="P8" s="33"/>
      <c r="Q8" s="2">
        <f>K18+M18-F18+Q2*Q4</f>
        <v>0</v>
      </c>
    </row>
    <row r="9" spans="1:21" x14ac:dyDescent="0.25">
      <c r="B9" s="4"/>
      <c r="C9" s="4"/>
      <c r="D9" s="3"/>
      <c r="E9" s="3"/>
      <c r="F9" s="3"/>
      <c r="G9" s="4"/>
      <c r="H9" s="161"/>
      <c r="I9" s="3"/>
      <c r="J9" s="3"/>
      <c r="K9" s="3"/>
      <c r="O9" s="11" t="s">
        <v>204</v>
      </c>
      <c r="Q9" s="134">
        <f>IF(Q2=0, 0, Q8/Q6)</f>
        <v>0</v>
      </c>
    </row>
    <row r="10" spans="1:21" x14ac:dyDescent="0.25">
      <c r="O10" s="11" t="s">
        <v>203</v>
      </c>
      <c r="P10" s="33"/>
      <c r="Q10" s="2">
        <f>M41</f>
        <v>264.92000000000007</v>
      </c>
    </row>
    <row r="11" spans="1:21" x14ac:dyDescent="0.25">
      <c r="O11" s="11" t="s">
        <v>175</v>
      </c>
      <c r="P11" s="33"/>
      <c r="Q11" s="134">
        <f>VALUE(TRIM(CLEAN(MID(U58, FIND("(", U58)+1, 5))))</f>
        <v>3.4200000000000001E-2</v>
      </c>
    </row>
    <row r="17" spans="1:13" x14ac:dyDescent="0.25">
      <c r="H17" s="70"/>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479">
        <f>SumByColor($A$19,M2:M17)</f>
        <v>0</v>
      </c>
    </row>
    <row r="21" spans="1:13" x14ac:dyDescent="0.25">
      <c r="B21" s="414" t="s">
        <v>113</v>
      </c>
      <c r="C21" s="414" t="s">
        <v>145</v>
      </c>
      <c r="D21" s="415" t="s">
        <v>144</v>
      </c>
      <c r="E21" s="416" t="s">
        <v>146</v>
      </c>
      <c r="F21" s="417" t="s">
        <v>65</v>
      </c>
      <c r="G21" s="418" t="s">
        <v>150</v>
      </c>
      <c r="H21" s="417" t="s">
        <v>88</v>
      </c>
      <c r="I21" s="418" t="s">
        <v>153</v>
      </c>
    </row>
    <row r="22" spans="1:13" x14ac:dyDescent="0.25">
      <c r="A22" t="s">
        <v>337</v>
      </c>
      <c r="B22" s="164">
        <v>42754</v>
      </c>
      <c r="C22" s="10">
        <v>50</v>
      </c>
      <c r="D22" s="173">
        <v>31.18</v>
      </c>
      <c r="E22" s="39">
        <v>33.86</v>
      </c>
      <c r="F22" s="184">
        <f>C22*(E22-D22)</f>
        <v>134</v>
      </c>
      <c r="G22" s="39">
        <f>D22*C22</f>
        <v>1559</v>
      </c>
      <c r="H22" s="180">
        <f>(E22-D22)/D22</f>
        <v>8.5952533675432957E-2</v>
      </c>
      <c r="I22" s="39"/>
    </row>
    <row r="23" spans="1:13" x14ac:dyDescent="0.25">
      <c r="B23" s="164"/>
      <c r="C23" s="10"/>
      <c r="D23" s="173"/>
      <c r="E23" s="39"/>
      <c r="F23" s="184"/>
      <c r="G23" s="39"/>
      <c r="H23" s="180"/>
      <c r="I23" s="39"/>
    </row>
    <row r="24" spans="1:13" x14ac:dyDescent="0.25">
      <c r="B24" s="164"/>
      <c r="C24" s="10"/>
      <c r="D24" s="173"/>
      <c r="E24" s="39"/>
      <c r="F24" s="184"/>
      <c r="G24" s="39"/>
      <c r="H24" s="180"/>
      <c r="I24" s="39"/>
    </row>
    <row r="25" spans="1:13" x14ac:dyDescent="0.25">
      <c r="B25" s="164"/>
      <c r="C25" s="10"/>
      <c r="D25" s="173"/>
      <c r="E25" s="39"/>
      <c r="F25" s="184"/>
      <c r="G25" s="39"/>
      <c r="H25" s="180"/>
      <c r="I25" s="39"/>
    </row>
    <row r="26" spans="1:13" x14ac:dyDescent="0.25">
      <c r="B26" s="164"/>
      <c r="C26" s="10"/>
      <c r="D26" s="173"/>
      <c r="E26" s="39"/>
      <c r="F26" s="184"/>
      <c r="G26" s="39"/>
      <c r="H26" s="180"/>
      <c r="I26" s="39"/>
    </row>
    <row r="27" spans="1:13" x14ac:dyDescent="0.25">
      <c r="B27" s="164"/>
      <c r="C27" s="10"/>
      <c r="D27" s="173"/>
      <c r="E27" s="39"/>
      <c r="F27" s="184"/>
      <c r="G27" s="39"/>
      <c r="H27" s="180"/>
      <c r="I27" s="39"/>
    </row>
    <row r="28" spans="1:13" x14ac:dyDescent="0.25">
      <c r="B28" s="164"/>
      <c r="C28" s="10"/>
      <c r="D28" s="173"/>
      <c r="E28" s="39"/>
      <c r="F28" s="184"/>
      <c r="G28" s="39"/>
      <c r="H28" s="180"/>
      <c r="I28" s="39"/>
    </row>
    <row r="29" spans="1:13" x14ac:dyDescent="0.25">
      <c r="B29" s="164"/>
      <c r="C29" s="10"/>
      <c r="D29" s="173"/>
      <c r="E29" s="39"/>
      <c r="F29" s="184"/>
      <c r="G29" s="39"/>
      <c r="H29" s="180"/>
      <c r="I29" s="39"/>
    </row>
    <row r="30" spans="1:13" x14ac:dyDescent="0.25">
      <c r="B30" s="164"/>
      <c r="C30" s="10"/>
      <c r="D30" s="173"/>
      <c r="E30" s="39"/>
      <c r="F30" s="184"/>
      <c r="G30" s="39"/>
      <c r="H30" s="180"/>
      <c r="I30" s="39"/>
    </row>
    <row r="31" spans="1:13" x14ac:dyDescent="0.25">
      <c r="B31" s="164"/>
      <c r="C31" s="10"/>
      <c r="D31" s="173"/>
      <c r="E31" s="39"/>
      <c r="F31" s="184"/>
      <c r="G31" s="39"/>
      <c r="H31" s="180"/>
      <c r="I31" s="39"/>
    </row>
    <row r="32" spans="1:13" x14ac:dyDescent="0.25">
      <c r="B32" s="164"/>
      <c r="C32" s="10"/>
      <c r="D32" s="173"/>
      <c r="E32" s="39"/>
      <c r="F32" s="184"/>
      <c r="G32" s="39"/>
      <c r="H32" s="180"/>
      <c r="I32" s="39"/>
    </row>
    <row r="33" spans="1:21" x14ac:dyDescent="0.25">
      <c r="B33" s="164"/>
      <c r="C33" s="10"/>
      <c r="D33" s="173"/>
      <c r="E33" s="39"/>
      <c r="F33" s="184"/>
      <c r="G33" s="39"/>
      <c r="H33" s="180"/>
      <c r="I33" s="39"/>
    </row>
    <row r="34" spans="1:21" x14ac:dyDescent="0.25">
      <c r="B34" s="164"/>
      <c r="C34" s="10"/>
      <c r="D34" s="173"/>
      <c r="E34" s="39"/>
      <c r="F34" s="184"/>
      <c r="G34" s="39"/>
      <c r="H34" s="180"/>
      <c r="I34" s="39"/>
    </row>
    <row r="35" spans="1:21" x14ac:dyDescent="0.25">
      <c r="B35" s="164"/>
      <c r="C35" s="10"/>
      <c r="D35" s="173"/>
      <c r="E35" s="39"/>
      <c r="F35" s="184"/>
      <c r="G35" s="39"/>
      <c r="H35" s="180"/>
      <c r="I35" s="39"/>
    </row>
    <row r="36" spans="1:21" x14ac:dyDescent="0.25">
      <c r="B36" s="164"/>
      <c r="C36" s="10"/>
      <c r="D36" s="173"/>
      <c r="E36" s="39"/>
      <c r="F36" s="184"/>
      <c r="G36" s="39"/>
      <c r="H36" s="180"/>
      <c r="I36" s="39"/>
    </row>
    <row r="37" spans="1:21" x14ac:dyDescent="0.25">
      <c r="B37" s="72"/>
      <c r="C37" s="4"/>
      <c r="D37" s="482"/>
      <c r="E37" s="3"/>
      <c r="F37" s="3"/>
      <c r="G37" s="3"/>
      <c r="H37" s="181"/>
      <c r="I37" s="3"/>
    </row>
    <row r="38" spans="1:21" x14ac:dyDescent="0.25">
      <c r="B38" s="72"/>
      <c r="C38" s="4"/>
      <c r="D38" s="482"/>
      <c r="E38" s="3"/>
      <c r="F38" s="3"/>
      <c r="G38" s="3"/>
      <c r="H38" s="181"/>
      <c r="I38" s="3"/>
    </row>
    <row r="40" spans="1:21" ht="20.25" thickBot="1" x14ac:dyDescent="0.35">
      <c r="O40" s="884" t="s">
        <v>78</v>
      </c>
      <c r="P40" s="884"/>
    </row>
    <row r="41" spans="1:21" ht="15.75" thickTop="1" x14ac:dyDescent="0.25">
      <c r="A41" s="4"/>
      <c r="B41" s="4"/>
      <c r="C41" s="4"/>
      <c r="D41" s="3"/>
      <c r="E41" s="3"/>
      <c r="F41" s="3"/>
      <c r="G41" s="4"/>
      <c r="H41" s="4"/>
      <c r="I41" s="3"/>
      <c r="J41" s="3"/>
      <c r="K41" s="3"/>
      <c r="L41" s="4" t="s">
        <v>65</v>
      </c>
      <c r="M41" s="2">
        <f>M59+K59-F59</f>
        <v>264.92000000000007</v>
      </c>
      <c r="O41" s="81">
        <v>1.1000000000000001</v>
      </c>
      <c r="P41" s="81">
        <f>O41*$Q$4</f>
        <v>50.776000000000003</v>
      </c>
      <c r="Q41" s="2"/>
    </row>
    <row r="42" spans="1:21" ht="20.25" thickBot="1" x14ac:dyDescent="0.35">
      <c r="A42" s="304" t="s">
        <v>1</v>
      </c>
      <c r="B42" s="304" t="s">
        <v>2</v>
      </c>
      <c r="C42" s="304" t="s">
        <v>4</v>
      </c>
      <c r="D42" s="306" t="s">
        <v>5</v>
      </c>
      <c r="E42" s="306" t="s">
        <v>94</v>
      </c>
      <c r="F42" s="306" t="s">
        <v>60</v>
      </c>
      <c r="G42" s="304" t="s">
        <v>3</v>
      </c>
      <c r="H42" s="304" t="s">
        <v>6</v>
      </c>
      <c r="I42" s="306" t="s">
        <v>7</v>
      </c>
      <c r="J42" s="306" t="s">
        <v>95</v>
      </c>
      <c r="K42" s="306" t="s">
        <v>61</v>
      </c>
      <c r="L42" s="304" t="s">
        <v>37</v>
      </c>
      <c r="M42" s="304" t="s">
        <v>38</v>
      </c>
      <c r="O42" s="81">
        <v>1.0900000000000001</v>
      </c>
      <c r="P42" s="81">
        <f t="shared" ref="P42:P61" si="0">O42*$Q$4</f>
        <v>50.314399999999999</v>
      </c>
      <c r="Q42" s="2"/>
      <c r="T42" s="89" t="s">
        <v>112</v>
      </c>
    </row>
    <row r="43" spans="1:21" ht="15.75" thickTop="1" x14ac:dyDescent="0.25">
      <c r="A43" s="307" t="s">
        <v>306</v>
      </c>
      <c r="B43" s="297">
        <v>42719</v>
      </c>
      <c r="C43" s="298">
        <v>50</v>
      </c>
      <c r="D43" s="299">
        <v>31.18</v>
      </c>
      <c r="E43" s="299">
        <v>0</v>
      </c>
      <c r="F43" s="299">
        <f>C43*D43+E43</f>
        <v>1559</v>
      </c>
      <c r="G43" s="297">
        <v>42753</v>
      </c>
      <c r="H43" s="298">
        <v>50</v>
      </c>
      <c r="I43" s="299">
        <v>32.92</v>
      </c>
      <c r="J43" s="299">
        <v>0.04</v>
      </c>
      <c r="K43" s="299">
        <f>H43*I43-J43</f>
        <v>1645.96</v>
      </c>
      <c r="L43" s="297">
        <v>42748</v>
      </c>
      <c r="M43" s="298">
        <v>18</v>
      </c>
      <c r="O43" s="81">
        <v>1.08</v>
      </c>
      <c r="P43" s="81">
        <f t="shared" si="0"/>
        <v>49.852800000000002</v>
      </c>
      <c r="Q43" s="2"/>
      <c r="T43" s="125" t="s">
        <v>97</v>
      </c>
      <c r="U43" s="126">
        <v>37.69</v>
      </c>
    </row>
    <row r="44" spans="1:21" x14ac:dyDescent="0.25">
      <c r="A44" s="308" t="s">
        <v>71</v>
      </c>
      <c r="B44" s="72">
        <v>42719</v>
      </c>
      <c r="C44" s="4">
        <v>50</v>
      </c>
      <c r="D44" s="3">
        <v>31.18</v>
      </c>
      <c r="E44" s="3">
        <v>0</v>
      </c>
      <c r="F44" s="3">
        <f>C44*D44+E44</f>
        <v>1559</v>
      </c>
      <c r="G44" s="72">
        <v>42759</v>
      </c>
      <c r="H44" s="161">
        <v>50</v>
      </c>
      <c r="I44" s="3">
        <v>34.380000000000003</v>
      </c>
      <c r="J44" s="3">
        <v>0.04</v>
      </c>
      <c r="K44" s="3">
        <f>H44*I44-J44</f>
        <v>1718.9600000000003</v>
      </c>
      <c r="L44" s="298"/>
      <c r="M44" s="298"/>
      <c r="O44" s="81">
        <v>1.07</v>
      </c>
      <c r="P44" s="81">
        <f t="shared" si="0"/>
        <v>49.391199999999998</v>
      </c>
      <c r="Q44" s="2"/>
      <c r="T44" s="91" t="s">
        <v>98</v>
      </c>
      <c r="U44" s="127">
        <v>37.67</v>
      </c>
    </row>
    <row r="45" spans="1:21" x14ac:dyDescent="0.25">
      <c r="A45" s="298"/>
      <c r="B45" s="297"/>
      <c r="C45" s="298"/>
      <c r="D45" s="299"/>
      <c r="E45" s="299"/>
      <c r="F45" s="299"/>
      <c r="G45" s="297"/>
      <c r="H45" s="302"/>
      <c r="I45" s="299"/>
      <c r="J45" s="299"/>
      <c r="K45" s="299"/>
      <c r="L45" s="298"/>
      <c r="M45" s="298"/>
      <c r="O45" s="81">
        <v>1.06</v>
      </c>
      <c r="P45" s="81">
        <f t="shared" si="0"/>
        <v>48.929600000000001</v>
      </c>
      <c r="Q45" s="2"/>
      <c r="T45" s="91" t="s">
        <v>99</v>
      </c>
      <c r="U45" s="127" t="s">
        <v>128</v>
      </c>
    </row>
    <row r="46" spans="1:21" x14ac:dyDescent="0.25">
      <c r="A46" s="298"/>
      <c r="B46" s="297"/>
      <c r="C46" s="298"/>
      <c r="D46" s="299"/>
      <c r="E46" s="299"/>
      <c r="F46" s="299"/>
      <c r="G46" s="297"/>
      <c r="H46" s="302"/>
      <c r="I46" s="299"/>
      <c r="J46" s="299"/>
      <c r="K46" s="299"/>
      <c r="L46" s="298"/>
      <c r="M46" s="298"/>
      <c r="O46" s="81">
        <v>1.05</v>
      </c>
      <c r="P46" s="81">
        <f t="shared" si="0"/>
        <v>48.467999999999996</v>
      </c>
      <c r="Q46" s="2"/>
      <c r="T46" s="91" t="s">
        <v>100</v>
      </c>
      <c r="U46" s="127" t="s">
        <v>128</v>
      </c>
    </row>
    <row r="47" spans="1:21" x14ac:dyDescent="0.25">
      <c r="A47" s="298"/>
      <c r="B47" s="297"/>
      <c r="C47" s="298"/>
      <c r="D47" s="299"/>
      <c r="E47" s="299"/>
      <c r="F47" s="299"/>
      <c r="G47" s="297"/>
      <c r="H47" s="302"/>
      <c r="I47" s="299"/>
      <c r="J47" s="299"/>
      <c r="K47" s="299"/>
      <c r="L47" s="298"/>
      <c r="M47" s="298"/>
      <c r="O47" s="81">
        <v>1.04</v>
      </c>
      <c r="P47" s="81">
        <f t="shared" si="0"/>
        <v>48.006399999999999</v>
      </c>
      <c r="Q47" s="2"/>
      <c r="T47" s="91" t="s">
        <v>101</v>
      </c>
      <c r="U47" s="127">
        <v>41.2</v>
      </c>
    </row>
    <row r="48" spans="1:21" x14ac:dyDescent="0.25">
      <c r="A48" s="298"/>
      <c r="B48" s="297"/>
      <c r="C48" s="298"/>
      <c r="D48" s="299"/>
      <c r="E48" s="299"/>
      <c r="F48" s="299"/>
      <c r="G48" s="298"/>
      <c r="H48" s="302"/>
      <c r="I48" s="299"/>
      <c r="J48" s="299"/>
      <c r="K48" s="299"/>
      <c r="L48" s="298"/>
      <c r="M48" s="298"/>
      <c r="O48" s="81">
        <v>1.03</v>
      </c>
      <c r="P48" s="81">
        <f t="shared" si="0"/>
        <v>47.544799999999995</v>
      </c>
      <c r="Q48" s="2"/>
      <c r="T48" s="91" t="s">
        <v>102</v>
      </c>
      <c r="U48" s="127">
        <v>0.90102199999999999</v>
      </c>
    </row>
    <row r="49" spans="1:21" x14ac:dyDescent="0.25">
      <c r="A49" s="298"/>
      <c r="B49" s="297"/>
      <c r="C49" s="298"/>
      <c r="D49" s="299"/>
      <c r="E49" s="299"/>
      <c r="F49" s="299"/>
      <c r="G49" s="298"/>
      <c r="H49" s="302"/>
      <c r="I49" s="299"/>
      <c r="J49" s="299"/>
      <c r="K49" s="299"/>
      <c r="L49" s="298"/>
      <c r="M49" s="298"/>
      <c r="O49" s="81">
        <v>1.02</v>
      </c>
      <c r="P49" s="81">
        <f t="shared" si="0"/>
        <v>47.083199999999998</v>
      </c>
      <c r="Q49" s="2"/>
      <c r="T49" s="91" t="s">
        <v>103</v>
      </c>
      <c r="U49" s="127" t="s">
        <v>558</v>
      </c>
    </row>
    <row r="50" spans="1:21" x14ac:dyDescent="0.25">
      <c r="A50" s="298"/>
      <c r="B50" s="298"/>
      <c r="C50" s="298"/>
      <c r="D50" s="299"/>
      <c r="E50" s="299"/>
      <c r="F50" s="299"/>
      <c r="G50" s="298"/>
      <c r="H50" s="302"/>
      <c r="I50" s="299"/>
      <c r="J50" s="299"/>
      <c r="K50" s="299"/>
      <c r="L50" s="298"/>
      <c r="M50" s="298"/>
      <c r="O50" s="81">
        <v>1.01</v>
      </c>
      <c r="P50" s="81">
        <f t="shared" si="0"/>
        <v>46.621599999999994</v>
      </c>
      <c r="Q50" s="2"/>
      <c r="T50" s="91"/>
      <c r="U50" s="127"/>
    </row>
    <row r="51" spans="1:21" x14ac:dyDescent="0.25">
      <c r="A51" s="298"/>
      <c r="B51" s="298"/>
      <c r="C51" s="298"/>
      <c r="D51" s="299"/>
      <c r="E51" s="299"/>
      <c r="F51" s="299"/>
      <c r="G51" s="298"/>
      <c r="H51" s="298"/>
      <c r="I51" s="299"/>
      <c r="J51" s="299"/>
      <c r="K51" s="299"/>
      <c r="L51" s="298"/>
      <c r="M51" s="298"/>
      <c r="O51" s="81">
        <v>1</v>
      </c>
      <c r="P51" s="81">
        <f t="shared" si="0"/>
        <v>46.16</v>
      </c>
      <c r="Q51" s="2"/>
      <c r="T51" s="91" t="s">
        <v>104</v>
      </c>
      <c r="U51" s="127" t="s">
        <v>559</v>
      </c>
    </row>
    <row r="52" spans="1:21" x14ac:dyDescent="0.25">
      <c r="A52" s="298"/>
      <c r="B52" s="298"/>
      <c r="C52" s="298"/>
      <c r="D52" s="299"/>
      <c r="E52" s="299"/>
      <c r="F52" s="299"/>
      <c r="G52" s="298"/>
      <c r="H52" s="298"/>
      <c r="I52" s="299"/>
      <c r="J52" s="299"/>
      <c r="K52" s="299"/>
      <c r="L52" s="298"/>
      <c r="M52" s="298"/>
      <c r="O52" s="81">
        <v>0.99</v>
      </c>
      <c r="P52" s="81">
        <f t="shared" si="0"/>
        <v>45.698399999999999</v>
      </c>
      <c r="Q52" s="2"/>
      <c r="T52" s="91" t="s">
        <v>105</v>
      </c>
      <c r="U52" s="127" t="s">
        <v>307</v>
      </c>
    </row>
    <row r="53" spans="1:21" x14ac:dyDescent="0.25">
      <c r="A53" s="298"/>
      <c r="B53" s="298"/>
      <c r="C53" s="298"/>
      <c r="D53" s="299"/>
      <c r="E53" s="299"/>
      <c r="F53" s="299"/>
      <c r="G53" s="298"/>
      <c r="H53" s="298"/>
      <c r="I53" s="299"/>
      <c r="J53" s="299"/>
      <c r="K53" s="299"/>
      <c r="L53" s="298"/>
      <c r="M53" s="298"/>
      <c r="O53" s="81">
        <v>0.98</v>
      </c>
      <c r="P53" s="81">
        <f t="shared" si="0"/>
        <v>45.236799999999995</v>
      </c>
      <c r="Q53" s="2"/>
      <c r="T53" s="91" t="s">
        <v>106</v>
      </c>
      <c r="U53" s="128">
        <v>1471133</v>
      </c>
    </row>
    <row r="54" spans="1:21" x14ac:dyDescent="0.25">
      <c r="A54" s="298"/>
      <c r="B54" s="298"/>
      <c r="C54" s="298"/>
      <c r="D54" s="299"/>
      <c r="E54" s="299"/>
      <c r="F54" s="299"/>
      <c r="G54" s="298"/>
      <c r="H54" s="298"/>
      <c r="I54" s="299"/>
      <c r="J54" s="299"/>
      <c r="K54" s="299"/>
      <c r="L54" s="298"/>
      <c r="M54" s="298"/>
      <c r="O54" s="81">
        <v>0.97</v>
      </c>
      <c r="P54" s="81">
        <f t="shared" si="0"/>
        <v>44.775199999999998</v>
      </c>
      <c r="T54" s="91" t="s">
        <v>109</v>
      </c>
      <c r="U54" s="128">
        <v>1550960</v>
      </c>
    </row>
    <row r="55" spans="1:21" x14ac:dyDescent="0.25">
      <c r="A55" s="298"/>
      <c r="B55" s="298"/>
      <c r="C55" s="298"/>
      <c r="D55" s="299"/>
      <c r="E55" s="299"/>
      <c r="F55" s="299"/>
      <c r="G55" s="298"/>
      <c r="H55" s="298"/>
      <c r="I55" s="299"/>
      <c r="J55" s="299"/>
      <c r="K55" s="299"/>
      <c r="L55" s="298"/>
      <c r="M55" s="298"/>
      <c r="O55" s="81">
        <v>0.96</v>
      </c>
      <c r="P55" s="81">
        <f t="shared" si="0"/>
        <v>44.313599999999994</v>
      </c>
      <c r="T55" s="91" t="s">
        <v>107</v>
      </c>
      <c r="U55" s="127" t="s">
        <v>560</v>
      </c>
    </row>
    <row r="56" spans="1:21" x14ac:dyDescent="0.25">
      <c r="A56" s="298"/>
      <c r="B56" s="298"/>
      <c r="C56" s="298"/>
      <c r="D56" s="299"/>
      <c r="E56" s="299"/>
      <c r="F56" s="299"/>
      <c r="G56" s="298"/>
      <c r="H56" s="298"/>
      <c r="I56" s="299"/>
      <c r="J56" s="299"/>
      <c r="K56" s="299"/>
      <c r="L56" s="298"/>
      <c r="M56" s="298"/>
      <c r="O56" s="81">
        <v>0.95</v>
      </c>
      <c r="P56" s="81">
        <f t="shared" si="0"/>
        <v>43.851999999999997</v>
      </c>
      <c r="T56" s="91" t="s">
        <v>110</v>
      </c>
      <c r="U56" s="127">
        <v>24.49</v>
      </c>
    </row>
    <row r="57" spans="1:21" x14ac:dyDescent="0.25">
      <c r="A57" s="298"/>
      <c r="B57" s="298"/>
      <c r="C57" s="298"/>
      <c r="D57" s="299"/>
      <c r="E57" s="299"/>
      <c r="F57" s="299"/>
      <c r="G57" s="298"/>
      <c r="H57" s="298"/>
      <c r="I57" s="299"/>
      <c r="J57" s="299"/>
      <c r="K57" s="299"/>
      <c r="L57" s="298"/>
      <c r="M57" s="298"/>
      <c r="O57" s="81">
        <v>0.94</v>
      </c>
      <c r="P57" s="81">
        <f t="shared" si="0"/>
        <v>43.390399999999993</v>
      </c>
      <c r="T57" s="91" t="s">
        <v>111</v>
      </c>
      <c r="U57" s="127">
        <v>1.53</v>
      </c>
    </row>
    <row r="58" spans="1:21" x14ac:dyDescent="0.25">
      <c r="A58" s="298"/>
      <c r="B58" s="298"/>
      <c r="C58" s="298"/>
      <c r="D58" s="299"/>
      <c r="E58" s="299"/>
      <c r="F58" s="299"/>
      <c r="G58" s="298"/>
      <c r="H58" s="302"/>
      <c r="I58" s="299"/>
      <c r="J58" s="299"/>
      <c r="K58" s="299"/>
      <c r="L58" s="298"/>
      <c r="M58" s="298"/>
      <c r="O58" s="81">
        <v>0.93</v>
      </c>
      <c r="P58" s="81">
        <f t="shared" si="0"/>
        <v>42.928800000000003</v>
      </c>
      <c r="T58" s="91" t="s">
        <v>108</v>
      </c>
      <c r="U58" s="127" t="s">
        <v>495</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81">
        <v>0.92</v>
      </c>
      <c r="P59" s="81">
        <f t="shared" si="0"/>
        <v>42.467199999999998</v>
      </c>
    </row>
    <row r="60" spans="1:21" ht="15.75" thickBot="1" x14ac:dyDescent="0.3">
      <c r="A60" s="378"/>
      <c r="B60" s="379"/>
      <c r="C60" s="380"/>
      <c r="D60" s="380"/>
      <c r="E60" s="380"/>
      <c r="F60" s="381"/>
      <c r="G60" s="380"/>
      <c r="H60" s="380"/>
      <c r="I60" s="380"/>
      <c r="J60" s="380"/>
      <c r="K60" s="381"/>
      <c r="L60" s="380"/>
      <c r="M60" s="489"/>
      <c r="O60" s="81">
        <v>0.91</v>
      </c>
      <c r="P60" s="81">
        <f t="shared" si="0"/>
        <v>42.005600000000001</v>
      </c>
    </row>
    <row r="61" spans="1:21" x14ac:dyDescent="0.25">
      <c r="O61" s="81">
        <v>0.9</v>
      </c>
      <c r="P61" s="81">
        <f t="shared" si="0"/>
        <v>41.543999999999997</v>
      </c>
    </row>
    <row r="65" spans="1:21" x14ac:dyDescent="0.25">
      <c r="B65" s="4"/>
      <c r="C65" s="4"/>
      <c r="D65" s="3"/>
      <c r="E65" s="3"/>
      <c r="F65" s="3"/>
      <c r="G65" s="4"/>
      <c r="H65" s="4"/>
      <c r="I65" s="3"/>
      <c r="U65" s="84"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46"/>
      <c r="C68" s="346"/>
      <c r="D68" s="483"/>
      <c r="E68" s="483"/>
      <c r="F68" s="483"/>
      <c r="G68" s="346"/>
      <c r="H68" s="346"/>
      <c r="I68" s="483"/>
      <c r="J68" s="3"/>
      <c r="K68" s="3"/>
      <c r="L68" s="4"/>
      <c r="M68" s="3"/>
      <c r="N68" s="4"/>
    </row>
    <row r="69" spans="1:21" x14ac:dyDescent="0.25">
      <c r="A69" s="346"/>
      <c r="B69" s="72"/>
      <c r="C69" s="4"/>
      <c r="D69" s="3"/>
      <c r="E69" s="3"/>
      <c r="F69" s="3"/>
      <c r="G69" s="72"/>
      <c r="H69" s="161"/>
      <c r="I69" s="3"/>
      <c r="J69" s="483"/>
      <c r="K69" s="483"/>
      <c r="L69" s="346"/>
      <c r="M69" s="346"/>
      <c r="N69" s="4"/>
    </row>
    <row r="70" spans="1:21" x14ac:dyDescent="0.25">
      <c r="A70" s="484"/>
      <c r="B70" s="72"/>
      <c r="C70" s="4"/>
      <c r="D70" s="3"/>
      <c r="E70" s="3"/>
      <c r="F70" s="3"/>
      <c r="G70" s="72"/>
      <c r="H70" s="161"/>
      <c r="I70" s="3"/>
      <c r="J70" s="3"/>
      <c r="K70" s="3"/>
      <c r="L70" s="4"/>
      <c r="M70" s="4"/>
      <c r="N70" s="4"/>
    </row>
    <row r="71" spans="1:21" x14ac:dyDescent="0.25">
      <c r="A71" s="485"/>
      <c r="B71" s="72"/>
      <c r="C71" s="4"/>
      <c r="D71" s="3"/>
      <c r="E71" s="3"/>
      <c r="F71" s="3"/>
      <c r="G71" s="72"/>
      <c r="H71" s="161"/>
      <c r="I71" s="3"/>
      <c r="J71" s="3"/>
      <c r="K71" s="3"/>
      <c r="L71" s="4"/>
      <c r="M71" s="4"/>
      <c r="N71" s="4"/>
    </row>
    <row r="72" spans="1:21" x14ac:dyDescent="0.25">
      <c r="A72" s="4"/>
      <c r="B72" s="72"/>
      <c r="C72" s="4"/>
      <c r="D72" s="3"/>
      <c r="E72" s="3"/>
      <c r="F72" s="3"/>
      <c r="G72" s="4"/>
      <c r="H72" s="161"/>
      <c r="I72" s="3"/>
      <c r="J72" s="3"/>
      <c r="K72" s="3"/>
      <c r="L72" s="4"/>
      <c r="M72" s="4"/>
      <c r="N72" s="4"/>
    </row>
    <row r="73" spans="1:21" x14ac:dyDescent="0.25">
      <c r="A73" s="4"/>
      <c r="B73" s="4"/>
      <c r="C73" s="4"/>
      <c r="D73" s="3"/>
      <c r="E73" s="3"/>
      <c r="F73" s="3"/>
      <c r="G73" s="4"/>
      <c r="H73" s="161"/>
      <c r="I73" s="3"/>
      <c r="J73" s="3"/>
      <c r="K73" s="3"/>
      <c r="L73" s="4"/>
      <c r="M73" s="4"/>
      <c r="N73" s="4"/>
    </row>
    <row r="74" spans="1:21" x14ac:dyDescent="0.25">
      <c r="A74" s="4"/>
      <c r="B74" s="4"/>
      <c r="C74" s="4"/>
      <c r="D74" s="3"/>
      <c r="E74" s="3"/>
      <c r="F74" s="3"/>
      <c r="G74" s="4"/>
      <c r="H74" s="161"/>
      <c r="I74" s="3"/>
      <c r="J74" s="3"/>
      <c r="K74" s="3"/>
      <c r="L74" s="4"/>
      <c r="M74" s="4"/>
      <c r="N74" s="4"/>
    </row>
    <row r="75" spans="1:21" x14ac:dyDescent="0.25">
      <c r="A75" s="4"/>
      <c r="B75" s="4"/>
      <c r="C75" s="4"/>
      <c r="D75" s="3"/>
      <c r="E75" s="3"/>
      <c r="F75" s="3"/>
      <c r="G75" s="4"/>
      <c r="H75" s="161"/>
      <c r="I75" s="3"/>
      <c r="J75" s="3"/>
      <c r="K75" s="3"/>
      <c r="L75" s="4"/>
      <c r="M75" s="4"/>
      <c r="N75" s="4"/>
    </row>
    <row r="76" spans="1:21" x14ac:dyDescent="0.25">
      <c r="A76" s="4"/>
      <c r="B76" s="4"/>
      <c r="C76" s="4"/>
      <c r="D76" s="3"/>
      <c r="E76" s="3"/>
      <c r="F76" s="3"/>
      <c r="G76" s="4"/>
      <c r="H76" s="161"/>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412" priority="27">
      <formula>F27&gt;0</formula>
    </cfRule>
    <cfRule type="expression" dxfId="3411" priority="28">
      <formula>F27&lt;0</formula>
    </cfRule>
  </conditionalFormatting>
  <conditionalFormatting sqref="Q8">
    <cfRule type="expression" dxfId="3410" priority="15">
      <formula>Q8&gt;0</formula>
    </cfRule>
    <cfRule type="expression" dxfId="3409" priority="16">
      <formula>Q8&lt;0</formula>
    </cfRule>
  </conditionalFormatting>
  <conditionalFormatting sqref="Q7">
    <cfRule type="expression" dxfId="3408" priority="17">
      <formula>Q7&gt;0</formula>
    </cfRule>
    <cfRule type="expression" dxfId="3407" priority="18">
      <formula>Q7&lt;0</formula>
    </cfRule>
  </conditionalFormatting>
  <conditionalFormatting sqref="F37:F38">
    <cfRule type="expression" dxfId="3406" priority="13">
      <formula>F37&gt;0</formula>
    </cfRule>
    <cfRule type="expression" dxfId="3405" priority="14">
      <formula>F37&lt;0</formula>
    </cfRule>
  </conditionalFormatting>
  <conditionalFormatting sqref="H37:H38">
    <cfRule type="expression" dxfId="3404" priority="11">
      <formula>H37&gt;0</formula>
    </cfRule>
    <cfRule type="expression" dxfId="3403" priority="12">
      <formula>H37&lt;0</formula>
    </cfRule>
  </conditionalFormatting>
  <conditionalFormatting sqref="F23:F26 H23:H26">
    <cfRule type="expression" dxfId="3402" priority="9">
      <formula>F23&gt;0</formula>
    </cfRule>
    <cfRule type="expression" dxfId="3401" priority="10">
      <formula>F23&lt;0</formula>
    </cfRule>
  </conditionalFormatting>
  <conditionalFormatting sqref="Q10">
    <cfRule type="expression" dxfId="3400" priority="3">
      <formula>Q10&gt;0</formula>
    </cfRule>
    <cfRule type="expression" dxfId="3399" priority="4">
      <formula>Q10&lt;0</formula>
    </cfRule>
  </conditionalFormatting>
  <conditionalFormatting sqref="F22 H22">
    <cfRule type="expression" dxfId="3398" priority="1">
      <formula>F22&gt;0</formula>
    </cfRule>
    <cfRule type="expression" dxfId="3397" priority="2">
      <formula>F22&lt;0</formula>
    </cfRule>
  </conditionalFormatting>
  <conditionalFormatting sqref="M41">
    <cfRule type="expression" dxfId="3396" priority="5">
      <formula>M41&gt;0</formula>
    </cfRule>
    <cfRule type="expression" dxfId="3395"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292</v>
      </c>
      <c r="B2" s="72"/>
      <c r="C2" s="4"/>
      <c r="D2" s="3"/>
      <c r="E2" s="3"/>
      <c r="F2" s="3"/>
      <c r="G2" s="72"/>
      <c r="H2" s="161"/>
      <c r="I2" s="3"/>
      <c r="J2" s="3"/>
      <c r="K2" s="3"/>
      <c r="L2" s="72"/>
      <c r="M2" s="3"/>
      <c r="O2" s="11" t="s">
        <v>57</v>
      </c>
      <c r="Q2">
        <f>C18-H18</f>
        <v>0</v>
      </c>
      <c r="T2" s="1"/>
      <c r="W2" s="130">
        <v>42830</v>
      </c>
      <c r="X2" s="10">
        <v>53.99</v>
      </c>
      <c r="Y2" s="10">
        <v>54.13</v>
      </c>
      <c r="Z2" s="10">
        <v>53</v>
      </c>
      <c r="AA2" s="10">
        <v>53.08</v>
      </c>
      <c r="AB2" s="93">
        <v>10018200</v>
      </c>
      <c r="AC2" s="10">
        <v>53.08</v>
      </c>
      <c r="AD2" s="2">
        <f>Y2-Z2</f>
        <v>1.1300000000000026</v>
      </c>
      <c r="AE2" s="134" t="e">
        <f>AC2/AC3-1</f>
        <v>#DIV/0!</v>
      </c>
    </row>
    <row r="3" spans="1:31" x14ac:dyDescent="0.25">
      <c r="A3" s="22" t="s">
        <v>71</v>
      </c>
      <c r="B3" s="72"/>
      <c r="C3" s="4"/>
      <c r="D3" s="3"/>
      <c r="E3" s="3"/>
      <c r="F3" s="3"/>
      <c r="G3" s="72"/>
      <c r="H3" s="161"/>
      <c r="I3" s="3"/>
      <c r="J3" s="3"/>
      <c r="K3" s="3"/>
      <c r="L3" s="4"/>
      <c r="M3" s="4"/>
      <c r="O3" s="11" t="s">
        <v>58</v>
      </c>
      <c r="Q3" s="178">
        <f>IF(Q2=0, Q4, (F18-K18-M18)/Q2)</f>
        <v>48.86</v>
      </c>
      <c r="T3" s="1"/>
      <c r="W3" s="130">
        <v>42830</v>
      </c>
      <c r="X3" s="10" t="s">
        <v>319</v>
      </c>
      <c r="Y3" s="10"/>
      <c r="Z3" s="10"/>
      <c r="AA3" s="10"/>
      <c r="AB3" s="93"/>
      <c r="AC3" s="10"/>
      <c r="AD3" s="2">
        <f t="shared" ref="AD3:AD66" si="0">Y3-Z3</f>
        <v>0</v>
      </c>
      <c r="AE3" s="134">
        <f t="shared" ref="AE3:AE66" si="1">AC3/AC4-1</f>
        <v>-1</v>
      </c>
    </row>
    <row r="4" spans="1:31" x14ac:dyDescent="0.25">
      <c r="B4" s="72"/>
      <c r="C4" s="4"/>
      <c r="D4" s="3"/>
      <c r="E4" s="3"/>
      <c r="F4" s="3"/>
      <c r="G4" s="4"/>
      <c r="H4" s="161"/>
      <c r="I4" s="3"/>
      <c r="J4" s="3"/>
      <c r="K4" s="3"/>
      <c r="L4" s="4"/>
      <c r="M4" s="4"/>
      <c r="O4" s="11" t="s">
        <v>66</v>
      </c>
      <c r="Q4" s="54">
        <v>48.86</v>
      </c>
      <c r="R4" s="405">
        <v>2.0400000000000001E-2</v>
      </c>
      <c r="T4" s="156"/>
      <c r="U4" s="1"/>
      <c r="W4" s="130">
        <v>42829</v>
      </c>
      <c r="X4" s="10">
        <v>54.21</v>
      </c>
      <c r="Y4" s="10">
        <v>54.35</v>
      </c>
      <c r="Z4" s="10">
        <v>53.95</v>
      </c>
      <c r="AA4" s="10">
        <v>54.14</v>
      </c>
      <c r="AB4" s="93">
        <v>8996700</v>
      </c>
      <c r="AC4" s="10">
        <v>53.75</v>
      </c>
      <c r="AD4" s="2">
        <f t="shared" si="0"/>
        <v>0.39999999999999858</v>
      </c>
      <c r="AE4" s="134">
        <f t="shared" si="1"/>
        <v>-1.3006317354143926E-3</v>
      </c>
    </row>
    <row r="5" spans="1:31" x14ac:dyDescent="0.25">
      <c r="B5" s="72"/>
      <c r="C5" s="4"/>
      <c r="D5" s="3"/>
      <c r="E5" s="3"/>
      <c r="F5" s="3"/>
      <c r="G5" s="4"/>
      <c r="H5" s="161"/>
      <c r="I5" s="3"/>
      <c r="J5" s="3"/>
      <c r="K5" s="3"/>
      <c r="L5" s="4"/>
      <c r="M5" s="4"/>
      <c r="O5" s="11" t="s">
        <v>67</v>
      </c>
      <c r="Q5" s="3">
        <f>Q4*Q2</f>
        <v>0</v>
      </c>
      <c r="W5" s="130">
        <v>42828</v>
      </c>
      <c r="X5" s="10">
        <v>54.53</v>
      </c>
      <c r="Y5" s="10">
        <v>55.16</v>
      </c>
      <c r="Z5" s="10">
        <v>53.87</v>
      </c>
      <c r="AA5" s="10">
        <v>54.21</v>
      </c>
      <c r="AB5" s="93">
        <v>16315800</v>
      </c>
      <c r="AC5" s="10">
        <v>53.82</v>
      </c>
      <c r="AD5" s="2">
        <f t="shared" si="0"/>
        <v>1.2899999999999991</v>
      </c>
      <c r="AE5" s="134">
        <f t="shared" si="1"/>
        <v>-3.1487312465271478E-3</v>
      </c>
    </row>
    <row r="6" spans="1:31" x14ac:dyDescent="0.25">
      <c r="G6" s="4"/>
      <c r="H6" s="161"/>
      <c r="I6" s="3"/>
      <c r="J6" s="3"/>
      <c r="K6" s="3"/>
      <c r="L6" s="4"/>
      <c r="O6" s="11" t="s">
        <v>64</v>
      </c>
      <c r="Q6" s="2">
        <f>Q3*Q2</f>
        <v>0</v>
      </c>
      <c r="W6" s="130">
        <v>42825</v>
      </c>
      <c r="X6" s="10">
        <v>55.3</v>
      </c>
      <c r="Y6" s="10">
        <v>55.67</v>
      </c>
      <c r="Z6" s="10">
        <v>54.16</v>
      </c>
      <c r="AA6" s="10">
        <v>54.38</v>
      </c>
      <c r="AB6" s="93">
        <v>12390400</v>
      </c>
      <c r="AC6" s="10">
        <v>53.99</v>
      </c>
      <c r="AD6" s="2">
        <f t="shared" si="0"/>
        <v>1.5100000000000051</v>
      </c>
      <c r="AE6" s="134">
        <f t="shared" si="1"/>
        <v>-1.7649199417758332E-2</v>
      </c>
    </row>
    <row r="7" spans="1:31" x14ac:dyDescent="0.25">
      <c r="B7" s="4"/>
      <c r="C7" s="4"/>
      <c r="D7" s="3"/>
      <c r="E7" s="3"/>
      <c r="F7" s="3"/>
      <c r="G7" s="4"/>
      <c r="H7" s="161"/>
      <c r="I7" s="3"/>
      <c r="J7" s="3"/>
      <c r="K7" s="3"/>
      <c r="L7" s="4"/>
      <c r="O7" s="11" t="s">
        <v>177</v>
      </c>
      <c r="Q7" s="2">
        <f>Q10+Q8</f>
        <v>910.79999999999927</v>
      </c>
      <c r="R7">
        <v>0</v>
      </c>
      <c r="W7" s="130">
        <v>42824</v>
      </c>
      <c r="X7" s="10">
        <v>55.96</v>
      </c>
      <c r="Y7" s="10">
        <v>56</v>
      </c>
      <c r="Z7" s="10">
        <v>55.25</v>
      </c>
      <c r="AA7" s="10">
        <v>55.36</v>
      </c>
      <c r="AB7" s="93">
        <v>8147500</v>
      </c>
      <c r="AC7" s="10">
        <v>54.96</v>
      </c>
      <c r="AD7" s="2">
        <f t="shared" si="0"/>
        <v>0.75</v>
      </c>
      <c r="AE7" s="134">
        <f t="shared" si="1"/>
        <v>-1.062106210621061E-2</v>
      </c>
    </row>
    <row r="8" spans="1:31" x14ac:dyDescent="0.25">
      <c r="B8" s="4"/>
      <c r="C8" s="4"/>
      <c r="D8" s="3"/>
      <c r="E8" s="3"/>
      <c r="F8" s="3"/>
      <c r="G8" s="4"/>
      <c r="H8" s="161"/>
      <c r="I8" s="3"/>
      <c r="J8" s="3"/>
      <c r="K8" s="3"/>
      <c r="L8" s="4"/>
      <c r="O8" s="11" t="s">
        <v>179</v>
      </c>
      <c r="P8" s="33"/>
      <c r="Q8" s="2">
        <f>K18+M18-F18+Q2*Q4</f>
        <v>0</v>
      </c>
      <c r="W8" s="130">
        <v>42823</v>
      </c>
      <c r="X8" s="10">
        <v>56.17</v>
      </c>
      <c r="Y8" s="10">
        <v>56.55</v>
      </c>
      <c r="Z8" s="10">
        <v>55.93</v>
      </c>
      <c r="AA8" s="10">
        <v>55.95</v>
      </c>
      <c r="AB8" s="93">
        <v>6136200</v>
      </c>
      <c r="AC8" s="10">
        <v>55.55</v>
      </c>
      <c r="AD8" s="2">
        <f t="shared" si="0"/>
        <v>0.61999999999999744</v>
      </c>
      <c r="AE8" s="134">
        <f t="shared" si="1"/>
        <v>-4.4802867383512135E-3</v>
      </c>
    </row>
    <row r="9" spans="1:31" x14ac:dyDescent="0.25">
      <c r="B9" s="4"/>
      <c r="C9" s="4"/>
      <c r="D9" s="3"/>
      <c r="E9" s="3"/>
      <c r="F9" s="3"/>
      <c r="G9" s="4"/>
      <c r="H9" s="161"/>
      <c r="I9" s="3"/>
      <c r="J9" s="3"/>
      <c r="K9" s="3"/>
      <c r="L9" s="4"/>
      <c r="O9" s="11" t="s">
        <v>204</v>
      </c>
      <c r="Q9" s="134">
        <f>IF(Q2=0, 0, Q8/Q6)</f>
        <v>0</v>
      </c>
      <c r="W9" s="130">
        <v>42822</v>
      </c>
      <c r="X9" s="10">
        <v>56.04</v>
      </c>
      <c r="Y9" s="10">
        <v>56.37</v>
      </c>
      <c r="Z9" s="10">
        <v>55.93</v>
      </c>
      <c r="AA9" s="10">
        <v>56.2</v>
      </c>
      <c r="AB9" s="93">
        <v>8525900</v>
      </c>
      <c r="AC9" s="10">
        <v>55.8</v>
      </c>
      <c r="AD9" s="2">
        <f t="shared" si="0"/>
        <v>0.43999999999999773</v>
      </c>
      <c r="AE9" s="134">
        <f t="shared" si="1"/>
        <v>2.8756290438531895E-3</v>
      </c>
    </row>
    <row r="10" spans="1:31" x14ac:dyDescent="0.25">
      <c r="B10" s="4"/>
      <c r="C10" s="4"/>
      <c r="D10" s="3"/>
      <c r="E10" s="3"/>
      <c r="F10" s="3"/>
      <c r="G10" s="4"/>
      <c r="H10" s="161"/>
      <c r="I10" s="3"/>
      <c r="J10" s="3"/>
      <c r="K10" s="3"/>
      <c r="L10" s="4"/>
      <c r="O10" s="11" t="s">
        <v>203</v>
      </c>
      <c r="P10" s="33"/>
      <c r="Q10" s="2">
        <f>M46</f>
        <v>910.79999999999927</v>
      </c>
      <c r="W10" s="130">
        <v>42821</v>
      </c>
      <c r="X10" s="10">
        <v>55.6</v>
      </c>
      <c r="Y10" s="10">
        <v>56.35</v>
      </c>
      <c r="Z10" s="10">
        <v>55.53</v>
      </c>
      <c r="AA10" s="10">
        <v>56.04</v>
      </c>
      <c r="AB10" s="93">
        <v>11139700</v>
      </c>
      <c r="AC10" s="10">
        <v>55.64</v>
      </c>
      <c r="AD10" s="2">
        <f t="shared" si="0"/>
        <v>0.82000000000000028</v>
      </c>
      <c r="AE10" s="134">
        <f t="shared" si="1"/>
        <v>2.7031897639213653E-3</v>
      </c>
    </row>
    <row r="11" spans="1:31" x14ac:dyDescent="0.25">
      <c r="B11" s="4"/>
      <c r="C11" s="4"/>
      <c r="D11" s="3"/>
      <c r="E11" s="3"/>
      <c r="F11" s="3"/>
      <c r="G11" s="4"/>
      <c r="H11" s="161"/>
      <c r="I11" s="3"/>
      <c r="J11" s="3"/>
      <c r="K11" s="3"/>
      <c r="L11" s="4"/>
      <c r="O11" s="11" t="s">
        <v>175</v>
      </c>
      <c r="P11" s="33"/>
      <c r="Q11" s="134">
        <f>IF(U58="N/A (N/A)", 0, VALUE(TRIM(CLEAN(MID(U58, FIND("(", U58)+1, 5)))))</f>
        <v>2.87E-2</v>
      </c>
      <c r="W11" s="130">
        <v>42818</v>
      </c>
      <c r="X11" s="10">
        <v>55.87</v>
      </c>
      <c r="Y11" s="10">
        <v>56.25</v>
      </c>
      <c r="Z11" s="10">
        <v>55.68</v>
      </c>
      <c r="AA11" s="10">
        <v>55.89</v>
      </c>
      <c r="AB11" s="93">
        <v>6170600</v>
      </c>
      <c r="AC11" s="10">
        <v>55.49</v>
      </c>
      <c r="AD11" s="2">
        <f t="shared" si="0"/>
        <v>0.57000000000000028</v>
      </c>
      <c r="AE11" s="134">
        <f t="shared" si="1"/>
        <v>2.1672385768467528E-3</v>
      </c>
    </row>
    <row r="12" spans="1:31" x14ac:dyDescent="0.25">
      <c r="H12" s="70"/>
      <c r="W12" s="130">
        <v>42817</v>
      </c>
      <c r="X12" s="10">
        <v>56.08</v>
      </c>
      <c r="Y12" s="10">
        <v>56.53</v>
      </c>
      <c r="Z12" s="10">
        <v>55.68</v>
      </c>
      <c r="AA12" s="10">
        <v>55.77</v>
      </c>
      <c r="AB12" s="93">
        <v>7624700</v>
      </c>
      <c r="AC12" s="10">
        <v>55.37</v>
      </c>
      <c r="AD12" s="2">
        <f t="shared" si="0"/>
        <v>0.85000000000000142</v>
      </c>
      <c r="AE12" s="134">
        <f t="shared" si="1"/>
        <v>-1.036639857015198E-2</v>
      </c>
    </row>
    <row r="13" spans="1:31" x14ac:dyDescent="0.25">
      <c r="H13" s="70"/>
      <c r="W13" s="130">
        <v>42816</v>
      </c>
      <c r="X13" s="10">
        <v>55.7</v>
      </c>
      <c r="Y13" s="10">
        <v>56.42</v>
      </c>
      <c r="Z13" s="10">
        <v>55.17</v>
      </c>
      <c r="AA13" s="10">
        <v>56.36</v>
      </c>
      <c r="AB13" s="93">
        <v>9808300</v>
      </c>
      <c r="AC13" s="10">
        <v>55.95</v>
      </c>
      <c r="AD13" s="2">
        <f t="shared" si="0"/>
        <v>1.25</v>
      </c>
      <c r="AE13" s="134">
        <f t="shared" si="1"/>
        <v>1.157114445850671E-2</v>
      </c>
    </row>
    <row r="14" spans="1:31" x14ac:dyDescent="0.25">
      <c r="H14" s="70"/>
      <c r="W14" s="130">
        <v>42815</v>
      </c>
      <c r="X14" s="10">
        <v>56.5</v>
      </c>
      <c r="Y14" s="10">
        <v>56.66</v>
      </c>
      <c r="Z14" s="10">
        <v>55.38</v>
      </c>
      <c r="AA14" s="10">
        <v>55.71</v>
      </c>
      <c r="AB14" s="93">
        <v>9394500</v>
      </c>
      <c r="AC14" s="10">
        <v>55.31</v>
      </c>
      <c r="AD14" s="2">
        <f t="shared" si="0"/>
        <v>1.279999999999994</v>
      </c>
      <c r="AE14" s="134">
        <f t="shared" si="1"/>
        <v>-1.2321428571428483E-2</v>
      </c>
    </row>
    <row r="15" spans="1:31" x14ac:dyDescent="0.25">
      <c r="H15" s="70"/>
      <c r="W15" s="130">
        <v>42814</v>
      </c>
      <c r="X15" s="10">
        <v>56.33</v>
      </c>
      <c r="Y15" s="10">
        <v>56.71</v>
      </c>
      <c r="Z15" s="10">
        <v>56.24</v>
      </c>
      <c r="AA15" s="10">
        <v>56.41</v>
      </c>
      <c r="AB15" s="93">
        <v>8481400</v>
      </c>
      <c r="AC15" s="10">
        <v>56</v>
      </c>
      <c r="AD15" s="2">
        <f t="shared" si="0"/>
        <v>0.46999999999999886</v>
      </c>
      <c r="AE15" s="134">
        <f t="shared" si="1"/>
        <v>2.1474588403722628E-3</v>
      </c>
    </row>
    <row r="16" spans="1:31" x14ac:dyDescent="0.25">
      <c r="H16" s="70"/>
      <c r="W16" s="130">
        <v>42811</v>
      </c>
      <c r="X16" s="10">
        <v>57.23</v>
      </c>
      <c r="Y16" s="10">
        <v>57.25</v>
      </c>
      <c r="Z16" s="10">
        <v>56.11</v>
      </c>
      <c r="AA16" s="10">
        <v>56.29</v>
      </c>
      <c r="AB16" s="93">
        <v>15881900</v>
      </c>
      <c r="AC16" s="10">
        <v>55.88</v>
      </c>
      <c r="AD16" s="2">
        <f t="shared" si="0"/>
        <v>1.1400000000000006</v>
      </c>
      <c r="AE16" s="134">
        <f t="shared" si="1"/>
        <v>-1.792618629173981E-2</v>
      </c>
    </row>
    <row r="17" spans="1:31" x14ac:dyDescent="0.25">
      <c r="W17" s="130">
        <v>42810</v>
      </c>
      <c r="X17" s="10">
        <v>57.33</v>
      </c>
      <c r="Y17" s="10">
        <v>57.58</v>
      </c>
      <c r="Z17" s="10">
        <v>57.12</v>
      </c>
      <c r="AA17" s="10">
        <v>57.31</v>
      </c>
      <c r="AB17" s="93">
        <v>9903900</v>
      </c>
      <c r="AC17" s="10">
        <v>56.9</v>
      </c>
      <c r="AD17" s="2">
        <f t="shared" si="0"/>
        <v>0.46000000000000085</v>
      </c>
      <c r="AE17" s="134">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30">
        <v>42809</v>
      </c>
      <c r="X18" s="10">
        <v>56.67</v>
      </c>
      <c r="Y18" s="10">
        <v>57.93</v>
      </c>
      <c r="Z18" s="10">
        <v>56.67</v>
      </c>
      <c r="AA18" s="10">
        <v>57.65</v>
      </c>
      <c r="AB18" s="93">
        <v>10337700</v>
      </c>
      <c r="AC18" s="10">
        <v>57.23</v>
      </c>
      <c r="AD18" s="2">
        <f t="shared" si="0"/>
        <v>1.259999999999998</v>
      </c>
      <c r="AE18" s="134">
        <f t="shared" si="1"/>
        <v>1.6879886282871182E-2</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56.95</v>
      </c>
      <c r="Y19" s="10">
        <v>57.6</v>
      </c>
      <c r="Z19" s="10">
        <v>56.58</v>
      </c>
      <c r="AA19" s="10">
        <v>56.69</v>
      </c>
      <c r="AB19" s="93">
        <v>11746400</v>
      </c>
      <c r="AC19" s="10">
        <v>56.28</v>
      </c>
      <c r="AD19" s="2">
        <f t="shared" si="0"/>
        <v>1.0200000000000031</v>
      </c>
      <c r="AE19" s="134">
        <f t="shared" si="1"/>
        <v>-4.2462845010615702E-3</v>
      </c>
    </row>
    <row r="20" spans="1:31" x14ac:dyDescent="0.25">
      <c r="W20" s="130">
        <v>42807</v>
      </c>
      <c r="X20" s="10">
        <v>58.3</v>
      </c>
      <c r="Y20" s="10">
        <v>58.3</v>
      </c>
      <c r="Z20" s="10">
        <v>56.86</v>
      </c>
      <c r="AA20" s="10">
        <v>56.93</v>
      </c>
      <c r="AB20" s="93">
        <v>11689400</v>
      </c>
      <c r="AC20" s="10">
        <v>56.52</v>
      </c>
      <c r="AD20" s="2">
        <f t="shared" si="0"/>
        <v>1.4399999999999977</v>
      </c>
      <c r="AE20" s="134">
        <f t="shared" si="1"/>
        <v>-2.3834196891191595E-2</v>
      </c>
    </row>
    <row r="21" spans="1:31" x14ac:dyDescent="0.25">
      <c r="W21" s="130">
        <v>42804</v>
      </c>
      <c r="X21" s="10">
        <v>58.03</v>
      </c>
      <c r="Y21" s="10">
        <v>58.54</v>
      </c>
      <c r="Z21" s="10">
        <v>57.81</v>
      </c>
      <c r="AA21" s="10">
        <v>58.32</v>
      </c>
      <c r="AB21" s="93">
        <v>8547300</v>
      </c>
      <c r="AC21" s="10">
        <v>57.9</v>
      </c>
      <c r="AD21" s="2">
        <f t="shared" si="0"/>
        <v>0.72999999999999687</v>
      </c>
      <c r="AE21" s="134">
        <f t="shared" si="1"/>
        <v>5.7321521625846028E-3</v>
      </c>
    </row>
    <row r="22" spans="1:31" x14ac:dyDescent="0.25">
      <c r="W22" s="130">
        <v>42803</v>
      </c>
      <c r="X22" s="10">
        <v>57.37</v>
      </c>
      <c r="Y22" s="10">
        <v>58.05</v>
      </c>
      <c r="Z22" s="10">
        <v>57.2</v>
      </c>
      <c r="AA22" s="10">
        <v>57.99</v>
      </c>
      <c r="AB22" s="93">
        <v>7535200</v>
      </c>
      <c r="AC22" s="10">
        <v>57.57</v>
      </c>
      <c r="AD22" s="2">
        <f t="shared" si="0"/>
        <v>0.84999999999999432</v>
      </c>
      <c r="AE22" s="134">
        <f t="shared" si="1"/>
        <v>1.5164873919943478E-2</v>
      </c>
    </row>
    <row r="23" spans="1:31" x14ac:dyDescent="0.25">
      <c r="W23" s="130">
        <v>42802</v>
      </c>
      <c r="X23" s="10">
        <v>56.33</v>
      </c>
      <c r="Y23" s="10">
        <v>57.5</v>
      </c>
      <c r="Z23" s="10">
        <v>56.22</v>
      </c>
      <c r="AA23" s="10">
        <v>57.12</v>
      </c>
      <c r="AB23" s="93">
        <v>13556400</v>
      </c>
      <c r="AC23" s="10">
        <v>56.71</v>
      </c>
      <c r="AD23" s="2">
        <f t="shared" si="0"/>
        <v>1.2800000000000011</v>
      </c>
      <c r="AE23" s="134">
        <f t="shared" si="1"/>
        <v>1.4127324749642289E-2</v>
      </c>
    </row>
    <row r="24" spans="1:31" x14ac:dyDescent="0.25">
      <c r="B24" s="162" t="s">
        <v>113</v>
      </c>
      <c r="C24" s="162" t="s">
        <v>145</v>
      </c>
      <c r="D24" s="163" t="s">
        <v>144</v>
      </c>
      <c r="E24" s="165" t="s">
        <v>146</v>
      </c>
      <c r="F24" s="165" t="s">
        <v>65</v>
      </c>
      <c r="G24" s="177" t="s">
        <v>150</v>
      </c>
      <c r="H24" s="177" t="s">
        <v>88</v>
      </c>
      <c r="I24" s="177" t="s">
        <v>153</v>
      </c>
      <c r="W24" s="130">
        <v>42801</v>
      </c>
      <c r="X24" s="10">
        <v>56.27</v>
      </c>
      <c r="Y24" s="10">
        <v>56.63</v>
      </c>
      <c r="Z24" s="10">
        <v>55.78</v>
      </c>
      <c r="AA24" s="10">
        <v>56.33</v>
      </c>
      <c r="AB24" s="93">
        <v>16970300</v>
      </c>
      <c r="AC24" s="10">
        <v>55.92</v>
      </c>
      <c r="AD24" s="2">
        <f t="shared" si="0"/>
        <v>0.85000000000000142</v>
      </c>
      <c r="AE24" s="134">
        <f t="shared" si="1"/>
        <v>-1.1315417256011373E-2</v>
      </c>
    </row>
    <row r="25" spans="1:31" x14ac:dyDescent="0.25">
      <c r="A25" s="4"/>
      <c r="B25" s="164"/>
      <c r="C25" s="10"/>
      <c r="D25" s="506"/>
      <c r="E25" s="39"/>
      <c r="F25" s="39"/>
      <c r="G25" s="39"/>
      <c r="H25" s="179"/>
      <c r="I25" s="39"/>
      <c r="W25" s="130">
        <v>42800</v>
      </c>
      <c r="X25" s="10">
        <v>57.02</v>
      </c>
      <c r="Y25" s="10">
        <v>57.23</v>
      </c>
      <c r="Z25" s="10">
        <v>56.23</v>
      </c>
      <c r="AA25" s="10">
        <v>56.97</v>
      </c>
      <c r="AB25" s="93">
        <v>7917200</v>
      </c>
      <c r="AC25" s="10">
        <v>56.56</v>
      </c>
      <c r="AD25" s="2">
        <f t="shared" si="0"/>
        <v>1</v>
      </c>
      <c r="AE25" s="134">
        <f t="shared" si="1"/>
        <v>-5.1011433597185629E-3</v>
      </c>
    </row>
    <row r="26" spans="1:31" x14ac:dyDescent="0.25">
      <c r="A26" s="4"/>
      <c r="B26" s="164"/>
      <c r="C26" s="10"/>
      <c r="D26" s="506"/>
      <c r="E26" s="39"/>
      <c r="F26" s="39"/>
      <c r="G26" s="39"/>
      <c r="H26" s="179"/>
      <c r="I26" s="39"/>
      <c r="W26" s="130">
        <v>42797</v>
      </c>
      <c r="X26" s="10">
        <v>56.74</v>
      </c>
      <c r="Y26" s="10">
        <v>57.34</v>
      </c>
      <c r="Z26" s="10">
        <v>56.63</v>
      </c>
      <c r="AA26" s="10">
        <v>57.26</v>
      </c>
      <c r="AB26" s="93">
        <v>9645800</v>
      </c>
      <c r="AC26" s="10">
        <v>56.85</v>
      </c>
      <c r="AD26" s="2">
        <f t="shared" si="0"/>
        <v>0.71000000000000085</v>
      </c>
      <c r="AE26" s="134">
        <f t="shared" si="1"/>
        <v>7.0859167404782042E-3</v>
      </c>
    </row>
    <row r="27" spans="1:31" x14ac:dyDescent="0.25">
      <c r="A27" s="4"/>
      <c r="B27" s="164"/>
      <c r="C27" s="10"/>
      <c r="D27" s="39"/>
      <c r="E27" s="39"/>
      <c r="F27" s="39"/>
      <c r="G27" s="39"/>
      <c r="H27" s="179"/>
      <c r="I27" s="39"/>
      <c r="W27" s="130">
        <v>42796</v>
      </c>
      <c r="X27" s="10">
        <v>56.89</v>
      </c>
      <c r="Y27" s="10">
        <v>57.49</v>
      </c>
      <c r="Z27" s="10">
        <v>56.59</v>
      </c>
      <c r="AA27" s="10">
        <v>56.86</v>
      </c>
      <c r="AB27" s="93">
        <v>12103700</v>
      </c>
      <c r="AC27" s="10">
        <v>56.45</v>
      </c>
      <c r="AD27" s="2">
        <f t="shared" si="0"/>
        <v>0.89999999999999858</v>
      </c>
      <c r="AE27" s="134">
        <f t="shared" si="1"/>
        <v>-5.6367799894310178E-3</v>
      </c>
    </row>
    <row r="28" spans="1:31" x14ac:dyDescent="0.25">
      <c r="A28" s="4"/>
      <c r="B28" s="164"/>
      <c r="C28" s="10"/>
      <c r="D28" s="39"/>
      <c r="E28" s="39"/>
      <c r="F28" s="39"/>
      <c r="G28" s="39"/>
      <c r="H28" s="179"/>
      <c r="I28" s="39"/>
      <c r="W28" s="130">
        <v>42795</v>
      </c>
      <c r="X28" s="10">
        <v>57</v>
      </c>
      <c r="Y28" s="10">
        <v>57.24</v>
      </c>
      <c r="Z28" s="10">
        <v>56.52</v>
      </c>
      <c r="AA28" s="10">
        <v>57.18</v>
      </c>
      <c r="AB28" s="93">
        <v>13349300</v>
      </c>
      <c r="AC28" s="10">
        <v>56.77</v>
      </c>
      <c r="AD28" s="2">
        <f t="shared" si="0"/>
        <v>0.71999999999999886</v>
      </c>
      <c r="AE28" s="134">
        <f t="shared" si="1"/>
        <v>8.3481349911191938E-3</v>
      </c>
    </row>
    <row r="29" spans="1:31" x14ac:dyDescent="0.25">
      <c r="A29" s="4"/>
      <c r="B29" s="164"/>
      <c r="C29" s="10"/>
      <c r="D29" s="39"/>
      <c r="E29" s="39"/>
      <c r="F29" s="39"/>
      <c r="G29" s="39"/>
      <c r="H29" s="179"/>
      <c r="I29" s="39"/>
      <c r="W29" s="130">
        <v>42794</v>
      </c>
      <c r="X29" s="10">
        <v>56.54</v>
      </c>
      <c r="Y29" s="10">
        <v>56.93</v>
      </c>
      <c r="Z29" s="10">
        <v>56.21</v>
      </c>
      <c r="AA29" s="10">
        <v>56.71</v>
      </c>
      <c r="AB29" s="93">
        <v>9046000</v>
      </c>
      <c r="AC29" s="10">
        <v>56.3</v>
      </c>
      <c r="AD29" s="2">
        <f t="shared" si="0"/>
        <v>0.71999999999999886</v>
      </c>
      <c r="AE29" s="134">
        <f t="shared" si="1"/>
        <v>2.6714158504006491E-3</v>
      </c>
    </row>
    <row r="30" spans="1:31" x14ac:dyDescent="0.25">
      <c r="A30" s="4"/>
      <c r="B30" s="164"/>
      <c r="C30" s="10"/>
      <c r="D30" s="39"/>
      <c r="E30" s="39"/>
      <c r="F30" s="39"/>
      <c r="G30" s="39"/>
      <c r="H30" s="179"/>
      <c r="I30" s="39"/>
      <c r="W30" s="130">
        <v>42793</v>
      </c>
      <c r="X30" s="10">
        <v>56.5</v>
      </c>
      <c r="Y30" s="10">
        <v>57</v>
      </c>
      <c r="Z30" s="10">
        <v>56.24</v>
      </c>
      <c r="AA30" s="10">
        <v>56.56</v>
      </c>
      <c r="AB30" s="93">
        <v>11285300</v>
      </c>
      <c r="AC30" s="10">
        <v>56.15</v>
      </c>
      <c r="AD30" s="2">
        <f t="shared" si="0"/>
        <v>0.75999999999999801</v>
      </c>
      <c r="AE30" s="134">
        <f t="shared" si="1"/>
        <v>2.1417097983222888E-3</v>
      </c>
    </row>
    <row r="31" spans="1:31" x14ac:dyDescent="0.25">
      <c r="A31" s="4"/>
      <c r="B31" s="164"/>
      <c r="C31" s="10"/>
      <c r="D31" s="39"/>
      <c r="E31" s="39"/>
      <c r="F31" s="39"/>
      <c r="G31" s="39"/>
      <c r="H31" s="179"/>
      <c r="I31" s="39"/>
      <c r="W31" s="130">
        <v>42790</v>
      </c>
      <c r="X31" s="10">
        <v>55.92</v>
      </c>
      <c r="Y31" s="10">
        <v>56.47</v>
      </c>
      <c r="Z31" s="10">
        <v>55.88</v>
      </c>
      <c r="AA31" s="10">
        <v>56.44</v>
      </c>
      <c r="AB31" s="93">
        <v>11382500</v>
      </c>
      <c r="AC31" s="10">
        <v>56.03</v>
      </c>
      <c r="AD31" s="2">
        <f t="shared" si="0"/>
        <v>0.58999999999999631</v>
      </c>
      <c r="AE31" s="134">
        <f t="shared" si="1"/>
        <v>1.1919812172656696E-2</v>
      </c>
    </row>
    <row r="32" spans="1:31" x14ac:dyDescent="0.25">
      <c r="A32" s="4"/>
      <c r="B32" s="164"/>
      <c r="C32" s="10"/>
      <c r="D32" s="39"/>
      <c r="E32" s="39"/>
      <c r="F32" s="39"/>
      <c r="G32" s="39"/>
      <c r="H32" s="179"/>
      <c r="I32" s="39"/>
      <c r="W32" s="130">
        <v>42789</v>
      </c>
      <c r="X32" s="10">
        <v>55.63</v>
      </c>
      <c r="Y32" s="10">
        <v>56.09</v>
      </c>
      <c r="Z32" s="10">
        <v>55.02</v>
      </c>
      <c r="AA32" s="10">
        <v>55.77</v>
      </c>
      <c r="AB32" s="93">
        <v>14410400</v>
      </c>
      <c r="AC32" s="10">
        <v>55.37</v>
      </c>
      <c r="AD32" s="2">
        <f t="shared" si="0"/>
        <v>1.0700000000000003</v>
      </c>
      <c r="AE32" s="134">
        <f t="shared" si="1"/>
        <v>7.6433121019108263E-3</v>
      </c>
    </row>
    <row r="33" spans="1:31" x14ac:dyDescent="0.25">
      <c r="A33" s="4"/>
      <c r="B33" s="164"/>
      <c r="C33" s="10"/>
      <c r="D33" s="39"/>
      <c r="E33" s="39"/>
      <c r="F33" s="39"/>
      <c r="G33" s="39"/>
      <c r="H33" s="179"/>
      <c r="I33" s="39"/>
      <c r="W33" s="130">
        <v>42788</v>
      </c>
      <c r="X33" s="10">
        <v>55.49</v>
      </c>
      <c r="Y33" s="10">
        <v>56.45</v>
      </c>
      <c r="Z33" s="10">
        <v>55.29</v>
      </c>
      <c r="AA33" s="10">
        <v>55.35</v>
      </c>
      <c r="AB33" s="93">
        <v>21293700</v>
      </c>
      <c r="AC33" s="10">
        <v>54.95</v>
      </c>
      <c r="AD33" s="2">
        <f t="shared" si="0"/>
        <v>1.1600000000000037</v>
      </c>
      <c r="AE33" s="134">
        <f t="shared" si="1"/>
        <v>1.0296010296010349E-2</v>
      </c>
    </row>
    <row r="34" spans="1:31" x14ac:dyDescent="0.25">
      <c r="A34" s="4"/>
      <c r="B34" s="164"/>
      <c r="C34" s="10"/>
      <c r="D34" s="506"/>
      <c r="E34" s="39"/>
      <c r="F34" s="39"/>
      <c r="G34" s="39"/>
      <c r="H34" s="179"/>
      <c r="I34" s="39"/>
      <c r="W34" s="130">
        <v>42787</v>
      </c>
      <c r="X34" s="10">
        <v>54.41</v>
      </c>
      <c r="Y34" s="10">
        <v>57.21</v>
      </c>
      <c r="Z34" s="10">
        <v>53.41</v>
      </c>
      <c r="AA34" s="10">
        <v>54.78</v>
      </c>
      <c r="AB34" s="93">
        <v>26919300</v>
      </c>
      <c r="AC34" s="10">
        <v>54.39</v>
      </c>
      <c r="AD34" s="2">
        <f t="shared" si="0"/>
        <v>3.8000000000000043</v>
      </c>
      <c r="AE34" s="134">
        <f t="shared" si="1"/>
        <v>3.5055350553505615E-3</v>
      </c>
    </row>
    <row r="35" spans="1:31" x14ac:dyDescent="0.25">
      <c r="A35" s="4"/>
      <c r="B35" s="164"/>
      <c r="C35" s="10"/>
      <c r="D35" s="506"/>
      <c r="E35" s="39"/>
      <c r="F35" s="39"/>
      <c r="G35" s="39"/>
      <c r="H35" s="179"/>
      <c r="I35" s="39"/>
      <c r="W35" s="130">
        <v>42783</v>
      </c>
      <c r="X35" s="10">
        <v>54.3</v>
      </c>
      <c r="Y35" s="10">
        <v>54.72</v>
      </c>
      <c r="Z35" s="10">
        <v>54.08</v>
      </c>
      <c r="AA35" s="10">
        <v>54.59</v>
      </c>
      <c r="AB35" s="93">
        <v>9706100</v>
      </c>
      <c r="AC35" s="10">
        <v>54.2</v>
      </c>
      <c r="AD35" s="2">
        <f t="shared" si="0"/>
        <v>0.64000000000000057</v>
      </c>
      <c r="AE35" s="134">
        <f t="shared" si="1"/>
        <v>5.7524587121915438E-3</v>
      </c>
    </row>
    <row r="36" spans="1:31" x14ac:dyDescent="0.25">
      <c r="B36" s="164"/>
      <c r="C36" s="10"/>
      <c r="D36" s="39"/>
      <c r="E36" s="39"/>
      <c r="F36" s="39"/>
      <c r="G36" s="39"/>
      <c r="H36" s="179"/>
      <c r="I36" s="39"/>
      <c r="W36" s="130">
        <v>42782</v>
      </c>
      <c r="X36" s="10">
        <v>55.08</v>
      </c>
      <c r="Y36" s="10">
        <v>55.16</v>
      </c>
      <c r="Z36" s="10">
        <v>53.92</v>
      </c>
      <c r="AA36" s="10">
        <v>54.28</v>
      </c>
      <c r="AB36" s="93">
        <v>9917100</v>
      </c>
      <c r="AC36" s="10">
        <v>53.89</v>
      </c>
      <c r="AD36" s="2">
        <f t="shared" si="0"/>
        <v>1.2399999999999949</v>
      </c>
      <c r="AE36" s="134">
        <f t="shared" si="1"/>
        <v>-1.3545670876807692E-2</v>
      </c>
    </row>
    <row r="37" spans="1:31" x14ac:dyDescent="0.25">
      <c r="B37" s="164"/>
      <c r="C37" s="10"/>
      <c r="D37" s="39"/>
      <c r="E37" s="39"/>
      <c r="F37" s="39"/>
      <c r="G37" s="39"/>
      <c r="H37" s="179"/>
      <c r="I37" s="39"/>
      <c r="W37" s="130">
        <v>42781</v>
      </c>
      <c r="X37" s="10">
        <v>53.7</v>
      </c>
      <c r="Y37" s="10">
        <v>55.34</v>
      </c>
      <c r="Z37" s="10">
        <v>53.6</v>
      </c>
      <c r="AA37" s="10">
        <v>55.03</v>
      </c>
      <c r="AB37" s="93">
        <v>11860800</v>
      </c>
      <c r="AC37" s="10">
        <v>54.63</v>
      </c>
      <c r="AD37" s="2">
        <f t="shared" si="0"/>
        <v>1.740000000000002</v>
      </c>
      <c r="AE37" s="134">
        <f t="shared" si="1"/>
        <v>2.4568642160540222E-2</v>
      </c>
    </row>
    <row r="38" spans="1:31" x14ac:dyDescent="0.25">
      <c r="B38" s="164"/>
      <c r="C38" s="10"/>
      <c r="D38" s="39"/>
      <c r="E38" s="39"/>
      <c r="F38" s="39"/>
      <c r="G38" s="39"/>
      <c r="H38" s="179"/>
      <c r="I38" s="39"/>
      <c r="W38" s="130">
        <v>42780</v>
      </c>
      <c r="X38" s="10">
        <v>52.31</v>
      </c>
      <c r="Y38" s="10">
        <v>54.27</v>
      </c>
      <c r="Z38" s="10">
        <v>52.09</v>
      </c>
      <c r="AA38" s="10">
        <v>53.71</v>
      </c>
      <c r="AB38" s="93">
        <v>19785200</v>
      </c>
      <c r="AC38" s="10">
        <v>53.32</v>
      </c>
      <c r="AD38" s="2">
        <f t="shared" si="0"/>
        <v>2.1799999999999997</v>
      </c>
      <c r="AE38" s="134">
        <f t="shared" si="1"/>
        <v>3.2133178474641921E-2</v>
      </c>
    </row>
    <row r="39" spans="1:31" x14ac:dyDescent="0.25">
      <c r="B39" s="164"/>
      <c r="C39" s="10"/>
      <c r="D39" s="39"/>
      <c r="E39" s="39"/>
      <c r="F39" s="39"/>
      <c r="G39" s="39"/>
      <c r="H39" s="179"/>
      <c r="I39" s="39"/>
      <c r="W39" s="130">
        <v>42779</v>
      </c>
      <c r="X39" s="10">
        <v>51.83</v>
      </c>
      <c r="Y39" s="10">
        <v>52.09</v>
      </c>
      <c r="Z39" s="10">
        <v>51.62</v>
      </c>
      <c r="AA39" s="10">
        <v>52.03</v>
      </c>
      <c r="AB39" s="93">
        <v>6769700</v>
      </c>
      <c r="AC39" s="10">
        <v>51.66</v>
      </c>
      <c r="AD39" s="2">
        <f t="shared" si="0"/>
        <v>0.47000000000000597</v>
      </c>
      <c r="AE39" s="134">
        <f t="shared" si="1"/>
        <v>7.4102964118563097E-3</v>
      </c>
    </row>
    <row r="40" spans="1:31" ht="20.25" thickBot="1" x14ac:dyDescent="0.35">
      <c r="B40" s="164"/>
      <c r="C40" s="10"/>
      <c r="D40" s="39"/>
      <c r="E40" s="39"/>
      <c r="F40" s="39"/>
      <c r="G40" s="39"/>
      <c r="H40" s="179"/>
      <c r="I40" s="39"/>
      <c r="O40" s="884" t="s">
        <v>78</v>
      </c>
      <c r="P40" s="884"/>
      <c r="W40" s="130">
        <v>42776</v>
      </c>
      <c r="X40" s="10">
        <v>51.61</v>
      </c>
      <c r="Y40" s="10">
        <v>51.97</v>
      </c>
      <c r="Z40" s="10">
        <v>51.52</v>
      </c>
      <c r="AA40" s="10">
        <v>51.65</v>
      </c>
      <c r="AB40" s="93">
        <v>5845600</v>
      </c>
      <c r="AC40" s="10">
        <v>51.28</v>
      </c>
      <c r="AD40" s="2">
        <f t="shared" si="0"/>
        <v>0.44999999999999574</v>
      </c>
      <c r="AE40" s="134">
        <f t="shared" si="1"/>
        <v>2.7375831052014465E-3</v>
      </c>
    </row>
    <row r="41" spans="1:31" ht="15.75" thickTop="1" x14ac:dyDescent="0.25">
      <c r="B41" s="164"/>
      <c r="C41" s="10"/>
      <c r="D41" s="39"/>
      <c r="E41" s="39"/>
      <c r="F41" s="39"/>
      <c r="G41" s="39"/>
      <c r="H41" s="179"/>
      <c r="I41" s="39"/>
      <c r="O41" s="81">
        <v>1.1000000000000001</v>
      </c>
      <c r="P41" s="81">
        <f>O41*$Q$4</f>
        <v>53.746000000000002</v>
      </c>
      <c r="Q41" s="2"/>
      <c r="W41" s="130">
        <v>42775</v>
      </c>
      <c r="X41" s="10">
        <v>52</v>
      </c>
      <c r="Y41" s="10">
        <v>52.25</v>
      </c>
      <c r="Z41" s="10">
        <v>51.46</v>
      </c>
      <c r="AA41" s="10">
        <v>51.51</v>
      </c>
      <c r="AB41" s="93">
        <v>5813100</v>
      </c>
      <c r="AC41" s="10">
        <v>51.14</v>
      </c>
      <c r="AD41" s="2">
        <f t="shared" si="0"/>
        <v>0.78999999999999915</v>
      </c>
      <c r="AE41" s="134">
        <f t="shared" si="1"/>
        <v>-9.4906062366841848E-3</v>
      </c>
    </row>
    <row r="42" spans="1:31" ht="20.25" thickBot="1" x14ac:dyDescent="0.35">
      <c r="B42" s="164"/>
      <c r="C42" s="10"/>
      <c r="D42" s="39"/>
      <c r="E42" s="39"/>
      <c r="F42" s="39"/>
      <c r="G42" s="39"/>
      <c r="H42" s="179"/>
      <c r="I42" s="39"/>
      <c r="O42" s="81">
        <v>1.0900000000000001</v>
      </c>
      <c r="P42" s="81">
        <f t="shared" ref="P42:P61" si="2">O42*$Q$4</f>
        <v>53.257400000000004</v>
      </c>
      <c r="Q42" s="2"/>
      <c r="T42" s="89" t="s">
        <v>112</v>
      </c>
      <c r="W42" s="130">
        <v>42774</v>
      </c>
      <c r="X42" s="10">
        <v>51.29</v>
      </c>
      <c r="Y42" s="10">
        <v>52.12</v>
      </c>
      <c r="Z42" s="10">
        <v>51.12</v>
      </c>
      <c r="AA42" s="10">
        <v>52</v>
      </c>
      <c r="AB42" s="93">
        <v>12236500</v>
      </c>
      <c r="AC42" s="10">
        <v>51.63</v>
      </c>
      <c r="AD42" s="2">
        <f t="shared" si="0"/>
        <v>1</v>
      </c>
      <c r="AE42" s="134">
        <f t="shared" si="1"/>
        <v>6.6289725092611995E-3</v>
      </c>
    </row>
    <row r="43" spans="1:31" ht="15.75" thickTop="1" x14ac:dyDescent="0.25">
      <c r="O43" s="81">
        <v>1.08</v>
      </c>
      <c r="P43" s="81">
        <f t="shared" si="2"/>
        <v>52.768800000000006</v>
      </c>
      <c r="Q43" s="2"/>
      <c r="T43" s="125" t="s">
        <v>97</v>
      </c>
      <c r="U43" s="126">
        <v>53.75</v>
      </c>
      <c r="V43" s="439"/>
      <c r="W43" s="130">
        <v>42773</v>
      </c>
      <c r="X43" s="10">
        <v>51.49</v>
      </c>
      <c r="Y43" s="10">
        <v>52.32</v>
      </c>
      <c r="Z43" s="10">
        <v>51.26</v>
      </c>
      <c r="AA43" s="10">
        <v>51.66</v>
      </c>
      <c r="AB43" s="93">
        <v>15747800</v>
      </c>
      <c r="AC43" s="10">
        <v>51.29</v>
      </c>
      <c r="AD43" s="2">
        <f t="shared" si="0"/>
        <v>1.0600000000000023</v>
      </c>
      <c r="AE43" s="134">
        <f t="shared" si="1"/>
        <v>1.2236037102822062E-2</v>
      </c>
    </row>
    <row r="44" spans="1:31" x14ac:dyDescent="0.25">
      <c r="O44" s="81">
        <v>1.07</v>
      </c>
      <c r="P44" s="81">
        <f t="shared" si="2"/>
        <v>52.280200000000001</v>
      </c>
      <c r="Q44" s="2"/>
      <c r="T44" s="91" t="s">
        <v>98</v>
      </c>
      <c r="U44" s="127">
        <v>53.99</v>
      </c>
      <c r="W44" s="130">
        <v>42772</v>
      </c>
      <c r="X44" s="10">
        <v>50.65</v>
      </c>
      <c r="Y44" s="10">
        <v>51.09</v>
      </c>
      <c r="Z44" s="10">
        <v>50.56</v>
      </c>
      <c r="AA44" s="10">
        <v>51.04</v>
      </c>
      <c r="AB44" s="93">
        <v>8263400</v>
      </c>
      <c r="AC44" s="10">
        <v>50.67</v>
      </c>
      <c r="AD44" s="2">
        <f t="shared" si="0"/>
        <v>0.53000000000000114</v>
      </c>
      <c r="AE44" s="134">
        <f t="shared" si="1"/>
        <v>5.1577068042056862E-3</v>
      </c>
    </row>
    <row r="45" spans="1:31" x14ac:dyDescent="0.25">
      <c r="O45" s="81">
        <v>1.06</v>
      </c>
      <c r="P45" s="81">
        <f t="shared" si="2"/>
        <v>51.791600000000003</v>
      </c>
      <c r="Q45" s="2"/>
      <c r="T45" s="91" t="s">
        <v>99</v>
      </c>
      <c r="U45" s="127" t="s">
        <v>128</v>
      </c>
      <c r="W45" s="130">
        <v>42769</v>
      </c>
      <c r="X45" s="10">
        <v>50.6</v>
      </c>
      <c r="Y45" s="10">
        <v>50.91</v>
      </c>
      <c r="Z45" s="10">
        <v>50.36</v>
      </c>
      <c r="AA45" s="10">
        <v>50.78</v>
      </c>
      <c r="AB45" s="93">
        <v>10934000</v>
      </c>
      <c r="AC45" s="10">
        <v>50.41</v>
      </c>
      <c r="AD45" s="2">
        <f t="shared" si="0"/>
        <v>0.54999999999999716</v>
      </c>
      <c r="AE45" s="134">
        <f t="shared" si="1"/>
        <v>5.384922217790189E-3</v>
      </c>
    </row>
    <row r="46" spans="1:31" x14ac:dyDescent="0.25">
      <c r="L46" t="s">
        <v>65</v>
      </c>
      <c r="M46" s="2">
        <f>M64+K64-F64</f>
        <v>910.79999999999927</v>
      </c>
      <c r="O46" s="81">
        <v>1.05</v>
      </c>
      <c r="P46" s="81">
        <f t="shared" si="2"/>
        <v>51.303000000000004</v>
      </c>
      <c r="Q46" s="2"/>
      <c r="T46" s="91" t="s">
        <v>100</v>
      </c>
      <c r="U46" s="127" t="s">
        <v>128</v>
      </c>
      <c r="W46" s="130">
        <v>42768</v>
      </c>
      <c r="X46" s="10">
        <v>49.35</v>
      </c>
      <c r="Y46" s="10">
        <v>50.89</v>
      </c>
      <c r="Z46" s="10">
        <v>49.27</v>
      </c>
      <c r="AA46" s="10">
        <v>50.5</v>
      </c>
      <c r="AB46" s="93">
        <v>18610200</v>
      </c>
      <c r="AC46" s="10">
        <v>50.14</v>
      </c>
      <c r="AD46" s="2">
        <f t="shared" si="0"/>
        <v>1.6199999999999974</v>
      </c>
      <c r="AE46" s="134">
        <f t="shared" si="1"/>
        <v>2.4729204986715825E-2</v>
      </c>
    </row>
    <row r="47" spans="1:31" x14ac:dyDescent="0.25">
      <c r="A47" s="304" t="s">
        <v>1</v>
      </c>
      <c r="B47" s="304" t="s">
        <v>2</v>
      </c>
      <c r="C47" s="304" t="s">
        <v>4</v>
      </c>
      <c r="D47" s="306" t="s">
        <v>5</v>
      </c>
      <c r="E47" s="306" t="s">
        <v>94</v>
      </c>
      <c r="F47" s="306" t="s">
        <v>60</v>
      </c>
      <c r="G47" s="304" t="s">
        <v>3</v>
      </c>
      <c r="H47" s="304" t="s">
        <v>6</v>
      </c>
      <c r="I47" s="306" t="s">
        <v>7</v>
      </c>
      <c r="J47" s="306" t="s">
        <v>95</v>
      </c>
      <c r="K47" s="306" t="s">
        <v>61</v>
      </c>
      <c r="L47" s="304" t="s">
        <v>37</v>
      </c>
      <c r="M47" s="304" t="s">
        <v>38</v>
      </c>
      <c r="O47" s="81">
        <v>1.04</v>
      </c>
      <c r="P47" s="81">
        <f t="shared" si="2"/>
        <v>50.814399999999999</v>
      </c>
      <c r="Q47" s="2"/>
      <c r="T47" s="91" t="s">
        <v>101</v>
      </c>
      <c r="U47" s="127">
        <v>55.41</v>
      </c>
      <c r="W47" s="130">
        <v>42767</v>
      </c>
      <c r="X47" s="10">
        <v>49.13</v>
      </c>
      <c r="Y47" s="10">
        <v>49.32</v>
      </c>
      <c r="Z47" s="10">
        <v>48.32</v>
      </c>
      <c r="AA47" s="10">
        <v>49.29</v>
      </c>
      <c r="AB47" s="93">
        <v>16021900</v>
      </c>
      <c r="AC47" s="10">
        <v>48.93</v>
      </c>
      <c r="AD47" s="2">
        <f t="shared" si="0"/>
        <v>1</v>
      </c>
      <c r="AE47" s="134">
        <f t="shared" si="1"/>
        <v>2.4585125998770607E-3</v>
      </c>
    </row>
    <row r="48" spans="1:31" x14ac:dyDescent="0.25">
      <c r="A48" s="307" t="s">
        <v>292</v>
      </c>
      <c r="B48" s="297">
        <v>42669</v>
      </c>
      <c r="C48" s="298">
        <v>20</v>
      </c>
      <c r="D48" s="299">
        <v>49.18</v>
      </c>
      <c r="E48" s="299">
        <v>0</v>
      </c>
      <c r="F48" s="299">
        <f t="shared" ref="F48:F53" si="3">C48*D48+E48</f>
        <v>983.6</v>
      </c>
      <c r="G48" s="297">
        <v>42710</v>
      </c>
      <c r="H48" s="302">
        <v>20</v>
      </c>
      <c r="I48" s="299">
        <v>55.88</v>
      </c>
      <c r="J48" s="299">
        <v>0.02</v>
      </c>
      <c r="K48" s="299">
        <f>I48*H48-J48</f>
        <v>1117.5800000000002</v>
      </c>
      <c r="L48" s="297"/>
      <c r="M48" s="298"/>
      <c r="O48" s="81">
        <v>1.03</v>
      </c>
      <c r="P48" s="81">
        <f t="shared" si="2"/>
        <v>50.325800000000001</v>
      </c>
      <c r="Q48" s="2"/>
      <c r="T48" s="91" t="s">
        <v>102</v>
      </c>
      <c r="U48" s="127">
        <v>0.95877900000000005</v>
      </c>
      <c r="W48" s="130">
        <v>42766</v>
      </c>
      <c r="X48" s="10">
        <v>48.4</v>
      </c>
      <c r="Y48" s="10">
        <v>49.42</v>
      </c>
      <c r="Z48" s="10">
        <v>48.21</v>
      </c>
      <c r="AA48" s="10">
        <v>49.16</v>
      </c>
      <c r="AB48" s="93">
        <v>15094000</v>
      </c>
      <c r="AC48" s="10">
        <v>48.81</v>
      </c>
      <c r="AD48" s="2">
        <f t="shared" si="0"/>
        <v>1.2100000000000009</v>
      </c>
      <c r="AE48" s="134">
        <f t="shared" si="1"/>
        <v>9.722796855606175E-3</v>
      </c>
    </row>
    <row r="49" spans="1:31" x14ac:dyDescent="0.25">
      <c r="A49" s="308" t="s">
        <v>71</v>
      </c>
      <c r="B49" s="297">
        <v>42669</v>
      </c>
      <c r="C49" s="298">
        <v>30</v>
      </c>
      <c r="D49" s="299">
        <v>49.18</v>
      </c>
      <c r="E49" s="299">
        <v>0</v>
      </c>
      <c r="F49" s="299">
        <f t="shared" si="3"/>
        <v>1475.4</v>
      </c>
      <c r="G49" s="297">
        <v>42713</v>
      </c>
      <c r="H49" s="302">
        <v>30</v>
      </c>
      <c r="I49" s="299">
        <v>56.28</v>
      </c>
      <c r="J49" s="299">
        <v>0.04</v>
      </c>
      <c r="K49" s="299">
        <f>I49*H49-J49</f>
        <v>1688.3600000000001</v>
      </c>
      <c r="L49" s="298"/>
      <c r="M49" s="298"/>
      <c r="O49" s="81">
        <v>1.02</v>
      </c>
      <c r="P49" s="81">
        <f t="shared" si="2"/>
        <v>49.837200000000003</v>
      </c>
      <c r="Q49" s="2"/>
      <c r="T49" s="91" t="s">
        <v>103</v>
      </c>
      <c r="U49" s="127" t="s">
        <v>467</v>
      </c>
      <c r="W49" s="130">
        <v>42765</v>
      </c>
      <c r="X49" s="10">
        <v>48.22</v>
      </c>
      <c r="Y49" s="10">
        <v>49.1</v>
      </c>
      <c r="Z49" s="10">
        <v>47.96</v>
      </c>
      <c r="AA49" s="10">
        <v>48.69</v>
      </c>
      <c r="AB49" s="93">
        <v>15738200</v>
      </c>
      <c r="AC49" s="10">
        <v>48.34</v>
      </c>
      <c r="AD49" s="2">
        <f t="shared" si="0"/>
        <v>1.1400000000000006</v>
      </c>
      <c r="AE49" s="134">
        <f t="shared" si="1"/>
        <v>1.9831223628692163E-2</v>
      </c>
    </row>
    <row r="50" spans="1:31" x14ac:dyDescent="0.25">
      <c r="A50" s="298"/>
      <c r="B50" s="507">
        <v>42711</v>
      </c>
      <c r="C50" s="508">
        <v>20</v>
      </c>
      <c r="D50" s="509">
        <v>55.06</v>
      </c>
      <c r="E50" s="509">
        <v>0</v>
      </c>
      <c r="F50" s="509">
        <f t="shared" si="3"/>
        <v>1101.2</v>
      </c>
      <c r="G50" s="507">
        <v>42780</v>
      </c>
      <c r="H50" s="510">
        <v>20</v>
      </c>
      <c r="I50" s="509">
        <v>52.48</v>
      </c>
      <c r="J50" s="509">
        <v>0.02</v>
      </c>
      <c r="K50" s="509">
        <f>I50*H50-J50</f>
        <v>1049.58</v>
      </c>
      <c r="L50" s="507">
        <v>42768</v>
      </c>
      <c r="M50" s="509">
        <v>7.8</v>
      </c>
      <c r="O50" s="81">
        <v>1.01</v>
      </c>
      <c r="P50" s="81">
        <f t="shared" si="2"/>
        <v>49.348599999999998</v>
      </c>
      <c r="Q50" s="2"/>
      <c r="T50" s="91"/>
      <c r="U50" s="127"/>
      <c r="W50" s="130">
        <v>42762</v>
      </c>
      <c r="X50" s="10">
        <v>47.26</v>
      </c>
      <c r="Y50" s="10">
        <v>48.62</v>
      </c>
      <c r="Z50" s="10">
        <v>47.12</v>
      </c>
      <c r="AA50" s="10">
        <v>47.74</v>
      </c>
      <c r="AB50" s="93">
        <v>22918700</v>
      </c>
      <c r="AC50" s="10">
        <v>47.4</v>
      </c>
      <c r="AD50" s="2">
        <f t="shared" si="0"/>
        <v>1.5</v>
      </c>
      <c r="AE50" s="134">
        <f t="shared" si="1"/>
        <v>1.9793459552495785E-2</v>
      </c>
    </row>
    <row r="51" spans="1:31" x14ac:dyDescent="0.25">
      <c r="A51" s="298"/>
      <c r="B51" s="507">
        <v>42755</v>
      </c>
      <c r="C51" s="508">
        <v>20</v>
      </c>
      <c r="D51" s="509">
        <v>51.33</v>
      </c>
      <c r="E51" s="509">
        <v>0</v>
      </c>
      <c r="F51" s="509">
        <f t="shared" si="3"/>
        <v>1026.5999999999999</v>
      </c>
      <c r="G51" s="507">
        <v>42787</v>
      </c>
      <c r="H51" s="510">
        <v>80</v>
      </c>
      <c r="I51" s="509">
        <v>55.58</v>
      </c>
      <c r="J51" s="509">
        <v>0.1</v>
      </c>
      <c r="K51" s="509">
        <f>I51*H51-J51</f>
        <v>4446.2999999999993</v>
      </c>
      <c r="L51" s="298"/>
      <c r="M51" s="298"/>
      <c r="O51" s="81">
        <v>1</v>
      </c>
      <c r="P51" s="81">
        <f t="shared" si="2"/>
        <v>48.86</v>
      </c>
      <c r="Q51" s="2"/>
      <c r="T51" s="91" t="s">
        <v>104</v>
      </c>
      <c r="U51" s="127" t="s">
        <v>561</v>
      </c>
      <c r="W51" s="130">
        <v>42761</v>
      </c>
      <c r="X51" s="10">
        <v>48.59</v>
      </c>
      <c r="Y51" s="10">
        <v>49.51</v>
      </c>
      <c r="Z51" s="10">
        <v>46.01</v>
      </c>
      <c r="AA51" s="10">
        <v>46.82</v>
      </c>
      <c r="AB51" s="93">
        <v>44800800</v>
      </c>
      <c r="AC51" s="10">
        <v>46.48</v>
      </c>
      <c r="AD51" s="2">
        <f t="shared" si="0"/>
        <v>3.5</v>
      </c>
      <c r="AE51" s="134">
        <f t="shared" si="1"/>
        <v>-5.5092498475299845E-2</v>
      </c>
    </row>
    <row r="52" spans="1:31" x14ac:dyDescent="0.25">
      <c r="A52" s="298"/>
      <c r="B52" s="507">
        <v>42755</v>
      </c>
      <c r="C52" s="508">
        <v>20</v>
      </c>
      <c r="D52" s="509">
        <v>51.44</v>
      </c>
      <c r="E52" s="509">
        <v>0</v>
      </c>
      <c r="F52" s="509">
        <f t="shared" si="3"/>
        <v>1028.8</v>
      </c>
      <c r="G52" s="508"/>
      <c r="H52" s="510"/>
      <c r="I52" s="509"/>
      <c r="J52" s="509"/>
      <c r="K52" s="509"/>
      <c r="L52" s="298"/>
      <c r="M52" s="298"/>
      <c r="O52" s="81">
        <v>0.99</v>
      </c>
      <c r="P52" s="81">
        <f t="shared" si="2"/>
        <v>48.371400000000001</v>
      </c>
      <c r="Q52" s="2"/>
      <c r="T52" s="91" t="s">
        <v>105</v>
      </c>
      <c r="U52" s="127" t="s">
        <v>356</v>
      </c>
      <c r="W52" s="130">
        <v>42760</v>
      </c>
      <c r="X52" s="10">
        <v>49.34</v>
      </c>
      <c r="Y52" s="10">
        <v>49.57</v>
      </c>
      <c r="Z52" s="10">
        <v>48.8</v>
      </c>
      <c r="AA52" s="10">
        <v>49.55</v>
      </c>
      <c r="AB52" s="93">
        <v>15978500</v>
      </c>
      <c r="AC52" s="10">
        <v>49.19</v>
      </c>
      <c r="AD52" s="2">
        <f t="shared" si="0"/>
        <v>0.77000000000000313</v>
      </c>
      <c r="AE52" s="134">
        <f t="shared" si="1"/>
        <v>1.1931701296029606E-2</v>
      </c>
    </row>
    <row r="53" spans="1:31" x14ac:dyDescent="0.25">
      <c r="A53" s="298"/>
      <c r="B53" s="507">
        <v>42755</v>
      </c>
      <c r="C53" s="508">
        <v>40</v>
      </c>
      <c r="D53" s="509">
        <v>49.68</v>
      </c>
      <c r="E53" s="509">
        <v>0</v>
      </c>
      <c r="F53" s="509">
        <f t="shared" si="3"/>
        <v>1987.2</v>
      </c>
      <c r="G53" s="508"/>
      <c r="H53" s="510"/>
      <c r="I53" s="509"/>
      <c r="J53" s="509"/>
      <c r="K53" s="509"/>
      <c r="L53" s="298"/>
      <c r="M53" s="298"/>
      <c r="O53" s="81">
        <v>0.98</v>
      </c>
      <c r="P53" s="81">
        <f t="shared" si="2"/>
        <v>47.882799999999996</v>
      </c>
      <c r="Q53" s="2"/>
      <c r="T53" s="91" t="s">
        <v>106</v>
      </c>
      <c r="U53" s="128">
        <v>10095811</v>
      </c>
      <c r="W53" s="130">
        <v>42759</v>
      </c>
      <c r="X53" s="10">
        <v>50.05</v>
      </c>
      <c r="Y53" s="10">
        <v>50.14</v>
      </c>
      <c r="Z53" s="10">
        <v>48.93</v>
      </c>
      <c r="AA53" s="10">
        <v>48.96</v>
      </c>
      <c r="AB53" s="93">
        <v>17172800</v>
      </c>
      <c r="AC53" s="10">
        <v>48.61</v>
      </c>
      <c r="AD53" s="2">
        <f t="shared" si="0"/>
        <v>1.2100000000000009</v>
      </c>
      <c r="AE53" s="134">
        <f t="shared" si="1"/>
        <v>-2.0749395648670399E-2</v>
      </c>
    </row>
    <row r="54" spans="1:31" x14ac:dyDescent="0.25">
      <c r="A54" s="298"/>
      <c r="B54" s="72">
        <v>42761</v>
      </c>
      <c r="C54" s="4">
        <v>20</v>
      </c>
      <c r="D54" s="3">
        <v>47.1</v>
      </c>
      <c r="E54" s="3">
        <v>0</v>
      </c>
      <c r="F54" s="3">
        <f>C54*D54+E54</f>
        <v>942</v>
      </c>
      <c r="G54" s="72">
        <v>42796</v>
      </c>
      <c r="H54" s="161">
        <v>20</v>
      </c>
      <c r="I54" s="3">
        <v>57.3</v>
      </c>
      <c r="J54" s="3">
        <v>0.02</v>
      </c>
      <c r="K54" s="3">
        <f>H54*I54-J54</f>
        <v>1145.98</v>
      </c>
      <c r="L54" s="298"/>
      <c r="M54" s="298"/>
      <c r="O54" s="81">
        <v>0.97</v>
      </c>
      <c r="P54" s="81">
        <f t="shared" si="2"/>
        <v>47.394199999999998</v>
      </c>
      <c r="T54" s="91" t="s">
        <v>109</v>
      </c>
      <c r="U54" s="128">
        <v>13460800</v>
      </c>
      <c r="W54" s="130">
        <v>42758</v>
      </c>
      <c r="X54" s="10">
        <v>49.53</v>
      </c>
      <c r="Y54" s="10">
        <v>50.31</v>
      </c>
      <c r="Z54" s="10">
        <v>49.15</v>
      </c>
      <c r="AA54" s="10">
        <v>50</v>
      </c>
      <c r="AB54" s="93">
        <v>23886100</v>
      </c>
      <c r="AC54" s="10">
        <v>49.64</v>
      </c>
      <c r="AD54" s="2">
        <f t="shared" si="0"/>
        <v>1.1600000000000037</v>
      </c>
      <c r="AE54" s="134">
        <f t="shared" si="1"/>
        <v>1.5548281505728179E-2</v>
      </c>
    </row>
    <row r="55" spans="1:31" x14ac:dyDescent="0.25">
      <c r="A55" s="298"/>
      <c r="B55" s="298"/>
      <c r="C55" s="298"/>
      <c r="D55" s="299"/>
      <c r="E55" s="299"/>
      <c r="F55" s="299"/>
      <c r="G55" s="298"/>
      <c r="H55" s="302"/>
      <c r="I55" s="299"/>
      <c r="J55" s="299"/>
      <c r="K55" s="299"/>
      <c r="L55" s="298"/>
      <c r="M55" s="298"/>
      <c r="O55" s="81">
        <v>0.96</v>
      </c>
      <c r="P55" s="81">
        <f t="shared" si="2"/>
        <v>46.9056</v>
      </c>
      <c r="T55" s="91" t="s">
        <v>107</v>
      </c>
      <c r="U55" s="127" t="s">
        <v>562</v>
      </c>
      <c r="W55" s="130">
        <v>42755</v>
      </c>
      <c r="X55" s="10">
        <v>55.49</v>
      </c>
      <c r="Y55" s="10">
        <v>55.49</v>
      </c>
      <c r="Z55" s="10">
        <v>48.92</v>
      </c>
      <c r="AA55" s="10">
        <v>49.23</v>
      </c>
      <c r="AB55" s="93">
        <v>77021200</v>
      </c>
      <c r="AC55" s="10">
        <v>48.88</v>
      </c>
      <c r="AD55" s="2">
        <f t="shared" si="0"/>
        <v>6.57</v>
      </c>
      <c r="AE55" s="134">
        <f t="shared" si="1"/>
        <v>-0.1127246324196769</v>
      </c>
    </row>
    <row r="56" spans="1:31" x14ac:dyDescent="0.25">
      <c r="A56" s="298"/>
      <c r="B56" s="298"/>
      <c r="C56" s="298"/>
      <c r="D56" s="299"/>
      <c r="E56" s="299"/>
      <c r="F56" s="299"/>
      <c r="G56" s="298"/>
      <c r="H56" s="302"/>
      <c r="I56" s="299"/>
      <c r="J56" s="299"/>
      <c r="K56" s="299"/>
      <c r="L56" s="298"/>
      <c r="M56" s="298"/>
      <c r="O56" s="81">
        <v>0.95</v>
      </c>
      <c r="P56" s="81">
        <f t="shared" si="2"/>
        <v>46.416999999999994</v>
      </c>
      <c r="T56" s="91" t="s">
        <v>110</v>
      </c>
      <c r="U56" s="127">
        <v>20.03</v>
      </c>
      <c r="W56" s="130">
        <v>42754</v>
      </c>
      <c r="X56" s="10">
        <v>56.1</v>
      </c>
      <c r="Y56" s="10">
        <v>56.31</v>
      </c>
      <c r="Z56" s="10">
        <v>55.34</v>
      </c>
      <c r="AA56" s="10">
        <v>55.49</v>
      </c>
      <c r="AB56" s="93">
        <v>7122300</v>
      </c>
      <c r="AC56" s="10">
        <v>55.09</v>
      </c>
      <c r="AD56" s="2">
        <f t="shared" si="0"/>
        <v>0.96999999999999886</v>
      </c>
      <c r="AE56" s="134">
        <f t="shared" si="1"/>
        <v>-1.0418537812106998E-2</v>
      </c>
    </row>
    <row r="57" spans="1:31" x14ac:dyDescent="0.25">
      <c r="A57" s="298"/>
      <c r="B57" s="298"/>
      <c r="C57" s="298"/>
      <c r="D57" s="299"/>
      <c r="E57" s="299"/>
      <c r="F57" s="299"/>
      <c r="G57" s="298"/>
      <c r="H57" s="302"/>
      <c r="I57" s="299"/>
      <c r="J57" s="299"/>
      <c r="K57" s="299"/>
      <c r="L57" s="298"/>
      <c r="M57" s="298"/>
      <c r="O57" s="81">
        <v>0.94</v>
      </c>
      <c r="P57" s="81">
        <f t="shared" si="2"/>
        <v>45.928399999999996</v>
      </c>
      <c r="T57" s="91" t="s">
        <v>111</v>
      </c>
      <c r="U57" s="127">
        <v>2.65</v>
      </c>
      <c r="W57" s="130">
        <v>42753</v>
      </c>
      <c r="X57" s="10">
        <v>56.51</v>
      </c>
      <c r="Y57" s="10">
        <v>56.55</v>
      </c>
      <c r="Z57" s="10">
        <v>55.89</v>
      </c>
      <c r="AA57" s="10">
        <v>56.07</v>
      </c>
      <c r="AB57" s="93">
        <v>6639200</v>
      </c>
      <c r="AC57" s="10">
        <v>55.67</v>
      </c>
      <c r="AD57" s="2">
        <f t="shared" si="0"/>
        <v>0.65999999999999659</v>
      </c>
      <c r="AE57" s="134">
        <f t="shared" si="1"/>
        <v>-3.5797386790763497E-3</v>
      </c>
    </row>
    <row r="58" spans="1:31" x14ac:dyDescent="0.25">
      <c r="A58" s="298"/>
      <c r="B58" s="298"/>
      <c r="C58" s="298"/>
      <c r="D58" s="299"/>
      <c r="E58" s="299"/>
      <c r="F58" s="299"/>
      <c r="G58" s="298"/>
      <c r="H58" s="302"/>
      <c r="I58" s="299"/>
      <c r="J58" s="299"/>
      <c r="K58" s="299"/>
      <c r="L58" s="298"/>
      <c r="M58" s="298"/>
      <c r="O58" s="81">
        <v>0.93</v>
      </c>
      <c r="P58" s="81">
        <f t="shared" si="2"/>
        <v>45.439800000000005</v>
      </c>
      <c r="T58" s="91" t="s">
        <v>108</v>
      </c>
      <c r="U58" s="127" t="s">
        <v>525</v>
      </c>
      <c r="W58" s="130">
        <v>42752</v>
      </c>
      <c r="X58" s="10">
        <v>55.89</v>
      </c>
      <c r="Y58" s="10">
        <v>56.58</v>
      </c>
      <c r="Z58" s="10">
        <v>55.21</v>
      </c>
      <c r="AA58" s="10">
        <v>56.28</v>
      </c>
      <c r="AB58" s="93">
        <v>10416300</v>
      </c>
      <c r="AC58" s="10">
        <v>55.87</v>
      </c>
      <c r="AD58" s="2">
        <f t="shared" si="0"/>
        <v>1.3699999999999974</v>
      </c>
      <c r="AE58" s="134">
        <f t="shared" si="1"/>
        <v>8.9573629523465037E-4</v>
      </c>
    </row>
    <row r="59" spans="1:31" x14ac:dyDescent="0.25">
      <c r="A59" s="298"/>
      <c r="B59" s="298"/>
      <c r="C59" s="298"/>
      <c r="D59" s="299"/>
      <c r="E59" s="299"/>
      <c r="F59" s="299"/>
      <c r="G59" s="298"/>
      <c r="H59" s="302"/>
      <c r="I59" s="299"/>
      <c r="J59" s="299"/>
      <c r="K59" s="299"/>
      <c r="L59" s="298"/>
      <c r="M59" s="298"/>
      <c r="O59" s="81">
        <v>0.92</v>
      </c>
      <c r="P59" s="81">
        <f t="shared" si="2"/>
        <v>44.9512</v>
      </c>
      <c r="W59" s="130">
        <v>42748</v>
      </c>
      <c r="X59" s="10">
        <v>56.56</v>
      </c>
      <c r="Y59" s="10">
        <v>56.73</v>
      </c>
      <c r="Z59" s="10">
        <v>56.05</v>
      </c>
      <c r="AA59" s="10">
        <v>56.22</v>
      </c>
      <c r="AB59" s="93">
        <v>7660200</v>
      </c>
      <c r="AC59" s="10">
        <v>55.82</v>
      </c>
      <c r="AD59" s="2">
        <f t="shared" si="0"/>
        <v>0.67999999999999972</v>
      </c>
      <c r="AE59" s="134">
        <f t="shared" si="1"/>
        <v>-5.7000356252226991E-3</v>
      </c>
    </row>
    <row r="60" spans="1:31" x14ac:dyDescent="0.25">
      <c r="A60" s="298"/>
      <c r="B60" s="298"/>
      <c r="C60" s="298"/>
      <c r="D60" s="299"/>
      <c r="E60" s="299"/>
      <c r="F60" s="299"/>
      <c r="G60" s="298"/>
      <c r="H60" s="302"/>
      <c r="I60" s="299"/>
      <c r="J60" s="299"/>
      <c r="K60" s="299"/>
      <c r="L60" s="298"/>
      <c r="M60" s="298"/>
      <c r="O60" s="81">
        <v>0.91</v>
      </c>
      <c r="P60" s="81">
        <f t="shared" si="2"/>
        <v>44.462600000000002</v>
      </c>
      <c r="W60" s="130">
        <v>42747</v>
      </c>
      <c r="X60" s="10">
        <v>56.5</v>
      </c>
      <c r="Y60" s="10">
        <v>56.78</v>
      </c>
      <c r="Z60" s="10">
        <v>56.02</v>
      </c>
      <c r="AA60" s="10">
        <v>56.55</v>
      </c>
      <c r="AB60" s="93">
        <v>9977900</v>
      </c>
      <c r="AC60" s="10">
        <v>56.14</v>
      </c>
      <c r="AD60" s="2">
        <f t="shared" si="0"/>
        <v>0.75999999999999801</v>
      </c>
      <c r="AE60" s="134">
        <f t="shared" si="1"/>
        <v>-4.4334101791098091E-3</v>
      </c>
    </row>
    <row r="61" spans="1:31" x14ac:dyDescent="0.25">
      <c r="A61" s="298"/>
      <c r="B61" s="298"/>
      <c r="C61" s="298"/>
      <c r="D61" s="299"/>
      <c r="E61" s="299"/>
      <c r="F61" s="299"/>
      <c r="G61" s="298"/>
      <c r="H61" s="302"/>
      <c r="I61" s="299"/>
      <c r="J61" s="299"/>
      <c r="K61" s="299"/>
      <c r="L61" s="298"/>
      <c r="M61" s="298"/>
      <c r="O61" s="81">
        <v>0.9</v>
      </c>
      <c r="P61" s="81">
        <f t="shared" si="2"/>
        <v>43.974000000000004</v>
      </c>
      <c r="W61" s="130">
        <v>42746</v>
      </c>
      <c r="X61" s="10">
        <v>58.12</v>
      </c>
      <c r="Y61" s="10">
        <v>58.87</v>
      </c>
      <c r="Z61" s="10">
        <v>56.53</v>
      </c>
      <c r="AA61" s="10">
        <v>56.8</v>
      </c>
      <c r="AB61" s="93">
        <v>20497900</v>
      </c>
      <c r="AC61" s="10">
        <v>56.39</v>
      </c>
      <c r="AD61" s="2">
        <f t="shared" si="0"/>
        <v>2.3399999999999963</v>
      </c>
      <c r="AE61" s="134">
        <f t="shared" si="1"/>
        <v>-5.3064651553316522E-2</v>
      </c>
    </row>
    <row r="62" spans="1:31" x14ac:dyDescent="0.25">
      <c r="A62" s="298"/>
      <c r="B62" s="298"/>
      <c r="C62" s="298"/>
      <c r="D62" s="299"/>
      <c r="E62" s="299"/>
      <c r="F62" s="299"/>
      <c r="G62" s="298"/>
      <c r="H62" s="302"/>
      <c r="I62" s="299"/>
      <c r="J62" s="299"/>
      <c r="K62" s="299"/>
      <c r="L62" s="298"/>
      <c r="M62" s="298"/>
      <c r="W62" s="130">
        <v>42745</v>
      </c>
      <c r="X62" s="10">
        <v>59.78</v>
      </c>
      <c r="Y62" s="10">
        <v>60.45</v>
      </c>
      <c r="Z62" s="10">
        <v>59.72</v>
      </c>
      <c r="AA62" s="10">
        <v>59.98</v>
      </c>
      <c r="AB62" s="93">
        <v>6103700</v>
      </c>
      <c r="AC62" s="10">
        <v>59.55</v>
      </c>
      <c r="AD62" s="2">
        <f t="shared" si="0"/>
        <v>0.73000000000000398</v>
      </c>
      <c r="AE62" s="134">
        <f t="shared" si="1"/>
        <v>4.2158516020236458E-3</v>
      </c>
    </row>
    <row r="63" spans="1:31" x14ac:dyDescent="0.25">
      <c r="A63" s="298"/>
      <c r="B63" s="298"/>
      <c r="C63" s="298"/>
      <c r="D63" s="299"/>
      <c r="E63" s="299"/>
      <c r="F63" s="299"/>
      <c r="G63" s="298"/>
      <c r="H63" s="298"/>
      <c r="I63" s="299"/>
      <c r="J63" s="299"/>
      <c r="K63" s="299"/>
      <c r="L63" s="298"/>
      <c r="M63" s="298"/>
      <c r="W63" s="130">
        <v>42744</v>
      </c>
      <c r="X63" s="10">
        <v>59.75</v>
      </c>
      <c r="Y63" s="10">
        <v>59.92</v>
      </c>
      <c r="Z63" s="10">
        <v>59.65</v>
      </c>
      <c r="AA63" s="10">
        <v>59.73</v>
      </c>
      <c r="AB63" s="93">
        <v>5256500</v>
      </c>
      <c r="AC63" s="10">
        <v>59.3</v>
      </c>
      <c r="AD63" s="2">
        <f t="shared" si="0"/>
        <v>0.27000000000000313</v>
      </c>
      <c r="AE63" s="134">
        <f t="shared" si="1"/>
        <v>-3.6962365591398649E-3</v>
      </c>
    </row>
    <row r="64" spans="1:31" x14ac:dyDescent="0.25">
      <c r="A64" s="21" t="s">
        <v>81</v>
      </c>
      <c r="B64" s="12"/>
      <c r="C64" s="12">
        <f>SUM(C48:C63)</f>
        <v>170</v>
      </c>
      <c r="D64" s="13"/>
      <c r="E64" s="13"/>
      <c r="F64" s="13">
        <f>SUM(F48:F63)</f>
        <v>8544.7999999999993</v>
      </c>
      <c r="G64" s="12"/>
      <c r="H64" s="75">
        <f>SUM(H48:H63)</f>
        <v>170</v>
      </c>
      <c r="I64" s="13"/>
      <c r="J64" s="13"/>
      <c r="K64" s="13">
        <f>SUM(K48:K63)</f>
        <v>9447.7999999999993</v>
      </c>
      <c r="L64" s="12"/>
      <c r="M64" s="13">
        <f>SUM(M48:M56)</f>
        <v>7.8</v>
      </c>
      <c r="W64" s="130">
        <v>42741</v>
      </c>
      <c r="X64" s="10">
        <v>60.04</v>
      </c>
      <c r="Y64" s="10">
        <v>60.33</v>
      </c>
      <c r="Z64" s="10">
        <v>58.85</v>
      </c>
      <c r="AA64" s="10">
        <v>59.95</v>
      </c>
      <c r="AB64" s="93">
        <v>10104600</v>
      </c>
      <c r="AC64" s="10">
        <v>59.52</v>
      </c>
      <c r="AD64" s="2">
        <f t="shared" si="0"/>
        <v>1.4799999999999969</v>
      </c>
      <c r="AE64" s="134">
        <f t="shared" si="1"/>
        <v>-3.0150753768843908E-3</v>
      </c>
    </row>
    <row r="65" spans="1:31" ht="15.75" thickBot="1" x14ac:dyDescent="0.3">
      <c r="A65" s="378" t="s">
        <v>191</v>
      </c>
      <c r="B65" s="379"/>
      <c r="C65" s="380">
        <f>SumByColor($A$19,C48:C63)</f>
        <v>0</v>
      </c>
      <c r="D65" s="380"/>
      <c r="E65" s="380"/>
      <c r="F65" s="381">
        <f>SumByColor($A$19,F48:F63)</f>
        <v>0</v>
      </c>
      <c r="G65" s="380"/>
      <c r="H65" s="380">
        <f>SumByColor($A$19,H48:H63)</f>
        <v>0</v>
      </c>
      <c r="I65" s="380"/>
      <c r="J65" s="380"/>
      <c r="K65" s="381">
        <f>SumByColor($A$19,K48:K63)</f>
        <v>0</v>
      </c>
      <c r="L65" s="380"/>
      <c r="M65" s="381">
        <f>SumByColor($A$19,M48:M63)</f>
        <v>0</v>
      </c>
      <c r="W65" s="130">
        <v>42740</v>
      </c>
      <c r="X65" s="10">
        <v>59.39</v>
      </c>
      <c r="Y65" s="10">
        <v>60.42</v>
      </c>
      <c r="Z65" s="10">
        <v>59.31</v>
      </c>
      <c r="AA65" s="10">
        <v>60.13</v>
      </c>
      <c r="AB65" s="93">
        <v>8422300</v>
      </c>
      <c r="AC65" s="10">
        <v>59.7</v>
      </c>
      <c r="AD65" s="2">
        <f t="shared" si="0"/>
        <v>1.1099999999999994</v>
      </c>
      <c r="AE65" s="134">
        <f t="shared" si="1"/>
        <v>1.6862544711292893E-2</v>
      </c>
    </row>
    <row r="66" spans="1:31" x14ac:dyDescent="0.25">
      <c r="W66" s="130">
        <v>42739</v>
      </c>
      <c r="X66" s="10">
        <v>59.46</v>
      </c>
      <c r="Y66" s="10">
        <v>59.75</v>
      </c>
      <c r="Z66" s="10">
        <v>59.03</v>
      </c>
      <c r="AA66" s="10">
        <v>59.14</v>
      </c>
      <c r="AB66" s="93">
        <v>6703400</v>
      </c>
      <c r="AC66" s="10">
        <v>58.71</v>
      </c>
      <c r="AD66" s="2">
        <f t="shared" si="0"/>
        <v>0.71999999999999886</v>
      </c>
      <c r="AE66" s="134" t="e">
        <f t="shared" si="1"/>
        <v>#DIV/0!</v>
      </c>
    </row>
    <row r="67" spans="1:31" x14ac:dyDescent="0.25">
      <c r="W67" s="130">
        <v>42739</v>
      </c>
      <c r="X67" s="10" t="s">
        <v>319</v>
      </c>
      <c r="Y67" s="10"/>
      <c r="Z67" s="10"/>
      <c r="AA67" s="10"/>
      <c r="AB67" s="93"/>
      <c r="AC67" s="10"/>
      <c r="AD67" s="2">
        <f>Y67-Z67</f>
        <v>0</v>
      </c>
      <c r="AE67" s="134" t="e">
        <f>AC67/#REF!-1</f>
        <v>#REF!</v>
      </c>
    </row>
    <row r="68" spans="1:31" x14ac:dyDescent="0.25">
      <c r="W68" s="130">
        <v>42738</v>
      </c>
      <c r="X68" s="10">
        <v>58.78</v>
      </c>
      <c r="Y68" s="10">
        <v>59.68</v>
      </c>
      <c r="Z68" s="10">
        <v>58.58</v>
      </c>
      <c r="AA68" s="10">
        <v>59.45</v>
      </c>
      <c r="AB68" s="93">
        <v>10061700</v>
      </c>
      <c r="AC68" s="10">
        <v>58.63</v>
      </c>
      <c r="AD68" s="2" t="e">
        <f>#REF!-#REF!</f>
        <v>#REF!</v>
      </c>
      <c r="AE68" s="134" t="e">
        <f>#REF!/AC71-1</f>
        <v>#REF!</v>
      </c>
    </row>
    <row r="69" spans="1:31" x14ac:dyDescent="0.25">
      <c r="W69" s="130">
        <v>42734</v>
      </c>
      <c r="X69" s="10">
        <v>58.86</v>
      </c>
      <c r="Y69" s="10">
        <v>58.96</v>
      </c>
      <c r="Z69" s="10">
        <v>58.21</v>
      </c>
      <c r="AA69" s="10">
        <v>58.44</v>
      </c>
      <c r="AB69" s="93">
        <v>7008900</v>
      </c>
      <c r="AC69" s="10">
        <v>57.64</v>
      </c>
      <c r="AD69" s="2">
        <f>Y71-Z71</f>
        <v>0</v>
      </c>
      <c r="AE69" s="134" t="e">
        <f>AC71/AC72-1</f>
        <v>#DIV/0!</v>
      </c>
    </row>
    <row r="70" spans="1:31" x14ac:dyDescent="0.25">
      <c r="B70" s="162" t="s">
        <v>113</v>
      </c>
      <c r="C70" s="162" t="s">
        <v>145</v>
      </c>
      <c r="D70" s="163" t="s">
        <v>144</v>
      </c>
      <c r="E70" s="165" t="s">
        <v>146</v>
      </c>
      <c r="F70" s="165" t="s">
        <v>65</v>
      </c>
      <c r="G70" s="177" t="s">
        <v>150</v>
      </c>
      <c r="H70" s="177" t="s">
        <v>88</v>
      </c>
      <c r="I70" s="177" t="s">
        <v>153</v>
      </c>
      <c r="W70" s="130" t="s">
        <v>120</v>
      </c>
      <c r="X70" s="10"/>
      <c r="Y70" s="10"/>
      <c r="Z70" s="10"/>
      <c r="AA70" s="10"/>
      <c r="AB70" s="93"/>
      <c r="AC70" s="10"/>
    </row>
    <row r="71" spans="1:31" x14ac:dyDescent="0.25">
      <c r="A71" s="387" t="s">
        <v>326</v>
      </c>
      <c r="B71" s="386">
        <v>42754</v>
      </c>
      <c r="C71" s="387">
        <v>20</v>
      </c>
      <c r="D71" s="511">
        <v>55.06</v>
      </c>
      <c r="E71" s="388">
        <v>55.49</v>
      </c>
      <c r="F71" s="388">
        <f t="shared" ref="F71:F78" si="4">C71*(E71-D71)</f>
        <v>8.5999999999999943</v>
      </c>
      <c r="G71" s="388">
        <f t="shared" ref="G71:G78" si="5">D71*C71</f>
        <v>1101.2</v>
      </c>
      <c r="H71" s="512">
        <f t="shared" ref="H71:H78" si="6">(E71-D71)/D71</f>
        <v>7.8096621867054065E-3</v>
      </c>
      <c r="I71" s="388"/>
      <c r="W71" s="130"/>
      <c r="X71" s="10"/>
      <c r="Y71" s="10"/>
      <c r="Z71" s="10"/>
      <c r="AA71" s="10"/>
      <c r="AB71" s="93"/>
      <c r="AC71" s="10"/>
    </row>
    <row r="72" spans="1:31" x14ac:dyDescent="0.25">
      <c r="A72" s="387" t="s">
        <v>336</v>
      </c>
      <c r="B72" s="386">
        <v>42755</v>
      </c>
      <c r="C72" s="387">
        <v>100</v>
      </c>
      <c r="D72" s="511">
        <v>51.438000000000002</v>
      </c>
      <c r="E72" s="388">
        <v>49.23</v>
      </c>
      <c r="F72" s="388">
        <f t="shared" si="4"/>
        <v>-220.80000000000055</v>
      </c>
      <c r="G72" s="388">
        <f t="shared" si="5"/>
        <v>5143.8</v>
      </c>
      <c r="H72" s="512">
        <f t="shared" si="6"/>
        <v>-4.2925463664994855E-2</v>
      </c>
      <c r="I72" s="388">
        <v>50</v>
      </c>
    </row>
    <row r="73" spans="1:31" x14ac:dyDescent="0.25">
      <c r="A73" s="387" t="s">
        <v>353</v>
      </c>
      <c r="B73" s="386">
        <v>42761</v>
      </c>
      <c r="C73" s="387">
        <v>120</v>
      </c>
      <c r="D73" s="511">
        <v>50.715000000000003</v>
      </c>
      <c r="E73" s="388">
        <v>46.82</v>
      </c>
      <c r="F73" s="388">
        <f t="shared" si="4"/>
        <v>-467.40000000000038</v>
      </c>
      <c r="G73" s="388">
        <f t="shared" si="5"/>
        <v>6085.8</v>
      </c>
      <c r="H73" s="512">
        <f t="shared" si="6"/>
        <v>-7.680173518682841E-2</v>
      </c>
      <c r="I73" s="388"/>
    </row>
    <row r="74" spans="1:31" x14ac:dyDescent="0.25">
      <c r="A74" s="387" t="s">
        <v>353</v>
      </c>
      <c r="B74" s="386">
        <v>42764</v>
      </c>
      <c r="C74" s="387">
        <v>120</v>
      </c>
      <c r="D74" s="511">
        <v>50.715000000000003</v>
      </c>
      <c r="E74" s="388">
        <v>47.74</v>
      </c>
      <c r="F74" s="388">
        <f t="shared" si="4"/>
        <v>-357.00000000000017</v>
      </c>
      <c r="G74" s="388">
        <f t="shared" si="5"/>
        <v>6085.8</v>
      </c>
      <c r="H74" s="512">
        <f t="shared" si="6"/>
        <v>-5.866114561766738E-2</v>
      </c>
      <c r="I74" s="388"/>
    </row>
    <row r="75" spans="1:31" x14ac:dyDescent="0.25">
      <c r="A75" s="387" t="s">
        <v>376</v>
      </c>
      <c r="B75" s="386">
        <v>42768</v>
      </c>
      <c r="C75" s="387">
        <v>120</v>
      </c>
      <c r="D75" s="511">
        <v>50.65</v>
      </c>
      <c r="E75" s="388">
        <v>50.5</v>
      </c>
      <c r="F75" s="388">
        <f t="shared" si="4"/>
        <v>-17.999999999999829</v>
      </c>
      <c r="G75" s="388">
        <f t="shared" si="5"/>
        <v>6078</v>
      </c>
      <c r="H75" s="512">
        <f t="shared" si="6"/>
        <v>-2.9615004935833874E-3</v>
      </c>
      <c r="I75" s="388"/>
    </row>
    <row r="76" spans="1:31" x14ac:dyDescent="0.25">
      <c r="A76" s="387" t="s">
        <v>411</v>
      </c>
      <c r="B76" s="386">
        <v>42780</v>
      </c>
      <c r="C76" s="387">
        <v>100</v>
      </c>
      <c r="D76" s="511">
        <v>50.284199999999998</v>
      </c>
      <c r="E76" s="388">
        <v>53.71</v>
      </c>
      <c r="F76" s="388">
        <f t="shared" si="4"/>
        <v>342.58000000000027</v>
      </c>
      <c r="G76" s="388">
        <f t="shared" si="5"/>
        <v>5028.42</v>
      </c>
      <c r="H76" s="512">
        <f t="shared" si="6"/>
        <v>6.8128756150043199E-2</v>
      </c>
      <c r="I76" s="388">
        <v>50</v>
      </c>
    </row>
    <row r="77" spans="1:31" x14ac:dyDescent="0.25">
      <c r="A77" s="556" t="s">
        <v>427</v>
      </c>
      <c r="B77" s="555">
        <v>42787</v>
      </c>
      <c r="C77" s="556">
        <v>20</v>
      </c>
      <c r="D77" s="557">
        <v>47.1</v>
      </c>
      <c r="E77" s="554">
        <v>54.78</v>
      </c>
      <c r="F77" s="554">
        <f t="shared" si="4"/>
        <v>153.6</v>
      </c>
      <c r="G77" s="554">
        <f t="shared" si="5"/>
        <v>942</v>
      </c>
      <c r="H77" s="558">
        <f t="shared" si="6"/>
        <v>0.16305732484076432</v>
      </c>
      <c r="I77" s="554"/>
    </row>
    <row r="78" spans="1:31" x14ac:dyDescent="0.25">
      <c r="A78" s="556" t="s">
        <v>444</v>
      </c>
      <c r="B78" s="555">
        <v>42792</v>
      </c>
      <c r="C78" s="556">
        <v>20</v>
      </c>
      <c r="D78" s="557">
        <v>47.1</v>
      </c>
      <c r="E78" s="554">
        <v>54.78</v>
      </c>
      <c r="F78" s="554">
        <f t="shared" si="4"/>
        <v>153.6</v>
      </c>
      <c r="G78" s="554">
        <f t="shared" si="5"/>
        <v>942</v>
      </c>
      <c r="H78" s="558">
        <f t="shared" si="6"/>
        <v>0.16305732484076432</v>
      </c>
      <c r="I78" s="554"/>
    </row>
    <row r="79" spans="1:31" x14ac:dyDescent="0.25">
      <c r="A79" s="556"/>
      <c r="B79" s="555">
        <v>42796</v>
      </c>
      <c r="C79" s="556">
        <v>0</v>
      </c>
      <c r="D79" s="557"/>
      <c r="E79" s="554"/>
      <c r="F79" s="554">
        <v>203.98</v>
      </c>
      <c r="G79" s="554"/>
      <c r="H79" s="558"/>
      <c r="I79" s="559"/>
    </row>
    <row r="80" spans="1:31" x14ac:dyDescent="0.25">
      <c r="B80" s="164"/>
      <c r="C80" s="10"/>
      <c r="D80" s="506"/>
      <c r="E80" s="39"/>
      <c r="F80" s="39"/>
      <c r="G80" s="39"/>
      <c r="H80" s="179"/>
      <c r="I80" s="39"/>
    </row>
    <row r="81" spans="2:9" x14ac:dyDescent="0.25">
      <c r="B81" s="164"/>
      <c r="C81" s="10"/>
      <c r="D81" s="506"/>
      <c r="E81" s="39"/>
      <c r="F81" s="39"/>
      <c r="G81" s="39"/>
      <c r="H81" s="179"/>
      <c r="I81" s="39"/>
    </row>
    <row r="82" spans="2:9" x14ac:dyDescent="0.25">
      <c r="B82" s="164"/>
      <c r="C82" s="10"/>
      <c r="D82" s="39"/>
      <c r="E82" s="39"/>
      <c r="F82" s="39"/>
      <c r="G82" s="39"/>
      <c r="H82" s="179"/>
      <c r="I82" s="39"/>
    </row>
    <row r="83" spans="2:9" x14ac:dyDescent="0.25">
      <c r="B83" s="164"/>
      <c r="C83" s="10"/>
      <c r="D83" s="39"/>
      <c r="E83" s="39"/>
      <c r="F83" s="39"/>
      <c r="G83" s="39"/>
      <c r="H83" s="179"/>
      <c r="I83" s="39"/>
    </row>
    <row r="84" spans="2:9" x14ac:dyDescent="0.25">
      <c r="B84" s="164"/>
      <c r="C84" s="10"/>
      <c r="D84" s="39"/>
      <c r="E84" s="39"/>
      <c r="F84" s="39"/>
      <c r="G84" s="39"/>
      <c r="H84" s="179"/>
      <c r="I84" s="39"/>
    </row>
    <row r="85" spans="2:9" x14ac:dyDescent="0.25">
      <c r="B85" s="164"/>
      <c r="C85" s="10"/>
      <c r="D85" s="39"/>
      <c r="E85" s="39"/>
      <c r="F85" s="39"/>
      <c r="G85" s="39"/>
      <c r="H85" s="179"/>
      <c r="I85" s="39"/>
    </row>
    <row r="86" spans="2:9" x14ac:dyDescent="0.25">
      <c r="B86" s="164"/>
      <c r="C86" s="10"/>
      <c r="D86" s="39"/>
      <c r="E86" s="39"/>
      <c r="F86" s="39"/>
      <c r="G86" s="39"/>
      <c r="H86" s="179"/>
      <c r="I86" s="39"/>
    </row>
    <row r="87" spans="2:9" x14ac:dyDescent="0.25">
      <c r="B87" s="164"/>
      <c r="C87" s="10"/>
      <c r="D87" s="39"/>
      <c r="E87" s="39"/>
      <c r="F87" s="39"/>
      <c r="G87" s="39"/>
      <c r="H87" s="179"/>
      <c r="I87" s="39"/>
    </row>
    <row r="88" spans="2:9" x14ac:dyDescent="0.25">
      <c r="B88" s="164"/>
      <c r="C88" s="10"/>
      <c r="D88" s="39"/>
      <c r="E88" s="39"/>
      <c r="F88" s="39"/>
      <c r="G88" s="39"/>
      <c r="H88" s="179"/>
      <c r="I88" s="39"/>
    </row>
    <row r="208" spans="21:21" x14ac:dyDescent="0.25">
      <c r="U208" s="183"/>
    </row>
    <row r="209" spans="21:21" x14ac:dyDescent="0.25">
      <c r="U209" s="183"/>
    </row>
    <row r="281" spans="21:21" x14ac:dyDescent="0.25">
      <c r="U281" s="220"/>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394" priority="29">
      <formula>F25&gt;0</formula>
    </cfRule>
    <cfRule type="expression" dxfId="3393" priority="30">
      <formula>F25&lt;0</formula>
    </cfRule>
  </conditionalFormatting>
  <conditionalFormatting sqref="Q7">
    <cfRule type="expression" dxfId="3392" priority="27">
      <formula>Q7&gt;0</formula>
    </cfRule>
    <cfRule type="expression" dxfId="3391" priority="28">
      <formula>Q7&lt;0</formula>
    </cfRule>
  </conditionalFormatting>
  <conditionalFormatting sqref="Q8">
    <cfRule type="expression" dxfId="3390" priority="25">
      <formula>Q8&gt;0</formula>
    </cfRule>
    <cfRule type="expression" dxfId="3389" priority="26">
      <formula>Q8&lt;0</formula>
    </cfRule>
  </conditionalFormatting>
  <conditionalFormatting sqref="Q10">
    <cfRule type="expression" dxfId="3388" priority="13">
      <formula>Q10&gt;0</formula>
    </cfRule>
    <cfRule type="expression" dxfId="3387" priority="14">
      <formula>Q10&lt;0</formula>
    </cfRule>
  </conditionalFormatting>
  <conditionalFormatting sqref="M46">
    <cfRule type="expression" dxfId="3386" priority="11">
      <formula>M46&gt;0</formula>
    </cfRule>
    <cfRule type="expression" dxfId="3385" priority="12">
      <formula>M46&lt;0</formula>
    </cfRule>
  </conditionalFormatting>
  <conditionalFormatting sqref="F80:F88 H80:H88">
    <cfRule type="expression" dxfId="3384" priority="9">
      <formula>F80&gt;0</formula>
    </cfRule>
    <cfRule type="expression" dxfId="3383" priority="10">
      <formula>F80&lt;0</formula>
    </cfRule>
  </conditionalFormatting>
  <conditionalFormatting sqref="F75:F79">
    <cfRule type="expression" dxfId="3382" priority="7">
      <formula>F75&gt;0</formula>
    </cfRule>
    <cfRule type="expression" dxfId="3381" priority="8">
      <formula>F75&lt;0</formula>
    </cfRule>
  </conditionalFormatting>
  <conditionalFormatting sqref="H75:H79">
    <cfRule type="expression" dxfId="3380" priority="5">
      <formula>H75&gt;0</formula>
    </cfRule>
    <cfRule type="expression" dxfId="3379" priority="6">
      <formula>H75&lt;0</formula>
    </cfRule>
  </conditionalFormatting>
  <conditionalFormatting sqref="F71:F74">
    <cfRule type="expression" dxfId="3378" priority="3">
      <formula>F71&gt;0</formula>
    </cfRule>
    <cfRule type="expression" dxfId="3377" priority="4">
      <formula>F71&lt;0</formula>
    </cfRule>
  </conditionalFormatting>
  <conditionalFormatting sqref="H71:H74">
    <cfRule type="expression" dxfId="3376" priority="1">
      <formula>H71&gt;0</formula>
    </cfRule>
    <cfRule type="expression" dxfId="3375"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1321</v>
      </c>
      <c r="B2" s="368">
        <v>43433</v>
      </c>
      <c r="C2" s="7">
        <v>50</v>
      </c>
      <c r="D2" s="43">
        <v>89.88</v>
      </c>
      <c r="E2" s="43">
        <v>0</v>
      </c>
      <c r="F2" s="43">
        <f>C2*D2+E2</f>
        <v>4494</v>
      </c>
      <c r="G2" s="368">
        <v>43483</v>
      </c>
      <c r="H2" s="7">
        <v>50</v>
      </c>
      <c r="I2" s="43">
        <v>90.08</v>
      </c>
      <c r="J2" s="43">
        <v>0.06</v>
      </c>
      <c r="K2" s="43">
        <f>H2*I2-J2</f>
        <v>4503.9399999999996</v>
      </c>
      <c r="L2" s="72">
        <v>43475</v>
      </c>
      <c r="M2" s="3">
        <v>55</v>
      </c>
      <c r="O2" s="11" t="s">
        <v>57</v>
      </c>
      <c r="Q2">
        <f>C18-H18</f>
        <v>0</v>
      </c>
      <c r="T2" s="1"/>
    </row>
    <row r="3" spans="1:21" x14ac:dyDescent="0.25">
      <c r="A3" s="22" t="s">
        <v>71</v>
      </c>
      <c r="B3" s="368">
        <v>43433</v>
      </c>
      <c r="C3" s="7">
        <v>50</v>
      </c>
      <c r="D3" s="43">
        <v>89.88</v>
      </c>
      <c r="E3" s="43">
        <v>0</v>
      </c>
      <c r="F3" s="43">
        <f>C3*D3+E3</f>
        <v>4494</v>
      </c>
      <c r="G3" s="368">
        <v>43516</v>
      </c>
      <c r="H3" s="80">
        <v>50</v>
      </c>
      <c r="I3" s="43">
        <v>91.58</v>
      </c>
      <c r="J3" s="43">
        <v>0.06</v>
      </c>
      <c r="K3" s="43">
        <f>H3*I3-J3</f>
        <v>4578.9399999999996</v>
      </c>
      <c r="L3" s="4"/>
      <c r="M3" s="4"/>
      <c r="O3" s="11" t="s">
        <v>58</v>
      </c>
      <c r="Q3" s="178">
        <f>IF(Q2=0, Q4, (F18-K18-M18)/Q2)</f>
        <v>90.38</v>
      </c>
      <c r="T3" s="1"/>
      <c r="U3" s="22"/>
    </row>
    <row r="4" spans="1:21" x14ac:dyDescent="0.25">
      <c r="B4" s="72"/>
      <c r="C4" s="4"/>
      <c r="D4" s="3"/>
      <c r="E4" s="3"/>
      <c r="F4" s="3"/>
      <c r="G4" s="72"/>
      <c r="H4" s="161"/>
      <c r="I4" s="3"/>
      <c r="J4" s="3"/>
      <c r="K4" s="3"/>
      <c r="L4" s="4"/>
      <c r="M4" s="4"/>
      <c r="O4" s="11" t="s">
        <v>66</v>
      </c>
      <c r="Q4" s="54">
        <v>90.38</v>
      </c>
      <c r="R4" s="425">
        <v>-5.0000000000000001E-3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149.8799999999992</v>
      </c>
      <c r="R7">
        <v>0</v>
      </c>
    </row>
    <row r="8" spans="1:21" x14ac:dyDescent="0.25">
      <c r="B8" s="72"/>
      <c r="C8" s="4"/>
      <c r="D8" s="3"/>
      <c r="E8" s="3"/>
      <c r="F8" s="3"/>
      <c r="G8" s="4"/>
      <c r="H8" s="161"/>
      <c r="I8" s="3"/>
      <c r="J8" s="3"/>
      <c r="K8" s="3"/>
      <c r="L8" s="4"/>
      <c r="M8" s="4"/>
      <c r="O8" s="11" t="s">
        <v>179</v>
      </c>
      <c r="P8" s="33"/>
      <c r="Q8" s="2">
        <f>K18+M18-F18+Q2*Q4</f>
        <v>149.8799999999992</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1.2781588847090065E-2</v>
      </c>
      <c r="R11">
        <f>0.2888*4</f>
        <v>1.1552</v>
      </c>
    </row>
    <row r="12" spans="1:21" x14ac:dyDescent="0.25">
      <c r="H12" s="70"/>
      <c r="O12" s="11" t="s">
        <v>921</v>
      </c>
      <c r="Q12" s="1" t="s">
        <v>1383</v>
      </c>
    </row>
    <row r="13" spans="1:21" x14ac:dyDescent="0.25">
      <c r="H13" s="70"/>
      <c r="O13" s="11" t="s">
        <v>947</v>
      </c>
    </row>
    <row r="14" spans="1:21" x14ac:dyDescent="0.25">
      <c r="H14" s="70"/>
    </row>
    <row r="15" spans="1:21" x14ac:dyDescent="0.25">
      <c r="H15" s="70"/>
    </row>
    <row r="16" spans="1:21" ht="20.25" thickBot="1" x14ac:dyDescent="0.35">
      <c r="H16" s="70"/>
      <c r="O16" s="884" t="s">
        <v>78</v>
      </c>
      <c r="P16" s="884"/>
    </row>
    <row r="17" spans="1:16" ht="15.75" thickTop="1" x14ac:dyDescent="0.25">
      <c r="O17" s="81">
        <v>1.1000000000000001</v>
      </c>
      <c r="P17" s="81">
        <f>O17*$Q$4</f>
        <v>99.418000000000006</v>
      </c>
    </row>
    <row r="18" spans="1:16" x14ac:dyDescent="0.25">
      <c r="A18" s="31" t="s">
        <v>81</v>
      </c>
      <c r="B18" s="14"/>
      <c r="C18" s="14">
        <f>SUM(C2:C8)</f>
        <v>100</v>
      </c>
      <c r="D18" s="18"/>
      <c r="E18" s="18"/>
      <c r="F18" s="18">
        <f>SUM(F2:F8)</f>
        <v>8988</v>
      </c>
      <c r="G18" s="14"/>
      <c r="H18" s="71">
        <f>SUM(H2:H5)</f>
        <v>100</v>
      </c>
      <c r="I18" s="18"/>
      <c r="J18" s="18"/>
      <c r="K18" s="18">
        <f>SUM(K2:K5)</f>
        <v>9082.8799999999992</v>
      </c>
      <c r="L18" s="14"/>
      <c r="M18" s="18">
        <f>SUM(M2:M10)</f>
        <v>55</v>
      </c>
      <c r="O18" s="81">
        <v>1.0900000000000001</v>
      </c>
      <c r="P18" s="81">
        <f t="shared" ref="P18:P37" si="0">O18*$Q$4</f>
        <v>98.514200000000002</v>
      </c>
    </row>
    <row r="19" spans="1:16" ht="15.75" thickBot="1" x14ac:dyDescent="0.3">
      <c r="A19" s="277" t="s">
        <v>191</v>
      </c>
      <c r="B19" s="278"/>
      <c r="C19" s="279">
        <f>SumByColor($A$19,C2:C17)</f>
        <v>100</v>
      </c>
      <c r="D19" s="279"/>
      <c r="E19" s="279"/>
      <c r="F19" s="280">
        <f>SumByColor($A$19,F2:F17)</f>
        <v>8988</v>
      </c>
      <c r="G19" s="279"/>
      <c r="H19" s="279">
        <f>SumByColor($A$19,H2:H17)</f>
        <v>100</v>
      </c>
      <c r="I19" s="279"/>
      <c r="J19" s="279"/>
      <c r="K19" s="280">
        <f>SumByColor($A$19,K2:K17)</f>
        <v>9083</v>
      </c>
      <c r="L19" s="279"/>
      <c r="M19" s="280">
        <f>SumByColor($A$19,M2:M17)</f>
        <v>0</v>
      </c>
      <c r="O19" s="81">
        <v>1.08</v>
      </c>
      <c r="P19" s="81">
        <f t="shared" si="0"/>
        <v>97.610399999999998</v>
      </c>
    </row>
    <row r="20" spans="1:16" x14ac:dyDescent="0.25">
      <c r="O20" s="81">
        <v>1.07</v>
      </c>
      <c r="P20" s="81">
        <f t="shared" si="0"/>
        <v>96.706599999999995</v>
      </c>
    </row>
    <row r="21" spans="1:16" x14ac:dyDescent="0.25">
      <c r="O21" s="81">
        <v>1.06</v>
      </c>
      <c r="P21" s="81">
        <f t="shared" si="0"/>
        <v>95.802800000000005</v>
      </c>
    </row>
    <row r="22" spans="1:16" x14ac:dyDescent="0.25">
      <c r="O22" s="81">
        <v>1.05</v>
      </c>
      <c r="P22" s="81">
        <f t="shared" si="0"/>
        <v>94.899000000000001</v>
      </c>
    </row>
    <row r="23" spans="1:16" x14ac:dyDescent="0.25">
      <c r="O23" s="81">
        <v>1.04</v>
      </c>
      <c r="P23" s="81">
        <f t="shared" si="0"/>
        <v>93.995199999999997</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93.091399999999993</v>
      </c>
    </row>
    <row r="25" spans="1:16" x14ac:dyDescent="0.25">
      <c r="B25" s="164">
        <v>43433</v>
      </c>
      <c r="C25" s="10">
        <v>100</v>
      </c>
      <c r="D25" s="39">
        <v>89.88</v>
      </c>
      <c r="E25" s="39">
        <v>89.77</v>
      </c>
      <c r="F25" s="39">
        <f>C25*(E25-D25)</f>
        <v>-10.999999999999943</v>
      </c>
      <c r="G25" s="39">
        <f>D25*C25</f>
        <v>8988</v>
      </c>
      <c r="H25" s="179">
        <f>(E25-D25)/D25</f>
        <v>-1.2238540275923391E-3</v>
      </c>
      <c r="I25" s="39"/>
      <c r="J25" s="39"/>
      <c r="K25" s="39"/>
      <c r="L25" s="39"/>
      <c r="O25" s="81">
        <v>1.02</v>
      </c>
      <c r="P25" s="81">
        <f t="shared" si="0"/>
        <v>92.187600000000003</v>
      </c>
    </row>
    <row r="26" spans="1:16" x14ac:dyDescent="0.25">
      <c r="B26" s="164">
        <v>43442</v>
      </c>
      <c r="C26" s="10">
        <v>100</v>
      </c>
      <c r="D26" s="39">
        <v>89.88</v>
      </c>
      <c r="E26" s="39">
        <v>86.02</v>
      </c>
      <c r="F26" s="39">
        <f>C26*(E26-D26)</f>
        <v>-385.99999999999994</v>
      </c>
      <c r="G26" s="39">
        <f>D26*C26</f>
        <v>8988</v>
      </c>
      <c r="H26" s="179">
        <f>(E26-D26)/D26</f>
        <v>-4.2946150422785934E-2</v>
      </c>
      <c r="I26" s="39"/>
      <c r="J26" s="39"/>
      <c r="K26" s="39"/>
      <c r="L26" s="39"/>
      <c r="O26" s="81">
        <v>1.01</v>
      </c>
      <c r="P26" s="81">
        <f t="shared" si="0"/>
        <v>91.283799999999999</v>
      </c>
    </row>
    <row r="27" spans="1:16" x14ac:dyDescent="0.25">
      <c r="B27" s="164">
        <v>36526</v>
      </c>
      <c r="C27" s="10">
        <v>100</v>
      </c>
      <c r="D27" s="39">
        <v>89.33</v>
      </c>
      <c r="E27" s="39">
        <v>86.48</v>
      </c>
      <c r="F27" s="39">
        <f>C27*(E27-D27)</f>
        <v>-284.99999999999943</v>
      </c>
      <c r="G27" s="39">
        <f>D27*C27</f>
        <v>8933</v>
      </c>
      <c r="H27" s="179">
        <f>(E27-D27)/D27</f>
        <v>-3.1904175528937581E-2</v>
      </c>
      <c r="I27" s="39"/>
      <c r="J27" s="39"/>
      <c r="K27" s="39"/>
      <c r="L27" s="39"/>
      <c r="O27" s="81">
        <v>1</v>
      </c>
      <c r="P27" s="81">
        <f t="shared" si="0"/>
        <v>90.38</v>
      </c>
    </row>
    <row r="28" spans="1:16" x14ac:dyDescent="0.25">
      <c r="B28" s="164">
        <v>43483</v>
      </c>
      <c r="C28" s="10">
        <v>50</v>
      </c>
      <c r="D28" s="39">
        <v>88.581199999999995</v>
      </c>
      <c r="E28" s="39">
        <v>90.08</v>
      </c>
      <c r="F28" s="39">
        <f>C28*(E28-D28)</f>
        <v>74.94000000000014</v>
      </c>
      <c r="G28" s="39">
        <f>D28*C28</f>
        <v>4429.0599999999995</v>
      </c>
      <c r="H28" s="179">
        <f>(E28-D28)/D28</f>
        <v>1.6920068818214281E-2</v>
      </c>
      <c r="I28" s="39"/>
      <c r="J28" s="39"/>
      <c r="K28" s="39"/>
      <c r="L28" s="39"/>
      <c r="O28" s="81">
        <v>0.99</v>
      </c>
      <c r="P28" s="81">
        <f t="shared" si="0"/>
        <v>89.476199999999992</v>
      </c>
    </row>
    <row r="29" spans="1:16" x14ac:dyDescent="0.25">
      <c r="B29" s="164">
        <v>43516</v>
      </c>
      <c r="C29" s="10">
        <v>0</v>
      </c>
      <c r="D29" s="39">
        <v>88.58</v>
      </c>
      <c r="E29" s="39">
        <v>90.38</v>
      </c>
      <c r="F29" s="39">
        <v>149.88</v>
      </c>
      <c r="G29" s="39">
        <f>D29*C29</f>
        <v>0</v>
      </c>
      <c r="H29" s="179">
        <f>(E29-D29)/D29</f>
        <v>2.0320614134116021E-2</v>
      </c>
      <c r="I29" s="39"/>
      <c r="J29" s="39"/>
      <c r="K29" s="39"/>
      <c r="L29" s="39"/>
      <c r="O29" s="81">
        <v>0.98</v>
      </c>
      <c r="P29" s="81">
        <f t="shared" si="0"/>
        <v>88.572399999999988</v>
      </c>
    </row>
    <row r="30" spans="1:16" x14ac:dyDescent="0.25">
      <c r="B30" s="164"/>
      <c r="C30" s="10"/>
      <c r="D30" s="39"/>
      <c r="E30" s="39"/>
      <c r="F30" s="39"/>
      <c r="G30" s="39"/>
      <c r="H30" s="179"/>
      <c r="I30" s="39"/>
      <c r="J30" s="39"/>
      <c r="K30" s="39"/>
      <c r="L30" s="39"/>
      <c r="O30" s="81">
        <v>0.97</v>
      </c>
      <c r="P30" s="81">
        <f t="shared" si="0"/>
        <v>87.668599999999998</v>
      </c>
    </row>
    <row r="31" spans="1:16" x14ac:dyDescent="0.25">
      <c r="B31" s="164"/>
      <c r="C31" s="10"/>
      <c r="D31" s="39"/>
      <c r="E31" s="39"/>
      <c r="F31" s="39"/>
      <c r="G31" s="39"/>
      <c r="H31" s="179"/>
      <c r="I31" s="39"/>
      <c r="J31" s="39"/>
      <c r="K31" s="39"/>
      <c r="L31" s="39"/>
      <c r="O31" s="81">
        <v>0.96</v>
      </c>
      <c r="P31" s="81">
        <f t="shared" si="0"/>
        <v>86.764799999999994</v>
      </c>
    </row>
    <row r="32" spans="1:16" x14ac:dyDescent="0.25">
      <c r="B32" s="164"/>
      <c r="C32" s="10"/>
      <c r="D32" s="39"/>
      <c r="E32" s="39"/>
      <c r="F32" s="39"/>
      <c r="G32" s="39"/>
      <c r="H32" s="179"/>
      <c r="I32" s="39"/>
      <c r="J32" s="39"/>
      <c r="K32" s="39"/>
      <c r="L32" s="39"/>
      <c r="O32" s="81">
        <v>0.95</v>
      </c>
      <c r="P32" s="81">
        <f t="shared" si="0"/>
        <v>85.86099999999999</v>
      </c>
    </row>
    <row r="33" spans="2:17" x14ac:dyDescent="0.25">
      <c r="B33" s="164"/>
      <c r="C33" s="10"/>
      <c r="D33" s="39"/>
      <c r="E33" s="39"/>
      <c r="F33" s="39"/>
      <c r="G33" s="39"/>
      <c r="H33" s="179"/>
      <c r="I33" s="39"/>
      <c r="J33" s="39"/>
      <c r="K33" s="39"/>
      <c r="L33" s="39"/>
      <c r="O33" s="81">
        <v>0.94</v>
      </c>
      <c r="P33" s="81">
        <f t="shared" si="0"/>
        <v>84.957199999999986</v>
      </c>
    </row>
    <row r="34" spans="2:17" x14ac:dyDescent="0.25">
      <c r="B34" s="164"/>
      <c r="C34" s="10"/>
      <c r="D34" s="39"/>
      <c r="E34" s="39"/>
      <c r="F34" s="39"/>
      <c r="G34" s="39"/>
      <c r="H34" s="179"/>
      <c r="I34" s="39"/>
      <c r="J34" s="39"/>
      <c r="K34" s="39"/>
      <c r="L34" s="39"/>
      <c r="O34" s="81">
        <v>0.93</v>
      </c>
      <c r="P34" s="81">
        <f t="shared" si="0"/>
        <v>84.053399999999996</v>
      </c>
    </row>
    <row r="35" spans="2:17" x14ac:dyDescent="0.25">
      <c r="B35" s="164"/>
      <c r="C35" s="10"/>
      <c r="D35" s="39"/>
      <c r="E35" s="39"/>
      <c r="F35" s="39"/>
      <c r="G35" s="39"/>
      <c r="H35" s="179"/>
      <c r="I35" s="39"/>
      <c r="J35" s="39"/>
      <c r="K35" s="39"/>
      <c r="L35" s="39"/>
      <c r="O35" s="81">
        <v>0.92</v>
      </c>
      <c r="P35" s="81">
        <f t="shared" si="0"/>
        <v>83.149599999999992</v>
      </c>
    </row>
    <row r="36" spans="2:17" x14ac:dyDescent="0.25">
      <c r="B36" s="164"/>
      <c r="C36" s="10"/>
      <c r="D36" s="39"/>
      <c r="E36" s="39"/>
      <c r="F36" s="39"/>
      <c r="G36" s="39"/>
      <c r="H36" s="179"/>
      <c r="I36" s="39"/>
      <c r="J36" s="39"/>
      <c r="K36" s="39"/>
      <c r="L36" s="39"/>
      <c r="O36" s="81">
        <v>0.91</v>
      </c>
      <c r="P36" s="81">
        <f t="shared" si="0"/>
        <v>82.245800000000003</v>
      </c>
    </row>
    <row r="37" spans="2:17" x14ac:dyDescent="0.25">
      <c r="B37" s="164"/>
      <c r="C37" s="10"/>
      <c r="D37" s="39"/>
      <c r="E37" s="39"/>
      <c r="F37" s="39"/>
      <c r="G37" s="39"/>
      <c r="H37" s="179"/>
      <c r="I37" s="39"/>
      <c r="J37" s="39"/>
      <c r="K37" s="39"/>
      <c r="L37" s="39"/>
      <c r="O37" s="81">
        <v>0.9</v>
      </c>
      <c r="P37" s="81">
        <f t="shared" si="0"/>
        <v>81.341999999999999</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374" priority="35">
      <formula>F47&gt;0</formula>
    </cfRule>
    <cfRule type="expression" dxfId="3373" priority="36">
      <formula>F47&lt;0</formula>
    </cfRule>
  </conditionalFormatting>
  <conditionalFormatting sqref="Q7">
    <cfRule type="expression" dxfId="3372" priority="33">
      <formula>Q7&gt;0</formula>
    </cfRule>
    <cfRule type="expression" dxfId="3371" priority="34">
      <formula>Q7&lt;0</formula>
    </cfRule>
  </conditionalFormatting>
  <conditionalFormatting sqref="Q8">
    <cfRule type="expression" dxfId="3370" priority="31">
      <formula>Q8&gt;0</formula>
    </cfRule>
    <cfRule type="expression" dxfId="3369" priority="32">
      <formula>Q8&lt;0</formula>
    </cfRule>
  </conditionalFormatting>
  <conditionalFormatting sqref="F30:F46">
    <cfRule type="expression" dxfId="3368" priority="29">
      <formula>F30&gt;0</formula>
    </cfRule>
    <cfRule type="expression" dxfId="3367" priority="30">
      <formula>F30&lt;0</formula>
    </cfRule>
  </conditionalFormatting>
  <conditionalFormatting sqref="H30:H46">
    <cfRule type="expression" dxfId="3366" priority="27">
      <formula>H30&gt;0</formula>
    </cfRule>
    <cfRule type="expression" dxfId="3365" priority="28">
      <formula>H30&lt;0</formula>
    </cfRule>
  </conditionalFormatting>
  <conditionalFormatting sqref="Q10">
    <cfRule type="expression" dxfId="3364" priority="25">
      <formula>Q10&gt;0</formula>
    </cfRule>
    <cfRule type="expression" dxfId="3363" priority="26">
      <formula>Q10&lt;0</formula>
    </cfRule>
  </conditionalFormatting>
  <conditionalFormatting sqref="J25:J38">
    <cfRule type="expression" dxfId="3362" priority="23">
      <formula>J25&gt;0</formula>
    </cfRule>
    <cfRule type="expression" dxfId="3361" priority="24">
      <formula>J25&lt;0</formula>
    </cfRule>
  </conditionalFormatting>
  <conditionalFormatting sqref="K25:K38">
    <cfRule type="expression" dxfId="3360" priority="21">
      <formula>K25&gt;0</formula>
    </cfRule>
    <cfRule type="expression" dxfId="3359" priority="22">
      <formula>K25&lt;0</formula>
    </cfRule>
  </conditionalFormatting>
  <conditionalFormatting sqref="L25 L38">
    <cfRule type="expression" dxfId="3358" priority="19">
      <formula>L25&gt;0</formula>
    </cfRule>
    <cfRule type="expression" dxfId="3357" priority="20">
      <formula>L25&lt;0</formula>
    </cfRule>
  </conditionalFormatting>
  <conditionalFormatting sqref="F89:F110">
    <cfRule type="expression" dxfId="3356" priority="17">
      <formula>F89&gt;0</formula>
    </cfRule>
    <cfRule type="expression" dxfId="3355" priority="18">
      <formula>F89&lt;0</formula>
    </cfRule>
  </conditionalFormatting>
  <conditionalFormatting sqref="H89:H110">
    <cfRule type="expression" dxfId="3354" priority="15">
      <formula>H89&gt;0</formula>
    </cfRule>
    <cfRule type="expression" dxfId="3353" priority="16">
      <formula>H89&lt;0</formula>
    </cfRule>
  </conditionalFormatting>
  <conditionalFormatting sqref="J89:J102">
    <cfRule type="expression" dxfId="3352" priority="13">
      <formula>J89&gt;0</formula>
    </cfRule>
    <cfRule type="expression" dxfId="3351" priority="14">
      <formula>J89&lt;0</formula>
    </cfRule>
  </conditionalFormatting>
  <conditionalFormatting sqref="K89:K102">
    <cfRule type="expression" dxfId="3350" priority="11">
      <formula>K89&gt;0</formula>
    </cfRule>
    <cfRule type="expression" dxfId="3349" priority="12">
      <formula>K89&lt;0</formula>
    </cfRule>
  </conditionalFormatting>
  <conditionalFormatting sqref="L89:L102">
    <cfRule type="expression" dxfId="3348" priority="9">
      <formula>L89&gt;0</formula>
    </cfRule>
    <cfRule type="expression" dxfId="3347" priority="10">
      <formula>L89&lt;0</formula>
    </cfRule>
  </conditionalFormatting>
  <conditionalFormatting sqref="F25:F29">
    <cfRule type="expression" dxfId="3346" priority="7">
      <formula>F25&gt;0</formula>
    </cfRule>
    <cfRule type="expression" dxfId="3345" priority="8">
      <formula>F25&lt;0</formula>
    </cfRule>
  </conditionalFormatting>
  <conditionalFormatting sqref="H25:H29">
    <cfRule type="expression" dxfId="3344" priority="5">
      <formula>H25&gt;0</formula>
    </cfRule>
    <cfRule type="expression" dxfId="3343" priority="6">
      <formula>H25&lt;0</formula>
    </cfRule>
  </conditionalFormatting>
  <hyperlinks>
    <hyperlink ref="A3" location="ACTIVE!A1" display="Back"/>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1274</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1274</v>
      </c>
      <c r="B2" s="72">
        <v>43377</v>
      </c>
      <c r="C2" s="4">
        <v>100</v>
      </c>
      <c r="D2" s="3">
        <v>63.5</v>
      </c>
      <c r="E2" s="3">
        <v>0</v>
      </c>
      <c r="F2" s="3">
        <f>C2*D2+E2</f>
        <v>6350</v>
      </c>
      <c r="G2" s="72"/>
      <c r="H2" s="4"/>
      <c r="I2" s="3"/>
      <c r="J2" s="3"/>
      <c r="K2" s="3"/>
      <c r="L2" s="72">
        <v>43448</v>
      </c>
      <c r="M2" s="43">
        <v>38</v>
      </c>
      <c r="O2" s="11" t="s">
        <v>57</v>
      </c>
      <c r="Q2">
        <f>C18-H18</f>
        <v>200</v>
      </c>
      <c r="T2" s="1"/>
      <c r="U2" t="s">
        <v>1363</v>
      </c>
    </row>
    <row r="3" spans="1:21" x14ac:dyDescent="0.25">
      <c r="A3" s="22" t="s">
        <v>71</v>
      </c>
      <c r="B3" s="72">
        <v>43440</v>
      </c>
      <c r="C3" s="4">
        <v>100</v>
      </c>
      <c r="D3" s="3">
        <v>53.8</v>
      </c>
      <c r="E3" s="3">
        <v>0</v>
      </c>
      <c r="F3" s="3">
        <f>C3*D3+E3</f>
        <v>5380</v>
      </c>
      <c r="G3" s="72"/>
      <c r="H3" s="161"/>
      <c r="I3" s="3"/>
      <c r="J3" s="3"/>
      <c r="K3" s="3"/>
      <c r="L3" s="72">
        <v>43539</v>
      </c>
      <c r="M3" s="43">
        <v>76</v>
      </c>
      <c r="O3" s="11" t="s">
        <v>58</v>
      </c>
      <c r="Q3" s="178">
        <f>IF(Q2=0, Q4, (F18-K18-M18)/Q2)</f>
        <v>39.2271</v>
      </c>
      <c r="T3" s="1"/>
    </row>
    <row r="4" spans="1:21" x14ac:dyDescent="0.25">
      <c r="B4" s="72"/>
      <c r="C4" s="4"/>
      <c r="D4" s="3"/>
      <c r="E4" s="3"/>
      <c r="F4" s="3"/>
      <c r="G4" s="72"/>
      <c r="H4" s="161"/>
      <c r="I4" s="3"/>
      <c r="J4" s="3"/>
      <c r="K4" s="3"/>
      <c r="L4" s="72">
        <v>43558</v>
      </c>
      <c r="M4" s="7">
        <v>3770.58</v>
      </c>
      <c r="O4" s="11" t="s">
        <v>66</v>
      </c>
      <c r="Q4" s="54">
        <v>37.9</v>
      </c>
      <c r="R4" s="425">
        <v>3.2000000000000002E-3</v>
      </c>
      <c r="T4" s="1"/>
    </row>
    <row r="5" spans="1:21" x14ac:dyDescent="0.25">
      <c r="B5" s="72"/>
      <c r="C5" s="4"/>
      <c r="D5" s="3"/>
      <c r="E5" s="3"/>
      <c r="F5" s="3"/>
      <c r="G5" s="72"/>
      <c r="H5" s="161"/>
      <c r="I5" s="3"/>
      <c r="J5" s="3"/>
      <c r="K5" s="3"/>
      <c r="L5" s="4"/>
      <c r="M5" s="4"/>
      <c r="O5" s="11" t="s">
        <v>67</v>
      </c>
      <c r="Q5" s="3">
        <f>Q4*Q2</f>
        <v>7580</v>
      </c>
      <c r="T5" s="693"/>
      <c r="U5" s="30"/>
    </row>
    <row r="6" spans="1:21" x14ac:dyDescent="0.25">
      <c r="B6" s="72"/>
      <c r="C6" s="4"/>
      <c r="D6" s="3"/>
      <c r="E6" s="3"/>
      <c r="F6" s="3"/>
      <c r="G6" s="72"/>
      <c r="H6" s="161"/>
      <c r="I6" s="3"/>
      <c r="J6" s="3"/>
      <c r="K6" s="3"/>
      <c r="L6" s="4"/>
      <c r="M6" s="4"/>
      <c r="O6" s="11" t="s">
        <v>64</v>
      </c>
      <c r="Q6" s="2">
        <f>Q3*Q2</f>
        <v>7845.42</v>
      </c>
      <c r="U6" s="405"/>
    </row>
    <row r="7" spans="1:21" x14ac:dyDescent="0.25">
      <c r="B7" s="72"/>
      <c r="C7" s="4"/>
      <c r="D7" s="3"/>
      <c r="E7" s="3"/>
      <c r="F7" s="3"/>
      <c r="G7" s="72"/>
      <c r="H7" s="161"/>
      <c r="I7" s="3"/>
      <c r="J7" s="3"/>
      <c r="K7" s="3"/>
      <c r="L7" s="4"/>
      <c r="M7" s="4"/>
      <c r="O7" s="11" t="s">
        <v>177</v>
      </c>
      <c r="Q7" s="2">
        <f>Q10+Q8</f>
        <v>-265.42000000000007</v>
      </c>
      <c r="R7">
        <v>200</v>
      </c>
    </row>
    <row r="8" spans="1:21" x14ac:dyDescent="0.25">
      <c r="B8" s="72"/>
      <c r="C8" s="4"/>
      <c r="D8" s="3"/>
      <c r="E8" s="3"/>
      <c r="F8" s="3"/>
      <c r="G8" s="72"/>
      <c r="H8" s="161"/>
      <c r="I8" s="3"/>
      <c r="J8" s="3"/>
      <c r="K8" s="3"/>
      <c r="L8" s="4"/>
      <c r="M8" s="4"/>
      <c r="O8" s="11" t="s">
        <v>179</v>
      </c>
      <c r="P8" s="33"/>
      <c r="Q8" s="2">
        <f>K18+M18-F18+Q2*Q4</f>
        <v>-265.42000000000007</v>
      </c>
      <c r="T8" s="1"/>
      <c r="U8" s="741"/>
    </row>
    <row r="9" spans="1:21" x14ac:dyDescent="0.25">
      <c r="B9" s="72"/>
      <c r="C9" s="4"/>
      <c r="D9" s="3"/>
      <c r="E9" s="3"/>
      <c r="F9" s="3"/>
      <c r="G9" s="4"/>
      <c r="H9" s="161"/>
      <c r="I9" s="3"/>
      <c r="J9" s="3"/>
      <c r="K9" s="3"/>
      <c r="L9" s="4"/>
      <c r="M9" s="4"/>
      <c r="O9" s="11" t="s">
        <v>204</v>
      </c>
      <c r="Q9" s="134">
        <f>IF(Q2=0, 0, Q8/Q6)</f>
        <v>-3.3831203428242217E-2</v>
      </c>
    </row>
    <row r="10" spans="1:21" x14ac:dyDescent="0.25">
      <c r="B10" s="72"/>
      <c r="C10" s="4"/>
      <c r="D10" s="3"/>
      <c r="E10" s="3"/>
      <c r="F10" s="3"/>
      <c r="G10" s="4"/>
      <c r="H10" s="161"/>
      <c r="I10" s="3"/>
      <c r="J10" s="3"/>
      <c r="K10" s="3"/>
      <c r="L10" s="4"/>
      <c r="M10" s="4"/>
      <c r="O10" s="11" t="s">
        <v>203</v>
      </c>
      <c r="P10" s="33"/>
      <c r="Q10" s="2">
        <f>M66</f>
        <v>0</v>
      </c>
      <c r="T10" s="156"/>
    </row>
    <row r="11" spans="1:21" x14ac:dyDescent="0.25">
      <c r="B11" s="72"/>
      <c r="C11" s="4"/>
      <c r="D11" s="3"/>
      <c r="E11" s="3"/>
      <c r="F11" s="3"/>
      <c r="G11" s="4"/>
      <c r="H11" s="161"/>
      <c r="I11" s="3"/>
      <c r="J11" s="3"/>
      <c r="K11" s="3"/>
      <c r="L11" s="4"/>
      <c r="M11" s="4"/>
      <c r="O11" s="11" t="s">
        <v>175</v>
      </c>
      <c r="P11" s="33"/>
      <c r="Q11" s="134">
        <f>R11*4/Q4</f>
        <v>4.2216358839050137E-2</v>
      </c>
      <c r="R11">
        <v>0.4</v>
      </c>
    </row>
    <row r="12" spans="1:21" x14ac:dyDescent="0.25">
      <c r="B12" s="4"/>
      <c r="C12" s="4"/>
      <c r="D12" s="3"/>
      <c r="E12" s="3"/>
      <c r="F12" s="3"/>
      <c r="G12" s="4"/>
      <c r="H12" s="161"/>
      <c r="I12" s="3"/>
      <c r="J12" s="3"/>
      <c r="K12" s="3"/>
      <c r="L12" s="4"/>
      <c r="M12" s="4"/>
      <c r="O12" s="11" t="s">
        <v>921</v>
      </c>
      <c r="Q12" s="1" t="s">
        <v>1369</v>
      </c>
      <c r="T12" s="1"/>
    </row>
    <row r="13" spans="1:21" x14ac:dyDescent="0.25">
      <c r="B13" s="4"/>
      <c r="C13" s="4"/>
      <c r="D13" s="3"/>
      <c r="E13" s="3"/>
      <c r="F13" s="3"/>
      <c r="G13" s="4"/>
      <c r="H13" s="161"/>
      <c r="I13" s="3"/>
      <c r="J13" s="3"/>
      <c r="K13" s="3"/>
      <c r="L13" s="4"/>
      <c r="M13" s="4"/>
      <c r="O13" s="11" t="s">
        <v>947</v>
      </c>
      <c r="Q13" s="2">
        <f>Q4/4.16</f>
        <v>9.1105769230769216</v>
      </c>
    </row>
    <row r="14" spans="1:21" x14ac:dyDescent="0.25">
      <c r="H14" s="70"/>
      <c r="O14" s="11" t="s">
        <v>1034</v>
      </c>
      <c r="Q14" s="1">
        <v>43436</v>
      </c>
      <c r="T14" s="1"/>
    </row>
    <row r="15" spans="1:21" x14ac:dyDescent="0.25">
      <c r="H15" s="70"/>
    </row>
    <row r="16" spans="1:21" x14ac:dyDescent="0.25">
      <c r="H16" s="70"/>
      <c r="T16" s="1"/>
    </row>
    <row r="18" spans="1:20" ht="20.25" thickBot="1" x14ac:dyDescent="0.35">
      <c r="A18" s="31" t="s">
        <v>81</v>
      </c>
      <c r="B18" s="14"/>
      <c r="C18" s="14">
        <f>SUM(C2:C12)</f>
        <v>200</v>
      </c>
      <c r="D18" s="18"/>
      <c r="E18" s="18"/>
      <c r="F18" s="18">
        <f>SUM(F2:F12)</f>
        <v>11730</v>
      </c>
      <c r="G18" s="14"/>
      <c r="H18" s="71">
        <f>SUM(H2:H8)</f>
        <v>0</v>
      </c>
      <c r="I18" s="18"/>
      <c r="J18" s="18"/>
      <c r="K18" s="18">
        <f>SUM(K2:K8)</f>
        <v>0</v>
      </c>
      <c r="L18" s="14"/>
      <c r="M18" s="18">
        <f>SUM(M2:M10)</f>
        <v>3884.58</v>
      </c>
      <c r="O18" s="784" t="s">
        <v>78</v>
      </c>
      <c r="P18" s="784"/>
      <c r="T18" s="1"/>
    </row>
    <row r="19" spans="1:20" ht="16.5" thickTop="1"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114</v>
      </c>
      <c r="O19" s="81">
        <v>1.1000000000000001</v>
      </c>
      <c r="P19" s="81">
        <f>O19*$Q$4</f>
        <v>41.690000000000005</v>
      </c>
    </row>
    <row r="20" spans="1:20" x14ac:dyDescent="0.25">
      <c r="O20" s="81">
        <v>1.0900000000000001</v>
      </c>
      <c r="P20" s="81">
        <f t="shared" ref="P20:P39" si="0">O20*$Q$4</f>
        <v>41.311</v>
      </c>
    </row>
    <row r="21" spans="1:20" x14ac:dyDescent="0.25">
      <c r="O21" s="81">
        <v>1.08</v>
      </c>
      <c r="P21" s="81">
        <f t="shared" si="0"/>
        <v>40.932000000000002</v>
      </c>
      <c r="T21" s="1"/>
    </row>
    <row r="22" spans="1:20" x14ac:dyDescent="0.25">
      <c r="O22" s="81">
        <v>1.07</v>
      </c>
      <c r="P22" s="81">
        <f t="shared" si="0"/>
        <v>40.553000000000004</v>
      </c>
    </row>
    <row r="23" spans="1:20" x14ac:dyDescent="0.25">
      <c r="O23" s="81">
        <v>1.06</v>
      </c>
      <c r="P23" s="81">
        <f t="shared" si="0"/>
        <v>40.173999999999999</v>
      </c>
    </row>
    <row r="24" spans="1:20" x14ac:dyDescent="0.25">
      <c r="B24" s="162" t="s">
        <v>113</v>
      </c>
      <c r="C24" s="162" t="s">
        <v>145</v>
      </c>
      <c r="D24" s="163" t="s">
        <v>144</v>
      </c>
      <c r="E24" s="165" t="s">
        <v>146</v>
      </c>
      <c r="F24" s="165" t="s">
        <v>65</v>
      </c>
      <c r="G24" s="177" t="s">
        <v>150</v>
      </c>
      <c r="H24" s="177" t="s">
        <v>88</v>
      </c>
      <c r="I24" s="177" t="s">
        <v>153</v>
      </c>
      <c r="J24" s="177" t="s">
        <v>149</v>
      </c>
      <c r="K24" s="177" t="s">
        <v>487</v>
      </c>
      <c r="L24" s="177" t="s">
        <v>947</v>
      </c>
      <c r="O24" s="81">
        <v>1.05</v>
      </c>
      <c r="P24" s="81">
        <f t="shared" si="0"/>
        <v>39.795000000000002</v>
      </c>
    </row>
    <row r="25" spans="1:20" x14ac:dyDescent="0.25">
      <c r="B25" s="164">
        <v>43377</v>
      </c>
      <c r="C25" s="10">
        <v>100</v>
      </c>
      <c r="D25" s="39">
        <v>63.5</v>
      </c>
      <c r="E25" s="39">
        <v>63.5</v>
      </c>
      <c r="F25" s="39">
        <f t="shared" ref="F25:F34" si="1">C25*(E25-D25)</f>
        <v>0</v>
      </c>
      <c r="G25" s="39">
        <f t="shared" ref="G25:G34" si="2">D25*C25</f>
        <v>6350</v>
      </c>
      <c r="H25" s="179">
        <f t="shared" ref="H25:H34" si="3">(E25-D25)/D25</f>
        <v>0</v>
      </c>
      <c r="I25" s="39"/>
      <c r="J25" s="39"/>
      <c r="K25" s="39"/>
      <c r="L25" s="39">
        <v>15.26</v>
      </c>
      <c r="O25" s="81">
        <v>1.04</v>
      </c>
      <c r="P25" s="81">
        <f t="shared" si="0"/>
        <v>39.415999999999997</v>
      </c>
    </row>
    <row r="26" spans="1:20" x14ac:dyDescent="0.25">
      <c r="B26" s="164">
        <v>43383</v>
      </c>
      <c r="C26" s="10">
        <v>100</v>
      </c>
      <c r="D26" s="39">
        <v>63.5</v>
      </c>
      <c r="E26" s="39">
        <v>59.32</v>
      </c>
      <c r="F26" s="39">
        <f t="shared" si="1"/>
        <v>-418</v>
      </c>
      <c r="G26" s="39">
        <f t="shared" si="2"/>
        <v>6350</v>
      </c>
      <c r="H26" s="179">
        <f t="shared" si="3"/>
        <v>-6.5826771653543309E-2</v>
      </c>
      <c r="I26" s="39"/>
      <c r="J26" s="39"/>
      <c r="K26" s="39"/>
      <c r="L26" s="39">
        <v>14.26</v>
      </c>
      <c r="O26" s="81">
        <v>1.03</v>
      </c>
      <c r="P26" s="81">
        <f t="shared" si="0"/>
        <v>39.036999999999999</v>
      </c>
      <c r="T26" s="156"/>
    </row>
    <row r="27" spans="1:20" x14ac:dyDescent="0.25">
      <c r="B27" s="164">
        <v>43394</v>
      </c>
      <c r="C27" s="10">
        <v>100</v>
      </c>
      <c r="D27" s="39">
        <v>63.5</v>
      </c>
      <c r="E27" s="39">
        <v>57.49</v>
      </c>
      <c r="F27" s="39">
        <f t="shared" si="1"/>
        <v>-600.99999999999977</v>
      </c>
      <c r="G27" s="39">
        <f t="shared" si="2"/>
        <v>6350</v>
      </c>
      <c r="H27" s="179">
        <f t="shared" si="3"/>
        <v>-9.4645669291338552E-2</v>
      </c>
      <c r="I27" s="39"/>
      <c r="J27" s="39"/>
      <c r="K27" s="39"/>
      <c r="L27" s="39"/>
      <c r="O27" s="81">
        <v>1.02</v>
      </c>
      <c r="P27" s="81">
        <f t="shared" si="0"/>
        <v>38.658000000000001</v>
      </c>
      <c r="T27" s="67"/>
    </row>
    <row r="28" spans="1:20" x14ac:dyDescent="0.25">
      <c r="B28" s="164">
        <v>43436</v>
      </c>
      <c r="C28" s="10">
        <v>100</v>
      </c>
      <c r="D28" s="39">
        <v>63.5</v>
      </c>
      <c r="E28" s="39">
        <v>57.85</v>
      </c>
      <c r="F28" s="39">
        <f t="shared" si="1"/>
        <v>-564.99999999999989</v>
      </c>
      <c r="G28" s="39">
        <f t="shared" si="2"/>
        <v>6350</v>
      </c>
      <c r="H28" s="179">
        <f t="shared" si="3"/>
        <v>-8.8976377952755883E-2</v>
      </c>
      <c r="I28" s="39"/>
      <c r="J28" s="39"/>
      <c r="K28" s="39"/>
      <c r="L28" s="39">
        <v>13.91</v>
      </c>
      <c r="O28" s="81">
        <v>1.01</v>
      </c>
      <c r="P28" s="81">
        <f t="shared" si="0"/>
        <v>38.278999999999996</v>
      </c>
      <c r="T28" s="156"/>
    </row>
    <row r="29" spans="1:20" x14ac:dyDescent="0.25">
      <c r="B29" s="164">
        <v>43440</v>
      </c>
      <c r="C29" s="7">
        <v>200</v>
      </c>
      <c r="D29" s="43">
        <v>58.65</v>
      </c>
      <c r="E29" s="39">
        <v>55.92</v>
      </c>
      <c r="F29" s="39">
        <f t="shared" si="1"/>
        <v>-545.99999999999932</v>
      </c>
      <c r="G29" s="39">
        <f t="shared" si="2"/>
        <v>11730</v>
      </c>
      <c r="H29" s="179">
        <f t="shared" si="3"/>
        <v>-4.654731457800506E-2</v>
      </c>
      <c r="I29" s="39"/>
      <c r="J29" s="39"/>
      <c r="K29" s="39"/>
      <c r="L29" s="39">
        <v>13.44</v>
      </c>
      <c r="O29" s="81">
        <v>1</v>
      </c>
      <c r="P29" s="81">
        <f t="shared" si="0"/>
        <v>37.9</v>
      </c>
      <c r="T29" s="156"/>
    </row>
    <row r="30" spans="1:20" x14ac:dyDescent="0.25">
      <c r="A30">
        <v>100</v>
      </c>
      <c r="B30" s="164">
        <v>43442</v>
      </c>
      <c r="C30" s="10">
        <v>200</v>
      </c>
      <c r="D30" s="39">
        <v>58.65</v>
      </c>
      <c r="E30" s="39">
        <v>53.75</v>
      </c>
      <c r="F30" s="39">
        <f t="shared" si="1"/>
        <v>-979.99999999999977</v>
      </c>
      <c r="G30" s="39">
        <f t="shared" si="2"/>
        <v>11730</v>
      </c>
      <c r="H30" s="179">
        <f t="shared" si="3"/>
        <v>-8.354646206308608E-2</v>
      </c>
      <c r="I30" s="39"/>
      <c r="J30" s="39"/>
      <c r="K30" s="39"/>
      <c r="L30" s="39">
        <v>12.92</v>
      </c>
      <c r="O30" s="81">
        <v>0.99</v>
      </c>
      <c r="P30" s="81">
        <f t="shared" si="0"/>
        <v>37.521000000000001</v>
      </c>
      <c r="T30" s="156"/>
    </row>
    <row r="31" spans="1:20" x14ac:dyDescent="0.25">
      <c r="A31">
        <v>100</v>
      </c>
      <c r="B31" s="164">
        <v>43448</v>
      </c>
      <c r="C31" s="10">
        <v>200</v>
      </c>
      <c r="D31" s="39">
        <v>58.46</v>
      </c>
      <c r="E31" s="39">
        <v>52.78</v>
      </c>
      <c r="F31" s="39">
        <f t="shared" si="1"/>
        <v>-1136</v>
      </c>
      <c r="G31" s="39">
        <f t="shared" si="2"/>
        <v>11692</v>
      </c>
      <c r="H31" s="179">
        <f t="shared" si="3"/>
        <v>-9.7160451590831337E-2</v>
      </c>
      <c r="I31" s="39"/>
      <c r="J31" s="39"/>
      <c r="K31" s="39"/>
      <c r="L31" s="39">
        <v>12.69</v>
      </c>
      <c r="O31" s="81">
        <v>0.98</v>
      </c>
      <c r="P31" s="81">
        <f t="shared" si="0"/>
        <v>37.141999999999996</v>
      </c>
    </row>
    <row r="32" spans="1:20" x14ac:dyDescent="0.25">
      <c r="A32">
        <v>200</v>
      </c>
      <c r="B32" s="164">
        <v>43486</v>
      </c>
      <c r="C32" s="10">
        <v>200</v>
      </c>
      <c r="D32" s="39">
        <v>58.46</v>
      </c>
      <c r="E32" s="39">
        <v>58.06</v>
      </c>
      <c r="F32" s="39">
        <f t="shared" si="1"/>
        <v>-79.999999999999716</v>
      </c>
      <c r="G32" s="39">
        <f t="shared" si="2"/>
        <v>11692</v>
      </c>
      <c r="H32" s="179">
        <f t="shared" si="3"/>
        <v>-6.842285323297957E-3</v>
      </c>
      <c r="I32" s="39"/>
      <c r="J32" s="39"/>
      <c r="K32" s="39"/>
      <c r="L32" s="39">
        <v>13.96</v>
      </c>
      <c r="O32" s="81">
        <v>0.97</v>
      </c>
      <c r="P32" s="81">
        <f t="shared" si="0"/>
        <v>36.762999999999998</v>
      </c>
    </row>
    <row r="33" spans="1:17" x14ac:dyDescent="0.25">
      <c r="A33">
        <v>200</v>
      </c>
      <c r="B33" s="164">
        <v>43535</v>
      </c>
      <c r="C33" s="10">
        <v>200</v>
      </c>
      <c r="D33" s="39">
        <v>58.46</v>
      </c>
      <c r="E33" s="39">
        <v>55.58</v>
      </c>
      <c r="F33" s="39">
        <f t="shared" si="1"/>
        <v>-576.00000000000045</v>
      </c>
      <c r="G33" s="39">
        <f t="shared" si="2"/>
        <v>11692</v>
      </c>
      <c r="H33" s="179">
        <f t="shared" si="3"/>
        <v>-4.926445432774551E-2</v>
      </c>
      <c r="I33" s="39"/>
      <c r="J33" s="39"/>
      <c r="K33" s="39"/>
      <c r="L33" s="39">
        <v>13.36</v>
      </c>
      <c r="O33" s="81">
        <v>0.96</v>
      </c>
      <c r="P33" s="81">
        <f t="shared" si="0"/>
        <v>36.384</v>
      </c>
    </row>
    <row r="34" spans="1:17" x14ac:dyDescent="0.25">
      <c r="A34">
        <v>200</v>
      </c>
      <c r="B34" s="164">
        <v>43539</v>
      </c>
      <c r="C34" s="7">
        <v>200</v>
      </c>
      <c r="D34" s="43">
        <v>58.08</v>
      </c>
      <c r="E34" s="39">
        <v>55.69</v>
      </c>
      <c r="F34" s="39">
        <f t="shared" si="1"/>
        <v>-478.00000000000011</v>
      </c>
      <c r="G34" s="39">
        <f t="shared" si="2"/>
        <v>11616</v>
      </c>
      <c r="H34" s="179">
        <f t="shared" si="3"/>
        <v>-4.1150137741046845E-2</v>
      </c>
      <c r="I34" s="39"/>
      <c r="J34" s="39"/>
      <c r="K34" s="39"/>
      <c r="L34" s="39">
        <v>13.23</v>
      </c>
      <c r="O34" s="81">
        <v>0.95</v>
      </c>
      <c r="P34" s="81">
        <f t="shared" si="0"/>
        <v>36.004999999999995</v>
      </c>
    </row>
    <row r="35" spans="1:17" x14ac:dyDescent="0.25">
      <c r="B35" s="164"/>
      <c r="C35" s="10"/>
      <c r="D35" s="39"/>
      <c r="E35" s="39"/>
      <c r="F35" s="39"/>
      <c r="G35" s="39"/>
      <c r="H35" s="179"/>
      <c r="I35" s="39"/>
      <c r="J35" s="39"/>
      <c r="K35" s="39"/>
      <c r="L35" s="39"/>
      <c r="O35" s="81">
        <v>0.94</v>
      </c>
      <c r="P35" s="81">
        <f t="shared" si="0"/>
        <v>35.625999999999998</v>
      </c>
    </row>
    <row r="36" spans="1:17" x14ac:dyDescent="0.25">
      <c r="B36" s="164"/>
      <c r="C36" s="10"/>
      <c r="D36" s="39"/>
      <c r="E36" s="39"/>
      <c r="F36" s="39"/>
      <c r="G36" s="39"/>
      <c r="H36" s="179"/>
      <c r="I36" s="39"/>
      <c r="J36" s="39"/>
      <c r="K36" s="39"/>
      <c r="L36" s="39"/>
      <c r="O36" s="81">
        <v>0.93</v>
      </c>
      <c r="P36" s="81">
        <f t="shared" si="0"/>
        <v>35.247</v>
      </c>
    </row>
    <row r="37" spans="1:17" x14ac:dyDescent="0.25">
      <c r="B37" s="164"/>
      <c r="C37" s="10"/>
      <c r="D37" s="39"/>
      <c r="E37" s="39"/>
      <c r="F37" s="39"/>
      <c r="G37" s="39"/>
      <c r="H37" s="179"/>
      <c r="I37" s="39"/>
      <c r="J37" s="39"/>
      <c r="K37" s="39"/>
      <c r="L37" s="39"/>
      <c r="O37" s="81">
        <v>0.92</v>
      </c>
      <c r="P37" s="81">
        <f t="shared" si="0"/>
        <v>34.868000000000002</v>
      </c>
    </row>
    <row r="38" spans="1:17" x14ac:dyDescent="0.25">
      <c r="B38" s="164"/>
      <c r="C38" s="10"/>
      <c r="D38" s="39"/>
      <c r="E38" s="39"/>
      <c r="F38" s="39"/>
      <c r="G38" s="39"/>
      <c r="H38" s="179"/>
      <c r="I38" s="39"/>
      <c r="J38" s="39"/>
      <c r="K38" s="39"/>
      <c r="L38" s="39"/>
      <c r="O38" s="81">
        <v>0.91</v>
      </c>
      <c r="P38" s="81">
        <f t="shared" si="0"/>
        <v>34.488999999999997</v>
      </c>
    </row>
    <row r="39" spans="1:17" x14ac:dyDescent="0.25">
      <c r="B39" s="164"/>
      <c r="C39" s="10"/>
      <c r="D39" s="39"/>
      <c r="E39" s="39"/>
      <c r="F39" s="39"/>
      <c r="G39" s="39"/>
      <c r="H39" s="179"/>
      <c r="I39" s="39"/>
      <c r="J39" s="39"/>
      <c r="K39" s="39"/>
      <c r="L39" s="39"/>
      <c r="O39" s="81">
        <v>0.9</v>
      </c>
      <c r="P39" s="81">
        <f t="shared" si="0"/>
        <v>34.11</v>
      </c>
    </row>
    <row r="40" spans="1:17" x14ac:dyDescent="0.25">
      <c r="B40" s="164"/>
      <c r="C40" s="10"/>
      <c r="D40" s="39"/>
      <c r="E40" s="39"/>
      <c r="F40" s="39"/>
      <c r="G40" s="39"/>
      <c r="H40" s="179"/>
      <c r="I40" s="39"/>
      <c r="J40" s="39"/>
      <c r="K40" s="39"/>
      <c r="L40" s="39"/>
    </row>
    <row r="41" spans="1:17" x14ac:dyDescent="0.25">
      <c r="B41" s="164"/>
      <c r="C41" s="10"/>
      <c r="D41" s="39"/>
      <c r="E41" s="39"/>
      <c r="F41" s="39"/>
      <c r="G41" s="39"/>
      <c r="H41" s="179"/>
      <c r="I41" s="39"/>
      <c r="J41" s="39"/>
      <c r="K41" s="39"/>
      <c r="L41" s="39"/>
      <c r="Q41" s="2"/>
    </row>
    <row r="42" spans="1:17" x14ac:dyDescent="0.25">
      <c r="B42" s="164"/>
      <c r="C42" s="10"/>
      <c r="D42" s="39"/>
      <c r="E42" s="39"/>
      <c r="F42" s="39"/>
      <c r="G42" s="39"/>
      <c r="H42" s="179"/>
      <c r="I42" s="39"/>
      <c r="J42" s="39"/>
      <c r="K42" s="39"/>
      <c r="L42" s="39"/>
      <c r="Q42" s="2"/>
    </row>
    <row r="43" spans="1:17" x14ac:dyDescent="0.25">
      <c r="B43" s="164"/>
      <c r="C43" s="10"/>
      <c r="D43" s="39"/>
      <c r="E43" s="39"/>
      <c r="F43" s="39"/>
      <c r="G43" s="39"/>
      <c r="H43" s="179"/>
      <c r="I43" s="39"/>
      <c r="J43" s="39"/>
      <c r="K43" s="39"/>
      <c r="L43" s="39"/>
      <c r="Q43" s="2"/>
    </row>
    <row r="44" spans="1:17" x14ac:dyDescent="0.25">
      <c r="B44" s="164"/>
      <c r="C44" s="10"/>
      <c r="D44" s="39"/>
      <c r="E44" s="39"/>
      <c r="F44" s="39"/>
      <c r="G44" s="39"/>
      <c r="H44" s="179"/>
      <c r="I44" s="39"/>
      <c r="J44" s="39"/>
      <c r="K44" s="39"/>
      <c r="L44" s="39"/>
      <c r="Q44" s="2"/>
    </row>
    <row r="45" spans="1:17" x14ac:dyDescent="0.25">
      <c r="B45" s="164"/>
      <c r="C45" s="10"/>
      <c r="D45" s="39"/>
      <c r="E45" s="39"/>
      <c r="F45" s="39"/>
      <c r="G45" s="39"/>
      <c r="H45" s="179"/>
      <c r="I45" s="39"/>
      <c r="J45" s="39"/>
      <c r="K45" s="39"/>
      <c r="L45" s="39"/>
      <c r="Q45" s="2"/>
    </row>
    <row r="46" spans="1:17" x14ac:dyDescent="0.25">
      <c r="B46" s="164"/>
      <c r="C46" s="10"/>
      <c r="D46" s="39"/>
      <c r="E46" s="39"/>
      <c r="F46" s="39"/>
      <c r="G46" s="39"/>
      <c r="H46" s="179"/>
      <c r="I46" s="39"/>
      <c r="J46" s="39"/>
      <c r="K46" s="39"/>
      <c r="L46" s="39"/>
      <c r="Q46" s="2"/>
    </row>
    <row r="47" spans="1:17" x14ac:dyDescent="0.25">
      <c r="B47" s="164"/>
      <c r="C47" s="10"/>
      <c r="D47" s="39"/>
      <c r="E47" s="39"/>
      <c r="F47" s="39"/>
      <c r="G47" s="39"/>
      <c r="H47" s="179"/>
      <c r="I47" s="39"/>
      <c r="J47" s="39"/>
      <c r="K47" s="39"/>
      <c r="L47" s="39"/>
      <c r="Q47" s="2"/>
    </row>
    <row r="48" spans="1: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39"/>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164"/>
      <c r="C54" s="10"/>
      <c r="D54" s="39"/>
      <c r="E54" s="39"/>
      <c r="F54" s="39"/>
      <c r="G54" s="39"/>
      <c r="H54" s="179"/>
      <c r="I54" s="39"/>
      <c r="J54" s="778"/>
      <c r="K54" s="39"/>
      <c r="L54" s="39"/>
    </row>
    <row r="55" spans="1:17" x14ac:dyDescent="0.25">
      <c r="A55" s="4"/>
      <c r="B55" s="164"/>
      <c r="C55" s="10"/>
      <c r="D55" s="39"/>
      <c r="E55" s="39"/>
      <c r="F55" s="778"/>
      <c r="G55" s="39"/>
      <c r="H55" s="179"/>
      <c r="I55" s="39"/>
      <c r="J55" s="39"/>
      <c r="K55" s="39"/>
      <c r="L55" s="39"/>
    </row>
    <row r="56" spans="1:17" x14ac:dyDescent="0.25">
      <c r="A56" s="4"/>
      <c r="B56" s="164"/>
      <c r="C56" s="10"/>
      <c r="D56" s="39"/>
      <c r="E56" s="39"/>
      <c r="F56" s="778"/>
      <c r="G56" s="39"/>
      <c r="H56" s="179"/>
      <c r="I56" s="39"/>
      <c r="J56" s="39"/>
      <c r="K56" s="39"/>
      <c r="L56" s="39"/>
    </row>
    <row r="57" spans="1:17" x14ac:dyDescent="0.25">
      <c r="A57" s="4"/>
      <c r="B57" s="164"/>
      <c r="C57" s="10"/>
      <c r="D57" s="39"/>
      <c r="E57" s="39"/>
      <c r="F57" s="778"/>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1274</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342" priority="35">
      <formula>Q7&gt;0</formula>
    </cfRule>
    <cfRule type="expression" dxfId="3341" priority="36">
      <formula>Q7&lt;0</formula>
    </cfRule>
  </conditionalFormatting>
  <conditionalFormatting sqref="Q8">
    <cfRule type="expression" dxfId="3340" priority="33">
      <formula>Q8&gt;0</formula>
    </cfRule>
    <cfRule type="expression" dxfId="3339" priority="34">
      <formula>Q8&lt;0</formula>
    </cfRule>
  </conditionalFormatting>
  <conditionalFormatting sqref="F34:F54 F58:F63">
    <cfRule type="expression" dxfId="3338" priority="31">
      <formula>F34&gt;0</formula>
    </cfRule>
    <cfRule type="expression" dxfId="3337" priority="32">
      <formula>F34&lt;0</formula>
    </cfRule>
  </conditionalFormatting>
  <conditionalFormatting sqref="H34:H54 H58:H63">
    <cfRule type="expression" dxfId="3336" priority="29">
      <formula>H34&gt;0</formula>
    </cfRule>
    <cfRule type="expression" dxfId="3335" priority="30">
      <formula>H34&lt;0</formula>
    </cfRule>
  </conditionalFormatting>
  <conditionalFormatting sqref="Q10">
    <cfRule type="expression" dxfId="3334" priority="27">
      <formula>Q10&gt;0</formula>
    </cfRule>
    <cfRule type="expression" dxfId="3333" priority="28">
      <formula>Q10&lt;0</formula>
    </cfRule>
  </conditionalFormatting>
  <conditionalFormatting sqref="J25:J38">
    <cfRule type="expression" dxfId="3332" priority="25">
      <formula>J25&gt;0</formula>
    </cfRule>
    <cfRule type="expression" dxfId="3331" priority="26">
      <formula>J25&lt;0</formula>
    </cfRule>
  </conditionalFormatting>
  <conditionalFormatting sqref="K25:K35 K37:K38">
    <cfRule type="expression" dxfId="3330" priority="23">
      <formula>K25&gt;0</formula>
    </cfRule>
    <cfRule type="expression" dxfId="3329" priority="24">
      <formula>K25&lt;0</formula>
    </cfRule>
  </conditionalFormatting>
  <conditionalFormatting sqref="F89:F110">
    <cfRule type="expression" dxfId="3328" priority="19">
      <formula>F89&gt;0</formula>
    </cfRule>
    <cfRule type="expression" dxfId="3327" priority="20">
      <formula>F89&lt;0</formula>
    </cfRule>
  </conditionalFormatting>
  <conditionalFormatting sqref="H89:H110">
    <cfRule type="expression" dxfId="3326" priority="17">
      <formula>H89&gt;0</formula>
    </cfRule>
    <cfRule type="expression" dxfId="3325" priority="18">
      <formula>H89&lt;0</formula>
    </cfRule>
  </conditionalFormatting>
  <conditionalFormatting sqref="J89:J102">
    <cfRule type="expression" dxfId="3324" priority="15">
      <formula>J89&gt;0</formula>
    </cfRule>
    <cfRule type="expression" dxfId="3323" priority="16">
      <formula>J89&lt;0</formula>
    </cfRule>
  </conditionalFormatting>
  <conditionalFormatting sqref="K89:K102">
    <cfRule type="expression" dxfId="3322" priority="13">
      <formula>K89&gt;0</formula>
    </cfRule>
    <cfRule type="expression" dxfId="3321" priority="14">
      <formula>K89&lt;0</formula>
    </cfRule>
  </conditionalFormatting>
  <conditionalFormatting sqref="L89:L102">
    <cfRule type="expression" dxfId="3320" priority="11">
      <formula>L89&gt;0</formula>
    </cfRule>
    <cfRule type="expression" dxfId="3319" priority="12">
      <formula>L89&lt;0</formula>
    </cfRule>
  </conditionalFormatting>
  <conditionalFormatting sqref="F25:F33">
    <cfRule type="expression" dxfId="3318" priority="9">
      <formula>F25&gt;0</formula>
    </cfRule>
    <cfRule type="expression" dxfId="3317" priority="10">
      <formula>F25&lt;0</formula>
    </cfRule>
  </conditionalFormatting>
  <conditionalFormatting sqref="H25:H33">
    <cfRule type="expression" dxfId="3316" priority="7">
      <formula>H25&gt;0</formula>
    </cfRule>
    <cfRule type="expression" dxfId="3315" priority="8">
      <formula>H25&lt;0</formula>
    </cfRule>
  </conditionalFormatting>
  <conditionalFormatting sqref="J54">
    <cfRule type="expression" dxfId="3314" priority="5">
      <formula>J54&gt;0</formula>
    </cfRule>
    <cfRule type="expression" dxfId="3313" priority="6">
      <formula>J54&lt;0</formula>
    </cfRule>
  </conditionalFormatting>
  <conditionalFormatting sqref="F55:F57">
    <cfRule type="expression" dxfId="3312" priority="3">
      <formula>F55&gt;0</formula>
    </cfRule>
    <cfRule type="expression" dxfId="3311" priority="4">
      <formula>F55&lt;0</formula>
    </cfRule>
  </conditionalFormatting>
  <conditionalFormatting sqref="H55:H57">
    <cfRule type="expression" dxfId="3310" priority="1">
      <formula>H55&gt;0</formula>
    </cfRule>
    <cfRule type="expression" dxfId="3309"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670</v>
      </c>
      <c r="B2" s="72"/>
      <c r="C2" s="4"/>
      <c r="D2" s="3"/>
      <c r="E2" s="3"/>
      <c r="F2" s="3"/>
      <c r="G2" s="72"/>
      <c r="H2" s="4"/>
      <c r="I2" s="3"/>
      <c r="J2" s="3"/>
      <c r="K2" s="3"/>
      <c r="L2" s="72"/>
      <c r="M2" s="3"/>
      <c r="O2" s="11" t="s">
        <v>57</v>
      </c>
      <c r="Q2">
        <f>C18-H18</f>
        <v>0</v>
      </c>
      <c r="T2" s="1"/>
      <c r="W2" s="130"/>
      <c r="X2" s="10"/>
      <c r="Y2" s="10"/>
      <c r="Z2" s="10"/>
      <c r="AA2" s="10"/>
      <c r="AB2" s="93"/>
      <c r="AC2" s="10"/>
      <c r="AD2" s="2"/>
      <c r="AE2" s="134"/>
    </row>
    <row r="3" spans="1:31" x14ac:dyDescent="0.25">
      <c r="A3" s="22" t="s">
        <v>71</v>
      </c>
      <c r="B3" s="72"/>
      <c r="C3" s="4"/>
      <c r="D3" s="3"/>
      <c r="E3" s="3"/>
      <c r="F3" s="3"/>
      <c r="G3" s="72"/>
      <c r="H3" s="161"/>
      <c r="I3" s="3"/>
      <c r="J3" s="3"/>
      <c r="K3" s="3"/>
      <c r="L3" s="72"/>
      <c r="M3" s="3"/>
      <c r="O3" s="11" t="s">
        <v>58</v>
      </c>
      <c r="Q3" s="178">
        <f>IF(Q2=0, Q4, (F18-K18-M18)/Q2)</f>
        <v>25.25</v>
      </c>
      <c r="T3" s="1"/>
      <c r="W3" s="130"/>
      <c r="X3" s="10"/>
      <c r="Y3" s="10"/>
      <c r="Z3" s="10"/>
      <c r="AA3" s="10"/>
      <c r="AB3" s="93"/>
      <c r="AC3" s="10"/>
      <c r="AD3" s="2"/>
      <c r="AE3" s="134"/>
    </row>
    <row r="4" spans="1:31" x14ac:dyDescent="0.25">
      <c r="B4" s="72"/>
      <c r="C4" s="4"/>
      <c r="D4" s="3"/>
      <c r="E4" s="3"/>
      <c r="F4" s="3"/>
      <c r="G4" s="72"/>
      <c r="H4" s="161"/>
      <c r="I4" s="3"/>
      <c r="J4" s="3"/>
      <c r="K4" s="3"/>
      <c r="L4" s="4"/>
      <c r="M4" s="4"/>
      <c r="O4" s="11" t="s">
        <v>66</v>
      </c>
      <c r="Q4" s="54">
        <v>25.25</v>
      </c>
      <c r="R4" s="425">
        <v>5.4999999999999997E-3</v>
      </c>
      <c r="T4" s="156"/>
      <c r="U4" s="1"/>
      <c r="W4" s="130"/>
      <c r="X4" s="10"/>
      <c r="Y4" s="10"/>
      <c r="Z4" s="10"/>
      <c r="AA4" s="10"/>
      <c r="AB4" s="93"/>
      <c r="AC4" s="10"/>
      <c r="AD4" s="2"/>
      <c r="AE4" s="134"/>
    </row>
    <row r="5" spans="1:31" x14ac:dyDescent="0.25">
      <c r="B5" s="72"/>
      <c r="C5" s="4"/>
      <c r="D5" s="3"/>
      <c r="E5" s="3"/>
      <c r="F5" s="3"/>
      <c r="G5" s="4"/>
      <c r="H5" s="161"/>
      <c r="I5" s="3"/>
      <c r="J5" s="3"/>
      <c r="K5" s="3"/>
      <c r="L5" s="4"/>
      <c r="M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M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M7" s="4"/>
      <c r="O7" s="11" t="s">
        <v>177</v>
      </c>
      <c r="Q7" s="2">
        <f>Q10+Q8</f>
        <v>557.94000000000005</v>
      </c>
      <c r="R7">
        <v>0</v>
      </c>
      <c r="W7" s="130"/>
      <c r="X7" s="10"/>
      <c r="Y7" s="10"/>
      <c r="Z7" s="10"/>
      <c r="AA7" s="10"/>
      <c r="AB7" s="93"/>
      <c r="AC7" s="10"/>
      <c r="AD7" s="2"/>
      <c r="AE7" s="134"/>
    </row>
    <row r="8" spans="1:31" x14ac:dyDescent="0.25">
      <c r="B8" s="4"/>
      <c r="C8" s="4"/>
      <c r="D8" s="3"/>
      <c r="E8" s="3"/>
      <c r="F8" s="3"/>
      <c r="G8" s="4"/>
      <c r="H8" s="161"/>
      <c r="I8" s="3"/>
      <c r="J8" s="3"/>
      <c r="K8" s="3"/>
      <c r="L8" s="4"/>
      <c r="M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c r="AE9" s="134"/>
    </row>
    <row r="10" spans="1:31" x14ac:dyDescent="0.25">
      <c r="H10" s="70"/>
      <c r="O10" s="11" t="s">
        <v>203</v>
      </c>
      <c r="P10" s="33"/>
      <c r="Q10" s="2">
        <f>M66</f>
        <v>557.94000000000005</v>
      </c>
      <c r="W10" s="130"/>
      <c r="X10" s="10"/>
      <c r="Y10" s="10"/>
      <c r="Z10" s="10"/>
      <c r="AA10" s="10"/>
      <c r="AB10" s="93"/>
      <c r="AC10" s="10"/>
      <c r="AD10" s="2"/>
      <c r="AE10" s="134"/>
    </row>
    <row r="11" spans="1:31" x14ac:dyDescent="0.25">
      <c r="H11" s="70"/>
      <c r="O11" s="11" t="s">
        <v>175</v>
      </c>
      <c r="P11" s="33"/>
      <c r="Q11" s="134">
        <v>4.0599999999999997E-2</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71">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t="s">
        <v>149</v>
      </c>
      <c r="K24" s="177" t="s">
        <v>646</v>
      </c>
      <c r="L24" s="177" t="s">
        <v>652</v>
      </c>
      <c r="W24" s="130"/>
      <c r="X24" s="10"/>
      <c r="Y24" s="10"/>
      <c r="Z24" s="10"/>
      <c r="AA24" s="10"/>
      <c r="AB24" s="93"/>
      <c r="AC24" s="10"/>
      <c r="AD24" s="2"/>
      <c r="AE24" s="134"/>
    </row>
    <row r="25" spans="1:31" x14ac:dyDescent="0.25">
      <c r="B25" s="164">
        <v>42983</v>
      </c>
      <c r="C25" s="10">
        <v>100</v>
      </c>
      <c r="D25" s="39">
        <v>22.48</v>
      </c>
      <c r="E25" s="39">
        <v>24.03</v>
      </c>
      <c r="F25" s="39">
        <f>C25*(E25-D25)</f>
        <v>155.00000000000006</v>
      </c>
      <c r="G25" s="39">
        <f>D25*C25</f>
        <v>2248</v>
      </c>
      <c r="H25" s="179">
        <f>(E25-D25)/D25</f>
        <v>6.8950177935943088E-2</v>
      </c>
      <c r="I25" s="39">
        <v>22</v>
      </c>
      <c r="J25" s="39"/>
      <c r="K25" s="39"/>
      <c r="L25" s="39"/>
      <c r="W25" s="130"/>
      <c r="X25" s="10"/>
      <c r="Y25" s="10"/>
      <c r="Z25" s="10"/>
      <c r="AA25" s="10"/>
      <c r="AB25" s="93"/>
      <c r="AC25" s="10"/>
      <c r="AD25" s="2"/>
      <c r="AE25" s="134"/>
    </row>
    <row r="26" spans="1:31" x14ac:dyDescent="0.25">
      <c r="B26" s="164">
        <v>42997</v>
      </c>
      <c r="C26" s="10"/>
      <c r="D26" s="39"/>
      <c r="E26" s="39">
        <v>28.06</v>
      </c>
      <c r="F26" s="39">
        <v>557.94000000000005</v>
      </c>
      <c r="G26" s="39"/>
      <c r="H26" s="179"/>
      <c r="I26" s="39"/>
      <c r="J26" s="39"/>
      <c r="K26" s="39"/>
      <c r="L26" s="39"/>
      <c r="W26" s="130"/>
      <c r="X26" s="10"/>
      <c r="Y26" s="10"/>
      <c r="Z26" s="10"/>
      <c r="AA26" s="10"/>
      <c r="AB26" s="93"/>
      <c r="AC26" s="10"/>
      <c r="AD26" s="2"/>
      <c r="AE26" s="134"/>
    </row>
    <row r="27" spans="1:31" x14ac:dyDescent="0.25">
      <c r="B27" s="164"/>
      <c r="C27" s="10"/>
      <c r="D27" s="39"/>
      <c r="E27" s="39"/>
      <c r="F27" s="39"/>
      <c r="G27" s="39"/>
      <c r="H27" s="179"/>
      <c r="I27" s="39"/>
      <c r="J27" s="39"/>
      <c r="K27" s="39"/>
      <c r="L27" s="155"/>
      <c r="W27" s="130"/>
      <c r="X27" s="10"/>
      <c r="Y27" s="10"/>
      <c r="Z27" s="10"/>
      <c r="AA27" s="10"/>
      <c r="AB27" s="93"/>
      <c r="AC27" s="10"/>
      <c r="AD27" s="2"/>
      <c r="AE27" s="134"/>
    </row>
    <row r="28" spans="1:31" x14ac:dyDescent="0.25">
      <c r="B28" s="164"/>
      <c r="C28" s="10"/>
      <c r="D28" s="39"/>
      <c r="E28" s="39"/>
      <c r="F28" s="39"/>
      <c r="G28" s="39"/>
      <c r="H28" s="179"/>
      <c r="I28" s="39"/>
      <c r="J28" s="39"/>
      <c r="K28" s="39"/>
      <c r="L28" s="155"/>
      <c r="W28" s="130"/>
      <c r="X28" s="10"/>
      <c r="Y28" s="10"/>
      <c r="Z28" s="10"/>
      <c r="AA28" s="10"/>
      <c r="AB28" s="93"/>
      <c r="AC28" s="10"/>
      <c r="AD28" s="2"/>
      <c r="AE28" s="134"/>
    </row>
    <row r="29" spans="1:31" x14ac:dyDescent="0.25">
      <c r="B29" s="164"/>
      <c r="C29" s="10"/>
      <c r="D29" s="39"/>
      <c r="E29" s="39"/>
      <c r="F29" s="39"/>
      <c r="G29" s="39"/>
      <c r="H29" s="179"/>
      <c r="I29" s="39"/>
      <c r="J29" s="39"/>
      <c r="K29" s="39"/>
      <c r="L29" s="155"/>
      <c r="W29" s="130"/>
      <c r="X29" s="10"/>
      <c r="Y29" s="10"/>
      <c r="Z29" s="10"/>
      <c r="AA29" s="10"/>
      <c r="AB29" s="93"/>
      <c r="AC29" s="10"/>
      <c r="AD29" s="2"/>
      <c r="AE29" s="134"/>
    </row>
    <row r="30" spans="1:31" x14ac:dyDescent="0.25">
      <c r="B30" s="164"/>
      <c r="C30" s="10"/>
      <c r="D30" s="39"/>
      <c r="E30" s="39"/>
      <c r="F30" s="39"/>
      <c r="G30" s="39"/>
      <c r="H30" s="179"/>
      <c r="I30" s="39"/>
      <c r="J30" s="39"/>
      <c r="K30" s="39"/>
      <c r="L30" s="155"/>
      <c r="W30" s="130"/>
      <c r="X30" s="10"/>
      <c r="Y30" s="10"/>
      <c r="Z30" s="10"/>
      <c r="AA30" s="10"/>
      <c r="AB30" s="93"/>
      <c r="AC30" s="10"/>
      <c r="AD30" s="2"/>
      <c r="AE30" s="134"/>
    </row>
    <row r="31" spans="1:31" x14ac:dyDescent="0.25">
      <c r="B31" s="164"/>
      <c r="C31" s="10"/>
      <c r="D31" s="39"/>
      <c r="E31" s="39"/>
      <c r="F31" s="39"/>
      <c r="G31" s="39"/>
      <c r="H31" s="179"/>
      <c r="I31" s="39"/>
      <c r="J31" s="39"/>
      <c r="K31" s="39"/>
      <c r="L31" s="155"/>
      <c r="W31" s="130"/>
      <c r="X31" s="10"/>
      <c r="Y31" s="10"/>
      <c r="Z31" s="10"/>
      <c r="AA31" s="10"/>
      <c r="AB31" s="93"/>
      <c r="AC31" s="10"/>
      <c r="AD31" s="2"/>
      <c r="AE31" s="134"/>
    </row>
    <row r="32" spans="1:31" x14ac:dyDescent="0.25">
      <c r="B32" s="164"/>
      <c r="C32" s="10"/>
      <c r="D32" s="39"/>
      <c r="E32" s="39"/>
      <c r="F32" s="39"/>
      <c r="G32" s="39"/>
      <c r="H32" s="179"/>
      <c r="I32" s="39"/>
      <c r="J32" s="39"/>
      <c r="K32" s="39"/>
      <c r="L32" s="155"/>
      <c r="W32" s="130"/>
      <c r="X32" s="10"/>
      <c r="Y32" s="10"/>
      <c r="Z32" s="10"/>
      <c r="AA32" s="10"/>
      <c r="AB32" s="93"/>
      <c r="AC32" s="10"/>
      <c r="AD32" s="2"/>
      <c r="AE32" s="134"/>
    </row>
    <row r="33" spans="1:31" x14ac:dyDescent="0.25">
      <c r="A33" s="29"/>
      <c r="B33" s="164"/>
      <c r="C33" s="10"/>
      <c r="D33" s="39"/>
      <c r="E33" s="39"/>
      <c r="F33" s="39"/>
      <c r="G33" s="39"/>
      <c r="H33" s="179"/>
      <c r="I33" s="39"/>
      <c r="J33" s="39"/>
      <c r="K33" s="39"/>
      <c r="L33" s="155"/>
      <c r="W33" s="130"/>
      <c r="X33" s="10"/>
      <c r="Y33" s="10"/>
      <c r="Z33" s="10"/>
      <c r="AA33" s="10"/>
      <c r="AB33" s="93"/>
      <c r="AC33" s="10"/>
      <c r="AD33" s="2"/>
      <c r="AE33" s="134"/>
    </row>
    <row r="34" spans="1:31" x14ac:dyDescent="0.25">
      <c r="B34" s="164"/>
      <c r="C34" s="10"/>
      <c r="D34" s="39"/>
      <c r="E34" s="39"/>
      <c r="F34" s="39"/>
      <c r="G34" s="39"/>
      <c r="H34" s="179"/>
      <c r="I34" s="39"/>
      <c r="J34" s="39"/>
      <c r="K34" s="39"/>
      <c r="L34" s="155"/>
      <c r="W34" s="130"/>
      <c r="X34" s="10"/>
      <c r="Y34" s="10"/>
      <c r="Z34" s="10"/>
      <c r="AA34" s="10"/>
      <c r="AB34" s="93"/>
      <c r="AC34" s="10"/>
      <c r="AD34" s="2"/>
      <c r="AE34" s="134"/>
    </row>
    <row r="35" spans="1:31" x14ac:dyDescent="0.25">
      <c r="B35" s="164"/>
      <c r="C35" s="10"/>
      <c r="D35" s="39"/>
      <c r="E35" s="39"/>
      <c r="F35" s="39"/>
      <c r="G35" s="39"/>
      <c r="H35" s="179"/>
      <c r="I35" s="39"/>
      <c r="J35" s="39"/>
      <c r="K35" s="39"/>
      <c r="L35" s="155"/>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4" t="s">
        <v>78</v>
      </c>
      <c r="P40" s="884"/>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27.775000000000002</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27.522500000000001</v>
      </c>
      <c r="Q42" s="2"/>
      <c r="T42" s="89"/>
      <c r="W42" s="130"/>
      <c r="X42" s="10"/>
      <c r="Y42" s="10"/>
      <c r="Z42" s="10"/>
      <c r="AA42" s="10"/>
      <c r="AB42" s="93"/>
      <c r="AC42" s="10"/>
      <c r="AD42" s="2"/>
      <c r="AE42" s="134"/>
    </row>
    <row r="43" spans="1:31" ht="15.75" thickTop="1" x14ac:dyDescent="0.25">
      <c r="B43" s="164"/>
      <c r="C43" s="10"/>
      <c r="D43" s="39"/>
      <c r="E43" s="39"/>
      <c r="F43" s="39"/>
      <c r="G43" s="39"/>
      <c r="H43" s="179"/>
      <c r="I43" s="39"/>
      <c r="J43" s="39"/>
      <c r="K43" s="39"/>
      <c r="L43" s="39"/>
      <c r="O43" s="81">
        <v>1.08</v>
      </c>
      <c r="P43" s="81">
        <f t="shared" si="0"/>
        <v>27.270000000000003</v>
      </c>
      <c r="Q43" s="2"/>
      <c r="T43" s="125"/>
      <c r="U43" s="126"/>
      <c r="W43" s="130"/>
      <c r="X43" s="10"/>
      <c r="Y43" s="10"/>
      <c r="Z43" s="10"/>
      <c r="AA43" s="10"/>
      <c r="AB43" s="93"/>
      <c r="AC43" s="10"/>
      <c r="AD43" s="2"/>
      <c r="AE43" s="134"/>
    </row>
    <row r="44" spans="1:31" x14ac:dyDescent="0.25">
      <c r="B44" s="164"/>
      <c r="C44" s="10"/>
      <c r="D44" s="39"/>
      <c r="E44" s="39"/>
      <c r="F44" s="39"/>
      <c r="G44" s="39"/>
      <c r="H44" s="179"/>
      <c r="I44" s="39"/>
      <c r="J44" s="39"/>
      <c r="K44" s="39"/>
      <c r="L44" s="39"/>
      <c r="O44" s="81">
        <v>1.07</v>
      </c>
      <c r="P44" s="81">
        <f t="shared" si="0"/>
        <v>27.017500000000002</v>
      </c>
      <c r="Q44" s="2"/>
      <c r="T44" s="91"/>
      <c r="U44" s="127"/>
      <c r="W44" s="130"/>
      <c r="X44" s="10"/>
      <c r="Y44" s="10"/>
      <c r="Z44" s="10"/>
      <c r="AA44" s="10"/>
      <c r="AB44" s="93"/>
      <c r="AC44" s="10"/>
      <c r="AD44" s="2"/>
      <c r="AE44" s="134"/>
    </row>
    <row r="45" spans="1:31" x14ac:dyDescent="0.25">
      <c r="B45" s="164"/>
      <c r="C45" s="10"/>
      <c r="D45" s="39"/>
      <c r="E45" s="39"/>
      <c r="F45" s="39"/>
      <c r="G45" s="39"/>
      <c r="H45" s="179"/>
      <c r="I45" s="39"/>
      <c r="J45" s="39"/>
      <c r="K45" s="39"/>
      <c r="L45" s="39"/>
      <c r="O45" s="81">
        <v>1.06</v>
      </c>
      <c r="P45" s="81">
        <f t="shared" si="0"/>
        <v>26.765000000000001</v>
      </c>
      <c r="Q45" s="2"/>
      <c r="T45" s="91"/>
      <c r="U45" s="127"/>
      <c r="W45" s="130"/>
      <c r="X45" s="10"/>
      <c r="Y45" s="10"/>
      <c r="Z45" s="10"/>
      <c r="AA45" s="10"/>
      <c r="AB45" s="93"/>
      <c r="AC45" s="10"/>
      <c r="AD45" s="2"/>
      <c r="AE45" s="134"/>
    </row>
    <row r="46" spans="1:31" x14ac:dyDescent="0.25">
      <c r="B46" s="164"/>
      <c r="C46" s="10"/>
      <c r="D46" s="39"/>
      <c r="E46" s="39"/>
      <c r="F46" s="39"/>
      <c r="G46" s="39"/>
      <c r="H46" s="179"/>
      <c r="I46" s="39"/>
      <c r="J46" s="39"/>
      <c r="K46" s="39"/>
      <c r="L46" s="39"/>
      <c r="O46" s="81">
        <v>1.05</v>
      </c>
      <c r="P46" s="81">
        <f t="shared" si="0"/>
        <v>26.512500000000003</v>
      </c>
      <c r="Q46" s="2"/>
      <c r="T46" s="91"/>
      <c r="U46" s="127"/>
      <c r="W46" s="130"/>
      <c r="X46" s="10"/>
      <c r="Y46" s="10"/>
      <c r="Z46" s="10"/>
      <c r="AA46" s="10"/>
      <c r="AB46" s="93"/>
      <c r="AC46" s="10"/>
      <c r="AD46" s="2"/>
      <c r="AE46" s="134"/>
    </row>
    <row r="47" spans="1:31" x14ac:dyDescent="0.25">
      <c r="B47" s="72"/>
      <c r="C47" s="4"/>
      <c r="D47" s="3"/>
      <c r="E47" s="3"/>
      <c r="F47" s="3"/>
      <c r="G47" s="3"/>
      <c r="H47" s="216"/>
      <c r="I47" s="214"/>
      <c r="O47" s="81">
        <v>1.04</v>
      </c>
      <c r="P47" s="81">
        <f t="shared" si="0"/>
        <v>26.26</v>
      </c>
      <c r="Q47" s="2"/>
      <c r="T47" s="91"/>
      <c r="U47" s="127"/>
      <c r="W47" s="130"/>
      <c r="X47" s="10"/>
      <c r="Y47" s="10"/>
      <c r="Z47" s="10"/>
      <c r="AA47" s="10"/>
      <c r="AB47" s="93"/>
      <c r="AC47" s="10"/>
      <c r="AD47" s="2"/>
      <c r="AE47" s="134"/>
    </row>
    <row r="48" spans="1:31" x14ac:dyDescent="0.25">
      <c r="B48" s="72"/>
      <c r="C48" s="4"/>
      <c r="D48" s="3"/>
      <c r="E48" s="3"/>
      <c r="F48" s="3"/>
      <c r="G48" s="3"/>
      <c r="H48" s="216"/>
      <c r="I48" s="3"/>
      <c r="O48" s="81">
        <v>1.03</v>
      </c>
      <c r="P48" s="81">
        <f t="shared" si="0"/>
        <v>26.0075</v>
      </c>
      <c r="Q48" s="2"/>
      <c r="T48" s="91"/>
      <c r="U48" s="127"/>
      <c r="W48" s="130"/>
      <c r="X48" s="10"/>
      <c r="Y48" s="10"/>
      <c r="Z48" s="10"/>
      <c r="AA48" s="10"/>
      <c r="AB48" s="93"/>
      <c r="AC48" s="10"/>
      <c r="AD48" s="2"/>
      <c r="AE48" s="134"/>
    </row>
    <row r="49" spans="1:31" x14ac:dyDescent="0.25">
      <c r="B49" s="72"/>
      <c r="C49" s="4"/>
      <c r="D49" s="3"/>
      <c r="E49" s="3"/>
      <c r="F49" s="3"/>
      <c r="G49" s="3"/>
      <c r="H49" s="216"/>
      <c r="I49" s="3"/>
      <c r="O49" s="81">
        <v>1.02</v>
      </c>
      <c r="P49" s="81">
        <f t="shared" si="0"/>
        <v>25.754999999999999</v>
      </c>
      <c r="Q49" s="2"/>
      <c r="T49" s="91"/>
      <c r="U49" s="127"/>
      <c r="W49" s="130"/>
      <c r="X49" s="10"/>
      <c r="Y49" s="10"/>
      <c r="Z49" s="10"/>
      <c r="AA49" s="10"/>
      <c r="AB49" s="93"/>
      <c r="AC49" s="10"/>
      <c r="AD49" s="2"/>
      <c r="AE49" s="134"/>
    </row>
    <row r="50" spans="1:31" x14ac:dyDescent="0.25">
      <c r="B50" s="72"/>
      <c r="C50" s="4"/>
      <c r="D50" s="3"/>
      <c r="E50" s="3"/>
      <c r="F50" s="3"/>
      <c r="G50" s="3"/>
      <c r="H50" s="216"/>
      <c r="I50" s="3"/>
      <c r="O50" s="81">
        <v>1.01</v>
      </c>
      <c r="P50" s="81">
        <f t="shared" si="0"/>
        <v>25.502500000000001</v>
      </c>
      <c r="Q50" s="2"/>
      <c r="T50" s="91"/>
      <c r="U50" s="127"/>
      <c r="W50" s="130"/>
      <c r="X50" s="10"/>
      <c r="Y50" s="10"/>
      <c r="Z50" s="10"/>
      <c r="AA50" s="10"/>
      <c r="AB50" s="93"/>
      <c r="AC50" s="10"/>
      <c r="AD50" s="2"/>
      <c r="AE50" s="134"/>
    </row>
    <row r="51" spans="1:31" x14ac:dyDescent="0.25">
      <c r="B51" s="72"/>
      <c r="C51" s="4"/>
      <c r="D51" s="3"/>
      <c r="E51" s="3"/>
      <c r="F51" s="3"/>
      <c r="G51" s="3"/>
      <c r="H51" s="216"/>
      <c r="I51" s="3"/>
      <c r="O51" s="81">
        <v>1</v>
      </c>
      <c r="P51" s="81">
        <f t="shared" si="0"/>
        <v>25.25</v>
      </c>
      <c r="Q51" s="2"/>
      <c r="T51" s="91"/>
      <c r="U51" s="127"/>
      <c r="W51" s="130"/>
      <c r="X51" s="10"/>
      <c r="Y51" s="10"/>
      <c r="Z51" s="10"/>
      <c r="AA51" s="10"/>
      <c r="AB51" s="93"/>
      <c r="AC51" s="10"/>
      <c r="AD51" s="2"/>
      <c r="AE51" s="134"/>
    </row>
    <row r="52" spans="1:31" x14ac:dyDescent="0.25">
      <c r="B52" s="72"/>
      <c r="C52" s="4"/>
      <c r="D52" s="3"/>
      <c r="E52" s="3"/>
      <c r="F52" s="3"/>
      <c r="G52" s="3"/>
      <c r="H52" s="216"/>
      <c r="I52" s="3"/>
      <c r="O52" s="81">
        <v>0.99</v>
      </c>
      <c r="P52" s="81">
        <f t="shared" si="0"/>
        <v>24.997499999999999</v>
      </c>
      <c r="Q52" s="2"/>
      <c r="T52" s="91"/>
      <c r="U52" s="127"/>
      <c r="W52" s="130"/>
      <c r="X52" s="10"/>
      <c r="Y52" s="10"/>
      <c r="Z52" s="10"/>
      <c r="AA52" s="10"/>
      <c r="AB52" s="93"/>
      <c r="AC52" s="10"/>
      <c r="AD52" s="2"/>
      <c r="AE52" s="134"/>
    </row>
    <row r="53" spans="1:31" x14ac:dyDescent="0.25">
      <c r="B53" s="72"/>
      <c r="C53" s="4"/>
      <c r="D53" s="3"/>
      <c r="E53" s="3"/>
      <c r="F53" s="3"/>
      <c r="G53" s="3"/>
      <c r="H53" s="216"/>
      <c r="I53" s="3"/>
      <c r="O53" s="81">
        <v>0.98</v>
      </c>
      <c r="P53" s="81">
        <f t="shared" si="0"/>
        <v>24.745000000000001</v>
      </c>
      <c r="Q53" s="2"/>
      <c r="T53" s="91"/>
      <c r="U53" s="128"/>
      <c r="W53" s="130"/>
      <c r="X53" s="10"/>
      <c r="Y53" s="10"/>
      <c r="Z53" s="10"/>
      <c r="AA53" s="10"/>
      <c r="AB53" s="93"/>
      <c r="AC53" s="10"/>
      <c r="AD53" s="2"/>
      <c r="AE53" s="134"/>
    </row>
    <row r="54" spans="1:31" x14ac:dyDescent="0.25">
      <c r="A54" s="4"/>
      <c r="B54" s="72"/>
      <c r="C54" s="4"/>
      <c r="D54" s="3"/>
      <c r="E54" s="3"/>
      <c r="F54" s="3"/>
      <c r="G54" s="3"/>
      <c r="H54" s="216"/>
      <c r="I54" s="3"/>
      <c r="J54" s="3"/>
      <c r="K54" s="3"/>
      <c r="L54" s="4"/>
      <c r="O54" s="81">
        <v>0.97</v>
      </c>
      <c r="P54" s="81">
        <f t="shared" si="0"/>
        <v>24.4925</v>
      </c>
      <c r="T54" s="91"/>
      <c r="U54" s="128"/>
      <c r="W54" s="130"/>
      <c r="X54" s="10"/>
      <c r="Y54" s="10"/>
      <c r="Z54" s="10"/>
      <c r="AA54" s="10"/>
      <c r="AB54" s="93"/>
      <c r="AC54" s="10"/>
      <c r="AD54" s="2"/>
      <c r="AE54" s="134"/>
    </row>
    <row r="55" spans="1:31" x14ac:dyDescent="0.25">
      <c r="A55" s="4"/>
      <c r="B55" s="72"/>
      <c r="C55" s="4"/>
      <c r="D55" s="3"/>
      <c r="E55" s="3"/>
      <c r="F55" s="3"/>
      <c r="G55" s="3"/>
      <c r="H55" s="216"/>
      <c r="I55" s="3"/>
      <c r="J55" s="3"/>
      <c r="K55" s="3"/>
      <c r="L55" s="4"/>
      <c r="O55" s="81">
        <v>0.96</v>
      </c>
      <c r="P55" s="81">
        <f t="shared" si="0"/>
        <v>24.24</v>
      </c>
      <c r="T55" s="91"/>
      <c r="U55" s="127"/>
      <c r="W55" s="130"/>
      <c r="X55" s="10"/>
      <c r="Y55" s="10"/>
      <c r="Z55" s="10"/>
      <c r="AA55" s="10"/>
      <c r="AB55" s="93"/>
      <c r="AC55" s="10"/>
      <c r="AD55" s="2"/>
      <c r="AE55" s="134"/>
    </row>
    <row r="56" spans="1:31" x14ac:dyDescent="0.25">
      <c r="A56" s="4"/>
      <c r="B56" s="72"/>
      <c r="C56" s="4"/>
      <c r="D56" s="3"/>
      <c r="E56" s="3"/>
      <c r="F56" s="3"/>
      <c r="G56" s="3"/>
      <c r="H56" s="216"/>
      <c r="I56" s="3"/>
      <c r="J56" s="3"/>
      <c r="K56" s="3"/>
      <c r="L56" s="4"/>
      <c r="O56" s="81">
        <v>0.95</v>
      </c>
      <c r="P56" s="81">
        <f t="shared" si="0"/>
        <v>23.987499999999997</v>
      </c>
      <c r="T56" s="91"/>
      <c r="U56" s="127"/>
      <c r="W56" s="130"/>
      <c r="X56" s="10"/>
      <c r="Y56" s="10"/>
      <c r="Z56" s="10"/>
      <c r="AA56" s="10"/>
      <c r="AB56" s="93"/>
      <c r="AC56" s="10"/>
      <c r="AD56" s="2"/>
      <c r="AE56" s="134"/>
    </row>
    <row r="57" spans="1:31" x14ac:dyDescent="0.25">
      <c r="A57" s="4"/>
      <c r="B57" s="72"/>
      <c r="C57" s="4"/>
      <c r="D57" s="3"/>
      <c r="E57" s="3"/>
      <c r="F57" s="3"/>
      <c r="G57" s="3"/>
      <c r="H57" s="216"/>
      <c r="I57" s="3"/>
      <c r="J57" s="3"/>
      <c r="K57" s="3"/>
      <c r="L57" s="4"/>
      <c r="O57" s="81">
        <v>0.94</v>
      </c>
      <c r="P57" s="81">
        <f t="shared" si="0"/>
        <v>23.734999999999999</v>
      </c>
      <c r="T57" s="91"/>
      <c r="U57" s="127"/>
      <c r="W57" s="130"/>
      <c r="X57" s="10"/>
      <c r="Y57" s="10"/>
      <c r="Z57" s="10"/>
      <c r="AA57" s="10"/>
      <c r="AB57" s="93"/>
      <c r="AC57" s="10"/>
      <c r="AD57" s="2"/>
      <c r="AE57" s="134"/>
    </row>
    <row r="58" spans="1:31" x14ac:dyDescent="0.25">
      <c r="A58" s="4"/>
      <c r="B58" s="72"/>
      <c r="C58" s="4"/>
      <c r="D58" s="3"/>
      <c r="E58" s="3"/>
      <c r="F58" s="3"/>
      <c r="G58" s="3"/>
      <c r="H58" s="216"/>
      <c r="I58" s="3"/>
      <c r="J58" s="3"/>
      <c r="K58" s="3"/>
      <c r="L58" s="4"/>
      <c r="O58" s="81">
        <v>0.93</v>
      </c>
      <c r="P58" s="81">
        <f t="shared" si="0"/>
        <v>23.482500000000002</v>
      </c>
      <c r="T58" s="91"/>
      <c r="U58" s="127"/>
      <c r="W58" s="130"/>
      <c r="X58" s="10"/>
      <c r="Y58" s="10"/>
      <c r="Z58" s="10"/>
      <c r="AA58" s="10"/>
      <c r="AB58" s="93"/>
      <c r="AC58" s="10"/>
      <c r="AD58" s="2"/>
      <c r="AE58" s="134"/>
    </row>
    <row r="59" spans="1:31" x14ac:dyDescent="0.25">
      <c r="A59" s="4"/>
      <c r="B59" s="72"/>
      <c r="C59" s="4"/>
      <c r="D59" s="3"/>
      <c r="E59" s="3"/>
      <c r="F59" s="3"/>
      <c r="G59" s="3"/>
      <c r="H59" s="216"/>
      <c r="I59" s="3"/>
      <c r="J59" s="3"/>
      <c r="K59" s="3"/>
      <c r="L59" s="4"/>
      <c r="O59" s="81">
        <v>0.92</v>
      </c>
      <c r="P59" s="81">
        <f t="shared" si="0"/>
        <v>23.23</v>
      </c>
      <c r="W59" s="130"/>
      <c r="X59" s="10"/>
      <c r="Y59" s="10"/>
      <c r="Z59" s="10"/>
      <c r="AA59" s="10"/>
      <c r="AB59" s="93"/>
      <c r="AC59" s="10"/>
      <c r="AD59" s="2"/>
      <c r="AE59" s="134"/>
    </row>
    <row r="60" spans="1:31" x14ac:dyDescent="0.25">
      <c r="A60" s="4"/>
      <c r="B60" s="72"/>
      <c r="C60" s="4"/>
      <c r="D60" s="3"/>
      <c r="E60" s="3"/>
      <c r="F60" s="3"/>
      <c r="G60" s="3"/>
      <c r="H60" s="216"/>
      <c r="I60" s="3"/>
      <c r="J60" s="3"/>
      <c r="K60" s="3"/>
      <c r="L60" s="4"/>
      <c r="O60" s="81">
        <v>0.91</v>
      </c>
      <c r="P60" s="81">
        <f t="shared" si="0"/>
        <v>22.977499999999999</v>
      </c>
      <c r="W60" s="130"/>
      <c r="X60" s="10"/>
      <c r="Y60" s="10"/>
      <c r="Z60" s="10"/>
      <c r="AA60" s="10"/>
      <c r="AB60" s="93"/>
      <c r="AC60" s="10"/>
      <c r="AD60" s="2"/>
      <c r="AE60" s="134"/>
    </row>
    <row r="61" spans="1:31" x14ac:dyDescent="0.25">
      <c r="A61" s="4"/>
      <c r="B61" s="72"/>
      <c r="C61" s="4"/>
      <c r="D61" s="3"/>
      <c r="E61" s="3"/>
      <c r="F61" s="3"/>
      <c r="G61" s="3"/>
      <c r="H61" s="216"/>
      <c r="I61" s="3"/>
      <c r="J61" s="3"/>
      <c r="K61" s="3"/>
      <c r="L61" s="4"/>
      <c r="O61" s="81">
        <v>0.9</v>
      </c>
      <c r="P61" s="81">
        <f t="shared" si="0"/>
        <v>22.725000000000001</v>
      </c>
      <c r="W61" s="130"/>
      <c r="X61" s="10"/>
      <c r="Y61" s="10"/>
      <c r="Z61" s="10"/>
      <c r="AA61" s="10"/>
      <c r="AB61" s="93"/>
      <c r="AC61" s="10"/>
      <c r="AD61" s="2"/>
      <c r="AE61" s="134"/>
    </row>
    <row r="62" spans="1:31" x14ac:dyDescent="0.25">
      <c r="A62" s="4"/>
      <c r="B62" s="72"/>
      <c r="C62" s="4"/>
      <c r="D62" s="3"/>
      <c r="E62" s="3"/>
      <c r="F62" s="3"/>
      <c r="G62" s="3"/>
      <c r="H62" s="216"/>
      <c r="I62" s="3"/>
      <c r="J62" s="3"/>
      <c r="K62" s="3"/>
      <c r="L62" s="4"/>
      <c r="W62" s="130"/>
      <c r="X62" s="10"/>
      <c r="Y62" s="10"/>
      <c r="Z62" s="10"/>
      <c r="AA62" s="10"/>
      <c r="AB62" s="93"/>
      <c r="AC62" s="10"/>
      <c r="AD62" s="2"/>
      <c r="AE62" s="134"/>
    </row>
    <row r="63" spans="1:31" x14ac:dyDescent="0.25">
      <c r="A63" s="4"/>
      <c r="B63" s="72"/>
      <c r="C63" s="4"/>
      <c r="D63" s="3"/>
      <c r="E63" s="3"/>
      <c r="F63" s="3"/>
      <c r="G63" s="3"/>
      <c r="H63" s="216"/>
      <c r="I63" s="3"/>
      <c r="J63" s="3"/>
      <c r="K63" s="3"/>
      <c r="L63" s="4"/>
      <c r="W63" s="130"/>
      <c r="X63" s="10"/>
      <c r="Y63" s="10"/>
      <c r="Z63" s="10"/>
      <c r="AA63" s="10"/>
      <c r="AB63" s="93"/>
      <c r="AC63" s="10"/>
      <c r="AD63" s="2"/>
      <c r="AE63" s="134"/>
    </row>
    <row r="64" spans="1:31" x14ac:dyDescent="0.25">
      <c r="A64" s="4"/>
      <c r="B64" s="4"/>
      <c r="C64" s="4"/>
      <c r="D64" s="3"/>
      <c r="E64" s="3"/>
      <c r="F64" s="3"/>
      <c r="G64" s="4"/>
      <c r="H64" s="4"/>
      <c r="I64" s="3"/>
      <c r="J64" s="3"/>
      <c r="K64" s="3"/>
      <c r="L64" s="4"/>
      <c r="W64" s="130"/>
      <c r="X64" s="10"/>
      <c r="Y64" s="10"/>
      <c r="Z64" s="10"/>
      <c r="AA64" s="10"/>
      <c r="AB64" s="93"/>
      <c r="AC64" s="10"/>
      <c r="AD64" s="2"/>
      <c r="AE64" s="134"/>
    </row>
    <row r="65" spans="1:31" x14ac:dyDescent="0.25">
      <c r="A65" s="4"/>
      <c r="B65" s="4"/>
      <c r="C65" s="4"/>
      <c r="D65" s="3"/>
      <c r="E65" s="3"/>
      <c r="F65" s="3"/>
      <c r="G65" s="4"/>
      <c r="H65" s="4"/>
      <c r="I65" s="3"/>
      <c r="J65" s="3"/>
      <c r="K65" s="3"/>
      <c r="L65" s="4"/>
      <c r="W65" s="130"/>
      <c r="X65" s="10"/>
      <c r="Y65" s="10"/>
      <c r="Z65" s="10"/>
      <c r="AA65" s="10"/>
      <c r="AB65" s="93"/>
      <c r="AC65" s="10"/>
      <c r="AD65" s="2"/>
      <c r="AE65" s="134"/>
    </row>
    <row r="66" spans="1:31" x14ac:dyDescent="0.25">
      <c r="A66" s="4"/>
      <c r="B66" s="4"/>
      <c r="C66" s="4"/>
      <c r="D66" s="3"/>
      <c r="E66" s="3"/>
      <c r="F66" s="3"/>
      <c r="G66" s="4"/>
      <c r="H66" s="4"/>
      <c r="I66" s="3"/>
      <c r="J66" s="3"/>
      <c r="K66" s="3"/>
      <c r="L66" s="4" t="s">
        <v>65</v>
      </c>
      <c r="M66" s="2">
        <f>M84+K84-F84</f>
        <v>557.94000000000005</v>
      </c>
      <c r="W66" s="130"/>
      <c r="X66" s="10"/>
      <c r="Y66" s="10"/>
      <c r="Z66" s="10"/>
      <c r="AA66" s="10"/>
      <c r="AB66" s="93"/>
      <c r="AC66" s="10"/>
      <c r="AD66" s="2"/>
      <c r="AE66" s="134"/>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0"/>
      <c r="X67" s="10"/>
      <c r="Y67" s="10"/>
      <c r="Z67" s="10"/>
      <c r="AA67" s="10"/>
      <c r="AB67" s="93"/>
      <c r="AC67" s="10"/>
      <c r="AD67" s="2"/>
      <c r="AE67" s="134"/>
    </row>
    <row r="68" spans="1:31" x14ac:dyDescent="0.25">
      <c r="A68" s="442" t="s">
        <v>670</v>
      </c>
      <c r="B68" s="72">
        <v>42965</v>
      </c>
      <c r="C68" s="4">
        <v>100</v>
      </c>
      <c r="D68" s="3">
        <v>22.48</v>
      </c>
      <c r="E68" s="3">
        <v>0</v>
      </c>
      <c r="F68" s="3">
        <f>C68*D68+E68</f>
        <v>2248</v>
      </c>
      <c r="G68" s="72">
        <v>42997</v>
      </c>
      <c r="H68" s="4">
        <v>100</v>
      </c>
      <c r="I68" s="3">
        <v>28.06</v>
      </c>
      <c r="J68" s="3">
        <v>0.06</v>
      </c>
      <c r="K68" s="3">
        <f>H68*I68-J68</f>
        <v>2805.94</v>
      </c>
      <c r="L68" s="72"/>
      <c r="M68" s="429"/>
      <c r="W68" s="130"/>
      <c r="X68" s="10"/>
      <c r="Y68" s="10"/>
      <c r="Z68" s="10"/>
      <c r="AA68" s="10"/>
      <c r="AB68" s="93"/>
      <c r="AC68" s="10"/>
      <c r="AD68" s="2"/>
      <c r="AE68" s="134"/>
    </row>
    <row r="69" spans="1:31" x14ac:dyDescent="0.25">
      <c r="A69" s="444" t="s">
        <v>71</v>
      </c>
      <c r="B69" s="426"/>
      <c r="C69" s="427"/>
      <c r="D69" s="429"/>
      <c r="E69" s="429"/>
      <c r="F69" s="429"/>
      <c r="G69" s="426"/>
      <c r="H69" s="443"/>
      <c r="I69" s="429"/>
      <c r="J69" s="429"/>
      <c r="K69" s="429"/>
      <c r="L69" s="427"/>
      <c r="M69" s="427"/>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100</v>
      </c>
      <c r="D84" s="447"/>
      <c r="E84" s="447"/>
      <c r="F84" s="447">
        <f>SUM(F68:F72)</f>
        <v>2248</v>
      </c>
      <c r="G84" s="446"/>
      <c r="H84" s="468">
        <f>SUM(H68:H71)</f>
        <v>100</v>
      </c>
      <c r="I84" s="447"/>
      <c r="J84" s="447"/>
      <c r="K84" s="447">
        <f>SUM(K68:K71)</f>
        <v>2805.94</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308" priority="21">
      <formula>F47&gt;0</formula>
    </cfRule>
    <cfRule type="expression" dxfId="3307" priority="22">
      <formula>F47&lt;0</formula>
    </cfRule>
  </conditionalFormatting>
  <conditionalFormatting sqref="Q7">
    <cfRule type="expression" dxfId="3306" priority="19">
      <formula>Q7&gt;0</formula>
    </cfRule>
    <cfRule type="expression" dxfId="3305" priority="20">
      <formula>Q7&lt;0</formula>
    </cfRule>
  </conditionalFormatting>
  <conditionalFormatting sqref="Q8">
    <cfRule type="expression" dxfId="3304" priority="17">
      <formula>Q8&gt;0</formula>
    </cfRule>
    <cfRule type="expression" dxfId="3303" priority="18">
      <formula>Q8&lt;0</formula>
    </cfRule>
  </conditionalFormatting>
  <conditionalFormatting sqref="F25:F46">
    <cfRule type="expression" dxfId="3302" priority="15">
      <formula>F25&gt;0</formula>
    </cfRule>
    <cfRule type="expression" dxfId="3301" priority="16">
      <formula>F25&lt;0</formula>
    </cfRule>
  </conditionalFormatting>
  <conditionalFormatting sqref="H25:H46">
    <cfRule type="expression" dxfId="3300" priority="13">
      <formula>H25&gt;0</formula>
    </cfRule>
    <cfRule type="expression" dxfId="3299" priority="14">
      <formula>H25&lt;0</formula>
    </cfRule>
  </conditionalFormatting>
  <conditionalFormatting sqref="F89:F110">
    <cfRule type="expression" dxfId="3298" priority="11">
      <formula>F89&gt;0</formula>
    </cfRule>
    <cfRule type="expression" dxfId="3297" priority="12">
      <formula>F89&lt;0</formula>
    </cfRule>
  </conditionalFormatting>
  <conditionalFormatting sqref="H89:H110">
    <cfRule type="expression" dxfId="3296" priority="9">
      <formula>H89&gt;0</formula>
    </cfRule>
    <cfRule type="expression" dxfId="3295" priority="10">
      <formula>H89&lt;0</formula>
    </cfRule>
  </conditionalFormatting>
  <conditionalFormatting sqref="Q10">
    <cfRule type="expression" dxfId="3294" priority="7">
      <formula>Q10&gt;0</formula>
    </cfRule>
    <cfRule type="expression" dxfId="3293" priority="8">
      <formula>Q10&lt;0</formula>
    </cfRule>
  </conditionalFormatting>
  <conditionalFormatting sqref="J25:J38">
    <cfRule type="expression" dxfId="3292" priority="5">
      <formula>J25&gt;0</formula>
    </cfRule>
    <cfRule type="expression" dxfId="3291" priority="6">
      <formula>J25&lt;0</formula>
    </cfRule>
  </conditionalFormatting>
  <conditionalFormatting sqref="K25:K38">
    <cfRule type="expression" dxfId="3290" priority="3">
      <formula>K25&gt;0</formula>
    </cfRule>
    <cfRule type="expression" dxfId="3289" priority="4">
      <formula>K25&lt;0</formula>
    </cfRule>
  </conditionalFormatting>
  <conditionalFormatting sqref="L25:L38">
    <cfRule type="expression" dxfId="3288" priority="1">
      <formula>L25&gt;0</formula>
    </cfRule>
    <cfRule type="expression" dxfId="3287"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242</v>
      </c>
      <c r="B2" s="72"/>
      <c r="C2" s="4"/>
      <c r="D2" s="3"/>
      <c r="E2" s="3"/>
      <c r="F2" s="3"/>
      <c r="G2" s="72"/>
      <c r="H2" s="4"/>
      <c r="I2" s="3"/>
      <c r="J2" s="3"/>
      <c r="K2" s="3"/>
      <c r="L2" s="72"/>
      <c r="M2" s="4"/>
      <c r="O2" s="11" t="s">
        <v>57</v>
      </c>
      <c r="Q2">
        <f>C18-H18</f>
        <v>0</v>
      </c>
      <c r="T2" s="1"/>
      <c r="W2" s="130"/>
      <c r="X2" s="10"/>
      <c r="Y2" s="10"/>
      <c r="Z2" s="10"/>
      <c r="AA2" s="10"/>
      <c r="AB2" s="93"/>
      <c r="AC2" s="10"/>
      <c r="AD2" s="2"/>
      <c r="AE2" s="134"/>
    </row>
    <row r="3" spans="1:31" x14ac:dyDescent="0.25">
      <c r="A3" s="22" t="s">
        <v>71</v>
      </c>
      <c r="G3" s="72"/>
      <c r="H3" s="161"/>
      <c r="I3" s="3"/>
      <c r="J3" s="3"/>
      <c r="K3" s="3"/>
      <c r="L3" s="4"/>
      <c r="O3" s="11" t="s">
        <v>58</v>
      </c>
      <c r="Q3" s="178">
        <f>IF(Q2=0, Q4, (F18-K18-M18)/Q2)</f>
        <v>64.69</v>
      </c>
      <c r="T3" s="1"/>
      <c r="W3" s="130"/>
      <c r="X3" s="10"/>
      <c r="Y3" s="10"/>
      <c r="Z3" s="10"/>
      <c r="AA3" s="10"/>
      <c r="AB3" s="93"/>
      <c r="AC3" s="10"/>
      <c r="AD3" s="2"/>
      <c r="AE3" s="134"/>
    </row>
    <row r="4" spans="1:31" x14ac:dyDescent="0.25">
      <c r="B4" s="72"/>
      <c r="C4" s="4"/>
      <c r="D4" s="3"/>
      <c r="E4" s="3"/>
      <c r="F4" s="3"/>
      <c r="G4" s="4"/>
      <c r="H4" s="161"/>
      <c r="I4" s="3"/>
      <c r="J4" s="3"/>
      <c r="K4" s="3"/>
      <c r="L4" s="4"/>
      <c r="O4" s="11" t="s">
        <v>66</v>
      </c>
      <c r="Q4" s="54">
        <v>64.69</v>
      </c>
      <c r="R4" s="405">
        <v>5.0000000000000001E-4</v>
      </c>
      <c r="T4" s="156"/>
      <c r="U4" s="1"/>
      <c r="W4" s="130"/>
      <c r="X4" s="10"/>
      <c r="Y4" s="10"/>
      <c r="Z4" s="10"/>
      <c r="AA4" s="10"/>
      <c r="AB4" s="93"/>
      <c r="AC4" s="10"/>
      <c r="AD4" s="2"/>
      <c r="AE4" s="134"/>
    </row>
    <row r="5" spans="1:31" x14ac:dyDescent="0.25">
      <c r="B5" s="72"/>
      <c r="C5" s="4"/>
      <c r="D5" s="3"/>
      <c r="E5" s="3"/>
      <c r="F5" s="3"/>
      <c r="G5" s="4"/>
      <c r="H5" s="161"/>
      <c r="I5" s="3"/>
      <c r="J5" s="3"/>
      <c r="K5" s="3"/>
      <c r="L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O7" s="11" t="s">
        <v>177</v>
      </c>
      <c r="Q7" s="2">
        <f>Q10+Q8</f>
        <v>329.74000000000069</v>
      </c>
      <c r="R7">
        <v>0</v>
      </c>
      <c r="W7" s="130"/>
      <c r="X7" s="10"/>
      <c r="Y7" s="10"/>
      <c r="Z7" s="10"/>
      <c r="AA7" s="10"/>
      <c r="AB7" s="93"/>
      <c r="AC7" s="10"/>
      <c r="AD7" s="2"/>
      <c r="AE7" s="134"/>
    </row>
    <row r="8" spans="1:31" x14ac:dyDescent="0.25">
      <c r="B8" s="4"/>
      <c r="C8" s="4"/>
      <c r="D8" s="3"/>
      <c r="E8" s="3"/>
      <c r="F8" s="3"/>
      <c r="G8" s="4"/>
      <c r="H8" s="161"/>
      <c r="I8" s="3"/>
      <c r="J8" s="3"/>
      <c r="K8" s="3"/>
      <c r="L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O9" s="11" t="s">
        <v>204</v>
      </c>
      <c r="Q9" s="134">
        <f>IF(Q2=0, 0, Q8/Q6)</f>
        <v>0</v>
      </c>
      <c r="W9" s="130"/>
      <c r="X9" s="10"/>
      <c r="Y9" s="10"/>
      <c r="Z9" s="10"/>
      <c r="AA9" s="10"/>
      <c r="AB9" s="93"/>
      <c r="AC9" s="10"/>
      <c r="AD9" s="2"/>
      <c r="AE9" s="134"/>
    </row>
    <row r="10" spans="1:31" x14ac:dyDescent="0.25">
      <c r="B10" s="4"/>
      <c r="C10" s="4"/>
      <c r="D10" s="3"/>
      <c r="E10" s="3"/>
      <c r="F10" s="3"/>
      <c r="G10" s="4"/>
      <c r="H10" s="161"/>
      <c r="I10" s="3"/>
      <c r="J10" s="3"/>
      <c r="K10" s="3"/>
      <c r="L10" s="4"/>
      <c r="O10" s="11" t="s">
        <v>203</v>
      </c>
      <c r="P10" s="33"/>
      <c r="Q10" s="2">
        <f>M46</f>
        <v>329.74000000000069</v>
      </c>
      <c r="W10" s="130"/>
      <c r="X10" s="10"/>
      <c r="Y10" s="10"/>
      <c r="Z10" s="10"/>
      <c r="AA10" s="10"/>
      <c r="AB10" s="93"/>
      <c r="AC10" s="10"/>
      <c r="AD10" s="2"/>
      <c r="AE10" s="134"/>
    </row>
    <row r="11" spans="1:31" x14ac:dyDescent="0.25">
      <c r="B11" s="4"/>
      <c r="C11" s="4"/>
      <c r="D11" s="3"/>
      <c r="E11" s="3"/>
      <c r="F11" s="3"/>
      <c r="G11" s="4"/>
      <c r="H11" s="161"/>
      <c r="I11" s="3"/>
      <c r="J11" s="3"/>
      <c r="K11" s="3"/>
      <c r="L11" s="4"/>
      <c r="O11" s="11" t="s">
        <v>175</v>
      </c>
      <c r="P11" s="33"/>
      <c r="Q11" s="134">
        <f>IF(U58="N/A (N/A)", 0, VALUE(TRIM(CLEAN(MID(U58, FIND("(", U58)+1, 5)))))</f>
        <v>0</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c r="K24" s="177" t="s">
        <v>149</v>
      </c>
      <c r="L24" s="177"/>
      <c r="W24" s="130"/>
      <c r="X24" s="10"/>
      <c r="Y24" s="10"/>
      <c r="Z24" s="10"/>
      <c r="AA24" s="10"/>
      <c r="AB24" s="93"/>
      <c r="AC24" s="10"/>
      <c r="AD24" s="2"/>
      <c r="AE24" s="134"/>
    </row>
    <row r="25" spans="1:31" x14ac:dyDescent="0.25">
      <c r="B25" s="164">
        <v>42943</v>
      </c>
      <c r="C25" s="10">
        <v>60</v>
      </c>
      <c r="D25" s="39">
        <v>45.4</v>
      </c>
      <c r="E25" s="39">
        <v>46.01</v>
      </c>
      <c r="F25" s="39">
        <f>(E25-D25)*C25</f>
        <v>36.599999999999966</v>
      </c>
      <c r="G25" s="39">
        <f>D25*C25</f>
        <v>2724</v>
      </c>
      <c r="H25" s="179">
        <f>(E25-D25)/D25</f>
        <v>1.3436123348017609E-2</v>
      </c>
      <c r="I25" s="39"/>
      <c r="J25" s="39"/>
      <c r="K25" s="39"/>
      <c r="L25" s="39"/>
      <c r="W25" s="130"/>
      <c r="X25" s="10"/>
      <c r="Y25" s="10"/>
      <c r="Z25" s="10"/>
      <c r="AA25" s="10"/>
      <c r="AB25" s="93"/>
      <c r="AC25" s="10"/>
      <c r="AD25" s="2"/>
      <c r="AE25" s="134"/>
    </row>
    <row r="26" spans="1:31" x14ac:dyDescent="0.25">
      <c r="B26" s="164">
        <v>42947</v>
      </c>
      <c r="C26" s="10">
        <v>60</v>
      </c>
      <c r="D26" s="39">
        <v>45.4</v>
      </c>
      <c r="E26" s="39">
        <v>47.14</v>
      </c>
      <c r="F26" s="39">
        <f>(E26-D26)*C26</f>
        <v>104.40000000000012</v>
      </c>
      <c r="G26" s="39">
        <f>D26*C26</f>
        <v>2724</v>
      </c>
      <c r="H26" s="179">
        <f>(E26-D26)/D26</f>
        <v>3.8325991189427359E-2</v>
      </c>
      <c r="I26" s="39"/>
      <c r="J26" s="39"/>
      <c r="K26" s="39"/>
      <c r="L26" s="39"/>
      <c r="W26" s="130"/>
      <c r="X26" s="10"/>
      <c r="Y26" s="10"/>
      <c r="Z26" s="10"/>
      <c r="AA26" s="10"/>
      <c r="AB26" s="93"/>
      <c r="AC26" s="10"/>
      <c r="AD26" s="2"/>
      <c r="AE26" s="134"/>
    </row>
    <row r="27" spans="1:31" x14ac:dyDescent="0.25">
      <c r="B27" s="164">
        <v>42972</v>
      </c>
      <c r="C27" s="7">
        <v>100</v>
      </c>
      <c r="D27" s="43">
        <v>45.24</v>
      </c>
      <c r="E27" s="43">
        <v>44.98</v>
      </c>
      <c r="F27" s="39">
        <f>(E27-D27)*C27</f>
        <v>-26.000000000000512</v>
      </c>
      <c r="G27" s="39">
        <f>D27*C27</f>
        <v>4524</v>
      </c>
      <c r="H27" s="179">
        <f>(E27-D27)/D27</f>
        <v>-5.7471264367817219E-3</v>
      </c>
      <c r="I27" s="39">
        <v>44</v>
      </c>
      <c r="J27" s="39"/>
      <c r="K27" s="39"/>
      <c r="L27" s="39"/>
      <c r="W27" s="130"/>
      <c r="X27" s="10"/>
      <c r="Y27" s="10"/>
      <c r="Z27" s="10"/>
      <c r="AA27" s="10"/>
      <c r="AB27" s="93"/>
      <c r="AC27" s="10"/>
      <c r="AD27" s="2"/>
      <c r="AE27" s="134"/>
    </row>
    <row r="28" spans="1:31" x14ac:dyDescent="0.25">
      <c r="B28" s="164">
        <v>42978</v>
      </c>
      <c r="C28" s="10">
        <v>40</v>
      </c>
      <c r="D28" s="39">
        <v>42.351799999999997</v>
      </c>
      <c r="E28" s="39">
        <v>47.18</v>
      </c>
      <c r="F28" s="39">
        <f>(E28-D28)*C28</f>
        <v>193.1280000000001</v>
      </c>
      <c r="G28" s="39">
        <f>D28*C28</f>
        <v>1694.0719999999999</v>
      </c>
      <c r="H28" s="179">
        <f>(E28-D28)/D28</f>
        <v>0.11400223839364568</v>
      </c>
      <c r="I28" s="39"/>
      <c r="J28" s="39"/>
      <c r="K28" s="39"/>
      <c r="L28" s="39"/>
      <c r="W28" s="130"/>
      <c r="X28" s="10"/>
      <c r="Y28" s="10"/>
      <c r="Z28" s="10"/>
      <c r="AA28" s="10"/>
      <c r="AB28" s="93"/>
      <c r="AC28" s="10"/>
      <c r="AD28" s="2"/>
      <c r="AE28" s="134"/>
    </row>
    <row r="29" spans="1:31" x14ac:dyDescent="0.25">
      <c r="B29" s="164">
        <v>42983</v>
      </c>
      <c r="C29" s="185">
        <v>40</v>
      </c>
      <c r="D29" s="186">
        <v>45.02</v>
      </c>
      <c r="E29" s="186">
        <v>46.17</v>
      </c>
      <c r="F29" s="39">
        <f>(E29-D29)*C29</f>
        <v>45.999999999999943</v>
      </c>
      <c r="G29" s="39">
        <f>D29*C29</f>
        <v>1800.8000000000002</v>
      </c>
      <c r="H29" s="179">
        <f>(E29-D29)/D29</f>
        <v>2.5544202576632574E-2</v>
      </c>
      <c r="I29" s="39"/>
      <c r="J29" s="39"/>
      <c r="K29" s="39">
        <v>245</v>
      </c>
      <c r="L29" s="39"/>
      <c r="W29" s="130"/>
      <c r="X29" s="10"/>
      <c r="Y29" s="10"/>
      <c r="Z29" s="10"/>
      <c r="AA29" s="10"/>
      <c r="AB29" s="93"/>
      <c r="AC29" s="10"/>
      <c r="AD29" s="2"/>
      <c r="AE29" s="134"/>
    </row>
    <row r="30" spans="1:31" x14ac:dyDescent="0.25">
      <c r="B30" s="164">
        <v>43007</v>
      </c>
      <c r="C30" s="10">
        <v>0</v>
      </c>
      <c r="D30" s="39"/>
      <c r="E30" s="39"/>
      <c r="F30" s="39">
        <v>130.36000000000001</v>
      </c>
      <c r="G30" s="39"/>
      <c r="H30" s="179"/>
      <c r="I30" s="39"/>
      <c r="J30" s="39"/>
      <c r="K30" s="39">
        <v>329.74</v>
      </c>
      <c r="L30" s="39"/>
      <c r="W30" s="130"/>
      <c r="X30" s="10"/>
      <c r="Y30" s="10"/>
      <c r="Z30" s="10"/>
      <c r="AA30" s="10"/>
      <c r="AB30" s="93"/>
      <c r="AC30" s="10"/>
      <c r="AD30" s="2"/>
      <c r="AE30" s="134"/>
    </row>
    <row r="31" spans="1:31" x14ac:dyDescent="0.25">
      <c r="B31" s="164"/>
      <c r="C31" s="10"/>
      <c r="D31" s="39"/>
      <c r="E31" s="39"/>
      <c r="F31" s="39"/>
      <c r="G31" s="39"/>
      <c r="H31" s="179"/>
      <c r="I31" s="39"/>
      <c r="J31" s="39"/>
      <c r="K31" s="39"/>
      <c r="L31" s="39"/>
      <c r="W31" s="130"/>
      <c r="X31" s="10"/>
      <c r="Y31" s="10"/>
      <c r="Z31" s="10"/>
      <c r="AA31" s="10"/>
      <c r="AB31" s="93"/>
      <c r="AC31" s="10"/>
      <c r="AD31" s="2"/>
      <c r="AE31" s="134"/>
    </row>
    <row r="32" spans="1:31" x14ac:dyDescent="0.25">
      <c r="B32" s="164"/>
      <c r="C32" s="10"/>
      <c r="D32" s="39"/>
      <c r="E32" s="39"/>
      <c r="F32" s="39"/>
      <c r="G32" s="39"/>
      <c r="H32" s="179"/>
      <c r="I32" s="39"/>
      <c r="J32" s="39"/>
      <c r="K32" s="39"/>
      <c r="L32" s="39"/>
      <c r="W32" s="130"/>
      <c r="X32" s="10"/>
      <c r="Y32" s="10"/>
      <c r="Z32" s="10"/>
      <c r="AA32" s="10"/>
      <c r="AB32" s="93"/>
      <c r="AC32" s="10"/>
      <c r="AD32" s="2"/>
      <c r="AE32" s="134"/>
    </row>
    <row r="33" spans="1:31" x14ac:dyDescent="0.25">
      <c r="B33" s="164"/>
      <c r="C33" s="10"/>
      <c r="D33" s="39"/>
      <c r="E33" s="39"/>
      <c r="F33" s="39"/>
      <c r="G33" s="39"/>
      <c r="H33" s="179"/>
      <c r="I33" s="39"/>
      <c r="J33" s="39"/>
      <c r="K33" s="39"/>
      <c r="L33" s="39"/>
      <c r="W33" s="130"/>
      <c r="X33" s="10"/>
      <c r="Y33" s="10"/>
      <c r="Z33" s="10"/>
      <c r="AA33" s="10"/>
      <c r="AB33" s="93"/>
      <c r="AC33" s="10"/>
      <c r="AD33" s="2"/>
      <c r="AE33" s="134"/>
    </row>
    <row r="34" spans="1:31" x14ac:dyDescent="0.25">
      <c r="B34" s="164"/>
      <c r="C34" s="10"/>
      <c r="D34" s="39"/>
      <c r="E34" s="39"/>
      <c r="F34" s="39"/>
      <c r="G34" s="39"/>
      <c r="H34" s="179"/>
      <c r="I34" s="39"/>
      <c r="J34" s="39"/>
      <c r="K34" s="39"/>
      <c r="L34" s="39"/>
      <c r="W34" s="130"/>
      <c r="X34" s="10"/>
      <c r="Y34" s="10"/>
      <c r="Z34" s="10"/>
      <c r="AA34" s="10"/>
      <c r="AB34" s="93"/>
      <c r="AC34" s="10"/>
      <c r="AD34" s="2"/>
      <c r="AE34" s="134"/>
    </row>
    <row r="35" spans="1:31" x14ac:dyDescent="0.25">
      <c r="B35" s="164"/>
      <c r="C35" s="10"/>
      <c r="D35" s="39"/>
      <c r="E35" s="39"/>
      <c r="F35" s="39"/>
      <c r="G35" s="39"/>
      <c r="H35" s="179"/>
      <c r="I35" s="39"/>
      <c r="J35" s="39"/>
      <c r="K35" s="39"/>
      <c r="L35" s="39"/>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4" t="s">
        <v>78</v>
      </c>
      <c r="P40" s="884"/>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71.159000000000006</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70.512100000000004</v>
      </c>
      <c r="Q42" s="2"/>
      <c r="T42" s="89" t="s">
        <v>112</v>
      </c>
      <c r="W42" s="130"/>
      <c r="X42" s="10"/>
      <c r="Y42" s="10"/>
      <c r="Z42" s="10"/>
      <c r="AA42" s="10"/>
      <c r="AB42" s="93"/>
      <c r="AC42" s="10"/>
      <c r="AD42" s="2"/>
      <c r="AE42" s="134"/>
    </row>
    <row r="43" spans="1:31" ht="15.75" thickTop="1" x14ac:dyDescent="0.25">
      <c r="O43" s="81">
        <v>1.08</v>
      </c>
      <c r="P43" s="81">
        <f t="shared" si="0"/>
        <v>69.865200000000002</v>
      </c>
      <c r="Q43" s="2"/>
      <c r="T43" s="125" t="s">
        <v>97</v>
      </c>
      <c r="U43" s="126">
        <v>59.3</v>
      </c>
      <c r="W43" s="130"/>
      <c r="X43" s="10"/>
      <c r="Y43" s="10"/>
      <c r="Z43" s="10"/>
      <c r="AA43" s="10"/>
      <c r="AB43" s="93"/>
      <c r="AC43" s="10"/>
      <c r="AD43" s="2"/>
      <c r="AE43" s="134"/>
    </row>
    <row r="44" spans="1:31" x14ac:dyDescent="0.25">
      <c r="O44" s="81">
        <v>1.07</v>
      </c>
      <c r="P44" s="81">
        <f t="shared" si="0"/>
        <v>69.218299999999999</v>
      </c>
      <c r="Q44" s="2"/>
      <c r="T44" s="91" t="s">
        <v>98</v>
      </c>
      <c r="U44" s="127">
        <v>59.3</v>
      </c>
      <c r="W44" s="130"/>
      <c r="X44" s="10"/>
      <c r="Y44" s="10"/>
      <c r="Z44" s="10"/>
      <c r="AA44" s="10"/>
      <c r="AB44" s="93"/>
      <c r="AC44" s="10"/>
      <c r="AD44" s="2"/>
      <c r="AE44" s="134"/>
    </row>
    <row r="45" spans="1:31" x14ac:dyDescent="0.25">
      <c r="O45" s="81">
        <v>1.06</v>
      </c>
      <c r="P45" s="81">
        <f t="shared" si="0"/>
        <v>68.571399999999997</v>
      </c>
      <c r="Q45" s="2"/>
      <c r="T45" s="91" t="s">
        <v>99</v>
      </c>
      <c r="U45" s="127" t="s">
        <v>563</v>
      </c>
      <c r="W45" s="130"/>
      <c r="X45" s="10"/>
      <c r="Y45" s="10"/>
      <c r="Z45" s="10"/>
      <c r="AA45" s="10"/>
      <c r="AB45" s="93"/>
      <c r="AC45" s="10"/>
      <c r="AD45" s="2"/>
      <c r="AE45" s="134"/>
    </row>
    <row r="46" spans="1:31" x14ac:dyDescent="0.25">
      <c r="L46" t="s">
        <v>65</v>
      </c>
      <c r="M46" s="2">
        <f>M64+K64-F64</f>
        <v>329.74000000000069</v>
      </c>
      <c r="O46" s="81">
        <v>1.05</v>
      </c>
      <c r="P46" s="81">
        <f t="shared" si="0"/>
        <v>67.924499999999995</v>
      </c>
      <c r="Q46" s="2"/>
      <c r="T46" s="91" t="s">
        <v>100</v>
      </c>
      <c r="U46" s="127" t="s">
        <v>564</v>
      </c>
      <c r="W46" s="130"/>
      <c r="X46" s="10"/>
      <c r="Y46" s="10"/>
      <c r="Z46" s="10"/>
      <c r="AA46" s="10"/>
      <c r="AB46" s="93"/>
      <c r="AC46" s="10"/>
      <c r="AD46" s="2"/>
      <c r="AE46" s="134"/>
    </row>
    <row r="47" spans="1:31" x14ac:dyDescent="0.25">
      <c r="A47" s="199" t="s">
        <v>1</v>
      </c>
      <c r="B47" s="199" t="s">
        <v>2</v>
      </c>
      <c r="C47" s="199" t="s">
        <v>4</v>
      </c>
      <c r="D47" s="200" t="s">
        <v>5</v>
      </c>
      <c r="E47" s="200" t="s">
        <v>94</v>
      </c>
      <c r="F47" s="200" t="s">
        <v>60</v>
      </c>
      <c r="G47" s="199" t="s">
        <v>3</v>
      </c>
      <c r="H47" s="199" t="s">
        <v>6</v>
      </c>
      <c r="I47" s="200" t="s">
        <v>7</v>
      </c>
      <c r="J47" s="200" t="s">
        <v>95</v>
      </c>
      <c r="K47" s="200" t="s">
        <v>61</v>
      </c>
      <c r="L47" s="199" t="s">
        <v>37</v>
      </c>
      <c r="M47" s="199" t="s">
        <v>38</v>
      </c>
      <c r="O47" s="81">
        <v>1.04</v>
      </c>
      <c r="P47" s="81">
        <f t="shared" si="0"/>
        <v>67.277600000000007</v>
      </c>
      <c r="Q47" s="2"/>
      <c r="T47" s="91" t="s">
        <v>101</v>
      </c>
      <c r="U47" s="127">
        <v>72.25</v>
      </c>
      <c r="W47" s="130"/>
      <c r="X47" s="10"/>
      <c r="Y47" s="10"/>
      <c r="Z47" s="10"/>
      <c r="AA47" s="10"/>
      <c r="AB47" s="93"/>
      <c r="AC47" s="10"/>
      <c r="AD47" s="2"/>
      <c r="AE47" s="134"/>
    </row>
    <row r="48" spans="1:31" x14ac:dyDescent="0.25">
      <c r="A48" s="201" t="s">
        <v>242</v>
      </c>
      <c r="B48" s="202">
        <v>42577</v>
      </c>
      <c r="C48" s="197">
        <v>30</v>
      </c>
      <c r="D48" s="198">
        <v>52</v>
      </c>
      <c r="E48" s="198">
        <v>0</v>
      </c>
      <c r="F48" s="198">
        <f>D48*C48+E48</f>
        <v>1560</v>
      </c>
      <c r="G48" s="202">
        <v>42580</v>
      </c>
      <c r="H48" s="203">
        <v>30</v>
      </c>
      <c r="I48" s="198">
        <v>50.75</v>
      </c>
      <c r="J48" s="198">
        <v>0.03</v>
      </c>
      <c r="K48" s="198">
        <f>H48*I48-J48</f>
        <v>1522.47</v>
      </c>
      <c r="L48" s="202"/>
      <c r="M48" s="197"/>
      <c r="O48" s="81">
        <v>1.03</v>
      </c>
      <c r="P48" s="81">
        <f t="shared" si="0"/>
        <v>66.630700000000004</v>
      </c>
      <c r="Q48" s="2"/>
      <c r="T48" s="91" t="s">
        <v>102</v>
      </c>
      <c r="U48" s="127">
        <v>0.44294099999999997</v>
      </c>
      <c r="W48" s="130"/>
      <c r="X48" s="10"/>
      <c r="Y48" s="10"/>
      <c r="Z48" s="10"/>
      <c r="AA48" s="10"/>
      <c r="AB48" s="93"/>
      <c r="AC48" s="10"/>
      <c r="AD48" s="2"/>
      <c r="AE48" s="134"/>
    </row>
    <row r="49" spans="1:31" x14ac:dyDescent="0.25">
      <c r="A49" s="204" t="s">
        <v>71</v>
      </c>
      <c r="B49" s="202">
        <v>42578</v>
      </c>
      <c r="C49" s="197">
        <v>20</v>
      </c>
      <c r="D49" s="198">
        <v>48.52</v>
      </c>
      <c r="E49" s="198">
        <v>0</v>
      </c>
      <c r="F49" s="198">
        <f>D49*C49+E49</f>
        <v>970.40000000000009</v>
      </c>
      <c r="G49" s="202">
        <v>42611</v>
      </c>
      <c r="H49" s="203">
        <v>20</v>
      </c>
      <c r="I49" s="198">
        <v>55.03</v>
      </c>
      <c r="J49" s="198">
        <v>0.02</v>
      </c>
      <c r="K49" s="198">
        <f>H49*I49-J49</f>
        <v>1100.58</v>
      </c>
      <c r="L49" s="197"/>
      <c r="M49" s="197"/>
      <c r="O49" s="81">
        <v>1.02</v>
      </c>
      <c r="P49" s="81">
        <f t="shared" si="0"/>
        <v>65.983800000000002</v>
      </c>
      <c r="Q49" s="2"/>
      <c r="T49" s="91" t="s">
        <v>121</v>
      </c>
      <c r="U49" s="127" t="s">
        <v>378</v>
      </c>
      <c r="W49" s="130"/>
      <c r="X49" s="10"/>
      <c r="Y49" s="10"/>
      <c r="Z49" s="10"/>
      <c r="AA49" s="10"/>
      <c r="AB49" s="93"/>
      <c r="AC49" s="10"/>
      <c r="AD49" s="2"/>
      <c r="AE49" s="134"/>
    </row>
    <row r="50" spans="1:31" x14ac:dyDescent="0.25">
      <c r="A50" s="197"/>
      <c r="B50" s="368">
        <v>42943</v>
      </c>
      <c r="C50" s="7">
        <v>60</v>
      </c>
      <c r="D50" s="43">
        <v>45.4</v>
      </c>
      <c r="E50" s="43">
        <v>0</v>
      </c>
      <c r="F50" s="43">
        <f>C50*D50+E50</f>
        <v>2724</v>
      </c>
      <c r="G50" s="368">
        <v>42978</v>
      </c>
      <c r="H50" s="7">
        <v>60</v>
      </c>
      <c r="I50" s="43">
        <v>47.18</v>
      </c>
      <c r="J50" s="43">
        <v>7.0000000000000007E-2</v>
      </c>
      <c r="K50" s="43">
        <f>H50*I50-J50</f>
        <v>2830.73</v>
      </c>
      <c r="L50" s="197"/>
      <c r="M50" s="197"/>
      <c r="O50" s="81">
        <v>1.01</v>
      </c>
      <c r="P50" s="81">
        <f t="shared" si="0"/>
        <v>65.3369</v>
      </c>
      <c r="Q50" s="2"/>
      <c r="T50" s="91"/>
      <c r="U50" s="127"/>
      <c r="W50" s="130"/>
      <c r="X50" s="10"/>
      <c r="Y50" s="10"/>
      <c r="Z50" s="10"/>
      <c r="AA50" s="10"/>
      <c r="AB50" s="93"/>
      <c r="AC50" s="10"/>
      <c r="AD50" s="2"/>
      <c r="AE50" s="134"/>
    </row>
    <row r="51" spans="1:31" x14ac:dyDescent="0.25">
      <c r="A51" s="197"/>
      <c r="B51" s="202"/>
      <c r="C51" s="197"/>
      <c r="D51" s="198"/>
      <c r="E51" s="198"/>
      <c r="F51" s="198"/>
      <c r="G51" s="197"/>
      <c r="H51" s="203"/>
      <c r="I51" s="198"/>
      <c r="J51" s="198"/>
      <c r="K51" s="198"/>
      <c r="L51" s="197"/>
      <c r="M51" s="197"/>
      <c r="O51" s="81">
        <v>1</v>
      </c>
      <c r="P51" s="81">
        <f t="shared" si="0"/>
        <v>64.69</v>
      </c>
      <c r="Q51" s="2"/>
      <c r="T51" s="91" t="s">
        <v>104</v>
      </c>
      <c r="U51" s="127" t="s">
        <v>565</v>
      </c>
      <c r="W51" s="130"/>
      <c r="X51" s="10"/>
      <c r="Y51" s="10"/>
      <c r="Z51" s="10"/>
      <c r="AA51" s="10"/>
      <c r="AB51" s="93"/>
      <c r="AC51" s="10"/>
      <c r="AD51" s="2"/>
      <c r="AE51" s="134"/>
    </row>
    <row r="52" spans="1:31" x14ac:dyDescent="0.25">
      <c r="A52" s="197"/>
      <c r="B52" s="72">
        <v>42972</v>
      </c>
      <c r="C52" s="4">
        <v>40</v>
      </c>
      <c r="D52" s="3">
        <v>45.02</v>
      </c>
      <c r="E52" s="3">
        <v>0</v>
      </c>
      <c r="F52" s="3">
        <f>C52*D52+E52</f>
        <v>1800.8000000000002</v>
      </c>
      <c r="G52" s="72">
        <v>43007</v>
      </c>
      <c r="H52" s="4">
        <v>40</v>
      </c>
      <c r="I52" s="3">
        <v>48.28</v>
      </c>
      <c r="J52" s="3">
        <v>0.04</v>
      </c>
      <c r="K52" s="3">
        <f>H52*I52-J52</f>
        <v>1931.16</v>
      </c>
      <c r="L52" s="72"/>
      <c r="M52" s="197"/>
      <c r="O52" s="81">
        <v>0.99</v>
      </c>
      <c r="P52" s="81">
        <f t="shared" si="0"/>
        <v>64.043099999999995</v>
      </c>
      <c r="Q52" s="2"/>
      <c r="T52" s="91" t="s">
        <v>105</v>
      </c>
      <c r="U52" s="127" t="s">
        <v>408</v>
      </c>
      <c r="W52" s="130"/>
      <c r="X52" s="10"/>
      <c r="Y52" s="10"/>
      <c r="Z52" s="10"/>
      <c r="AA52" s="10"/>
      <c r="AB52" s="93"/>
      <c r="AC52" s="10"/>
      <c r="AD52" s="2"/>
      <c r="AE52" s="134"/>
    </row>
    <row r="53" spans="1:31" x14ac:dyDescent="0.25">
      <c r="A53" s="197"/>
      <c r="B53" s="197"/>
      <c r="C53" s="197"/>
      <c r="D53" s="198"/>
      <c r="E53" s="198"/>
      <c r="F53" s="198"/>
      <c r="G53" s="197"/>
      <c r="H53" s="203"/>
      <c r="I53" s="198"/>
      <c r="J53" s="198"/>
      <c r="K53" s="198"/>
      <c r="L53" s="197"/>
      <c r="M53" s="197"/>
      <c r="O53" s="81">
        <v>0.98</v>
      </c>
      <c r="P53" s="81">
        <f t="shared" si="0"/>
        <v>63.396199999999993</v>
      </c>
      <c r="Q53" s="2"/>
      <c r="T53" s="91" t="s">
        <v>106</v>
      </c>
      <c r="U53" s="128">
        <v>1982841</v>
      </c>
      <c r="W53" s="130"/>
      <c r="X53" s="10"/>
      <c r="Y53" s="10"/>
      <c r="Z53" s="10"/>
      <c r="AA53" s="10"/>
      <c r="AB53" s="93"/>
      <c r="AC53" s="10"/>
      <c r="AD53" s="2"/>
      <c r="AE53" s="134"/>
    </row>
    <row r="54" spans="1:31" x14ac:dyDescent="0.25">
      <c r="A54" s="197"/>
      <c r="B54" s="197"/>
      <c r="C54" s="197"/>
      <c r="D54" s="198"/>
      <c r="E54" s="198"/>
      <c r="F54" s="198"/>
      <c r="G54" s="197"/>
      <c r="H54" s="203"/>
      <c r="I54" s="198"/>
      <c r="J54" s="198"/>
      <c r="K54" s="198"/>
      <c r="L54" s="197"/>
      <c r="M54" s="197"/>
      <c r="O54" s="81">
        <v>0.97</v>
      </c>
      <c r="P54" s="81">
        <f t="shared" si="0"/>
        <v>62.749299999999998</v>
      </c>
      <c r="T54" s="91" t="s">
        <v>109</v>
      </c>
      <c r="U54" s="128">
        <v>2078610</v>
      </c>
      <c r="W54" s="130"/>
      <c r="X54" s="10"/>
      <c r="Y54" s="10"/>
      <c r="Z54" s="10"/>
      <c r="AA54" s="10"/>
      <c r="AB54" s="93"/>
      <c r="AC54" s="10"/>
      <c r="AD54" s="2"/>
      <c r="AE54" s="134"/>
    </row>
    <row r="55" spans="1:31" x14ac:dyDescent="0.25">
      <c r="A55" s="197"/>
      <c r="B55" s="197"/>
      <c r="C55" s="197"/>
      <c r="D55" s="198"/>
      <c r="E55" s="198"/>
      <c r="F55" s="198"/>
      <c r="G55" s="197"/>
      <c r="H55" s="203"/>
      <c r="I55" s="198"/>
      <c r="J55" s="198"/>
      <c r="K55" s="198"/>
      <c r="L55" s="197"/>
      <c r="M55" s="197"/>
      <c r="O55" s="81">
        <v>0.96</v>
      </c>
      <c r="P55" s="81">
        <f t="shared" si="0"/>
        <v>62.102399999999996</v>
      </c>
      <c r="T55" s="91" t="s">
        <v>107</v>
      </c>
      <c r="U55" s="127" t="s">
        <v>566</v>
      </c>
      <c r="W55" s="130"/>
      <c r="X55" s="10"/>
      <c r="Y55" s="10"/>
      <c r="Z55" s="10"/>
      <c r="AA55" s="10"/>
      <c r="AB55" s="93"/>
      <c r="AC55" s="10"/>
      <c r="AD55" s="2"/>
      <c r="AE55" s="134"/>
    </row>
    <row r="56" spans="1:31" x14ac:dyDescent="0.25">
      <c r="A56" s="197"/>
      <c r="B56" s="197"/>
      <c r="C56" s="197"/>
      <c r="D56" s="198"/>
      <c r="E56" s="198"/>
      <c r="F56" s="198"/>
      <c r="G56" s="197"/>
      <c r="H56" s="203"/>
      <c r="I56" s="198"/>
      <c r="J56" s="198"/>
      <c r="K56" s="198"/>
      <c r="L56" s="197"/>
      <c r="M56" s="197"/>
      <c r="O56" s="81">
        <v>0.95</v>
      </c>
      <c r="P56" s="81">
        <f t="shared" si="0"/>
        <v>61.455499999999994</v>
      </c>
      <c r="T56" s="91" t="s">
        <v>110</v>
      </c>
      <c r="U56" s="127">
        <v>32.85</v>
      </c>
      <c r="W56" s="130"/>
      <c r="X56" s="10"/>
      <c r="Y56" s="10"/>
      <c r="Z56" s="10"/>
      <c r="AA56" s="10"/>
      <c r="AB56" s="93"/>
      <c r="AC56" s="10"/>
      <c r="AD56" s="2"/>
      <c r="AE56" s="134"/>
    </row>
    <row r="57" spans="1:31" x14ac:dyDescent="0.25">
      <c r="A57" s="197"/>
      <c r="B57" s="197"/>
      <c r="C57" s="197"/>
      <c r="D57" s="198"/>
      <c r="E57" s="198"/>
      <c r="F57" s="198"/>
      <c r="G57" s="197"/>
      <c r="H57" s="203"/>
      <c r="I57" s="198"/>
      <c r="J57" s="198"/>
      <c r="K57" s="198"/>
      <c r="L57" s="197"/>
      <c r="M57" s="197"/>
      <c r="O57" s="81">
        <v>0.94</v>
      </c>
      <c r="P57" s="81">
        <f t="shared" si="0"/>
        <v>60.808599999999991</v>
      </c>
      <c r="T57" s="91" t="s">
        <v>111</v>
      </c>
      <c r="U57" s="127">
        <v>1.79</v>
      </c>
      <c r="W57" s="130"/>
      <c r="X57" s="10"/>
      <c r="Y57" s="10"/>
      <c r="Z57" s="10"/>
      <c r="AA57" s="10"/>
      <c r="AB57" s="93"/>
      <c r="AC57" s="10"/>
      <c r="AD57" s="2"/>
      <c r="AE57" s="134"/>
    </row>
    <row r="58" spans="1:31" x14ac:dyDescent="0.25">
      <c r="A58" s="197"/>
      <c r="B58" s="197"/>
      <c r="C58" s="197"/>
      <c r="D58" s="198"/>
      <c r="E58" s="198"/>
      <c r="F58" s="198"/>
      <c r="G58" s="197"/>
      <c r="H58" s="203"/>
      <c r="I58" s="198"/>
      <c r="J58" s="198"/>
      <c r="K58" s="198"/>
      <c r="L58" s="197"/>
      <c r="M58" s="197"/>
      <c r="O58" s="81">
        <v>0.93</v>
      </c>
      <c r="P58" s="81">
        <f t="shared" si="0"/>
        <v>60.161700000000003</v>
      </c>
      <c r="T58" s="91" t="s">
        <v>108</v>
      </c>
      <c r="U58" s="127" t="s">
        <v>122</v>
      </c>
      <c r="W58" s="130"/>
      <c r="X58" s="10"/>
      <c r="Y58" s="10"/>
      <c r="Z58" s="10"/>
      <c r="AA58" s="10"/>
      <c r="AB58" s="93"/>
      <c r="AC58" s="10"/>
      <c r="AD58" s="2"/>
      <c r="AE58" s="134"/>
    </row>
    <row r="59" spans="1:31" x14ac:dyDescent="0.25">
      <c r="A59" s="197"/>
      <c r="B59" s="197"/>
      <c r="C59" s="197"/>
      <c r="D59" s="198"/>
      <c r="E59" s="198"/>
      <c r="F59" s="198"/>
      <c r="G59" s="197"/>
      <c r="H59" s="203"/>
      <c r="I59" s="198"/>
      <c r="J59" s="198"/>
      <c r="K59" s="198"/>
      <c r="L59" s="197"/>
      <c r="M59" s="197"/>
      <c r="O59" s="81">
        <v>0.92</v>
      </c>
      <c r="P59" s="81">
        <f t="shared" si="0"/>
        <v>59.514800000000001</v>
      </c>
      <c r="W59" s="130"/>
      <c r="X59" s="10"/>
      <c r="Y59" s="10"/>
      <c r="Z59" s="10"/>
      <c r="AA59" s="10"/>
      <c r="AB59" s="93"/>
      <c r="AC59" s="10"/>
      <c r="AD59" s="2"/>
      <c r="AE59" s="134"/>
    </row>
    <row r="60" spans="1:31" x14ac:dyDescent="0.25">
      <c r="A60" s="197"/>
      <c r="B60" s="197"/>
      <c r="C60" s="197"/>
      <c r="D60" s="198"/>
      <c r="E60" s="198"/>
      <c r="F60" s="198"/>
      <c r="G60" s="197"/>
      <c r="H60" s="203"/>
      <c r="I60" s="198"/>
      <c r="J60" s="198"/>
      <c r="K60" s="198"/>
      <c r="L60" s="197"/>
      <c r="M60" s="197"/>
      <c r="O60" s="81">
        <v>0.91</v>
      </c>
      <c r="P60" s="81">
        <f t="shared" si="0"/>
        <v>58.867899999999999</v>
      </c>
      <c r="W60" s="130"/>
      <c r="X60" s="10"/>
      <c r="Y60" s="10"/>
      <c r="Z60" s="10"/>
      <c r="AA60" s="10"/>
      <c r="AB60" s="93"/>
      <c r="AC60" s="10"/>
      <c r="AD60" s="2"/>
      <c r="AE60" s="134"/>
    </row>
    <row r="61" spans="1:31" x14ac:dyDescent="0.25">
      <c r="A61" s="197"/>
      <c r="B61" s="197"/>
      <c r="C61" s="197"/>
      <c r="D61" s="198"/>
      <c r="E61" s="198"/>
      <c r="F61" s="198"/>
      <c r="G61" s="197"/>
      <c r="H61" s="203"/>
      <c r="I61" s="198"/>
      <c r="J61" s="198"/>
      <c r="K61" s="198"/>
      <c r="L61" s="197"/>
      <c r="M61" s="197"/>
      <c r="O61" s="81">
        <v>0.9</v>
      </c>
      <c r="P61" s="81">
        <f t="shared" si="0"/>
        <v>58.220999999999997</v>
      </c>
      <c r="W61" s="130"/>
      <c r="X61" s="10"/>
      <c r="Y61" s="10"/>
      <c r="Z61" s="10"/>
      <c r="AA61" s="10"/>
      <c r="AB61" s="93"/>
      <c r="AC61" s="10"/>
      <c r="AD61" s="2"/>
      <c r="AE61" s="134"/>
    </row>
    <row r="62" spans="1:31" x14ac:dyDescent="0.25">
      <c r="A62" s="197"/>
      <c r="B62" s="197"/>
      <c r="C62" s="197"/>
      <c r="D62" s="198"/>
      <c r="E62" s="198"/>
      <c r="F62" s="198"/>
      <c r="G62" s="197"/>
      <c r="H62" s="203"/>
      <c r="I62" s="198"/>
      <c r="J62" s="198"/>
      <c r="K62" s="198"/>
      <c r="L62" s="197"/>
      <c r="M62" s="197"/>
      <c r="W62" s="130"/>
      <c r="X62" s="10"/>
      <c r="Y62" s="10"/>
      <c r="Z62" s="10"/>
      <c r="AA62" s="10"/>
      <c r="AB62" s="93"/>
      <c r="AC62" s="10"/>
      <c r="AD62" s="2"/>
      <c r="AE62" s="134"/>
    </row>
    <row r="63" spans="1:31" x14ac:dyDescent="0.25">
      <c r="A63" s="197"/>
      <c r="B63" s="197"/>
      <c r="C63" s="197"/>
      <c r="D63" s="198"/>
      <c r="E63" s="198"/>
      <c r="F63" s="198"/>
      <c r="G63" s="197"/>
      <c r="H63" s="197"/>
      <c r="I63" s="198"/>
      <c r="J63" s="198"/>
      <c r="K63" s="198"/>
      <c r="L63" s="197"/>
      <c r="M63" s="197"/>
      <c r="W63" s="130"/>
      <c r="X63" s="10"/>
      <c r="Y63" s="10"/>
      <c r="Z63" s="10"/>
      <c r="AA63" s="10"/>
      <c r="AB63" s="93"/>
      <c r="AC63" s="10"/>
      <c r="AD63" s="2"/>
      <c r="AE63" s="134"/>
    </row>
    <row r="64" spans="1:31" x14ac:dyDescent="0.25">
      <c r="A64" s="31" t="s">
        <v>81</v>
      </c>
      <c r="B64" s="14"/>
      <c r="C64" s="14">
        <f>SUM(C48:C63)</f>
        <v>150</v>
      </c>
      <c r="D64" s="18"/>
      <c r="E64" s="18"/>
      <c r="F64" s="18">
        <f>SUM(F48:F62)</f>
        <v>7055.2</v>
      </c>
      <c r="G64" s="14"/>
      <c r="H64" s="71">
        <f>SUM(H48:H63)</f>
        <v>150</v>
      </c>
      <c r="I64" s="18"/>
      <c r="J64" s="18"/>
      <c r="K64" s="18">
        <f>SUM(K48:K63)</f>
        <v>7384.9400000000005</v>
      </c>
      <c r="L64" s="14"/>
      <c r="M64" s="18">
        <f>SUM(M48:M56)</f>
        <v>0</v>
      </c>
      <c r="W64" s="130"/>
      <c r="X64" s="10"/>
      <c r="Y64" s="10"/>
      <c r="Z64" s="10"/>
      <c r="AA64" s="10"/>
      <c r="AB64" s="93"/>
      <c r="AC64" s="10"/>
      <c r="AD64" s="2"/>
      <c r="AE64" s="134"/>
    </row>
    <row r="65" spans="1:31" ht="15.75" thickBot="1" x14ac:dyDescent="0.3">
      <c r="A65" s="373" t="s">
        <v>191</v>
      </c>
      <c r="B65" s="374"/>
      <c r="C65" s="375">
        <f>SumByColor($A$19,C48:C63)</f>
        <v>60</v>
      </c>
      <c r="D65" s="375"/>
      <c r="E65" s="375"/>
      <c r="F65" s="376">
        <f>SumByColor($A$19,F48:F63)</f>
        <v>2724</v>
      </c>
      <c r="G65" s="375"/>
      <c r="H65" s="375">
        <f>SumByColor($A$19,H48:H63)</f>
        <v>60</v>
      </c>
      <c r="I65" s="375"/>
      <c r="J65" s="375"/>
      <c r="K65" s="376">
        <f>SumByColor($A$19,K48:K63)</f>
        <v>2831</v>
      </c>
      <c r="L65" s="375"/>
      <c r="M65" s="376">
        <f>SumByColor($A$19,M48:M63)</f>
        <v>0</v>
      </c>
      <c r="W65" s="130"/>
      <c r="X65" s="10"/>
      <c r="Y65" s="10"/>
      <c r="Z65" s="10"/>
      <c r="AA65" s="10"/>
      <c r="AB65" s="93"/>
      <c r="AC65" s="10"/>
      <c r="AD65" s="2"/>
      <c r="AE65" s="134"/>
    </row>
    <row r="66" spans="1:31" x14ac:dyDescent="0.25">
      <c r="W66" s="130"/>
      <c r="X66" s="10"/>
      <c r="Y66" s="10"/>
      <c r="Z66" s="10"/>
      <c r="AA66" s="10"/>
      <c r="AB66" s="93"/>
      <c r="AC66" s="10"/>
      <c r="AD66" s="2"/>
      <c r="AE66" s="134"/>
    </row>
    <row r="67" spans="1:31" x14ac:dyDescent="0.25">
      <c r="W67" s="130"/>
      <c r="X67" s="10"/>
      <c r="Y67" s="10"/>
      <c r="Z67" s="10"/>
      <c r="AA67" s="10"/>
      <c r="AB67" s="93"/>
      <c r="AC67" s="10"/>
      <c r="AD67" s="2"/>
      <c r="AE67" s="134"/>
    </row>
    <row r="68" spans="1:31" x14ac:dyDescent="0.25">
      <c r="W68" s="130"/>
      <c r="X68" s="10"/>
      <c r="Y68" s="10"/>
      <c r="Z68" s="10"/>
      <c r="AA68" s="10"/>
      <c r="AB68" s="93"/>
      <c r="AC68" s="10"/>
      <c r="AD68" s="2"/>
      <c r="AE68" s="134"/>
    </row>
    <row r="69" spans="1:31" x14ac:dyDescent="0.25">
      <c r="B69" s="414" t="s">
        <v>113</v>
      </c>
      <c r="C69" s="414" t="s">
        <v>145</v>
      </c>
      <c r="D69" s="415" t="s">
        <v>144</v>
      </c>
      <c r="E69" s="416" t="s">
        <v>146</v>
      </c>
      <c r="F69" s="416" t="s">
        <v>65</v>
      </c>
      <c r="G69" s="418" t="s">
        <v>150</v>
      </c>
      <c r="H69" s="418" t="s">
        <v>88</v>
      </c>
      <c r="I69" s="418" t="s">
        <v>153</v>
      </c>
      <c r="W69" s="130"/>
      <c r="X69" s="10"/>
      <c r="Y69" s="10"/>
      <c r="Z69" s="10"/>
      <c r="AA69" s="10"/>
      <c r="AB69" s="93"/>
      <c r="AC69" s="10"/>
      <c r="AD69" s="2"/>
      <c r="AE69" s="134"/>
    </row>
    <row r="70" spans="1:31" x14ac:dyDescent="0.25">
      <c r="B70" s="297">
        <v>42577</v>
      </c>
      <c r="C70" s="298">
        <v>30</v>
      </c>
      <c r="D70" s="299">
        <v>52</v>
      </c>
      <c r="E70" s="299">
        <v>58.09</v>
      </c>
      <c r="F70" s="299">
        <f t="shared" ref="F70:F78" si="1">C70*(E70-D70)</f>
        <v>182.7000000000001</v>
      </c>
      <c r="G70" s="299">
        <f t="shared" ref="G70:G78" si="2">D70*C70</f>
        <v>1560</v>
      </c>
      <c r="H70" s="300">
        <f t="shared" ref="H70:H78" si="3">(E70-D70)/D70</f>
        <v>0.11711538461538468</v>
      </c>
      <c r="I70" s="299" t="s">
        <v>243</v>
      </c>
    </row>
    <row r="71" spans="1:31" x14ac:dyDescent="0.25">
      <c r="B71" s="297">
        <v>42578</v>
      </c>
      <c r="C71" s="298">
        <v>50</v>
      </c>
      <c r="D71" s="299">
        <v>50.607999999999997</v>
      </c>
      <c r="E71" s="299">
        <v>50.51</v>
      </c>
      <c r="F71" s="299">
        <f t="shared" si="1"/>
        <v>-4.8999999999999488</v>
      </c>
      <c r="G71" s="299">
        <f t="shared" si="2"/>
        <v>2530.3999999999996</v>
      </c>
      <c r="H71" s="300">
        <f t="shared" si="3"/>
        <v>-1.9364527347454747E-3</v>
      </c>
      <c r="I71" s="299"/>
    </row>
    <row r="72" spans="1:31" x14ac:dyDescent="0.25">
      <c r="B72" s="297">
        <v>42580</v>
      </c>
      <c r="C72" s="298">
        <v>20</v>
      </c>
      <c r="D72" s="299">
        <v>50.396500000000003</v>
      </c>
      <c r="E72" s="299">
        <v>50.53</v>
      </c>
      <c r="F72" s="299">
        <f t="shared" si="1"/>
        <v>2.6699999999999591</v>
      </c>
      <c r="G72" s="299">
        <f t="shared" si="2"/>
        <v>1007.9300000000001</v>
      </c>
      <c r="H72" s="300">
        <f t="shared" si="3"/>
        <v>2.6489934816901562E-3</v>
      </c>
      <c r="I72" s="299" t="s">
        <v>246</v>
      </c>
    </row>
    <row r="73" spans="1:31" x14ac:dyDescent="0.25">
      <c r="B73" s="297">
        <v>42585</v>
      </c>
      <c r="C73" s="298">
        <v>20</v>
      </c>
      <c r="D73" s="299">
        <v>50.396500000000003</v>
      </c>
      <c r="E73" s="299">
        <v>49.96</v>
      </c>
      <c r="F73" s="299">
        <f t="shared" si="1"/>
        <v>-8.7300000000000466</v>
      </c>
      <c r="G73" s="299">
        <f t="shared" si="2"/>
        <v>1007.9300000000001</v>
      </c>
      <c r="H73" s="300">
        <f t="shared" si="3"/>
        <v>-8.6613157659758567E-3</v>
      </c>
      <c r="I73" s="299"/>
    </row>
    <row r="74" spans="1:31" x14ac:dyDescent="0.25">
      <c r="B74" s="297">
        <v>42593</v>
      </c>
      <c r="C74" s="298">
        <v>20</v>
      </c>
      <c r="D74" s="299">
        <v>50.396500000000003</v>
      </c>
      <c r="E74" s="299">
        <v>52.02</v>
      </c>
      <c r="F74" s="299">
        <f t="shared" si="1"/>
        <v>32.47</v>
      </c>
      <c r="G74" s="299">
        <f t="shared" si="2"/>
        <v>1007.9300000000001</v>
      </c>
      <c r="H74" s="300">
        <f t="shared" si="3"/>
        <v>3.22145387080452E-2</v>
      </c>
      <c r="I74" s="299"/>
    </row>
    <row r="75" spans="1:31" x14ac:dyDescent="0.25">
      <c r="B75" s="297">
        <v>42601</v>
      </c>
      <c r="C75" s="298">
        <v>20</v>
      </c>
      <c r="D75" s="299">
        <v>50.396500000000003</v>
      </c>
      <c r="E75" s="299">
        <v>52.95</v>
      </c>
      <c r="F75" s="299">
        <f t="shared" si="1"/>
        <v>51.069999999999993</v>
      </c>
      <c r="G75" s="299">
        <f t="shared" si="2"/>
        <v>1007.9300000000001</v>
      </c>
      <c r="H75" s="300">
        <f t="shared" si="3"/>
        <v>5.0668201164763414E-2</v>
      </c>
      <c r="I75" s="299"/>
    </row>
    <row r="76" spans="1:31" x14ac:dyDescent="0.25">
      <c r="B76" s="297">
        <v>42605</v>
      </c>
      <c r="C76" s="298">
        <v>20</v>
      </c>
      <c r="D76" s="299">
        <v>50.396500000000003</v>
      </c>
      <c r="E76" s="299">
        <v>53.6</v>
      </c>
      <c r="F76" s="299">
        <f t="shared" si="1"/>
        <v>64.069999999999965</v>
      </c>
      <c r="G76" s="299">
        <f t="shared" si="2"/>
        <v>1007.9300000000001</v>
      </c>
      <c r="H76" s="300">
        <f t="shared" si="3"/>
        <v>6.3565922236663228E-2</v>
      </c>
      <c r="I76" s="299"/>
    </row>
    <row r="77" spans="1:31" x14ac:dyDescent="0.25">
      <c r="B77" s="297">
        <v>42606</v>
      </c>
      <c r="C77" s="298">
        <v>20</v>
      </c>
      <c r="D77" s="299">
        <v>50.396500000000003</v>
      </c>
      <c r="E77" s="299">
        <v>53.98</v>
      </c>
      <c r="F77" s="299">
        <f t="shared" si="1"/>
        <v>71.669999999999874</v>
      </c>
      <c r="G77" s="299">
        <f t="shared" si="2"/>
        <v>1007.9300000000001</v>
      </c>
      <c r="H77" s="300">
        <f t="shared" si="3"/>
        <v>7.1106128401773799E-2</v>
      </c>
      <c r="I77" s="299"/>
    </row>
    <row r="78" spans="1:31" x14ac:dyDescent="0.25">
      <c r="B78" s="297">
        <v>42609</v>
      </c>
      <c r="C78" s="298">
        <v>20</v>
      </c>
      <c r="D78" s="299">
        <v>50.396500000000003</v>
      </c>
      <c r="E78" s="299">
        <v>55.31</v>
      </c>
      <c r="F78" s="299">
        <f t="shared" si="1"/>
        <v>98.269999999999982</v>
      </c>
      <c r="G78" s="299">
        <f t="shared" si="2"/>
        <v>1007.9300000000001</v>
      </c>
      <c r="H78" s="300">
        <f t="shared" si="3"/>
        <v>9.7496849979661265E-2</v>
      </c>
      <c r="I78" s="377"/>
    </row>
    <row r="79" spans="1:31" x14ac:dyDescent="0.25">
      <c r="B79" s="297">
        <v>42611</v>
      </c>
      <c r="C79" s="298">
        <v>0</v>
      </c>
      <c r="D79" s="299"/>
      <c r="E79" s="299"/>
      <c r="F79" s="299">
        <v>92.65</v>
      </c>
      <c r="G79" s="299"/>
      <c r="H79" s="300"/>
      <c r="I79" s="299"/>
    </row>
    <row r="80" spans="1:31" x14ac:dyDescent="0.25">
      <c r="B80" s="297"/>
      <c r="C80" s="298"/>
      <c r="D80" s="299"/>
      <c r="E80" s="299"/>
      <c r="F80" s="299"/>
      <c r="G80" s="299"/>
      <c r="H80" s="300"/>
      <c r="I80" s="299"/>
    </row>
    <row r="81" spans="2:9" x14ac:dyDescent="0.25">
      <c r="B81" s="297"/>
      <c r="C81" s="298"/>
      <c r="D81" s="299"/>
      <c r="E81" s="299"/>
      <c r="F81" s="299"/>
      <c r="G81" s="299"/>
      <c r="H81" s="300"/>
      <c r="I81" s="299"/>
    </row>
    <row r="82" spans="2:9" x14ac:dyDescent="0.25">
      <c r="B82" s="297"/>
      <c r="C82" s="298"/>
      <c r="D82" s="299"/>
      <c r="E82" s="299"/>
      <c r="F82" s="299"/>
      <c r="G82" s="299"/>
      <c r="H82" s="300"/>
      <c r="I82" s="299"/>
    </row>
    <row r="83" spans="2:9" x14ac:dyDescent="0.25">
      <c r="B83" s="297"/>
      <c r="C83" s="298"/>
      <c r="D83" s="299"/>
      <c r="E83" s="299"/>
      <c r="F83" s="299"/>
      <c r="G83" s="299"/>
      <c r="H83" s="300"/>
      <c r="I83" s="299"/>
    </row>
    <row r="84" spans="2:9" x14ac:dyDescent="0.25">
      <c r="B84" s="297"/>
      <c r="C84" s="298"/>
      <c r="D84" s="299"/>
      <c r="E84" s="299"/>
      <c r="F84" s="299"/>
      <c r="G84" s="299"/>
      <c r="H84" s="300"/>
      <c r="I84" s="299"/>
    </row>
    <row r="85" spans="2:9" x14ac:dyDescent="0.25">
      <c r="B85" s="297"/>
      <c r="C85" s="298"/>
      <c r="D85" s="299"/>
      <c r="E85" s="299"/>
      <c r="F85" s="299"/>
      <c r="G85" s="299"/>
      <c r="H85" s="300"/>
      <c r="I85" s="299"/>
    </row>
    <row r="86" spans="2:9" x14ac:dyDescent="0.25">
      <c r="B86" s="297"/>
      <c r="C86" s="298"/>
      <c r="D86" s="299"/>
      <c r="E86" s="299"/>
      <c r="F86" s="299"/>
      <c r="G86" s="299"/>
      <c r="H86" s="300"/>
      <c r="I86" s="299"/>
    </row>
    <row r="87" spans="2:9" x14ac:dyDescent="0.25">
      <c r="B87" s="297"/>
      <c r="C87" s="298"/>
      <c r="D87" s="299"/>
      <c r="E87" s="299"/>
      <c r="F87" s="299"/>
      <c r="G87" s="299"/>
      <c r="H87" s="300"/>
      <c r="I87" s="299"/>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286" priority="23">
      <formula>F34&gt;0</formula>
    </cfRule>
    <cfRule type="expression" dxfId="3285" priority="24">
      <formula>F34&lt;0</formula>
    </cfRule>
  </conditionalFormatting>
  <conditionalFormatting sqref="Q7">
    <cfRule type="expression" dxfId="3284" priority="21">
      <formula>Q7&gt;0</formula>
    </cfRule>
    <cfRule type="expression" dxfId="3283" priority="22">
      <formula>Q7&lt;0</formula>
    </cfRule>
  </conditionalFormatting>
  <conditionalFormatting sqref="Q8">
    <cfRule type="expression" dxfId="3282" priority="19">
      <formula>Q8&gt;0</formula>
    </cfRule>
    <cfRule type="expression" dxfId="3281" priority="20">
      <formula>Q8&lt;0</formula>
    </cfRule>
  </conditionalFormatting>
  <conditionalFormatting sqref="F25:F33">
    <cfRule type="expression" dxfId="3280" priority="17">
      <formula>F25&gt;0</formula>
    </cfRule>
    <cfRule type="expression" dxfId="3279" priority="18">
      <formula>F25&lt;0</formula>
    </cfRule>
  </conditionalFormatting>
  <conditionalFormatting sqref="H25:H33">
    <cfRule type="expression" dxfId="3278" priority="15">
      <formula>H25&gt;0</formula>
    </cfRule>
    <cfRule type="expression" dxfId="3277" priority="16">
      <formula>H25&lt;0</formula>
    </cfRule>
  </conditionalFormatting>
  <conditionalFormatting sqref="M46">
    <cfRule type="expression" dxfId="3276" priority="13">
      <formula>M46&gt;0</formula>
    </cfRule>
    <cfRule type="expression" dxfId="3275" priority="14">
      <formula>M46&lt;0</formula>
    </cfRule>
  </conditionalFormatting>
  <conditionalFormatting sqref="F79:F87 H79:H87">
    <cfRule type="expression" dxfId="3274" priority="11">
      <formula>F79&gt;0</formula>
    </cfRule>
    <cfRule type="expression" dxfId="3273" priority="12">
      <formula>F79&lt;0</formula>
    </cfRule>
  </conditionalFormatting>
  <conditionalFormatting sqref="F70:F78">
    <cfRule type="expression" dxfId="3272" priority="9">
      <formula>F70&gt;0</formula>
    </cfRule>
    <cfRule type="expression" dxfId="3271" priority="10">
      <formula>F70&lt;0</formula>
    </cfRule>
  </conditionalFormatting>
  <conditionalFormatting sqref="H70:H78">
    <cfRule type="expression" dxfId="3270" priority="7">
      <formula>H70&gt;0</formula>
    </cfRule>
    <cfRule type="expression" dxfId="3269" priority="8">
      <formula>H70&lt;0</formula>
    </cfRule>
  </conditionalFormatting>
  <conditionalFormatting sqref="J27:K27 J30:K30 J33:K33 J36:K36 J39:K39 J42:K42">
    <cfRule type="expression" dxfId="3268" priority="5">
      <formula>J27&gt;0</formula>
    </cfRule>
    <cfRule type="expression" dxfId="3267" priority="6">
      <formula>J27&lt;0</formula>
    </cfRule>
  </conditionalFormatting>
  <conditionalFormatting sqref="J28:K29 J31:K32 J34:K35 J37:K38 J40:K41">
    <cfRule type="expression" dxfId="3266" priority="3">
      <formula>J28&gt;0</formula>
    </cfRule>
    <cfRule type="expression" dxfId="3265" priority="4">
      <formula>J28&lt;0</formula>
    </cfRule>
  </conditionalFormatting>
  <conditionalFormatting sqref="L27:L42">
    <cfRule type="expression" dxfId="3264" priority="1">
      <formula>L27&gt;0</formula>
    </cfRule>
    <cfRule type="expression" dxfId="3263"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649</v>
      </c>
      <c r="B2" s="72"/>
      <c r="C2" s="4"/>
      <c r="D2" s="3"/>
      <c r="E2" s="3"/>
      <c r="F2" s="3"/>
      <c r="G2" s="72"/>
      <c r="H2" s="3"/>
      <c r="I2" s="3"/>
      <c r="J2" s="3"/>
      <c r="K2" s="3"/>
      <c r="L2" s="72"/>
      <c r="M2" s="3"/>
      <c r="O2" s="11" t="s">
        <v>57</v>
      </c>
      <c r="Q2">
        <f>C18-H18</f>
        <v>0</v>
      </c>
      <c r="T2" s="1"/>
    </row>
    <row r="3" spans="1:21" x14ac:dyDescent="0.25">
      <c r="A3" s="22" t="s">
        <v>71</v>
      </c>
      <c r="B3" s="72"/>
      <c r="C3" s="4"/>
      <c r="D3" s="3"/>
      <c r="E3" s="3"/>
      <c r="F3" s="3"/>
      <c r="G3" s="72"/>
      <c r="H3" s="161"/>
      <c r="I3" s="3"/>
      <c r="J3" s="3"/>
      <c r="K3" s="3"/>
      <c r="L3" s="72"/>
      <c r="M3" s="3"/>
      <c r="O3" s="11" t="s">
        <v>58</v>
      </c>
      <c r="Q3" s="396">
        <f>IF(Q2=0, Q4, (F18-K18-M18)/Q2)</f>
        <v>18.71</v>
      </c>
      <c r="T3" s="1"/>
    </row>
    <row r="4" spans="1:21" x14ac:dyDescent="0.25">
      <c r="B4" s="72"/>
      <c r="C4" s="4"/>
      <c r="D4" s="3"/>
      <c r="E4" s="3"/>
      <c r="F4" s="3"/>
      <c r="G4" s="72"/>
      <c r="H4" s="161"/>
      <c r="I4" s="3"/>
      <c r="J4" s="3"/>
      <c r="K4" s="3"/>
      <c r="L4" s="4"/>
      <c r="M4" s="4"/>
      <c r="O4" s="11" t="s">
        <v>66</v>
      </c>
      <c r="Q4" s="54">
        <v>18.71</v>
      </c>
      <c r="R4" s="405">
        <v>6.0000000000000001E-3</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309.26000000000022</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H10" s="70"/>
      <c r="O10" s="11" t="s">
        <v>203</v>
      </c>
      <c r="P10" s="33"/>
      <c r="Q10" s="2">
        <f>M73</f>
        <v>309.26000000000022</v>
      </c>
    </row>
    <row r="11" spans="1:21" x14ac:dyDescent="0.25">
      <c r="H11" s="70"/>
      <c r="O11" s="11" t="s">
        <v>175</v>
      </c>
      <c r="P11" s="33"/>
      <c r="Q11" s="134">
        <v>8.8000000000000005E-3</v>
      </c>
    </row>
    <row r="12" spans="1:21" x14ac:dyDescent="0.25">
      <c r="H12" s="70"/>
    </row>
    <row r="13" spans="1:21" x14ac:dyDescent="0.25">
      <c r="H13" s="70"/>
    </row>
    <row r="14" spans="1:21" x14ac:dyDescent="0.25">
      <c r="H14" s="70"/>
    </row>
    <row r="15" spans="1:21" x14ac:dyDescent="0.25">
      <c r="H15" s="70"/>
    </row>
    <row r="16" spans="1:21" x14ac:dyDescent="0.25">
      <c r="H16" s="70"/>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v>42843</v>
      </c>
      <c r="C25" s="10">
        <v>100</v>
      </c>
      <c r="D25" s="39">
        <v>24.68</v>
      </c>
      <c r="E25" s="39">
        <v>25.8</v>
      </c>
      <c r="F25" s="39">
        <f>C25*(E25-D25)</f>
        <v>112.0000000000001</v>
      </c>
      <c r="G25" s="39">
        <f>D25*C25</f>
        <v>2468</v>
      </c>
      <c r="H25" s="179">
        <f>(E25-D25)/D25</f>
        <v>4.5380875202593235E-2</v>
      </c>
      <c r="I25" s="39"/>
    </row>
    <row r="26" spans="1:13" x14ac:dyDescent="0.25">
      <c r="B26" s="164">
        <v>42874</v>
      </c>
      <c r="C26" s="10"/>
      <c r="D26" s="39"/>
      <c r="E26" s="39"/>
      <c r="F26" s="39">
        <v>303.26</v>
      </c>
      <c r="G26" s="39"/>
      <c r="H26" s="179"/>
      <c r="I26" s="39"/>
    </row>
    <row r="27" spans="1:13" x14ac:dyDescent="0.25">
      <c r="B27" s="164"/>
      <c r="C27" s="10"/>
      <c r="D27" s="39"/>
      <c r="E27" s="39"/>
      <c r="F27" s="39"/>
      <c r="G27" s="39"/>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1" spans="1:13" x14ac:dyDescent="0.25">
      <c r="B31" s="164"/>
      <c r="C31" s="10"/>
      <c r="D31" s="39"/>
      <c r="E31" s="39"/>
      <c r="F31" s="39"/>
      <c r="G31" s="39"/>
      <c r="H31" s="179"/>
      <c r="I31" s="39"/>
    </row>
    <row r="32" spans="1:13" x14ac:dyDescent="0.25">
      <c r="B32" s="164"/>
      <c r="C32" s="10"/>
      <c r="D32" s="39"/>
      <c r="E32" s="39"/>
      <c r="F32" s="39"/>
      <c r="G32" s="39"/>
      <c r="H32" s="179"/>
      <c r="I32" s="39"/>
    </row>
    <row r="33" spans="2:21" x14ac:dyDescent="0.25">
      <c r="B33" s="164"/>
      <c r="C33" s="10"/>
      <c r="D33" s="39"/>
      <c r="E33" s="39"/>
      <c r="F33" s="39"/>
      <c r="G33" s="39"/>
      <c r="H33" s="179"/>
      <c r="I33" s="39"/>
    </row>
    <row r="34" spans="2:21" x14ac:dyDescent="0.25">
      <c r="B34" s="164"/>
      <c r="C34" s="10"/>
      <c r="D34" s="39"/>
      <c r="E34" s="39"/>
      <c r="F34" s="39"/>
      <c r="G34" s="39"/>
      <c r="H34" s="179"/>
      <c r="I34" s="39"/>
    </row>
    <row r="35" spans="2:21" x14ac:dyDescent="0.25">
      <c r="B35" s="164"/>
      <c r="C35" s="10"/>
      <c r="D35" s="39"/>
      <c r="E35" s="39"/>
      <c r="F35" s="39"/>
      <c r="G35" s="39"/>
      <c r="H35" s="179"/>
      <c r="I35" s="39"/>
    </row>
    <row r="36" spans="2:21" x14ac:dyDescent="0.25">
      <c r="B36" s="164"/>
      <c r="C36" s="10"/>
      <c r="D36" s="39"/>
      <c r="E36" s="39"/>
      <c r="F36" s="39"/>
      <c r="G36" s="39"/>
      <c r="H36" s="179"/>
      <c r="I36" s="39"/>
    </row>
    <row r="37" spans="2:21" x14ac:dyDescent="0.25">
      <c r="B37" s="164"/>
      <c r="C37" s="10"/>
      <c r="D37" s="39"/>
      <c r="E37" s="39"/>
      <c r="F37" s="39"/>
      <c r="G37" s="39"/>
      <c r="H37" s="179"/>
      <c r="I37" s="39"/>
    </row>
    <row r="38" spans="2:21" x14ac:dyDescent="0.25">
      <c r="B38" s="164"/>
      <c r="C38" s="10"/>
      <c r="D38" s="39"/>
      <c r="E38" s="39"/>
      <c r="F38" s="39"/>
      <c r="G38" s="39"/>
      <c r="H38" s="179"/>
      <c r="I38" s="39"/>
    </row>
    <row r="39" spans="2:21" x14ac:dyDescent="0.25">
      <c r="B39" s="164"/>
      <c r="C39" s="10"/>
      <c r="D39" s="39"/>
      <c r="E39" s="39"/>
      <c r="F39" s="39"/>
      <c r="G39" s="39"/>
      <c r="H39" s="179"/>
      <c r="I39" s="39"/>
    </row>
    <row r="40" spans="2:21" ht="20.25" thickBot="1" x14ac:dyDescent="0.35">
      <c r="B40" s="164"/>
      <c r="C40" s="10"/>
      <c r="D40" s="39"/>
      <c r="E40" s="39"/>
      <c r="F40" s="39"/>
      <c r="G40" s="39"/>
      <c r="H40" s="179"/>
      <c r="I40" s="39"/>
      <c r="O40" s="884" t="s">
        <v>78</v>
      </c>
      <c r="P40" s="884"/>
    </row>
    <row r="41" spans="2:21" ht="15.75" thickTop="1" x14ac:dyDescent="0.25">
      <c r="B41" s="164"/>
      <c r="C41" s="10"/>
      <c r="D41" s="39"/>
      <c r="E41" s="39"/>
      <c r="F41" s="39"/>
      <c r="G41" s="39"/>
      <c r="H41" s="179"/>
      <c r="I41" s="39"/>
      <c r="O41" s="81">
        <v>1.1000000000000001</v>
      </c>
      <c r="P41" s="81">
        <f>O41*$Q$4</f>
        <v>20.581000000000003</v>
      </c>
      <c r="Q41" s="2"/>
    </row>
    <row r="42" spans="2:21" ht="20.25" thickBot="1" x14ac:dyDescent="0.35">
      <c r="B42" s="164"/>
      <c r="C42" s="10"/>
      <c r="D42" s="39"/>
      <c r="E42" s="39"/>
      <c r="F42" s="39"/>
      <c r="G42" s="39"/>
      <c r="H42" s="179"/>
      <c r="I42" s="39"/>
      <c r="O42" s="81">
        <v>1.0900000000000001</v>
      </c>
      <c r="P42" s="81">
        <f t="shared" ref="P42:P61" si="0">O42*$Q$4</f>
        <v>20.393900000000002</v>
      </c>
      <c r="Q42" s="2"/>
      <c r="T42" s="89" t="s">
        <v>112</v>
      </c>
    </row>
    <row r="43" spans="2:21" ht="15.75" thickTop="1" x14ac:dyDescent="0.25">
      <c r="B43" s="164"/>
      <c r="C43" s="10"/>
      <c r="D43" s="39"/>
      <c r="E43" s="39"/>
      <c r="F43" s="39"/>
      <c r="G43" s="39"/>
      <c r="H43" s="179"/>
      <c r="I43" s="39"/>
      <c r="O43" s="81">
        <v>1.08</v>
      </c>
      <c r="P43" s="81">
        <f t="shared" si="0"/>
        <v>20.206800000000001</v>
      </c>
      <c r="Q43" s="2"/>
      <c r="T43" s="125"/>
      <c r="U43" s="126"/>
    </row>
    <row r="44" spans="2:21" x14ac:dyDescent="0.25">
      <c r="B44" s="164"/>
      <c r="C44" s="10"/>
      <c r="D44" s="39"/>
      <c r="E44" s="39"/>
      <c r="F44" s="39"/>
      <c r="G44" s="39"/>
      <c r="H44" s="179"/>
      <c r="I44" s="39"/>
      <c r="O44" s="81">
        <v>1.07</v>
      </c>
      <c r="P44" s="81">
        <f t="shared" si="0"/>
        <v>20.019700000000004</v>
      </c>
      <c r="Q44" s="2"/>
      <c r="T44" s="91"/>
      <c r="U44" s="127"/>
    </row>
    <row r="45" spans="2:21" x14ac:dyDescent="0.25">
      <c r="B45" s="164"/>
      <c r="C45" s="10"/>
      <c r="D45" s="39"/>
      <c r="E45" s="39"/>
      <c r="F45" s="39"/>
      <c r="G45" s="39"/>
      <c r="H45" s="179"/>
      <c r="I45" s="39"/>
      <c r="O45" s="81">
        <v>1.06</v>
      </c>
      <c r="P45" s="81">
        <f t="shared" si="0"/>
        <v>19.832600000000003</v>
      </c>
      <c r="Q45" s="2"/>
      <c r="T45" s="91"/>
      <c r="U45" s="127"/>
    </row>
    <row r="46" spans="2:21" x14ac:dyDescent="0.25">
      <c r="B46" s="164"/>
      <c r="C46" s="10"/>
      <c r="D46" s="39"/>
      <c r="E46" s="39"/>
      <c r="F46" s="39"/>
      <c r="G46" s="39"/>
      <c r="H46" s="179"/>
      <c r="I46" s="39"/>
      <c r="O46" s="81">
        <v>1.05</v>
      </c>
      <c r="P46" s="81">
        <f t="shared" si="0"/>
        <v>19.645500000000002</v>
      </c>
      <c r="Q46" s="2"/>
      <c r="T46" s="91"/>
      <c r="U46" s="127"/>
    </row>
    <row r="47" spans="2:21" x14ac:dyDescent="0.25">
      <c r="B47" s="164"/>
      <c r="C47" s="10"/>
      <c r="D47" s="39"/>
      <c r="E47" s="39"/>
      <c r="F47" s="39"/>
      <c r="G47" s="39"/>
      <c r="H47" s="179"/>
      <c r="I47" s="39"/>
      <c r="O47" s="81">
        <v>1.04</v>
      </c>
      <c r="P47" s="81">
        <f t="shared" si="0"/>
        <v>19.458400000000001</v>
      </c>
      <c r="Q47" s="2"/>
      <c r="T47" s="91"/>
      <c r="U47" s="127"/>
    </row>
    <row r="48" spans="2:21" x14ac:dyDescent="0.25">
      <c r="B48" s="164"/>
      <c r="C48" s="10"/>
      <c r="D48" s="39"/>
      <c r="E48" s="39"/>
      <c r="F48" s="39"/>
      <c r="G48" s="39"/>
      <c r="H48" s="179"/>
      <c r="I48" s="39"/>
      <c r="O48" s="81">
        <v>1.03</v>
      </c>
      <c r="P48" s="81">
        <f t="shared" si="0"/>
        <v>19.2713</v>
      </c>
      <c r="Q48" s="2"/>
      <c r="T48" s="91"/>
      <c r="U48" s="127"/>
    </row>
    <row r="49" spans="1:21" x14ac:dyDescent="0.25">
      <c r="B49" s="164"/>
      <c r="C49" s="10"/>
      <c r="D49" s="39"/>
      <c r="E49" s="39"/>
      <c r="F49" s="39"/>
      <c r="G49" s="39"/>
      <c r="H49" s="179"/>
      <c r="I49" s="39"/>
      <c r="O49" s="81">
        <v>1.02</v>
      </c>
      <c r="P49" s="81">
        <f t="shared" si="0"/>
        <v>19.084200000000003</v>
      </c>
      <c r="Q49" s="2"/>
      <c r="T49" s="91"/>
      <c r="U49" s="127"/>
    </row>
    <row r="50" spans="1:21" x14ac:dyDescent="0.25">
      <c r="B50" s="164"/>
      <c r="C50" s="10"/>
      <c r="D50" s="39"/>
      <c r="E50" s="39"/>
      <c r="F50" s="39"/>
      <c r="G50" s="39"/>
      <c r="H50" s="179"/>
      <c r="I50" s="39"/>
      <c r="O50" s="81">
        <v>1.01</v>
      </c>
      <c r="P50" s="81">
        <f t="shared" si="0"/>
        <v>18.897100000000002</v>
      </c>
      <c r="Q50" s="2"/>
      <c r="T50" s="91"/>
      <c r="U50" s="127"/>
    </row>
    <row r="51" spans="1:21" x14ac:dyDescent="0.25">
      <c r="B51" s="164"/>
      <c r="C51" s="10"/>
      <c r="D51" s="39"/>
      <c r="E51" s="39"/>
      <c r="F51" s="39"/>
      <c r="G51" s="39"/>
      <c r="H51" s="179"/>
      <c r="I51" s="39"/>
      <c r="O51" s="81">
        <v>1</v>
      </c>
      <c r="P51" s="81">
        <f t="shared" si="0"/>
        <v>18.71</v>
      </c>
      <c r="Q51" s="2"/>
      <c r="T51" s="91"/>
      <c r="U51" s="127"/>
    </row>
    <row r="52" spans="1:21" x14ac:dyDescent="0.25">
      <c r="B52" s="164"/>
      <c r="C52" s="10"/>
      <c r="D52" s="39"/>
      <c r="E52" s="39"/>
      <c r="F52" s="39"/>
      <c r="G52" s="39"/>
      <c r="H52" s="179"/>
      <c r="I52" s="39"/>
      <c r="O52" s="81">
        <v>0.99</v>
      </c>
      <c r="P52" s="81">
        <f t="shared" si="0"/>
        <v>18.5229</v>
      </c>
      <c r="Q52" s="2"/>
      <c r="T52" s="91"/>
      <c r="U52" s="127"/>
    </row>
    <row r="53" spans="1:21" x14ac:dyDescent="0.25">
      <c r="B53" s="164"/>
      <c r="C53" s="10"/>
      <c r="D53" s="39"/>
      <c r="E53" s="39"/>
      <c r="F53" s="39"/>
      <c r="G53" s="39"/>
      <c r="H53" s="179"/>
      <c r="I53" s="39"/>
      <c r="O53" s="81">
        <v>0.98</v>
      </c>
      <c r="P53" s="81">
        <f t="shared" si="0"/>
        <v>18.335799999999999</v>
      </c>
      <c r="Q53" s="2"/>
      <c r="T53" s="91"/>
      <c r="U53" s="128"/>
    </row>
    <row r="54" spans="1:21" x14ac:dyDescent="0.25">
      <c r="A54" s="4"/>
      <c r="B54" s="164"/>
      <c r="C54" s="10"/>
      <c r="D54" s="39"/>
      <c r="E54" s="39"/>
      <c r="F54" s="39"/>
      <c r="G54" s="39"/>
      <c r="H54" s="179"/>
      <c r="I54" s="39"/>
      <c r="K54" s="3"/>
      <c r="L54" s="4"/>
      <c r="O54" s="81">
        <v>0.97</v>
      </c>
      <c r="P54" s="81">
        <f t="shared" si="0"/>
        <v>18.148700000000002</v>
      </c>
      <c r="T54" s="91"/>
      <c r="U54" s="128"/>
    </row>
    <row r="55" spans="1:21" x14ac:dyDescent="0.25">
      <c r="A55" s="4"/>
      <c r="B55" s="164"/>
      <c r="C55" s="10"/>
      <c r="D55" s="39"/>
      <c r="E55" s="39"/>
      <c r="F55" s="39"/>
      <c r="G55" s="39"/>
      <c r="H55" s="179"/>
      <c r="I55" s="39"/>
      <c r="K55" s="3"/>
      <c r="L55" s="4"/>
      <c r="O55" s="81">
        <v>0.96</v>
      </c>
      <c r="P55" s="81">
        <f t="shared" si="0"/>
        <v>17.961600000000001</v>
      </c>
      <c r="T55" s="91"/>
      <c r="U55" s="127"/>
    </row>
    <row r="56" spans="1:21" x14ac:dyDescent="0.25">
      <c r="A56" s="4"/>
      <c r="B56" s="164"/>
      <c r="C56" s="10"/>
      <c r="D56" s="39"/>
      <c r="E56" s="39"/>
      <c r="F56" s="39"/>
      <c r="G56" s="39"/>
      <c r="H56" s="179"/>
      <c r="I56" s="39"/>
      <c r="K56" s="3"/>
      <c r="L56" s="4"/>
      <c r="O56" s="81">
        <v>0.95</v>
      </c>
      <c r="P56" s="81">
        <f t="shared" si="0"/>
        <v>17.7745</v>
      </c>
      <c r="T56" s="91"/>
      <c r="U56" s="127"/>
    </row>
    <row r="57" spans="1:21" x14ac:dyDescent="0.25">
      <c r="A57" s="4"/>
      <c r="B57" s="72"/>
      <c r="C57" s="4"/>
      <c r="D57" s="3"/>
      <c r="E57" s="3"/>
      <c r="F57" s="3"/>
      <c r="G57" s="3"/>
      <c r="H57" s="216"/>
      <c r="I57" s="3"/>
      <c r="J57" s="3"/>
      <c r="K57" s="3"/>
      <c r="L57" s="4"/>
      <c r="O57" s="81">
        <v>0.94</v>
      </c>
      <c r="P57" s="81">
        <f t="shared" si="0"/>
        <v>17.587399999999999</v>
      </c>
      <c r="T57" s="91"/>
      <c r="U57" s="127"/>
    </row>
    <row r="58" spans="1:21" x14ac:dyDescent="0.25">
      <c r="A58" s="4"/>
      <c r="B58" s="72"/>
      <c r="C58" s="4"/>
      <c r="D58" s="3"/>
      <c r="E58" s="3"/>
      <c r="F58" s="3"/>
      <c r="G58" s="3"/>
      <c r="H58" s="216"/>
      <c r="I58" s="3"/>
      <c r="J58" s="3"/>
      <c r="K58" s="3"/>
      <c r="L58" s="4"/>
      <c r="O58" s="81">
        <v>0.93</v>
      </c>
      <c r="P58" s="81">
        <f t="shared" si="0"/>
        <v>17.400300000000001</v>
      </c>
      <c r="T58" s="91"/>
      <c r="U58" s="127"/>
    </row>
    <row r="59" spans="1:21" x14ac:dyDescent="0.25">
      <c r="A59" s="4"/>
      <c r="B59" s="72"/>
      <c r="C59" s="4"/>
      <c r="D59" s="3"/>
      <c r="E59" s="3"/>
      <c r="F59" s="3"/>
      <c r="G59" s="3"/>
      <c r="H59" s="216"/>
      <c r="I59" s="3"/>
      <c r="J59" s="3"/>
      <c r="K59" s="3"/>
      <c r="L59" s="4"/>
      <c r="O59" s="81">
        <v>0.92</v>
      </c>
      <c r="P59" s="81">
        <f t="shared" si="0"/>
        <v>17.213200000000001</v>
      </c>
    </row>
    <row r="60" spans="1:21" x14ac:dyDescent="0.25">
      <c r="A60" s="4"/>
      <c r="B60" s="72"/>
      <c r="C60" s="4"/>
      <c r="D60" s="3"/>
      <c r="E60" s="3"/>
      <c r="F60" s="3"/>
      <c r="G60" s="3"/>
      <c r="H60" s="216"/>
      <c r="I60" s="3"/>
      <c r="J60" s="3"/>
      <c r="K60" s="3"/>
      <c r="L60" s="4"/>
      <c r="O60" s="81">
        <v>0.91</v>
      </c>
      <c r="P60" s="81">
        <f t="shared" si="0"/>
        <v>17.026100000000003</v>
      </c>
    </row>
    <row r="61" spans="1:21" x14ac:dyDescent="0.25">
      <c r="A61" s="4"/>
      <c r="B61" s="72"/>
      <c r="C61" s="4"/>
      <c r="D61" s="3"/>
      <c r="E61" s="3"/>
      <c r="F61" s="3"/>
      <c r="G61" s="3"/>
      <c r="H61" s="216"/>
      <c r="I61" s="3"/>
      <c r="J61" s="3"/>
      <c r="K61" s="3"/>
      <c r="L61" s="4"/>
      <c r="O61" s="81">
        <v>0.9</v>
      </c>
      <c r="P61" s="81">
        <f t="shared" si="0"/>
        <v>16.839000000000002</v>
      </c>
    </row>
    <row r="62" spans="1:21" x14ac:dyDescent="0.25">
      <c r="A62" s="4"/>
      <c r="B62" s="72"/>
      <c r="C62" s="4"/>
      <c r="D62" s="3"/>
      <c r="E62" s="3"/>
      <c r="F62" s="3"/>
      <c r="G62" s="3"/>
      <c r="H62" s="216"/>
      <c r="I62" s="3"/>
      <c r="J62" s="3"/>
      <c r="K62" s="3"/>
      <c r="L62" s="4"/>
    </row>
    <row r="63" spans="1:21" x14ac:dyDescent="0.25">
      <c r="A63" s="4"/>
      <c r="B63" s="72"/>
      <c r="C63" s="4"/>
      <c r="D63" s="3"/>
      <c r="E63" s="3"/>
      <c r="F63" s="3"/>
      <c r="G63" s="3"/>
      <c r="H63" s="216"/>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304" t="s">
        <v>1</v>
      </c>
      <c r="B74" s="304" t="s">
        <v>2</v>
      </c>
      <c r="C74" s="304" t="s">
        <v>4</v>
      </c>
      <c r="D74" s="306" t="s">
        <v>5</v>
      </c>
      <c r="E74" s="306" t="s">
        <v>94</v>
      </c>
      <c r="F74" s="306" t="s">
        <v>60</v>
      </c>
      <c r="G74" s="304" t="s">
        <v>3</v>
      </c>
      <c r="H74" s="304" t="s">
        <v>6</v>
      </c>
      <c r="I74" s="306" t="s">
        <v>7</v>
      </c>
      <c r="J74" s="306" t="s">
        <v>95</v>
      </c>
      <c r="K74" s="306" t="s">
        <v>61</v>
      </c>
      <c r="L74" s="304" t="s">
        <v>37</v>
      </c>
      <c r="M74" s="304" t="s">
        <v>38</v>
      </c>
    </row>
    <row r="75" spans="1:13" x14ac:dyDescent="0.25">
      <c r="A75" s="307" t="s">
        <v>649</v>
      </c>
      <c r="B75" s="297">
        <v>42843</v>
      </c>
      <c r="C75" s="298">
        <v>100</v>
      </c>
      <c r="D75" s="299">
        <v>24.68</v>
      </c>
      <c r="E75" s="299">
        <v>0</v>
      </c>
      <c r="F75" s="299">
        <f>C75*D75+E75</f>
        <v>2468</v>
      </c>
      <c r="G75" s="297">
        <v>42874</v>
      </c>
      <c r="H75" s="299">
        <v>100</v>
      </c>
      <c r="I75" s="299">
        <v>27.71</v>
      </c>
      <c r="J75" s="299">
        <v>-0.26</v>
      </c>
      <c r="K75" s="299">
        <f>H75*I75-J75</f>
        <v>2771.26</v>
      </c>
      <c r="L75" s="297">
        <v>42880</v>
      </c>
      <c r="M75" s="299">
        <v>6</v>
      </c>
    </row>
    <row r="76" spans="1:13" x14ac:dyDescent="0.25">
      <c r="A76" s="308" t="s">
        <v>71</v>
      </c>
      <c r="B76" s="297"/>
      <c r="C76" s="298"/>
      <c r="D76" s="299"/>
      <c r="E76" s="299"/>
      <c r="F76" s="299"/>
      <c r="G76" s="297"/>
      <c r="H76" s="302"/>
      <c r="I76" s="299"/>
      <c r="J76" s="299"/>
      <c r="K76" s="299"/>
      <c r="L76" s="297"/>
      <c r="M76" s="299"/>
    </row>
    <row r="77" spans="1:13" x14ac:dyDescent="0.25">
      <c r="A77" s="298"/>
      <c r="B77" s="297"/>
      <c r="C77" s="298"/>
      <c r="D77" s="299"/>
      <c r="E77" s="299"/>
      <c r="F77" s="299"/>
      <c r="G77" s="297"/>
      <c r="H77" s="302"/>
      <c r="I77" s="299"/>
      <c r="J77" s="299"/>
      <c r="K77" s="299"/>
      <c r="L77" s="298"/>
      <c r="M77" s="298"/>
    </row>
    <row r="78" spans="1:13" x14ac:dyDescent="0.25">
      <c r="A78" s="298"/>
      <c r="B78" s="297"/>
      <c r="C78" s="298"/>
      <c r="D78" s="299"/>
      <c r="E78" s="299"/>
      <c r="F78" s="299"/>
      <c r="G78" s="298"/>
      <c r="H78" s="302"/>
      <c r="I78" s="299"/>
      <c r="J78" s="299"/>
      <c r="K78" s="299"/>
      <c r="L78" s="298"/>
      <c r="M78" s="298"/>
    </row>
    <row r="79" spans="1:13" x14ac:dyDescent="0.25">
      <c r="A79" s="298"/>
      <c r="B79" s="297"/>
      <c r="C79" s="298"/>
      <c r="D79" s="299"/>
      <c r="E79" s="299"/>
      <c r="F79" s="299"/>
      <c r="G79" s="298"/>
      <c r="H79" s="302"/>
      <c r="I79" s="299"/>
      <c r="J79" s="299"/>
      <c r="K79" s="299"/>
      <c r="L79" s="298"/>
      <c r="M79" s="298"/>
    </row>
    <row r="80" spans="1:13" x14ac:dyDescent="0.25">
      <c r="A80" s="298"/>
      <c r="B80" s="297"/>
      <c r="C80" s="298"/>
      <c r="D80" s="299"/>
      <c r="E80" s="299"/>
      <c r="F80" s="299"/>
      <c r="G80" s="298"/>
      <c r="H80" s="302"/>
      <c r="I80" s="299"/>
      <c r="J80" s="299"/>
      <c r="K80" s="299"/>
      <c r="L80" s="298"/>
      <c r="M80" s="298"/>
    </row>
    <row r="81" spans="1:13" x14ac:dyDescent="0.25">
      <c r="A81" s="298"/>
      <c r="B81" s="298"/>
      <c r="C81" s="298"/>
      <c r="D81" s="299"/>
      <c r="E81" s="299"/>
      <c r="F81" s="299"/>
      <c r="G81" s="298"/>
      <c r="H81" s="302"/>
      <c r="I81" s="299"/>
      <c r="J81" s="299"/>
      <c r="K81" s="299"/>
      <c r="L81" s="298"/>
      <c r="M81" s="298"/>
    </row>
    <row r="82" spans="1:13" x14ac:dyDescent="0.25">
      <c r="A82" s="298"/>
      <c r="B82" s="298"/>
      <c r="C82" s="298"/>
      <c r="D82" s="299"/>
      <c r="E82" s="299"/>
      <c r="F82" s="299"/>
      <c r="G82" s="298"/>
      <c r="H82" s="302"/>
      <c r="I82" s="299"/>
      <c r="J82" s="299"/>
      <c r="K82" s="299"/>
      <c r="L82" s="298"/>
      <c r="M82" s="298"/>
    </row>
    <row r="83" spans="1:13" x14ac:dyDescent="0.25">
      <c r="A83" s="298"/>
      <c r="B83" s="298"/>
      <c r="C83" s="298"/>
      <c r="D83" s="299"/>
      <c r="E83" s="299"/>
      <c r="F83" s="299"/>
      <c r="G83" s="298"/>
      <c r="H83" s="302"/>
      <c r="I83" s="299"/>
      <c r="J83" s="299"/>
      <c r="K83" s="299"/>
      <c r="L83" s="298"/>
      <c r="M83" s="298"/>
    </row>
    <row r="84" spans="1:13" x14ac:dyDescent="0.25">
      <c r="A84" s="298"/>
      <c r="B84" s="298"/>
      <c r="C84" s="298"/>
      <c r="D84" s="299"/>
      <c r="E84" s="299"/>
      <c r="F84" s="299"/>
      <c r="G84" s="298"/>
      <c r="H84" s="302"/>
      <c r="I84" s="299"/>
      <c r="J84" s="299"/>
      <c r="K84" s="299"/>
      <c r="L84" s="298"/>
      <c r="M84" s="298"/>
    </row>
    <row r="85" spans="1:13" x14ac:dyDescent="0.25">
      <c r="A85" s="298"/>
      <c r="B85" s="298"/>
      <c r="C85" s="298"/>
      <c r="D85" s="299"/>
      <c r="E85" s="299"/>
      <c r="F85" s="299"/>
      <c r="G85" s="298"/>
      <c r="H85" s="302"/>
      <c r="I85" s="299"/>
      <c r="J85" s="299"/>
      <c r="K85" s="299"/>
      <c r="L85" s="298"/>
      <c r="M85" s="298"/>
    </row>
    <row r="86" spans="1:13" x14ac:dyDescent="0.25">
      <c r="A86" s="298"/>
      <c r="B86" s="298"/>
      <c r="C86" s="298"/>
      <c r="D86" s="299"/>
      <c r="E86" s="299"/>
      <c r="F86" s="299"/>
      <c r="G86" s="298"/>
      <c r="H86" s="302"/>
      <c r="I86" s="299"/>
      <c r="J86" s="299"/>
      <c r="K86" s="299"/>
      <c r="L86" s="298"/>
      <c r="M86" s="298"/>
    </row>
    <row r="87" spans="1:13" x14ac:dyDescent="0.25">
      <c r="A87" s="298"/>
      <c r="B87" s="298"/>
      <c r="C87" s="298"/>
      <c r="D87" s="299"/>
      <c r="E87" s="299"/>
      <c r="F87" s="299"/>
      <c r="G87" s="298"/>
      <c r="H87" s="302"/>
      <c r="I87" s="299"/>
      <c r="J87" s="299"/>
      <c r="K87" s="299"/>
      <c r="L87" s="298"/>
      <c r="M87" s="298"/>
    </row>
    <row r="88" spans="1:13" x14ac:dyDescent="0.25">
      <c r="A88" s="298"/>
      <c r="B88" s="298"/>
      <c r="C88" s="298"/>
      <c r="D88" s="299"/>
      <c r="E88" s="299"/>
      <c r="F88" s="299"/>
      <c r="G88" s="298"/>
      <c r="H88" s="302"/>
      <c r="I88" s="299"/>
      <c r="J88" s="299"/>
      <c r="K88" s="299"/>
      <c r="L88" s="298"/>
      <c r="M88" s="298"/>
    </row>
    <row r="89" spans="1:13" x14ac:dyDescent="0.25">
      <c r="A89" s="298"/>
      <c r="B89" s="298"/>
      <c r="C89" s="298"/>
      <c r="D89" s="299"/>
      <c r="E89" s="299"/>
      <c r="F89" s="299"/>
      <c r="G89" s="298"/>
      <c r="H89" s="302"/>
      <c r="I89" s="299"/>
      <c r="J89" s="299"/>
      <c r="K89" s="299"/>
      <c r="L89" s="298"/>
      <c r="M89" s="298"/>
    </row>
    <row r="90" spans="1:13" x14ac:dyDescent="0.25">
      <c r="A90" s="298"/>
      <c r="B90" s="298"/>
      <c r="C90" s="298"/>
      <c r="D90" s="299"/>
      <c r="E90" s="299"/>
      <c r="F90" s="299"/>
      <c r="G90" s="298"/>
      <c r="H90" s="298"/>
      <c r="I90" s="299"/>
      <c r="J90" s="299"/>
      <c r="K90" s="299"/>
      <c r="L90" s="298"/>
      <c r="M90" s="298"/>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262" priority="9">
      <formula>F57&gt;0</formula>
    </cfRule>
    <cfRule type="expression" dxfId="3261" priority="10">
      <formula>F57&lt;0</formula>
    </cfRule>
  </conditionalFormatting>
  <conditionalFormatting sqref="Q7">
    <cfRule type="expression" dxfId="3260" priority="7">
      <formula>Q7&gt;0</formula>
    </cfRule>
    <cfRule type="expression" dxfId="3259" priority="8">
      <formula>Q7&lt;0</formula>
    </cfRule>
  </conditionalFormatting>
  <conditionalFormatting sqref="Q8">
    <cfRule type="expression" dxfId="3258" priority="5">
      <formula>Q8&gt;0</formula>
    </cfRule>
    <cfRule type="expression" dxfId="3257" priority="6">
      <formula>Q8&lt;0</formula>
    </cfRule>
  </conditionalFormatting>
  <conditionalFormatting sqref="F25:F56">
    <cfRule type="expression" dxfId="3256" priority="3">
      <formula>F25&gt;0</formula>
    </cfRule>
    <cfRule type="expression" dxfId="3255" priority="4">
      <formula>F25&lt;0</formula>
    </cfRule>
  </conditionalFormatting>
  <conditionalFormatting sqref="H25:H56">
    <cfRule type="expression" dxfId="3254" priority="1">
      <formula>H25&gt;0</formula>
    </cfRule>
    <cfRule type="expression" dxfId="3253"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1114</v>
      </c>
      <c r="B2" s="368">
        <v>43278</v>
      </c>
      <c r="C2" s="7">
        <v>100</v>
      </c>
      <c r="D2" s="43">
        <v>51.18</v>
      </c>
      <c r="E2" s="43">
        <v>0</v>
      </c>
      <c r="F2" s="43">
        <f t="shared" ref="F2:F6" si="0">C2*D2+E2</f>
        <v>5118</v>
      </c>
      <c r="G2" s="368">
        <v>43339</v>
      </c>
      <c r="H2" s="80">
        <v>100</v>
      </c>
      <c r="I2" s="43">
        <v>53.16</v>
      </c>
      <c r="J2" s="43">
        <v>7.0000000000000007E-2</v>
      </c>
      <c r="K2" s="43">
        <f t="shared" ref="K2:K8" si="1">H2*I2-J2</f>
        <v>5315.93</v>
      </c>
      <c r="L2" s="72">
        <v>43458</v>
      </c>
      <c r="M2" s="43">
        <v>343.45</v>
      </c>
      <c r="O2" s="11" t="s">
        <v>57</v>
      </c>
      <c r="Q2">
        <f>C18-H18</f>
        <v>200</v>
      </c>
      <c r="T2" s="1"/>
    </row>
    <row r="3" spans="1:21" x14ac:dyDescent="0.25">
      <c r="A3" s="22" t="s">
        <v>71</v>
      </c>
      <c r="B3" s="368">
        <v>43325</v>
      </c>
      <c r="C3" s="4">
        <v>100</v>
      </c>
      <c r="D3" s="3">
        <v>51.28</v>
      </c>
      <c r="E3" s="3">
        <v>0</v>
      </c>
      <c r="F3" s="3">
        <f t="shared" si="0"/>
        <v>5128</v>
      </c>
      <c r="G3" s="368">
        <v>43432</v>
      </c>
      <c r="H3" s="80">
        <v>100</v>
      </c>
      <c r="I3" s="43">
        <v>50.04</v>
      </c>
      <c r="J3" s="43">
        <v>7.0000000000000007E-2</v>
      </c>
      <c r="K3" s="43">
        <f t="shared" si="1"/>
        <v>5003.93</v>
      </c>
      <c r="L3" s="4"/>
      <c r="M3" s="4"/>
      <c r="O3" s="11" t="s">
        <v>58</v>
      </c>
      <c r="Q3" s="178">
        <f>IF(Q2=0, Q4, (F18-K18-M18)/Q2)</f>
        <v>45.344200000000001</v>
      </c>
      <c r="T3" s="1"/>
    </row>
    <row r="4" spans="1:21" x14ac:dyDescent="0.25">
      <c r="B4" s="368">
        <v>43327</v>
      </c>
      <c r="C4" s="7">
        <v>100</v>
      </c>
      <c r="D4" s="43">
        <v>49.88</v>
      </c>
      <c r="E4" s="43">
        <v>0</v>
      </c>
      <c r="F4" s="43">
        <f t="shared" si="0"/>
        <v>4988</v>
      </c>
      <c r="G4" s="368">
        <v>43483</v>
      </c>
      <c r="H4" s="80">
        <v>100</v>
      </c>
      <c r="I4" s="43">
        <v>50.104999999999997</v>
      </c>
      <c r="J4" s="43">
        <v>7.0000000000000007E-2</v>
      </c>
      <c r="K4" s="43">
        <f t="shared" si="1"/>
        <v>5010.43</v>
      </c>
      <c r="L4" s="4"/>
      <c r="M4" s="4"/>
      <c r="O4" s="11" t="s">
        <v>66</v>
      </c>
      <c r="Q4" s="54">
        <v>53.38</v>
      </c>
      <c r="R4" s="425">
        <v>7.0000000000000001E-3</v>
      </c>
      <c r="T4" s="693"/>
      <c r="U4" s="30"/>
    </row>
    <row r="5" spans="1:21" x14ac:dyDescent="0.25">
      <c r="B5" s="368">
        <v>43342</v>
      </c>
      <c r="C5" s="7">
        <v>100</v>
      </c>
      <c r="D5" s="43">
        <v>51.8</v>
      </c>
      <c r="E5" s="43">
        <v>0</v>
      </c>
      <c r="F5" s="43">
        <f t="shared" si="0"/>
        <v>5180</v>
      </c>
      <c r="G5" s="368">
        <v>43495</v>
      </c>
      <c r="H5" s="80">
        <v>100</v>
      </c>
      <c r="I5" s="43">
        <v>50.48</v>
      </c>
      <c r="J5" s="43">
        <v>7.0000000000000007E-2</v>
      </c>
      <c r="K5" s="43">
        <f t="shared" si="1"/>
        <v>5047.93</v>
      </c>
      <c r="L5" s="4"/>
      <c r="M5" s="4"/>
      <c r="O5" s="11" t="s">
        <v>67</v>
      </c>
      <c r="Q5" s="3">
        <f>Q4*Q2</f>
        <v>10676</v>
      </c>
    </row>
    <row r="6" spans="1:21" x14ac:dyDescent="0.25">
      <c r="B6" s="368">
        <v>43383</v>
      </c>
      <c r="C6" s="7">
        <v>56</v>
      </c>
      <c r="D6" s="43">
        <v>48.18</v>
      </c>
      <c r="E6" s="43">
        <v>0</v>
      </c>
      <c r="F6" s="43">
        <f t="shared" si="0"/>
        <v>2698.08</v>
      </c>
      <c r="G6" s="368">
        <v>43501</v>
      </c>
      <c r="H6" s="80">
        <v>56</v>
      </c>
      <c r="I6" s="43">
        <v>52.18</v>
      </c>
      <c r="J6" s="43">
        <v>0.04</v>
      </c>
      <c r="K6" s="43">
        <f t="shared" si="1"/>
        <v>2922.04</v>
      </c>
      <c r="L6" s="4"/>
      <c r="M6" s="4"/>
      <c r="O6" s="11" t="s">
        <v>64</v>
      </c>
      <c r="Q6" s="2">
        <f>Q3*Q2</f>
        <v>9068.84</v>
      </c>
    </row>
    <row r="7" spans="1:21" x14ac:dyDescent="0.25">
      <c r="B7" s="72">
        <v>43383</v>
      </c>
      <c r="C7" s="7">
        <v>44</v>
      </c>
      <c r="D7" s="43">
        <v>48.18</v>
      </c>
      <c r="E7" s="43">
        <v>0</v>
      </c>
      <c r="F7" s="43">
        <f t="shared" ref="F7" si="2">C7*D7+E7</f>
        <v>2119.92</v>
      </c>
      <c r="G7" s="368">
        <v>43544</v>
      </c>
      <c r="H7" s="80">
        <v>100</v>
      </c>
      <c r="I7" s="43">
        <v>52.8</v>
      </c>
      <c r="J7" s="43">
        <v>7.0000000000000007E-2</v>
      </c>
      <c r="K7" s="43">
        <f t="shared" si="1"/>
        <v>5279.93</v>
      </c>
      <c r="L7" s="4"/>
      <c r="M7" s="4"/>
      <c r="O7" s="11" t="s">
        <v>177</v>
      </c>
      <c r="Q7" s="2">
        <f>Q10+Q8</f>
        <v>1607.1599999999999</v>
      </c>
      <c r="R7">
        <v>100</v>
      </c>
    </row>
    <row r="8" spans="1:21" x14ac:dyDescent="0.25">
      <c r="B8" s="368">
        <v>43440</v>
      </c>
      <c r="C8" s="7">
        <v>100</v>
      </c>
      <c r="D8" s="43">
        <v>48.08</v>
      </c>
      <c r="E8" s="43">
        <v>0</v>
      </c>
      <c r="F8" s="43">
        <f>C8*D8+E8</f>
        <v>4808</v>
      </c>
      <c r="G8" s="4"/>
      <c r="H8" s="161"/>
      <c r="I8" s="3"/>
      <c r="J8" s="3"/>
      <c r="K8" s="3"/>
      <c r="L8" s="4"/>
      <c r="M8" s="4"/>
      <c r="O8" s="11" t="s">
        <v>179</v>
      </c>
      <c r="P8" s="33"/>
      <c r="Q8" s="2">
        <f>K18+M18-F18+Q2*Q4</f>
        <v>1607.1599999999999</v>
      </c>
    </row>
    <row r="9" spans="1:21" x14ac:dyDescent="0.25">
      <c r="B9" s="72">
        <v>43531</v>
      </c>
      <c r="C9" s="7">
        <v>56</v>
      </c>
      <c r="D9" s="43">
        <v>50.58</v>
      </c>
      <c r="E9" s="43">
        <v>0</v>
      </c>
      <c r="F9" s="43">
        <f>C9*D9+E9</f>
        <v>2832.48</v>
      </c>
      <c r="G9" s="4"/>
      <c r="H9" s="161"/>
      <c r="I9" s="3"/>
      <c r="J9" s="3"/>
      <c r="K9" s="3"/>
      <c r="L9" s="4"/>
      <c r="M9" s="4"/>
      <c r="O9" s="11" t="s">
        <v>204</v>
      </c>
      <c r="Q9" s="134">
        <f>IF(Q2=0, 0, Q8/Q6)</f>
        <v>0.17721781396518185</v>
      </c>
      <c r="T9" s="156"/>
    </row>
    <row r="10" spans="1:21" x14ac:dyDescent="0.25">
      <c r="B10" s="404">
        <v>43546</v>
      </c>
      <c r="C10" s="4">
        <v>100</v>
      </c>
      <c r="D10" s="3">
        <v>51.2</v>
      </c>
      <c r="E10" s="3">
        <v>0</v>
      </c>
      <c r="F10" s="3">
        <f>C10*D10+E10</f>
        <v>5120</v>
      </c>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2.4353690520794304E-2</v>
      </c>
      <c r="R11">
        <v>1.3</v>
      </c>
    </row>
    <row r="12" spans="1:21" x14ac:dyDescent="0.25">
      <c r="H12" s="70"/>
      <c r="O12" s="11" t="s">
        <v>969</v>
      </c>
      <c r="Q12" s="29"/>
    </row>
    <row r="13" spans="1:21" x14ac:dyDescent="0.25">
      <c r="H13" s="70"/>
      <c r="O13" s="11" t="s">
        <v>947</v>
      </c>
    </row>
    <row r="14" spans="1:21" x14ac:dyDescent="0.25">
      <c r="H14" s="70"/>
      <c r="O14" s="11" t="s">
        <v>1012</v>
      </c>
      <c r="Q14" s="1">
        <v>43421</v>
      </c>
    </row>
    <row r="15" spans="1:21" x14ac:dyDescent="0.25">
      <c r="H15" s="70"/>
    </row>
    <row r="16" spans="1:21" x14ac:dyDescent="0.25">
      <c r="H16" s="70"/>
    </row>
    <row r="18" spans="1:13" x14ac:dyDescent="0.25">
      <c r="A18" s="31" t="s">
        <v>81</v>
      </c>
      <c r="B18" s="14"/>
      <c r="C18" s="14">
        <f>SUM(C2:C10)</f>
        <v>756</v>
      </c>
      <c r="D18" s="18"/>
      <c r="E18" s="18"/>
      <c r="F18" s="18">
        <f>SUM(F2:F10)</f>
        <v>37992.480000000003</v>
      </c>
      <c r="G18" s="14"/>
      <c r="H18" s="71">
        <f>SUM(H2:H8)</f>
        <v>556</v>
      </c>
      <c r="I18" s="18"/>
      <c r="J18" s="18"/>
      <c r="K18" s="18">
        <f>SUM(K2:K8)</f>
        <v>28580.190000000002</v>
      </c>
      <c r="L18" s="14"/>
      <c r="M18" s="18">
        <f>SUM(M2:M10)</f>
        <v>343.45</v>
      </c>
    </row>
    <row r="19" spans="1:13" ht="15.75" thickBot="1" x14ac:dyDescent="0.3">
      <c r="A19" s="277" t="s">
        <v>191</v>
      </c>
      <c r="B19" s="278"/>
      <c r="C19" s="279">
        <f>SumByColor($A$19,C2:C17)</f>
        <v>556</v>
      </c>
      <c r="D19" s="279"/>
      <c r="E19" s="279"/>
      <c r="F19" s="280">
        <f>SumByColor($A$19,F2:F17)</f>
        <v>27744</v>
      </c>
      <c r="G19" s="279"/>
      <c r="H19" s="279">
        <f>SumByColor($A$19,H2:H17)</f>
        <v>556</v>
      </c>
      <c r="I19" s="279"/>
      <c r="J19" s="279"/>
      <c r="K19" s="280">
        <f>SumByColor($A$19,K2:K17)</f>
        <v>28580</v>
      </c>
      <c r="L19" s="279"/>
      <c r="M19" s="280">
        <f>SumByColor($A$19,M2:M17)</f>
        <v>343</v>
      </c>
    </row>
    <row r="24" spans="1:13" x14ac:dyDescent="0.25">
      <c r="B24" s="162" t="s">
        <v>113</v>
      </c>
      <c r="C24" s="162" t="s">
        <v>145</v>
      </c>
      <c r="D24" s="163" t="s">
        <v>144</v>
      </c>
      <c r="E24" s="165" t="s">
        <v>146</v>
      </c>
      <c r="F24" s="166" t="s">
        <v>65</v>
      </c>
      <c r="G24" s="177" t="s">
        <v>150</v>
      </c>
      <c r="H24" s="166" t="s">
        <v>88</v>
      </c>
      <c r="I24" s="177" t="s">
        <v>153</v>
      </c>
      <c r="J24" s="177" t="s">
        <v>487</v>
      </c>
      <c r="K24" s="177" t="s">
        <v>149</v>
      </c>
      <c r="L24" s="177" t="s">
        <v>149</v>
      </c>
    </row>
    <row r="25" spans="1:13" x14ac:dyDescent="0.25">
      <c r="B25" s="164">
        <v>43278</v>
      </c>
      <c r="C25" s="185">
        <v>100</v>
      </c>
      <c r="D25" s="186">
        <v>51.18</v>
      </c>
      <c r="E25" s="39">
        <v>51.25</v>
      </c>
      <c r="F25" s="39">
        <f t="shared" ref="F25:F30" si="3">C25*(E25-D25)</f>
        <v>7.0000000000000284</v>
      </c>
      <c r="G25" s="39">
        <f t="shared" ref="G25:G30" si="4">D25*C25</f>
        <v>5118</v>
      </c>
      <c r="H25" s="179">
        <f t="shared" ref="H25:H30" si="5">(E25-D25)/D25</f>
        <v>1.3677217663149723E-3</v>
      </c>
      <c r="I25" s="39"/>
      <c r="J25" s="39"/>
      <c r="K25" s="39"/>
      <c r="L25" s="39"/>
    </row>
    <row r="26" spans="1:13" x14ac:dyDescent="0.25">
      <c r="A26" s="1"/>
      <c r="B26" s="164">
        <v>43312</v>
      </c>
      <c r="C26" s="10">
        <v>100</v>
      </c>
      <c r="D26" s="39">
        <v>51.18</v>
      </c>
      <c r="E26" s="39">
        <v>54.1</v>
      </c>
      <c r="F26" s="39">
        <f t="shared" si="3"/>
        <v>292.00000000000017</v>
      </c>
      <c r="G26" s="39">
        <f t="shared" si="4"/>
        <v>5118</v>
      </c>
      <c r="H26" s="179">
        <f t="shared" si="5"/>
        <v>5.705353653771008E-2</v>
      </c>
      <c r="I26" s="39"/>
      <c r="J26" s="39"/>
      <c r="K26" s="39"/>
      <c r="L26" s="39"/>
    </row>
    <row r="27" spans="1:13" x14ac:dyDescent="0.25">
      <c r="B27" s="164">
        <v>43316</v>
      </c>
      <c r="C27" s="10">
        <v>100</v>
      </c>
      <c r="D27" s="39">
        <v>51.18</v>
      </c>
      <c r="E27" s="39">
        <v>53.45</v>
      </c>
      <c r="F27" s="39">
        <f t="shared" si="3"/>
        <v>227.00000000000031</v>
      </c>
      <c r="G27" s="39">
        <f t="shared" si="4"/>
        <v>5118</v>
      </c>
      <c r="H27" s="179">
        <f t="shared" si="5"/>
        <v>4.4353262993356839E-2</v>
      </c>
      <c r="I27" s="39"/>
      <c r="J27" s="39"/>
      <c r="K27" s="39"/>
      <c r="L27" s="155"/>
    </row>
    <row r="28" spans="1:13" x14ac:dyDescent="0.25">
      <c r="B28" s="164">
        <v>43325</v>
      </c>
      <c r="C28" s="10">
        <v>100</v>
      </c>
      <c r="D28" s="39">
        <v>51.23</v>
      </c>
      <c r="E28" s="39">
        <v>51.38</v>
      </c>
      <c r="F28" s="39">
        <f t="shared" si="3"/>
        <v>15.000000000000568</v>
      </c>
      <c r="G28" s="39">
        <f t="shared" si="4"/>
        <v>5123</v>
      </c>
      <c r="H28" s="179">
        <f t="shared" si="5"/>
        <v>2.9279718914699531E-3</v>
      </c>
      <c r="I28" s="39"/>
      <c r="J28" s="39"/>
      <c r="K28" s="39"/>
      <c r="L28" s="155"/>
    </row>
    <row r="29" spans="1:13" x14ac:dyDescent="0.25">
      <c r="B29" s="164">
        <v>43326</v>
      </c>
      <c r="C29" s="10">
        <v>200</v>
      </c>
      <c r="D29" s="39">
        <v>51.23</v>
      </c>
      <c r="E29" s="39">
        <v>51.71</v>
      </c>
      <c r="F29" s="39">
        <f t="shared" si="3"/>
        <v>96.000000000000796</v>
      </c>
      <c r="G29" s="39">
        <f t="shared" si="4"/>
        <v>10246</v>
      </c>
      <c r="H29" s="179">
        <f t="shared" si="5"/>
        <v>9.3695100527035717E-3</v>
      </c>
      <c r="I29" s="39"/>
      <c r="J29" s="39"/>
      <c r="K29" s="39"/>
      <c r="L29" s="155"/>
    </row>
    <row r="30" spans="1:13" x14ac:dyDescent="0.25">
      <c r="B30" s="164">
        <v>43327</v>
      </c>
      <c r="C30" s="10">
        <v>300</v>
      </c>
      <c r="D30" s="39">
        <v>50.78</v>
      </c>
      <c r="E30" s="39">
        <v>50.29</v>
      </c>
      <c r="F30" s="39">
        <f t="shared" si="3"/>
        <v>-147.0000000000006</v>
      </c>
      <c r="G30" s="39">
        <f t="shared" si="4"/>
        <v>15234</v>
      </c>
      <c r="H30" s="179">
        <f t="shared" si="5"/>
        <v>-9.6494682946042139E-3</v>
      </c>
      <c r="I30" s="39"/>
      <c r="J30" s="39"/>
      <c r="K30" s="39"/>
      <c r="L30" s="155"/>
    </row>
    <row r="31" spans="1:13" x14ac:dyDescent="0.25">
      <c r="B31" s="164">
        <v>43328</v>
      </c>
      <c r="C31" s="10">
        <v>300</v>
      </c>
      <c r="D31" s="39">
        <v>50.78</v>
      </c>
      <c r="E31" s="39">
        <v>50.62</v>
      </c>
      <c r="F31" s="39">
        <f>C31*(E31-D31)</f>
        <v>-48.000000000001108</v>
      </c>
      <c r="G31" s="39">
        <f>D31*C31</f>
        <v>15234</v>
      </c>
      <c r="H31" s="179">
        <f>(E31-D31)/D31</f>
        <v>-3.1508467900749054E-3</v>
      </c>
      <c r="I31" s="39"/>
      <c r="J31" s="39"/>
      <c r="K31" s="39"/>
      <c r="L31" s="155"/>
    </row>
    <row r="32" spans="1:13" x14ac:dyDescent="0.25">
      <c r="B32" s="164">
        <v>43329</v>
      </c>
      <c r="C32" s="10">
        <v>300</v>
      </c>
      <c r="D32" s="39">
        <v>50.78</v>
      </c>
      <c r="E32" s="39">
        <v>51.11</v>
      </c>
      <c r="F32" s="39">
        <f t="shared" ref="F32:F38" si="6">C32*(E32-D32)</f>
        <v>98.999999999999488</v>
      </c>
      <c r="G32" s="39">
        <f t="shared" ref="G32:G38" si="7">D32*C32</f>
        <v>15234</v>
      </c>
      <c r="H32" s="179">
        <f t="shared" ref="H32:H38" si="8">(E32-D32)/D32</f>
        <v>6.4986215045293085E-3</v>
      </c>
      <c r="I32" s="39"/>
      <c r="J32" s="39"/>
      <c r="K32" s="39"/>
      <c r="L32" s="155"/>
    </row>
    <row r="33" spans="1:17" x14ac:dyDescent="0.25">
      <c r="A33">
        <v>100</v>
      </c>
      <c r="B33" s="164">
        <v>43337</v>
      </c>
      <c r="C33" s="7">
        <v>300</v>
      </c>
      <c r="D33" s="43">
        <v>50.78</v>
      </c>
      <c r="E33" s="39">
        <v>52.39</v>
      </c>
      <c r="F33" s="39">
        <f t="shared" si="6"/>
        <v>482.99999999999983</v>
      </c>
      <c r="G33" s="39">
        <f t="shared" si="7"/>
        <v>15234</v>
      </c>
      <c r="H33" s="179">
        <f t="shared" si="8"/>
        <v>3.1705395825127991E-2</v>
      </c>
      <c r="I33" s="39">
        <v>50</v>
      </c>
      <c r="J33" s="39"/>
      <c r="K33" s="39"/>
      <c r="L33" s="155"/>
    </row>
    <row r="34" spans="1:17" x14ac:dyDescent="0.25">
      <c r="A34">
        <v>0</v>
      </c>
      <c r="B34" s="164">
        <v>43339</v>
      </c>
      <c r="C34" s="10">
        <v>200</v>
      </c>
      <c r="D34" s="39">
        <v>49.590400000000002</v>
      </c>
      <c r="E34" s="39">
        <v>53.16</v>
      </c>
      <c r="F34" s="778">
        <f t="shared" si="6"/>
        <v>713.91999999999882</v>
      </c>
      <c r="G34" s="39">
        <f t="shared" si="7"/>
        <v>9918.08</v>
      </c>
      <c r="H34" s="179">
        <f t="shared" si="8"/>
        <v>7.1981673872362276E-2</v>
      </c>
      <c r="I34" s="39"/>
      <c r="J34" s="39"/>
      <c r="K34" s="39"/>
      <c r="L34" s="155"/>
    </row>
    <row r="35" spans="1:17" x14ac:dyDescent="0.25">
      <c r="A35" s="1">
        <v>43356</v>
      </c>
      <c r="B35" s="164">
        <v>43342</v>
      </c>
      <c r="C35" s="7">
        <v>300</v>
      </c>
      <c r="D35" s="43">
        <v>50.326900000000002</v>
      </c>
      <c r="E35" s="39">
        <v>51.91</v>
      </c>
      <c r="F35" s="39">
        <f t="shared" si="6"/>
        <v>474.92999999999836</v>
      </c>
      <c r="G35" s="39">
        <f t="shared" si="7"/>
        <v>15098.07</v>
      </c>
      <c r="H35" s="179">
        <f t="shared" si="8"/>
        <v>3.1456338459153944E-2</v>
      </c>
      <c r="I35" s="39">
        <v>50</v>
      </c>
      <c r="J35" s="39"/>
      <c r="K35" s="39"/>
      <c r="L35" s="155"/>
    </row>
    <row r="36" spans="1:17" x14ac:dyDescent="0.25">
      <c r="B36" s="164">
        <v>43343</v>
      </c>
      <c r="C36" s="10">
        <v>300</v>
      </c>
      <c r="D36" s="39">
        <v>50.33</v>
      </c>
      <c r="E36" s="39">
        <v>52.31</v>
      </c>
      <c r="F36" s="39">
        <f t="shared" si="6"/>
        <v>594.00000000000114</v>
      </c>
      <c r="G36" s="39">
        <f t="shared" si="7"/>
        <v>15099</v>
      </c>
      <c r="H36" s="179">
        <f t="shared" si="8"/>
        <v>3.9340353665805766E-2</v>
      </c>
      <c r="I36" s="39">
        <v>50</v>
      </c>
      <c r="J36" s="39"/>
      <c r="K36" s="39"/>
      <c r="L36" s="39"/>
    </row>
    <row r="37" spans="1:17" x14ac:dyDescent="0.25">
      <c r="B37" s="164">
        <v>43348</v>
      </c>
      <c r="C37" s="10">
        <v>300</v>
      </c>
      <c r="D37" s="39">
        <v>50.326900000000002</v>
      </c>
      <c r="E37" s="39">
        <v>50.54</v>
      </c>
      <c r="F37" s="39">
        <f t="shared" si="6"/>
        <v>63.929999999999154</v>
      </c>
      <c r="G37" s="39">
        <f t="shared" si="7"/>
        <v>15098.07</v>
      </c>
      <c r="H37" s="179">
        <f t="shared" si="8"/>
        <v>4.2343160417191838E-3</v>
      </c>
      <c r="I37" s="39"/>
      <c r="J37" s="39"/>
      <c r="K37" s="39"/>
      <c r="L37" s="39"/>
    </row>
    <row r="38" spans="1:17" x14ac:dyDescent="0.25">
      <c r="B38" s="164">
        <v>43352</v>
      </c>
      <c r="C38" s="10">
        <v>300</v>
      </c>
      <c r="D38" s="39">
        <v>50.33</v>
      </c>
      <c r="E38" s="39">
        <v>50.31</v>
      </c>
      <c r="F38" s="39">
        <f t="shared" si="6"/>
        <v>-5.9999999999988063</v>
      </c>
      <c r="G38" s="39">
        <f t="shared" si="7"/>
        <v>15099</v>
      </c>
      <c r="H38" s="179">
        <f t="shared" si="8"/>
        <v>-3.9737730975553391E-4</v>
      </c>
      <c r="I38" s="39"/>
      <c r="J38" s="39">
        <v>37.700000000000003</v>
      </c>
      <c r="K38" s="39"/>
      <c r="L38" s="39"/>
    </row>
    <row r="39" spans="1:17" x14ac:dyDescent="0.25">
      <c r="B39" s="164">
        <v>43355</v>
      </c>
      <c r="C39" s="10">
        <v>300</v>
      </c>
      <c r="D39" s="39">
        <v>50.33</v>
      </c>
      <c r="E39" s="39">
        <v>50.15</v>
      </c>
      <c r="F39" s="39">
        <f t="shared" ref="F39:F49" si="9">C39*(E39-D39)</f>
        <v>-53.999999999999915</v>
      </c>
      <c r="G39" s="39">
        <f t="shared" ref="G39:G49" si="10">D39*C39</f>
        <v>15099</v>
      </c>
      <c r="H39" s="179">
        <f t="shared" ref="H39:H49" si="11">(E39-D39)/D39</f>
        <v>-3.576395787800511E-3</v>
      </c>
      <c r="I39" s="39"/>
      <c r="J39" s="39"/>
      <c r="K39" s="39"/>
      <c r="L39" s="39"/>
    </row>
    <row r="40" spans="1:17" ht="20.25" thickBot="1" x14ac:dyDescent="0.35">
      <c r="B40" s="164">
        <v>43356</v>
      </c>
      <c r="C40" s="10">
        <v>300</v>
      </c>
      <c r="D40" s="39">
        <v>50.33</v>
      </c>
      <c r="E40" s="39">
        <v>50.76</v>
      </c>
      <c r="F40" s="39">
        <f t="shared" si="9"/>
        <v>128.99999999999991</v>
      </c>
      <c r="G40" s="39">
        <f t="shared" si="10"/>
        <v>15099</v>
      </c>
      <c r="H40" s="179">
        <f t="shared" si="11"/>
        <v>8.5436121597456723E-3</v>
      </c>
      <c r="I40" s="39"/>
      <c r="J40" s="39"/>
      <c r="K40" s="39"/>
      <c r="L40" s="39"/>
      <c r="O40" s="884" t="s">
        <v>78</v>
      </c>
      <c r="P40" s="884"/>
    </row>
    <row r="41" spans="1:17" ht="15.75" thickTop="1" x14ac:dyDescent="0.25">
      <c r="B41" s="164">
        <v>43362</v>
      </c>
      <c r="C41" s="10">
        <v>300</v>
      </c>
      <c r="D41" s="39">
        <v>50.33</v>
      </c>
      <c r="E41" s="39">
        <v>51.41</v>
      </c>
      <c r="F41" s="39">
        <f t="shared" si="9"/>
        <v>323.99999999999949</v>
      </c>
      <c r="G41" s="39">
        <f t="shared" si="10"/>
        <v>15099</v>
      </c>
      <c r="H41" s="179">
        <f t="shared" si="11"/>
        <v>2.1458374726803068E-2</v>
      </c>
      <c r="I41" s="39"/>
      <c r="J41" s="39"/>
      <c r="K41" s="39"/>
      <c r="L41" s="39"/>
      <c r="O41" s="81">
        <v>1.1000000000000001</v>
      </c>
      <c r="P41" s="81">
        <f>O41*$Q$4</f>
        <v>58.718000000000011</v>
      </c>
      <c r="Q41" s="2"/>
    </row>
    <row r="42" spans="1:17" x14ac:dyDescent="0.25">
      <c r="B42" s="164">
        <v>43364</v>
      </c>
      <c r="C42" s="10">
        <v>300</v>
      </c>
      <c r="D42" s="39">
        <v>50.33</v>
      </c>
      <c r="E42" s="39">
        <v>52.13</v>
      </c>
      <c r="F42" s="39">
        <f t="shared" si="9"/>
        <v>540.00000000000125</v>
      </c>
      <c r="G42" s="39">
        <f t="shared" si="10"/>
        <v>15099</v>
      </c>
      <c r="H42" s="179">
        <f t="shared" si="11"/>
        <v>3.5763957878005251E-2</v>
      </c>
      <c r="I42" s="39"/>
      <c r="J42" s="39"/>
      <c r="K42" s="39"/>
      <c r="L42" s="39"/>
      <c r="O42" s="81">
        <v>1.0900000000000001</v>
      </c>
      <c r="P42" s="81">
        <f t="shared" ref="P42:P61" si="12">O42*$Q$4</f>
        <v>58.184200000000004</v>
      </c>
      <c r="Q42" s="2"/>
    </row>
    <row r="43" spans="1:17" x14ac:dyDescent="0.25">
      <c r="B43" s="164">
        <v>43383</v>
      </c>
      <c r="C43" s="10">
        <v>400</v>
      </c>
      <c r="D43" s="39">
        <v>49.790199999999999</v>
      </c>
      <c r="E43" s="39">
        <v>47.83</v>
      </c>
      <c r="F43" s="39">
        <f t="shared" si="9"/>
        <v>-784.08000000000015</v>
      </c>
      <c r="G43" s="39">
        <f t="shared" si="10"/>
        <v>19916.079999999998</v>
      </c>
      <c r="H43" s="179">
        <f t="shared" si="11"/>
        <v>-3.9369193134391918E-2</v>
      </c>
      <c r="I43" s="39"/>
      <c r="J43" s="39"/>
      <c r="K43" s="39"/>
      <c r="L43" s="39"/>
      <c r="O43" s="81">
        <v>1.08</v>
      </c>
      <c r="P43" s="81">
        <f t="shared" si="12"/>
        <v>57.650400000000005</v>
      </c>
      <c r="Q43" s="2"/>
    </row>
    <row r="44" spans="1:17" x14ac:dyDescent="0.25">
      <c r="A44">
        <v>300</v>
      </c>
      <c r="B44" s="164">
        <v>43402</v>
      </c>
      <c r="C44" s="10">
        <v>400</v>
      </c>
      <c r="D44" s="39">
        <v>49.79</v>
      </c>
      <c r="E44" s="39">
        <v>45.85</v>
      </c>
      <c r="F44" s="39">
        <f t="shared" si="9"/>
        <v>-1575.9999999999991</v>
      </c>
      <c r="G44" s="39">
        <f t="shared" si="10"/>
        <v>19916</v>
      </c>
      <c r="H44" s="179">
        <f t="shared" si="11"/>
        <v>-7.9132355894757936E-2</v>
      </c>
      <c r="I44" s="39"/>
      <c r="J44" s="39"/>
      <c r="K44" s="39"/>
      <c r="L44" s="39"/>
      <c r="O44" s="81">
        <v>1.07</v>
      </c>
      <c r="P44" s="81">
        <f t="shared" si="12"/>
        <v>57.116600000000005</v>
      </c>
      <c r="Q44" s="2"/>
    </row>
    <row r="45" spans="1:17" x14ac:dyDescent="0.25">
      <c r="A45">
        <v>300</v>
      </c>
      <c r="B45" s="164">
        <v>43407</v>
      </c>
      <c r="C45" s="10">
        <v>400</v>
      </c>
      <c r="D45" s="39">
        <v>49.79</v>
      </c>
      <c r="E45" s="39">
        <v>49.21</v>
      </c>
      <c r="F45" s="39">
        <f t="shared" si="9"/>
        <v>-231.99999999999932</v>
      </c>
      <c r="G45" s="39">
        <f t="shared" si="10"/>
        <v>19916</v>
      </c>
      <c r="H45" s="179">
        <f t="shared" si="11"/>
        <v>-1.1648925487045558E-2</v>
      </c>
      <c r="I45" s="39"/>
      <c r="J45" s="39"/>
      <c r="K45" s="39"/>
      <c r="L45" s="39"/>
      <c r="O45" s="81">
        <v>1.06</v>
      </c>
      <c r="P45" s="81">
        <f t="shared" si="12"/>
        <v>56.582800000000006</v>
      </c>
      <c r="Q45" s="2"/>
    </row>
    <row r="46" spans="1:17" x14ac:dyDescent="0.25">
      <c r="B46" s="164">
        <v>43417</v>
      </c>
      <c r="C46" s="10">
        <v>400</v>
      </c>
      <c r="D46" s="39">
        <v>49.79</v>
      </c>
      <c r="E46" s="39">
        <v>47.91</v>
      </c>
      <c r="F46" s="39">
        <f t="shared" si="9"/>
        <v>-752.00000000000102</v>
      </c>
      <c r="G46" s="39">
        <f t="shared" si="10"/>
        <v>19916</v>
      </c>
      <c r="H46" s="179">
        <f t="shared" si="11"/>
        <v>-3.7758586061458176E-2</v>
      </c>
      <c r="I46" s="39"/>
      <c r="J46" s="39"/>
      <c r="K46" s="39"/>
      <c r="L46" s="39"/>
      <c r="O46" s="81">
        <v>1.05</v>
      </c>
      <c r="P46" s="81">
        <f t="shared" si="12"/>
        <v>56.049000000000007</v>
      </c>
      <c r="Q46" s="2"/>
    </row>
    <row r="47" spans="1:17" x14ac:dyDescent="0.25">
      <c r="B47" s="164">
        <v>43420</v>
      </c>
      <c r="C47" s="10">
        <v>400</v>
      </c>
      <c r="D47" s="39">
        <v>49.79</v>
      </c>
      <c r="E47" s="39">
        <v>49.36</v>
      </c>
      <c r="F47" s="39">
        <f t="shared" si="9"/>
        <v>-171.99999999999989</v>
      </c>
      <c r="G47" s="39">
        <f t="shared" si="10"/>
        <v>19916</v>
      </c>
      <c r="H47" s="179">
        <f t="shared" si="11"/>
        <v>-8.6362723438441393E-3</v>
      </c>
      <c r="I47" s="39"/>
      <c r="J47" s="39"/>
      <c r="K47" s="39"/>
      <c r="L47" s="39"/>
      <c r="O47" s="81">
        <v>1.04</v>
      </c>
      <c r="P47" s="81">
        <f t="shared" si="12"/>
        <v>55.515200000000007</v>
      </c>
      <c r="Q47" s="2"/>
    </row>
    <row r="48" spans="1:17" x14ac:dyDescent="0.25">
      <c r="A48">
        <v>300</v>
      </c>
      <c r="B48" s="164">
        <v>43432</v>
      </c>
      <c r="C48" s="7">
        <v>300</v>
      </c>
      <c r="D48" s="43">
        <v>49.707099999999997</v>
      </c>
      <c r="E48" s="39">
        <v>50.03</v>
      </c>
      <c r="F48" s="39">
        <f t="shared" si="9"/>
        <v>96.870000000001255</v>
      </c>
      <c r="G48" s="39">
        <f t="shared" si="10"/>
        <v>14912.13</v>
      </c>
      <c r="H48" s="179">
        <f t="shared" si="11"/>
        <v>6.4960538836505086E-3</v>
      </c>
      <c r="I48" s="186" t="s">
        <v>1322</v>
      </c>
      <c r="J48" s="39"/>
      <c r="K48" s="39"/>
      <c r="L48" s="39"/>
      <c r="O48" s="81">
        <v>1.03</v>
      </c>
      <c r="P48" s="81">
        <f t="shared" si="12"/>
        <v>54.981400000000001</v>
      </c>
      <c r="Q48" s="2"/>
    </row>
    <row r="49" spans="1:17" x14ac:dyDescent="0.25">
      <c r="B49" s="164">
        <v>43433</v>
      </c>
      <c r="C49" s="10">
        <v>300</v>
      </c>
      <c r="D49" s="39">
        <v>49.707099999999997</v>
      </c>
      <c r="E49" s="39">
        <v>49.64</v>
      </c>
      <c r="F49" s="39">
        <f t="shared" si="9"/>
        <v>-20.129999999998915</v>
      </c>
      <c r="G49" s="39">
        <f t="shared" si="10"/>
        <v>14912.13</v>
      </c>
      <c r="H49" s="179">
        <f t="shared" si="11"/>
        <v>-1.3499077596559926E-3</v>
      </c>
      <c r="I49" s="39"/>
      <c r="J49" s="39"/>
      <c r="K49" s="39"/>
      <c r="L49" s="39"/>
      <c r="O49" s="81">
        <v>1.02</v>
      </c>
      <c r="P49" s="81">
        <f t="shared" si="12"/>
        <v>54.447600000000001</v>
      </c>
      <c r="Q49" s="2"/>
    </row>
    <row r="50" spans="1:17" x14ac:dyDescent="0.25">
      <c r="B50" s="164">
        <v>43436</v>
      </c>
      <c r="C50" s="10">
        <v>300</v>
      </c>
      <c r="D50" s="39">
        <v>49.707099999999997</v>
      </c>
      <c r="E50" s="39">
        <v>49.47</v>
      </c>
      <c r="F50" s="39">
        <f t="shared" ref="F50:F61" si="13">C50*(E50-D50)</f>
        <v>-71.129999999999427</v>
      </c>
      <c r="G50" s="39">
        <f t="shared" ref="G50:G61" si="14">D50*C50</f>
        <v>14912.13</v>
      </c>
      <c r="H50" s="179">
        <f t="shared" ref="H50:H61" si="15">(E50-D50)/D50</f>
        <v>-4.7699423221229586E-3</v>
      </c>
      <c r="I50" s="39"/>
      <c r="J50" s="39"/>
      <c r="K50" s="39"/>
      <c r="L50" s="39"/>
      <c r="O50" s="81">
        <v>1.01</v>
      </c>
      <c r="P50" s="81">
        <f t="shared" si="12"/>
        <v>53.913800000000002</v>
      </c>
      <c r="Q50" s="2"/>
    </row>
    <row r="51" spans="1:17" x14ac:dyDescent="0.25">
      <c r="A51">
        <v>300</v>
      </c>
      <c r="B51" s="164">
        <v>43440</v>
      </c>
      <c r="C51" s="10">
        <v>400</v>
      </c>
      <c r="D51" s="39">
        <v>49.3</v>
      </c>
      <c r="E51" s="39">
        <v>49.09</v>
      </c>
      <c r="F51" s="39">
        <f t="shared" si="13"/>
        <v>-83.999999999997499</v>
      </c>
      <c r="G51" s="39">
        <f t="shared" si="14"/>
        <v>19720</v>
      </c>
      <c r="H51" s="179">
        <f t="shared" si="15"/>
        <v>-4.2596348884380072E-3</v>
      </c>
      <c r="I51" s="39"/>
      <c r="J51" s="39"/>
      <c r="K51" s="39"/>
      <c r="L51" s="39"/>
      <c r="O51" s="81">
        <v>1</v>
      </c>
      <c r="P51" s="81">
        <f t="shared" si="12"/>
        <v>53.38</v>
      </c>
      <c r="Q51" s="2"/>
    </row>
    <row r="52" spans="1:17" x14ac:dyDescent="0.25">
      <c r="A52">
        <v>300</v>
      </c>
      <c r="B52" s="164">
        <v>43442</v>
      </c>
      <c r="C52" s="10">
        <v>400</v>
      </c>
      <c r="D52" s="39">
        <v>49.3</v>
      </c>
      <c r="E52" s="39">
        <v>48.15</v>
      </c>
      <c r="F52" s="39">
        <f t="shared" si="13"/>
        <v>-459.99999999999943</v>
      </c>
      <c r="G52" s="39">
        <f t="shared" si="14"/>
        <v>19720</v>
      </c>
      <c r="H52" s="179">
        <f t="shared" si="15"/>
        <v>-2.3326572008113562E-2</v>
      </c>
      <c r="I52" s="39"/>
      <c r="J52" s="39"/>
      <c r="K52" s="39"/>
      <c r="L52" s="39"/>
      <c r="O52" s="81">
        <v>0.99</v>
      </c>
      <c r="P52" s="81">
        <f t="shared" si="12"/>
        <v>52.846200000000003</v>
      </c>
      <c r="Q52" s="2"/>
    </row>
    <row r="53" spans="1:17" x14ac:dyDescent="0.25">
      <c r="B53" s="164">
        <v>43459</v>
      </c>
      <c r="C53" s="10">
        <v>400</v>
      </c>
      <c r="D53" s="39">
        <v>48.441699999999997</v>
      </c>
      <c r="E53" s="39">
        <v>46.02</v>
      </c>
      <c r="F53" s="39">
        <f t="shared" si="13"/>
        <v>-968.67999999999768</v>
      </c>
      <c r="G53" s="39">
        <f t="shared" si="14"/>
        <v>19376.68</v>
      </c>
      <c r="H53" s="179">
        <f t="shared" si="15"/>
        <v>-4.9992052302045432E-2</v>
      </c>
      <c r="I53" s="39"/>
      <c r="J53" s="39"/>
      <c r="K53" s="39"/>
      <c r="L53" s="39"/>
      <c r="O53" s="81">
        <v>0.98</v>
      </c>
      <c r="P53" s="81">
        <f t="shared" si="12"/>
        <v>52.312400000000004</v>
      </c>
      <c r="Q53" s="2"/>
    </row>
    <row r="54" spans="1:17" x14ac:dyDescent="0.25">
      <c r="A54" s="4">
        <v>300</v>
      </c>
      <c r="B54" s="164">
        <v>43483</v>
      </c>
      <c r="C54" s="7">
        <v>300</v>
      </c>
      <c r="D54" s="43">
        <v>47.887500000000003</v>
      </c>
      <c r="E54" s="39">
        <v>50.11</v>
      </c>
      <c r="F54" s="101">
        <f t="shared" si="13"/>
        <v>666.74999999999898</v>
      </c>
      <c r="G54" s="39">
        <f t="shared" si="14"/>
        <v>14366.25</v>
      </c>
      <c r="H54" s="179">
        <f t="shared" si="15"/>
        <v>4.6410858783607338E-2</v>
      </c>
      <c r="I54" s="186" t="s">
        <v>1367</v>
      </c>
      <c r="J54" s="39"/>
      <c r="K54" s="39"/>
      <c r="L54" s="39"/>
      <c r="O54" s="81">
        <v>0.97</v>
      </c>
      <c r="P54" s="81">
        <f t="shared" si="12"/>
        <v>51.778600000000004</v>
      </c>
    </row>
    <row r="55" spans="1:17" x14ac:dyDescent="0.25">
      <c r="A55" s="4">
        <v>300</v>
      </c>
      <c r="B55" s="164">
        <v>43491</v>
      </c>
      <c r="C55" s="10">
        <v>300</v>
      </c>
      <c r="D55" s="39">
        <v>47.89</v>
      </c>
      <c r="E55" s="39">
        <v>50.69</v>
      </c>
      <c r="F55" s="778">
        <f t="shared" si="13"/>
        <v>839.99999999999909</v>
      </c>
      <c r="G55" s="39">
        <f t="shared" si="14"/>
        <v>14367</v>
      </c>
      <c r="H55" s="179">
        <f t="shared" si="15"/>
        <v>5.8467320943829552E-2</v>
      </c>
      <c r="I55" s="39"/>
      <c r="J55" s="39"/>
      <c r="K55" s="39"/>
      <c r="L55" s="39"/>
      <c r="O55" s="81">
        <v>0.96</v>
      </c>
      <c r="P55" s="81">
        <f t="shared" si="12"/>
        <v>51.244799999999998</v>
      </c>
    </row>
    <row r="56" spans="1:17" x14ac:dyDescent="0.25">
      <c r="A56" s="4">
        <v>200</v>
      </c>
      <c r="B56" s="164">
        <v>43495</v>
      </c>
      <c r="C56" s="10">
        <v>200</v>
      </c>
      <c r="D56" s="39">
        <v>46.591700000000003</v>
      </c>
      <c r="E56" s="39">
        <v>51.33</v>
      </c>
      <c r="F56" s="778">
        <f t="shared" si="13"/>
        <v>947.65999999999906</v>
      </c>
      <c r="G56" s="39">
        <f t="shared" si="14"/>
        <v>9318.34</v>
      </c>
      <c r="H56" s="179">
        <f t="shared" si="15"/>
        <v>0.1016983711691137</v>
      </c>
      <c r="I56" s="39"/>
      <c r="J56" s="39"/>
      <c r="K56" s="39"/>
      <c r="L56" s="39"/>
      <c r="O56" s="81">
        <v>0.95</v>
      </c>
      <c r="P56" s="81">
        <f t="shared" si="12"/>
        <v>50.710999999999999</v>
      </c>
    </row>
    <row r="57" spans="1:17" x14ac:dyDescent="0.25">
      <c r="A57" s="4">
        <v>144</v>
      </c>
      <c r="B57" s="164">
        <v>43501</v>
      </c>
      <c r="C57" s="10">
        <v>144</v>
      </c>
      <c r="D57" s="39">
        <v>44.418700000000001</v>
      </c>
      <c r="E57" s="39">
        <v>52.14</v>
      </c>
      <c r="F57" s="778">
        <f t="shared" si="13"/>
        <v>1111.8671999999999</v>
      </c>
      <c r="G57" s="39">
        <f t="shared" si="14"/>
        <v>6396.2928000000002</v>
      </c>
      <c r="H57" s="179">
        <f t="shared" si="15"/>
        <v>0.17382994099332036</v>
      </c>
      <c r="I57" s="39"/>
      <c r="J57" s="39"/>
      <c r="K57" s="39"/>
      <c r="L57" s="39"/>
      <c r="O57" s="81">
        <v>0.94</v>
      </c>
      <c r="P57" s="81">
        <f t="shared" si="12"/>
        <v>50.177199999999999</v>
      </c>
    </row>
    <row r="58" spans="1:17" x14ac:dyDescent="0.25">
      <c r="A58" s="4">
        <v>144</v>
      </c>
      <c r="B58" s="164">
        <v>43531</v>
      </c>
      <c r="C58" s="10">
        <v>200</v>
      </c>
      <c r="D58" s="39">
        <v>46.143900000000002</v>
      </c>
      <c r="E58" s="39">
        <v>50.5</v>
      </c>
      <c r="F58" s="39">
        <f t="shared" si="13"/>
        <v>871.21999999999957</v>
      </c>
      <c r="G58" s="39">
        <f t="shared" si="14"/>
        <v>9228.7800000000007</v>
      </c>
      <c r="H58" s="179">
        <f t="shared" si="15"/>
        <v>9.4402510407659471E-2</v>
      </c>
      <c r="I58" s="39"/>
      <c r="J58" s="39"/>
      <c r="K58" s="39"/>
      <c r="L58" s="39"/>
      <c r="O58" s="81">
        <v>0.93</v>
      </c>
      <c r="P58" s="81">
        <f t="shared" si="12"/>
        <v>49.643400000000007</v>
      </c>
    </row>
    <row r="59" spans="1:17" x14ac:dyDescent="0.25">
      <c r="A59" s="4">
        <v>144</v>
      </c>
      <c r="B59" s="164">
        <v>43535</v>
      </c>
      <c r="C59" s="10">
        <v>200</v>
      </c>
      <c r="D59" s="39">
        <v>46.14</v>
      </c>
      <c r="E59" s="39">
        <v>51.1</v>
      </c>
      <c r="F59" s="39">
        <f t="shared" si="13"/>
        <v>992.00000000000023</v>
      </c>
      <c r="G59" s="39">
        <f t="shared" si="14"/>
        <v>9228</v>
      </c>
      <c r="H59" s="179">
        <f t="shared" si="15"/>
        <v>0.10749891634156915</v>
      </c>
      <c r="I59" s="39"/>
      <c r="J59" s="39"/>
      <c r="K59" s="39"/>
      <c r="L59" s="39"/>
      <c r="O59" s="81">
        <v>0.92</v>
      </c>
      <c r="P59" s="81">
        <f t="shared" si="12"/>
        <v>49.109600000000007</v>
      </c>
    </row>
    <row r="60" spans="1:17" x14ac:dyDescent="0.25">
      <c r="A60" s="4">
        <v>44</v>
      </c>
      <c r="B60" s="164">
        <v>43544</v>
      </c>
      <c r="C60" s="185">
        <v>100</v>
      </c>
      <c r="D60" s="186">
        <v>39.488</v>
      </c>
      <c r="E60" s="39">
        <v>52.8</v>
      </c>
      <c r="F60" s="778">
        <f t="shared" si="13"/>
        <v>1331.1999999999998</v>
      </c>
      <c r="G60" s="39">
        <f t="shared" si="14"/>
        <v>3948.8</v>
      </c>
      <c r="H60" s="179">
        <f t="shared" si="15"/>
        <v>0.33711507293354936</v>
      </c>
      <c r="I60" s="39"/>
      <c r="J60" s="39"/>
      <c r="K60" s="39"/>
      <c r="L60" s="39"/>
      <c r="O60" s="81">
        <v>0.91</v>
      </c>
      <c r="P60" s="81">
        <f t="shared" si="12"/>
        <v>48.575800000000001</v>
      </c>
    </row>
    <row r="61" spans="1:17" x14ac:dyDescent="0.25">
      <c r="A61" s="4">
        <v>44</v>
      </c>
      <c r="B61" s="164">
        <v>43546</v>
      </c>
      <c r="C61" s="10">
        <v>200</v>
      </c>
      <c r="D61" s="39">
        <v>45.344200000000001</v>
      </c>
      <c r="E61" s="39">
        <v>51.09</v>
      </c>
      <c r="F61" s="39">
        <f t="shared" si="13"/>
        <v>1149.1600000000005</v>
      </c>
      <c r="G61" s="39">
        <f t="shared" si="14"/>
        <v>9068.84</v>
      </c>
      <c r="H61" s="179">
        <f t="shared" si="15"/>
        <v>0.12671521385314996</v>
      </c>
      <c r="I61" s="39"/>
      <c r="J61" s="39"/>
      <c r="K61" s="39"/>
      <c r="L61" s="39"/>
      <c r="O61" s="81">
        <v>0.9</v>
      </c>
      <c r="P61" s="81">
        <f t="shared" si="12"/>
        <v>48.042000000000002</v>
      </c>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164"/>
      <c r="C64" s="10"/>
      <c r="D64" s="39"/>
      <c r="E64" s="39"/>
      <c r="F64" s="39"/>
      <c r="G64" s="39"/>
      <c r="H64" s="179"/>
      <c r="I64" s="39"/>
      <c r="J64" s="39"/>
      <c r="K64" s="39"/>
      <c r="L64" s="39"/>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1114</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Q7">
    <cfRule type="expression" dxfId="3252" priority="33">
      <formula>Q7&gt;0</formula>
    </cfRule>
    <cfRule type="expression" dxfId="3251" priority="34">
      <formula>Q7&lt;0</formula>
    </cfRule>
  </conditionalFormatting>
  <conditionalFormatting sqref="Q8">
    <cfRule type="expression" dxfId="3250" priority="31">
      <formula>Q8&gt;0</formula>
    </cfRule>
    <cfRule type="expression" dxfId="3249" priority="32">
      <formula>Q8&lt;0</formula>
    </cfRule>
  </conditionalFormatting>
  <conditionalFormatting sqref="F30:F64">
    <cfRule type="expression" dxfId="3248" priority="29">
      <formula>F30&gt;0</formula>
    </cfRule>
    <cfRule type="expression" dxfId="3247" priority="30">
      <formula>F30&lt;0</formula>
    </cfRule>
  </conditionalFormatting>
  <conditionalFormatting sqref="H30:H64">
    <cfRule type="expression" dxfId="3246" priority="27">
      <formula>H30&gt;0</formula>
    </cfRule>
    <cfRule type="expression" dxfId="3245" priority="28">
      <formula>H30&lt;0</formula>
    </cfRule>
  </conditionalFormatting>
  <conditionalFormatting sqref="Q10">
    <cfRule type="expression" dxfId="3244" priority="25">
      <formula>Q10&gt;0</formula>
    </cfRule>
    <cfRule type="expression" dxfId="3243" priority="26">
      <formula>Q10&lt;0</formula>
    </cfRule>
  </conditionalFormatting>
  <conditionalFormatting sqref="J27:J35">
    <cfRule type="expression" dxfId="3242" priority="23">
      <formula>J27&gt;0</formula>
    </cfRule>
    <cfRule type="expression" dxfId="3241" priority="24">
      <formula>J27&lt;0</formula>
    </cfRule>
  </conditionalFormatting>
  <conditionalFormatting sqref="K27:K38">
    <cfRule type="expression" dxfId="3240" priority="21">
      <formula>K27&gt;0</formula>
    </cfRule>
    <cfRule type="expression" dxfId="3239" priority="22">
      <formula>K27&lt;0</formula>
    </cfRule>
  </conditionalFormatting>
  <conditionalFormatting sqref="L27:L38">
    <cfRule type="expression" dxfId="3238" priority="19">
      <formula>L27&gt;0</formula>
    </cfRule>
    <cfRule type="expression" dxfId="3237" priority="20">
      <formula>L27&lt;0</formula>
    </cfRule>
  </conditionalFormatting>
  <conditionalFormatting sqref="F89:F110">
    <cfRule type="expression" dxfId="3236" priority="17">
      <formula>F89&gt;0</formula>
    </cfRule>
    <cfRule type="expression" dxfId="3235" priority="18">
      <formula>F89&lt;0</formula>
    </cfRule>
  </conditionalFormatting>
  <conditionalFormatting sqref="H89:H110">
    <cfRule type="expression" dxfId="3234" priority="15">
      <formula>H89&gt;0</formula>
    </cfRule>
    <cfRule type="expression" dxfId="3233" priority="16">
      <formula>H89&lt;0</formula>
    </cfRule>
  </conditionalFormatting>
  <conditionalFormatting sqref="J89:J102">
    <cfRule type="expression" dxfId="3232" priority="13">
      <formula>J89&gt;0</formula>
    </cfRule>
    <cfRule type="expression" dxfId="3231" priority="14">
      <formula>J89&lt;0</formula>
    </cfRule>
  </conditionalFormatting>
  <conditionalFormatting sqref="K89:K102">
    <cfRule type="expression" dxfId="3230" priority="11">
      <formula>K89&gt;0</formula>
    </cfRule>
    <cfRule type="expression" dxfId="3229" priority="12">
      <formula>K89&lt;0</formula>
    </cfRule>
  </conditionalFormatting>
  <conditionalFormatting sqref="L89:L102">
    <cfRule type="expression" dxfId="3228" priority="9">
      <formula>L89&gt;0</formula>
    </cfRule>
    <cfRule type="expression" dxfId="3227" priority="10">
      <formula>L89&lt;0</formula>
    </cfRule>
  </conditionalFormatting>
  <conditionalFormatting sqref="F29">
    <cfRule type="expression" dxfId="3226" priority="7">
      <formula>F29&gt;0</formula>
    </cfRule>
    <cfRule type="expression" dxfId="3225" priority="8">
      <formula>F29&lt;0</formula>
    </cfRule>
  </conditionalFormatting>
  <conditionalFormatting sqref="H29">
    <cfRule type="expression" dxfId="3224" priority="5">
      <formula>H29&gt;0</formula>
    </cfRule>
    <cfRule type="expression" dxfId="3223" priority="6">
      <formula>H29&lt;0</formula>
    </cfRule>
  </conditionalFormatting>
  <conditionalFormatting sqref="F25:F28 H25:H28">
    <cfRule type="expression" dxfId="3222" priority="1">
      <formula>F25&gt;0</formula>
    </cfRule>
    <cfRule type="expression" dxfId="3221" priority="2">
      <formula>F25&lt;0</formula>
    </cfRule>
  </conditionalFormatting>
  <hyperlinks>
    <hyperlink ref="A3" location="ACTIVE!A1" display="Back"/>
  </hyperlinks>
  <pageMargins left="0.7" right="0.7" top="0.75" bottom="0.75" header="0.3" footer="0.3"/>
  <pageSetup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1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269</v>
      </c>
      <c r="B2" s="368">
        <v>43300</v>
      </c>
      <c r="C2" s="7">
        <v>50</v>
      </c>
      <c r="D2" s="43">
        <v>64.88</v>
      </c>
      <c r="E2" s="43">
        <v>0</v>
      </c>
      <c r="F2" s="43">
        <f t="shared" ref="F2:F11" si="0">C2*D2+E2</f>
        <v>3244</v>
      </c>
      <c r="G2" s="368">
        <v>43332</v>
      </c>
      <c r="H2" s="7">
        <v>50</v>
      </c>
      <c r="I2" s="43">
        <v>74.599999999999994</v>
      </c>
      <c r="J2" s="43">
        <v>0.05</v>
      </c>
      <c r="K2" s="43">
        <f t="shared" ref="K2:K10" si="1">H2*I2-J2</f>
        <v>3729.9499999999994</v>
      </c>
      <c r="L2" s="72">
        <v>43313</v>
      </c>
      <c r="M2" s="43">
        <v>50</v>
      </c>
      <c r="O2" s="11" t="s">
        <v>57</v>
      </c>
      <c r="Q2">
        <f>C18-H18</f>
        <v>200</v>
      </c>
      <c r="T2" s="1" t="s">
        <v>1112</v>
      </c>
      <c r="U2" t="s">
        <v>1221</v>
      </c>
    </row>
    <row r="3" spans="1:21" x14ac:dyDescent="0.25">
      <c r="A3" s="22" t="s">
        <v>71</v>
      </c>
      <c r="B3" s="368">
        <v>43300</v>
      </c>
      <c r="C3" s="7">
        <v>50</v>
      </c>
      <c r="D3" s="43">
        <v>64.88</v>
      </c>
      <c r="E3" s="43">
        <v>0</v>
      </c>
      <c r="F3" s="43">
        <f t="shared" si="0"/>
        <v>3244</v>
      </c>
      <c r="G3" s="368">
        <v>43339</v>
      </c>
      <c r="H3" s="80">
        <v>50</v>
      </c>
      <c r="I3" s="43">
        <v>74.75</v>
      </c>
      <c r="J3" s="43">
        <v>0.05</v>
      </c>
      <c r="K3" s="43">
        <f t="shared" si="1"/>
        <v>3737.45</v>
      </c>
      <c r="L3" s="72">
        <v>43405</v>
      </c>
      <c r="M3" s="43">
        <v>75</v>
      </c>
      <c r="O3" s="11" t="s">
        <v>58</v>
      </c>
      <c r="Q3" s="396">
        <f>IF(Q2=0, Q4, (F18-K18-M18)/Q2)</f>
        <v>50.099299999999999</v>
      </c>
      <c r="T3" s="1" t="s">
        <v>1226</v>
      </c>
    </row>
    <row r="4" spans="1:21" x14ac:dyDescent="0.25">
      <c r="B4" s="368">
        <v>43313</v>
      </c>
      <c r="C4" s="7">
        <v>50</v>
      </c>
      <c r="D4" s="43">
        <v>64.180000000000007</v>
      </c>
      <c r="E4" s="43">
        <v>0</v>
      </c>
      <c r="F4" s="43">
        <f t="shared" si="0"/>
        <v>3209.0000000000005</v>
      </c>
      <c r="G4" s="368">
        <v>43361</v>
      </c>
      <c r="H4" s="80">
        <v>50</v>
      </c>
      <c r="I4" s="43">
        <v>78.8</v>
      </c>
      <c r="J4" s="43">
        <v>0.05</v>
      </c>
      <c r="K4" s="43">
        <f t="shared" si="1"/>
        <v>3939.95</v>
      </c>
      <c r="L4" s="72">
        <v>43500</v>
      </c>
      <c r="M4" s="43">
        <v>50</v>
      </c>
      <c r="O4" s="11" t="s">
        <v>66</v>
      </c>
      <c r="Q4" s="54">
        <v>54.06</v>
      </c>
      <c r="R4" s="405">
        <v>1.24E-2</v>
      </c>
      <c r="T4" s="156" t="s">
        <v>1233</v>
      </c>
      <c r="U4" s="1" t="s">
        <v>1234</v>
      </c>
    </row>
    <row r="5" spans="1:21" x14ac:dyDescent="0.25">
      <c r="B5" s="368">
        <v>43333</v>
      </c>
      <c r="C5" s="7">
        <v>50</v>
      </c>
      <c r="D5" s="43">
        <v>73.010000000000005</v>
      </c>
      <c r="E5" s="43">
        <v>0</v>
      </c>
      <c r="F5" s="43">
        <f t="shared" si="0"/>
        <v>3650.5000000000005</v>
      </c>
      <c r="G5" s="368">
        <v>43374</v>
      </c>
      <c r="H5" s="80">
        <v>50</v>
      </c>
      <c r="I5" s="43">
        <v>79.7</v>
      </c>
      <c r="J5" s="43">
        <v>0.05</v>
      </c>
      <c r="K5" s="43">
        <f t="shared" si="1"/>
        <v>3984.95</v>
      </c>
      <c r="L5" s="4"/>
      <c r="M5" s="4"/>
      <c r="O5" s="11" t="s">
        <v>67</v>
      </c>
      <c r="Q5" s="3">
        <f>Q4*Q2</f>
        <v>10812</v>
      </c>
    </row>
    <row r="6" spans="1:21" x14ac:dyDescent="0.25">
      <c r="B6" s="368">
        <v>43368</v>
      </c>
      <c r="C6" s="7">
        <v>50</v>
      </c>
      <c r="D6" s="43">
        <v>77.8</v>
      </c>
      <c r="E6" s="43">
        <v>0</v>
      </c>
      <c r="F6" s="43">
        <f t="shared" si="0"/>
        <v>3890</v>
      </c>
      <c r="G6" s="368">
        <v>43411</v>
      </c>
      <c r="H6" s="80">
        <v>50</v>
      </c>
      <c r="I6" s="43">
        <v>79.08</v>
      </c>
      <c r="J6" s="43">
        <v>0.05</v>
      </c>
      <c r="K6" s="43">
        <f t="shared" si="1"/>
        <v>3953.95</v>
      </c>
      <c r="L6" s="4"/>
      <c r="M6" s="4"/>
      <c r="O6" s="11" t="s">
        <v>64</v>
      </c>
      <c r="Q6" s="2">
        <f>Q3*Q2</f>
        <v>10019.86</v>
      </c>
    </row>
    <row r="7" spans="1:21" x14ac:dyDescent="0.25">
      <c r="B7" s="368">
        <v>43384</v>
      </c>
      <c r="C7" s="7">
        <v>100</v>
      </c>
      <c r="D7" s="43">
        <v>74.28</v>
      </c>
      <c r="E7" s="43">
        <v>0</v>
      </c>
      <c r="F7" s="43">
        <f t="shared" si="0"/>
        <v>7428</v>
      </c>
      <c r="G7" s="368">
        <v>43431</v>
      </c>
      <c r="H7" s="80">
        <v>100</v>
      </c>
      <c r="I7" s="43">
        <v>80.41</v>
      </c>
      <c r="J7" s="43">
        <v>0.5</v>
      </c>
      <c r="K7" s="43">
        <f t="shared" si="1"/>
        <v>8040.5</v>
      </c>
      <c r="L7" s="4"/>
      <c r="M7" s="4"/>
      <c r="O7" s="11" t="s">
        <v>177</v>
      </c>
      <c r="Q7" s="2">
        <f>Q10+Q8</f>
        <v>989.34999999999491</v>
      </c>
      <c r="R7">
        <v>200</v>
      </c>
      <c r="T7" s="1">
        <v>43320</v>
      </c>
      <c r="U7" t="s">
        <v>82</v>
      </c>
    </row>
    <row r="8" spans="1:21" x14ac:dyDescent="0.25">
      <c r="B8" s="368">
        <v>43440</v>
      </c>
      <c r="C8" s="4">
        <v>100</v>
      </c>
      <c r="D8" s="3">
        <v>75.88</v>
      </c>
      <c r="E8" s="3">
        <v>0</v>
      </c>
      <c r="F8" s="3">
        <f t="shared" si="0"/>
        <v>7588</v>
      </c>
      <c r="G8" s="368">
        <v>43483</v>
      </c>
      <c r="H8" s="80">
        <v>50</v>
      </c>
      <c r="I8" s="43">
        <v>65.38</v>
      </c>
      <c r="J8" s="43">
        <v>0.04</v>
      </c>
      <c r="K8" s="43">
        <f t="shared" si="1"/>
        <v>3268.96</v>
      </c>
      <c r="L8" s="4"/>
      <c r="M8" s="4"/>
      <c r="O8" s="11" t="s">
        <v>179</v>
      </c>
      <c r="P8" s="33"/>
      <c r="Q8" s="2">
        <f>K18+M18-F18+Q2*Q4</f>
        <v>792.13999999999942</v>
      </c>
      <c r="U8" s="405" t="s">
        <v>1231</v>
      </c>
    </row>
    <row r="9" spans="1:21" x14ac:dyDescent="0.25">
      <c r="B9" s="368">
        <v>43481</v>
      </c>
      <c r="C9" s="7">
        <v>50</v>
      </c>
      <c r="D9" s="43">
        <v>63.48</v>
      </c>
      <c r="E9" s="43">
        <v>0</v>
      </c>
      <c r="F9" s="43">
        <f t="shared" si="0"/>
        <v>3174</v>
      </c>
      <c r="G9" s="368">
        <v>43545</v>
      </c>
      <c r="H9" s="80">
        <v>100</v>
      </c>
      <c r="I9" s="43">
        <v>57.45</v>
      </c>
      <c r="J9" s="43">
        <v>7.0000000000000007E-2</v>
      </c>
      <c r="K9" s="43">
        <f t="shared" si="1"/>
        <v>5744.93</v>
      </c>
      <c r="L9" s="4"/>
      <c r="M9" s="4"/>
      <c r="O9" s="11" t="s">
        <v>204</v>
      </c>
      <c r="Q9" s="134">
        <f>IF(Q2=0, 0, Q8/Q6)</f>
        <v>7.9056992812274754E-2</v>
      </c>
    </row>
    <row r="10" spans="1:21" x14ac:dyDescent="0.25">
      <c r="B10" s="72">
        <v>43523</v>
      </c>
      <c r="C10" s="4">
        <v>100</v>
      </c>
      <c r="D10" s="3">
        <v>58.88</v>
      </c>
      <c r="E10" s="3">
        <v>0</v>
      </c>
      <c r="F10" s="3">
        <f t="shared" si="0"/>
        <v>5888</v>
      </c>
      <c r="G10" s="4"/>
      <c r="H10" s="161"/>
      <c r="I10" s="3"/>
      <c r="J10" s="3"/>
      <c r="K10" s="3"/>
      <c r="L10" s="4"/>
      <c r="M10" s="4"/>
      <c r="O10" s="11" t="s">
        <v>203</v>
      </c>
      <c r="P10" s="33"/>
      <c r="Q10" s="2">
        <f>M58</f>
        <v>197.20999999999549</v>
      </c>
      <c r="T10" s="1">
        <v>43483</v>
      </c>
      <c r="U10" t="s">
        <v>1354</v>
      </c>
    </row>
    <row r="11" spans="1:21" x14ac:dyDescent="0.25">
      <c r="B11" s="72">
        <v>43531</v>
      </c>
      <c r="C11" s="7">
        <v>100</v>
      </c>
      <c r="D11" s="43">
        <v>52.8</v>
      </c>
      <c r="E11" s="43">
        <v>0</v>
      </c>
      <c r="F11" s="43">
        <f t="shared" si="0"/>
        <v>5280</v>
      </c>
      <c r="H11" s="70"/>
      <c r="O11" s="11" t="s">
        <v>175</v>
      </c>
      <c r="P11" s="33"/>
      <c r="Q11" s="134">
        <f>R11*4/Q4</f>
        <v>3.699593044765076E-2</v>
      </c>
      <c r="R11">
        <v>0.5</v>
      </c>
    </row>
    <row r="12" spans="1:21" x14ac:dyDescent="0.25">
      <c r="C12" s="4"/>
      <c r="H12" s="70"/>
      <c r="O12" s="11" t="s">
        <v>921</v>
      </c>
      <c r="Q12" s="1" t="s">
        <v>1345</v>
      </c>
      <c r="T12" s="1">
        <v>43516</v>
      </c>
      <c r="U12" t="s">
        <v>1384</v>
      </c>
    </row>
    <row r="13" spans="1:21" ht="15" customHeight="1" x14ac:dyDescent="0.25">
      <c r="H13" s="70"/>
      <c r="O13" s="11" t="s">
        <v>947</v>
      </c>
      <c r="Q13" s="2">
        <f>Q4/(6.78)</f>
        <v>7.9734513274336285</v>
      </c>
      <c r="U13" s="885" t="s">
        <v>1385</v>
      </c>
    </row>
    <row r="14" spans="1:21" x14ac:dyDescent="0.25">
      <c r="H14" s="70"/>
      <c r="O14" s="11" t="s">
        <v>1034</v>
      </c>
      <c r="Q14" s="1">
        <v>43324</v>
      </c>
      <c r="U14" s="885"/>
    </row>
    <row r="15" spans="1:21" x14ac:dyDescent="0.25">
      <c r="H15" s="70"/>
      <c r="U15" s="885"/>
    </row>
    <row r="16" spans="1:21" x14ac:dyDescent="0.25">
      <c r="H16" s="70"/>
      <c r="U16" s="885"/>
    </row>
    <row r="17" spans="1:21" x14ac:dyDescent="0.25">
      <c r="U17" s="885"/>
    </row>
    <row r="18" spans="1:21" x14ac:dyDescent="0.25">
      <c r="A18" s="31" t="s">
        <v>81</v>
      </c>
      <c r="B18" s="14"/>
      <c r="C18" s="14">
        <f>SUM(C2:C12)</f>
        <v>700</v>
      </c>
      <c r="D18" s="18"/>
      <c r="E18" s="18"/>
      <c r="F18" s="18">
        <f>SUM(F2:F12)</f>
        <v>46595.5</v>
      </c>
      <c r="G18" s="14"/>
      <c r="H18" s="14">
        <f>SUM(H2:H17)</f>
        <v>500</v>
      </c>
      <c r="I18" s="18"/>
      <c r="J18" s="18"/>
      <c r="K18" s="18">
        <f>SUM(K2:K17)</f>
        <v>36400.639999999999</v>
      </c>
      <c r="L18" s="14"/>
      <c r="M18" s="18">
        <f>SUM(M2:M10)</f>
        <v>175</v>
      </c>
      <c r="U18" s="885"/>
    </row>
    <row r="19" spans="1:21" ht="15.75" thickBot="1" x14ac:dyDescent="0.3">
      <c r="A19" s="277" t="s">
        <v>191</v>
      </c>
      <c r="B19" s="278"/>
      <c r="C19" s="279">
        <f>SumByColor($A$19,C2:C17)</f>
        <v>500</v>
      </c>
      <c r="D19" s="279"/>
      <c r="E19" s="279"/>
      <c r="F19" s="280">
        <f>SumByColor($A$19,F2:F17)</f>
        <v>33120</v>
      </c>
      <c r="G19" s="279"/>
      <c r="H19" s="279">
        <f>SumByColor($A$19,H2:H17)</f>
        <v>500</v>
      </c>
      <c r="I19" s="279"/>
      <c r="J19" s="279"/>
      <c r="K19" s="280">
        <f>SumByColor($A$19,K2:K17)</f>
        <v>36400</v>
      </c>
      <c r="L19" s="279"/>
      <c r="M19" s="280">
        <f>SumByColor($A$19,M2:M17)</f>
        <v>175</v>
      </c>
      <c r="U19" s="885"/>
    </row>
    <row r="20" spans="1:21" ht="20.25" thickBot="1" x14ac:dyDescent="0.35">
      <c r="O20" s="770" t="s">
        <v>78</v>
      </c>
      <c r="P20" s="770"/>
      <c r="U20" s="885"/>
    </row>
    <row r="21" spans="1:21" ht="15.75" thickTop="1" x14ac:dyDescent="0.25">
      <c r="O21" s="81">
        <v>1.1000000000000001</v>
      </c>
      <c r="P21" s="81">
        <f>O21*$Q$4</f>
        <v>59.466000000000008</v>
      </c>
      <c r="U21" s="885"/>
    </row>
    <row r="22" spans="1:21" x14ac:dyDescent="0.25">
      <c r="O22" s="81">
        <v>1.0900000000000001</v>
      </c>
      <c r="P22" s="81">
        <f t="shared" ref="P22:P41" si="2">O22*$Q$4</f>
        <v>58.925400000000003</v>
      </c>
      <c r="U22" s="885"/>
    </row>
    <row r="23" spans="1:21" x14ac:dyDescent="0.25">
      <c r="O23" s="81">
        <v>1.08</v>
      </c>
      <c r="P23" s="81">
        <f t="shared" si="2"/>
        <v>58.384800000000006</v>
      </c>
      <c r="U23" s="885"/>
    </row>
    <row r="24" spans="1:21" x14ac:dyDescent="0.25">
      <c r="B24" s="162" t="s">
        <v>113</v>
      </c>
      <c r="C24" s="162" t="s">
        <v>145</v>
      </c>
      <c r="D24" s="163" t="s">
        <v>144</v>
      </c>
      <c r="E24" s="165" t="s">
        <v>146</v>
      </c>
      <c r="F24" s="166" t="s">
        <v>65</v>
      </c>
      <c r="G24" s="177" t="s">
        <v>150</v>
      </c>
      <c r="H24" s="166" t="s">
        <v>88</v>
      </c>
      <c r="I24" s="177" t="s">
        <v>153</v>
      </c>
      <c r="J24" s="177" t="s">
        <v>487</v>
      </c>
      <c r="K24" s="177" t="s">
        <v>149</v>
      </c>
      <c r="L24" s="177" t="s">
        <v>947</v>
      </c>
      <c r="O24" s="81">
        <v>1.07</v>
      </c>
      <c r="P24" s="81">
        <f t="shared" si="2"/>
        <v>57.844200000000008</v>
      </c>
      <c r="U24" s="885"/>
    </row>
    <row r="25" spans="1:21" x14ac:dyDescent="0.25">
      <c r="B25" s="164">
        <v>43300</v>
      </c>
      <c r="C25" s="185">
        <v>100</v>
      </c>
      <c r="D25" s="186">
        <v>64.88</v>
      </c>
      <c r="E25" s="39">
        <v>64.88</v>
      </c>
      <c r="F25" s="39">
        <f t="shared" ref="F25:F30" si="3">C25*(E25-D25)</f>
        <v>0</v>
      </c>
      <c r="G25" s="39">
        <f t="shared" ref="G25:G30" si="4">D25*C25</f>
        <v>6488</v>
      </c>
      <c r="H25" s="179">
        <f t="shared" ref="H25:H30" si="5">(E25-D25)/D25</f>
        <v>0</v>
      </c>
      <c r="I25" s="39"/>
      <c r="J25" s="39"/>
      <c r="K25" s="39">
        <f t="shared" ref="K25:K30" si="6">$Q$10+F25</f>
        <v>197.20999999999549</v>
      </c>
      <c r="L25" s="39">
        <v>9.48</v>
      </c>
      <c r="O25" s="81">
        <v>1.06</v>
      </c>
      <c r="P25" s="81">
        <f t="shared" si="2"/>
        <v>57.303600000000003</v>
      </c>
    </row>
    <row r="26" spans="1:21" x14ac:dyDescent="0.25">
      <c r="B26" s="164">
        <v>43312</v>
      </c>
      <c r="C26" s="10">
        <v>100</v>
      </c>
      <c r="D26" s="39">
        <v>64.88</v>
      </c>
      <c r="E26" s="39">
        <v>64.86</v>
      </c>
      <c r="F26" s="39">
        <f t="shared" si="3"/>
        <v>-1.9999999999996021</v>
      </c>
      <c r="G26" s="39">
        <f t="shared" si="4"/>
        <v>6488</v>
      </c>
      <c r="H26" s="179">
        <f t="shared" si="5"/>
        <v>-3.0826140567194856E-4</v>
      </c>
      <c r="I26" s="39"/>
      <c r="J26" s="39"/>
      <c r="K26" s="39">
        <f t="shared" si="6"/>
        <v>195.20999999999589</v>
      </c>
      <c r="L26" s="39"/>
      <c r="O26" s="81">
        <v>1.05</v>
      </c>
      <c r="P26" s="81">
        <f t="shared" si="2"/>
        <v>56.763000000000005</v>
      </c>
    </row>
    <row r="27" spans="1:21" x14ac:dyDescent="0.25">
      <c r="A27">
        <v>0</v>
      </c>
      <c r="B27" s="164">
        <v>43313</v>
      </c>
      <c r="C27" s="10">
        <v>150</v>
      </c>
      <c r="D27" s="39">
        <v>64.313329999999993</v>
      </c>
      <c r="E27" s="39">
        <v>64.09</v>
      </c>
      <c r="F27" s="39">
        <f t="shared" si="3"/>
        <v>-33.499499999998505</v>
      </c>
      <c r="G27" s="39">
        <f t="shared" si="4"/>
        <v>9646.9994999999999</v>
      </c>
      <c r="H27" s="179">
        <f t="shared" si="5"/>
        <v>-3.472530500286489E-3</v>
      </c>
      <c r="I27" s="39"/>
      <c r="J27" s="39" t="s">
        <v>184</v>
      </c>
      <c r="K27" s="39">
        <f t="shared" si="6"/>
        <v>163.71049999999698</v>
      </c>
      <c r="L27" s="39">
        <v>9.19</v>
      </c>
      <c r="O27" s="81">
        <v>1.04</v>
      </c>
      <c r="P27" s="81">
        <f t="shared" si="2"/>
        <v>56.222400000000007</v>
      </c>
    </row>
    <row r="28" spans="1:21" x14ac:dyDescent="0.25">
      <c r="B28" s="164">
        <v>43316</v>
      </c>
      <c r="C28" s="10">
        <v>150</v>
      </c>
      <c r="D28" s="39">
        <v>64.313329999999993</v>
      </c>
      <c r="E28" s="39">
        <v>64.89</v>
      </c>
      <c r="F28" s="39">
        <f t="shared" si="3"/>
        <v>86.500500000001068</v>
      </c>
      <c r="G28" s="39">
        <f t="shared" si="4"/>
        <v>9646.9994999999999</v>
      </c>
      <c r="H28" s="179">
        <f t="shared" si="5"/>
        <v>8.9665703828429848E-3</v>
      </c>
      <c r="I28" s="39"/>
      <c r="J28" s="39"/>
      <c r="K28" s="39">
        <f t="shared" si="6"/>
        <v>283.71049999999656</v>
      </c>
      <c r="L28" s="39">
        <v>9.3000000000000007</v>
      </c>
      <c r="O28" s="81">
        <v>1.03</v>
      </c>
      <c r="P28" s="81">
        <f t="shared" si="2"/>
        <v>55.681800000000003</v>
      </c>
    </row>
    <row r="29" spans="1:21" x14ac:dyDescent="0.25">
      <c r="B29" s="164">
        <v>43324</v>
      </c>
      <c r="C29" s="10">
        <v>150</v>
      </c>
      <c r="D29" s="39">
        <v>64.313329999999993</v>
      </c>
      <c r="E29" s="39">
        <v>69.05</v>
      </c>
      <c r="F29" s="39">
        <f t="shared" si="3"/>
        <v>710.50050000000056</v>
      </c>
      <c r="G29" s="39">
        <f t="shared" si="4"/>
        <v>9646.9994999999999</v>
      </c>
      <c r="H29" s="179">
        <f t="shared" si="5"/>
        <v>7.3649894975116426E-2</v>
      </c>
      <c r="I29" s="39"/>
      <c r="J29" s="39"/>
      <c r="K29" s="39">
        <f t="shared" si="6"/>
        <v>907.71049999999605</v>
      </c>
      <c r="L29" s="39"/>
      <c r="O29" s="81">
        <v>1.02</v>
      </c>
      <c r="P29" s="81">
        <f t="shared" si="2"/>
        <v>55.141200000000005</v>
      </c>
    </row>
    <row r="30" spans="1:21" x14ac:dyDescent="0.25">
      <c r="B30" s="164">
        <v>43325</v>
      </c>
      <c r="C30" s="10">
        <v>150</v>
      </c>
      <c r="D30" s="39">
        <v>64.313329999999993</v>
      </c>
      <c r="E30" s="39">
        <v>69.5</v>
      </c>
      <c r="F30" s="39">
        <f t="shared" si="3"/>
        <v>778.00050000000101</v>
      </c>
      <c r="G30" s="39">
        <f t="shared" si="4"/>
        <v>9646.9994999999999</v>
      </c>
      <c r="H30" s="179">
        <f t="shared" si="5"/>
        <v>8.0646889221876822E-2</v>
      </c>
      <c r="I30" s="39"/>
      <c r="J30" s="39"/>
      <c r="K30" s="39">
        <f t="shared" si="6"/>
        <v>975.2104999999965</v>
      </c>
      <c r="L30" s="39"/>
      <c r="O30" s="81">
        <v>1.01</v>
      </c>
      <c r="P30" s="81">
        <f t="shared" si="2"/>
        <v>54.6006</v>
      </c>
    </row>
    <row r="31" spans="1:21" x14ac:dyDescent="0.25">
      <c r="B31" s="164">
        <v>43328</v>
      </c>
      <c r="C31" s="10">
        <v>150</v>
      </c>
      <c r="D31" s="39">
        <v>64.313329999999993</v>
      </c>
      <c r="E31" s="39">
        <v>73.2</v>
      </c>
      <c r="F31" s="39">
        <f>C31*(E31-D31)</f>
        <v>1333.0005000000015</v>
      </c>
      <c r="G31" s="39">
        <f>D31*C31</f>
        <v>9646.9994999999999</v>
      </c>
      <c r="H31" s="179">
        <f>(E31-D31)/D31</f>
        <v>0.13817773080635087</v>
      </c>
      <c r="I31" s="39"/>
      <c r="J31" s="39"/>
      <c r="K31" s="39">
        <f t="shared" ref="K31:K43" si="7">$Q$10+F31</f>
        <v>1530.210499999997</v>
      </c>
      <c r="L31" s="39"/>
      <c r="O31" s="81">
        <v>1</v>
      </c>
      <c r="P31" s="81">
        <f t="shared" si="2"/>
        <v>54.06</v>
      </c>
    </row>
    <row r="32" spans="1:21" x14ac:dyDescent="0.25">
      <c r="B32" s="164">
        <v>43329</v>
      </c>
      <c r="C32" s="10">
        <v>150</v>
      </c>
      <c r="D32" s="39">
        <v>64.313329999999993</v>
      </c>
      <c r="E32" s="39">
        <v>73.680000000000007</v>
      </c>
      <c r="F32" s="39">
        <f t="shared" ref="F32:F52" si="8">C32*(E32-D32)</f>
        <v>1405.0005000000019</v>
      </c>
      <c r="G32" s="39">
        <f t="shared" ref="G32:G52" si="9">D32*C32</f>
        <v>9646.9994999999999</v>
      </c>
      <c r="H32" s="179">
        <f t="shared" ref="H32:H52" si="10">(E32-D32)/D32</f>
        <v>0.14564119133622866</v>
      </c>
      <c r="I32" s="39"/>
      <c r="J32" s="39"/>
      <c r="K32" s="39">
        <f t="shared" si="7"/>
        <v>1602.2104999999974</v>
      </c>
      <c r="L32" s="39"/>
      <c r="O32" s="81">
        <v>0.99</v>
      </c>
      <c r="P32" s="81">
        <f t="shared" si="2"/>
        <v>53.519400000000005</v>
      </c>
    </row>
    <row r="33" spans="1:17" x14ac:dyDescent="0.25">
      <c r="A33">
        <v>50</v>
      </c>
      <c r="B33" s="164">
        <v>43332</v>
      </c>
      <c r="C33" s="10">
        <v>100</v>
      </c>
      <c r="D33" s="39">
        <v>59.170499999999997</v>
      </c>
      <c r="E33" s="39">
        <v>74.599999999999994</v>
      </c>
      <c r="F33" s="39">
        <f t="shared" si="8"/>
        <v>1542.9499999999998</v>
      </c>
      <c r="G33" s="39">
        <f t="shared" si="9"/>
        <v>5917.0499999999993</v>
      </c>
      <c r="H33" s="179">
        <f t="shared" si="10"/>
        <v>0.26076338716083181</v>
      </c>
      <c r="I33" s="39"/>
      <c r="J33" s="39"/>
      <c r="K33" s="39">
        <f t="shared" si="7"/>
        <v>1740.1599999999953</v>
      </c>
      <c r="L33" s="39">
        <v>10.7</v>
      </c>
      <c r="O33" s="81">
        <v>0.98</v>
      </c>
      <c r="P33" s="81">
        <f t="shared" si="2"/>
        <v>52.9788</v>
      </c>
    </row>
    <row r="34" spans="1:17" x14ac:dyDescent="0.25">
      <c r="A34">
        <v>50</v>
      </c>
      <c r="B34" s="164">
        <v>43333</v>
      </c>
      <c r="C34" s="10">
        <v>150</v>
      </c>
      <c r="D34" s="39">
        <v>63.783670000000001</v>
      </c>
      <c r="E34" s="39">
        <v>73.69</v>
      </c>
      <c r="F34" s="39">
        <f t="shared" si="8"/>
        <v>1485.9494999999995</v>
      </c>
      <c r="G34" s="39">
        <f t="shared" si="9"/>
        <v>9567.5504999999994</v>
      </c>
      <c r="H34" s="179">
        <f t="shared" si="10"/>
        <v>0.15531138299191621</v>
      </c>
      <c r="I34" s="39"/>
      <c r="J34" s="39"/>
      <c r="K34" s="39">
        <f t="shared" si="7"/>
        <v>1683.159499999995</v>
      </c>
      <c r="L34" s="39">
        <v>10.56</v>
      </c>
      <c r="O34" s="81">
        <v>0.97</v>
      </c>
      <c r="P34" s="81">
        <f t="shared" si="2"/>
        <v>52.438200000000002</v>
      </c>
    </row>
    <row r="35" spans="1:17" x14ac:dyDescent="0.25">
      <c r="A35">
        <v>50</v>
      </c>
      <c r="B35" s="164">
        <v>43337</v>
      </c>
      <c r="C35" s="10">
        <v>150</v>
      </c>
      <c r="D35" s="39">
        <v>63.78</v>
      </c>
      <c r="E35" s="39">
        <v>74.08</v>
      </c>
      <c r="F35" s="39">
        <f t="shared" si="8"/>
        <v>1544.9999999999995</v>
      </c>
      <c r="G35" s="39">
        <f t="shared" si="9"/>
        <v>9567</v>
      </c>
      <c r="H35" s="179">
        <f t="shared" si="10"/>
        <v>0.16149263091878327</v>
      </c>
      <c r="I35" s="39"/>
      <c r="J35" s="39"/>
      <c r="K35" s="39">
        <f t="shared" si="7"/>
        <v>1742.209999999995</v>
      </c>
      <c r="L35" s="39">
        <v>10.62</v>
      </c>
      <c r="O35" s="81">
        <v>0.96</v>
      </c>
      <c r="P35" s="81">
        <f t="shared" si="2"/>
        <v>51.897599999999997</v>
      </c>
    </row>
    <row r="36" spans="1:17" x14ac:dyDescent="0.25">
      <c r="A36">
        <v>0</v>
      </c>
      <c r="B36" s="164">
        <v>43339</v>
      </c>
      <c r="C36" s="10">
        <v>100</v>
      </c>
      <c r="D36" s="39">
        <v>58.301000000000002</v>
      </c>
      <c r="E36" s="39">
        <v>74.75</v>
      </c>
      <c r="F36" s="39">
        <f t="shared" si="8"/>
        <v>1644.8999999999999</v>
      </c>
      <c r="G36" s="39">
        <f t="shared" si="9"/>
        <v>5830.1</v>
      </c>
      <c r="H36" s="179">
        <f t="shared" si="10"/>
        <v>0.28213924289463299</v>
      </c>
      <c r="I36" s="39"/>
      <c r="J36" s="39"/>
      <c r="K36" s="778">
        <f t="shared" si="7"/>
        <v>1842.1099999999954</v>
      </c>
      <c r="L36" s="39">
        <v>10.72</v>
      </c>
      <c r="O36" s="81">
        <v>0.95</v>
      </c>
      <c r="P36" s="81">
        <f t="shared" si="2"/>
        <v>51.356999999999999</v>
      </c>
    </row>
    <row r="37" spans="1:17" x14ac:dyDescent="0.25">
      <c r="A37">
        <v>0</v>
      </c>
      <c r="B37" s="164">
        <v>43361</v>
      </c>
      <c r="C37" s="10">
        <v>50</v>
      </c>
      <c r="D37" s="39">
        <v>37.802999999999997</v>
      </c>
      <c r="E37" s="39">
        <v>78.61</v>
      </c>
      <c r="F37" s="39">
        <f t="shared" si="8"/>
        <v>2040.3500000000001</v>
      </c>
      <c r="G37" s="39">
        <f t="shared" si="9"/>
        <v>1890.1499999999999</v>
      </c>
      <c r="H37" s="179">
        <f t="shared" si="10"/>
        <v>1.0794645927571886</v>
      </c>
      <c r="I37" s="39"/>
      <c r="J37" s="39"/>
      <c r="K37" s="778">
        <f t="shared" si="7"/>
        <v>2237.5599999999959</v>
      </c>
      <c r="L37" s="39">
        <v>11.27</v>
      </c>
      <c r="O37" s="81">
        <v>0.94</v>
      </c>
      <c r="P37" s="81">
        <f t="shared" si="2"/>
        <v>50.816400000000002</v>
      </c>
    </row>
    <row r="38" spans="1:17" x14ac:dyDescent="0.25">
      <c r="A38">
        <v>50</v>
      </c>
      <c r="B38" s="164">
        <v>43368</v>
      </c>
      <c r="C38" s="185">
        <v>100</v>
      </c>
      <c r="D38" s="186">
        <v>57.801499999999997</v>
      </c>
      <c r="E38" s="39">
        <v>77.61</v>
      </c>
      <c r="F38" s="39">
        <f t="shared" si="8"/>
        <v>1980.8500000000001</v>
      </c>
      <c r="G38" s="39">
        <f t="shared" si="9"/>
        <v>5780.15</v>
      </c>
      <c r="H38" s="179">
        <f t="shared" si="10"/>
        <v>0.34269871889137832</v>
      </c>
      <c r="I38" s="39"/>
      <c r="J38" s="39"/>
      <c r="K38" s="39">
        <f t="shared" si="7"/>
        <v>2178.0599999999959</v>
      </c>
      <c r="L38" s="39">
        <v>11.13</v>
      </c>
      <c r="O38" s="81">
        <v>0.93</v>
      </c>
      <c r="P38" s="81">
        <f t="shared" si="2"/>
        <v>50.275800000000004</v>
      </c>
    </row>
    <row r="39" spans="1:17" x14ac:dyDescent="0.25">
      <c r="A39">
        <v>0</v>
      </c>
      <c r="B39" s="164">
        <v>43374</v>
      </c>
      <c r="C39" s="10">
        <v>50</v>
      </c>
      <c r="D39" s="39">
        <v>35.904000000000003</v>
      </c>
      <c r="E39" s="39">
        <v>79.5</v>
      </c>
      <c r="F39" s="39">
        <f t="shared" si="8"/>
        <v>2179.7999999999997</v>
      </c>
      <c r="G39" s="39">
        <f t="shared" si="9"/>
        <v>1795.2000000000003</v>
      </c>
      <c r="H39" s="179">
        <f t="shared" si="10"/>
        <v>1.2142379679144384</v>
      </c>
      <c r="I39" s="39"/>
      <c r="J39" s="39"/>
      <c r="K39" s="778">
        <f t="shared" si="7"/>
        <v>2377.0099999999952</v>
      </c>
      <c r="L39" s="39">
        <v>11.4</v>
      </c>
      <c r="O39" s="81">
        <v>0.92</v>
      </c>
      <c r="P39" s="81">
        <f t="shared" si="2"/>
        <v>49.735200000000006</v>
      </c>
    </row>
    <row r="40" spans="1:17" x14ac:dyDescent="0.25">
      <c r="A40">
        <v>0</v>
      </c>
      <c r="B40" s="164">
        <v>43384</v>
      </c>
      <c r="C40" s="10">
        <v>150</v>
      </c>
      <c r="D40" s="39">
        <v>61.488</v>
      </c>
      <c r="E40" s="39">
        <v>73.19</v>
      </c>
      <c r="F40" s="39">
        <f t="shared" si="8"/>
        <v>1755.2999999999997</v>
      </c>
      <c r="G40" s="39">
        <f t="shared" si="9"/>
        <v>9223.2000000000007</v>
      </c>
      <c r="H40" s="179">
        <f t="shared" si="10"/>
        <v>0.19031355711683579</v>
      </c>
      <c r="I40" s="39"/>
      <c r="J40" s="39"/>
      <c r="K40" s="101">
        <f t="shared" si="7"/>
        <v>1952.5099999999952</v>
      </c>
      <c r="L40" s="39">
        <v>10.49</v>
      </c>
      <c r="O40" s="81">
        <v>0.91</v>
      </c>
      <c r="P40" s="81">
        <f t="shared" si="2"/>
        <v>49.194600000000001</v>
      </c>
    </row>
    <row r="41" spans="1:17" x14ac:dyDescent="0.25">
      <c r="B41" s="164">
        <v>43402</v>
      </c>
      <c r="C41" s="10">
        <v>150</v>
      </c>
      <c r="D41" s="39">
        <v>61.49</v>
      </c>
      <c r="E41" s="39">
        <v>70.540000000000006</v>
      </c>
      <c r="F41" s="39">
        <f t="shared" si="8"/>
        <v>1357.5000000000007</v>
      </c>
      <c r="G41" s="39">
        <f t="shared" si="9"/>
        <v>9223.5</v>
      </c>
      <c r="H41" s="179">
        <f t="shared" si="10"/>
        <v>0.14717840299235654</v>
      </c>
      <c r="I41" s="39"/>
      <c r="J41" s="39"/>
      <c r="K41" s="101">
        <f t="shared" si="7"/>
        <v>1554.7099999999962</v>
      </c>
      <c r="L41" s="39">
        <v>10.11</v>
      </c>
      <c r="O41" s="81">
        <v>0.9</v>
      </c>
      <c r="P41" s="81">
        <f t="shared" si="2"/>
        <v>48.654000000000003</v>
      </c>
      <c r="Q41" s="2"/>
    </row>
    <row r="42" spans="1:17" x14ac:dyDescent="0.25">
      <c r="A42">
        <v>50</v>
      </c>
      <c r="B42" s="164">
        <v>43405</v>
      </c>
      <c r="C42" s="10">
        <v>150</v>
      </c>
      <c r="D42" s="39">
        <v>60.988</v>
      </c>
      <c r="E42" s="39">
        <v>74.41</v>
      </c>
      <c r="F42" s="39">
        <f t="shared" si="8"/>
        <v>2013.2999999999995</v>
      </c>
      <c r="G42" s="39">
        <f t="shared" si="9"/>
        <v>9148.2000000000007</v>
      </c>
      <c r="H42" s="179">
        <f t="shared" si="10"/>
        <v>0.22007608054043415</v>
      </c>
      <c r="I42" s="39"/>
      <c r="J42" s="39"/>
      <c r="K42" s="101">
        <f t="shared" si="7"/>
        <v>2210.5099999999948</v>
      </c>
      <c r="L42" s="39">
        <v>10.67</v>
      </c>
      <c r="Q42" s="2"/>
    </row>
    <row r="43" spans="1:17" x14ac:dyDescent="0.25">
      <c r="A43">
        <v>0</v>
      </c>
      <c r="B43" s="164">
        <v>43411</v>
      </c>
      <c r="C43" s="10">
        <v>100</v>
      </c>
      <c r="D43" s="39">
        <v>51.942500000000003</v>
      </c>
      <c r="E43" s="39">
        <v>78.77</v>
      </c>
      <c r="F43" s="39">
        <f t="shared" si="8"/>
        <v>2682.7499999999995</v>
      </c>
      <c r="G43" s="39">
        <f t="shared" si="9"/>
        <v>5194.25</v>
      </c>
      <c r="H43" s="179">
        <f t="shared" si="10"/>
        <v>0.51648457428887695</v>
      </c>
      <c r="I43" s="39"/>
      <c r="J43" s="39"/>
      <c r="K43" s="778">
        <f t="shared" si="7"/>
        <v>2879.959999999995</v>
      </c>
      <c r="L43" s="39">
        <v>11.29</v>
      </c>
      <c r="Q43" s="2"/>
    </row>
    <row r="44" spans="1:17" x14ac:dyDescent="0.25">
      <c r="A44">
        <v>0</v>
      </c>
      <c r="B44" s="164">
        <v>43431</v>
      </c>
      <c r="C44" s="10">
        <v>0</v>
      </c>
      <c r="D44" s="39">
        <v>51.94</v>
      </c>
      <c r="E44" s="39">
        <v>79.5</v>
      </c>
      <c r="F44" s="39">
        <f t="shared" si="8"/>
        <v>0</v>
      </c>
      <c r="G44" s="39">
        <f t="shared" si="9"/>
        <v>0</v>
      </c>
      <c r="H44" s="179">
        <f t="shared" si="10"/>
        <v>0.53061224489795922</v>
      </c>
      <c r="I44" s="39"/>
      <c r="J44" s="39"/>
      <c r="K44" s="778">
        <v>3043.46</v>
      </c>
      <c r="L44" s="39">
        <v>11.4</v>
      </c>
      <c r="Q44" s="2"/>
    </row>
    <row r="45" spans="1:17" x14ac:dyDescent="0.25">
      <c r="B45" s="164">
        <v>43440</v>
      </c>
      <c r="C45" s="10">
        <v>100</v>
      </c>
      <c r="D45" s="39">
        <v>47.417499999999997</v>
      </c>
      <c r="E45" s="39">
        <v>76.569999999999993</v>
      </c>
      <c r="F45" s="39">
        <f t="shared" si="8"/>
        <v>2915.2499999999995</v>
      </c>
      <c r="G45" s="39">
        <f t="shared" si="9"/>
        <v>4741.75</v>
      </c>
      <c r="H45" s="179">
        <f t="shared" si="10"/>
        <v>0.61480466072652495</v>
      </c>
      <c r="I45" s="39"/>
      <c r="J45" s="39"/>
      <c r="K45" s="778">
        <v>3112.46</v>
      </c>
      <c r="L45" s="39">
        <v>10.98</v>
      </c>
      <c r="Q45" s="2"/>
    </row>
    <row r="46" spans="1:17" x14ac:dyDescent="0.25">
      <c r="A46">
        <v>100</v>
      </c>
      <c r="B46" s="164">
        <v>43481</v>
      </c>
      <c r="C46" s="10">
        <v>150</v>
      </c>
      <c r="D46" s="39">
        <v>52.77167</v>
      </c>
      <c r="E46" s="39">
        <v>63.74</v>
      </c>
      <c r="F46" s="39">
        <f t="shared" si="8"/>
        <v>1645.2495000000004</v>
      </c>
      <c r="G46" s="39">
        <f t="shared" si="9"/>
        <v>7915.7505000000001</v>
      </c>
      <c r="H46" s="179">
        <f t="shared" si="10"/>
        <v>0.20784504261472114</v>
      </c>
      <c r="I46" s="39"/>
      <c r="J46" s="39"/>
      <c r="K46" s="101">
        <f t="shared" ref="K46:K50" si="11">$Q$10+F46</f>
        <v>1842.4594999999958</v>
      </c>
      <c r="L46" s="39">
        <v>9.14</v>
      </c>
      <c r="Q46" s="2"/>
    </row>
    <row r="47" spans="1:17" x14ac:dyDescent="0.25">
      <c r="A47">
        <v>50</v>
      </c>
      <c r="B47" s="164">
        <v>43483</v>
      </c>
      <c r="C47" s="10">
        <v>100</v>
      </c>
      <c r="D47" s="39">
        <v>46.468000000000004</v>
      </c>
      <c r="E47" s="39">
        <v>65.38</v>
      </c>
      <c r="F47" s="39">
        <f t="shared" si="8"/>
        <v>1891.1999999999991</v>
      </c>
      <c r="G47" s="39">
        <f t="shared" si="9"/>
        <v>4646.8</v>
      </c>
      <c r="H47" s="179">
        <f t="shared" si="10"/>
        <v>0.40698975639149504</v>
      </c>
      <c r="I47" s="39"/>
      <c r="J47" s="39"/>
      <c r="K47" s="101">
        <f t="shared" si="11"/>
        <v>2088.4099999999944</v>
      </c>
      <c r="L47" s="39">
        <v>9.3699999999999992</v>
      </c>
      <c r="Q47" s="2"/>
    </row>
    <row r="48" spans="1:17" x14ac:dyDescent="0.25">
      <c r="A48">
        <v>50</v>
      </c>
      <c r="B48" s="164">
        <v>43500</v>
      </c>
      <c r="C48" s="185">
        <v>100</v>
      </c>
      <c r="D48" s="186">
        <v>45.9679</v>
      </c>
      <c r="E48" s="39">
        <v>65.91</v>
      </c>
      <c r="F48" s="39">
        <f t="shared" si="8"/>
        <v>1994.2099999999996</v>
      </c>
      <c r="G48" s="39">
        <f t="shared" si="9"/>
        <v>4596.79</v>
      </c>
      <c r="H48" s="179">
        <f t="shared" si="10"/>
        <v>0.43382664859608544</v>
      </c>
      <c r="I48" s="39"/>
      <c r="J48" s="39"/>
      <c r="K48" s="101">
        <f t="shared" si="11"/>
        <v>2191.4199999999951</v>
      </c>
      <c r="L48" s="39">
        <v>9.4499999999999993</v>
      </c>
      <c r="Q48" s="2"/>
    </row>
    <row r="49" spans="1:17" x14ac:dyDescent="0.25">
      <c r="A49">
        <v>100</v>
      </c>
      <c r="B49" s="164">
        <v>43523</v>
      </c>
      <c r="C49" s="7">
        <v>200</v>
      </c>
      <c r="D49" s="43">
        <v>52.423999999999999</v>
      </c>
      <c r="E49" s="39">
        <v>58.5</v>
      </c>
      <c r="F49" s="39">
        <f t="shared" si="8"/>
        <v>1215.2</v>
      </c>
      <c r="G49" s="39">
        <f t="shared" si="9"/>
        <v>10484.799999999999</v>
      </c>
      <c r="H49" s="179">
        <f t="shared" si="10"/>
        <v>0.11590111399359074</v>
      </c>
      <c r="I49" s="39"/>
      <c r="J49" s="39"/>
      <c r="K49" s="101">
        <f t="shared" si="11"/>
        <v>1412.4099999999955</v>
      </c>
      <c r="L49" s="39">
        <v>8.6300000000000008</v>
      </c>
      <c r="Q49" s="2"/>
    </row>
    <row r="50" spans="1:17" x14ac:dyDescent="0.25">
      <c r="A50">
        <v>100</v>
      </c>
      <c r="B50" s="164">
        <v>43531</v>
      </c>
      <c r="C50" s="480">
        <v>300</v>
      </c>
      <c r="D50" s="549">
        <v>52.549300000000002</v>
      </c>
      <c r="E50" s="39">
        <v>52.36</v>
      </c>
      <c r="F50" s="39">
        <f t="shared" si="8"/>
        <v>-56.790000000000873</v>
      </c>
      <c r="G50" s="39">
        <f t="shared" si="9"/>
        <v>15764.79</v>
      </c>
      <c r="H50" s="179">
        <f t="shared" si="10"/>
        <v>-3.6023315248728889E-3</v>
      </c>
      <c r="I50" s="39"/>
      <c r="J50" s="39"/>
      <c r="K50" s="101">
        <f t="shared" si="11"/>
        <v>140.41999999999462</v>
      </c>
      <c r="L50" s="39">
        <v>7.72</v>
      </c>
      <c r="Q50" s="2"/>
    </row>
    <row r="51" spans="1:17" x14ac:dyDescent="0.25">
      <c r="A51">
        <v>100</v>
      </c>
      <c r="B51" s="164">
        <v>43535</v>
      </c>
      <c r="C51" s="10">
        <v>300</v>
      </c>
      <c r="D51" s="39">
        <v>52.55</v>
      </c>
      <c r="E51" s="39">
        <v>53.75</v>
      </c>
      <c r="F51" s="39">
        <f t="shared" si="8"/>
        <v>360.00000000000085</v>
      </c>
      <c r="G51" s="39">
        <f t="shared" si="9"/>
        <v>15765</v>
      </c>
      <c r="H51" s="179">
        <f t="shared" si="10"/>
        <v>2.2835394862036212E-2</v>
      </c>
      <c r="I51" s="39"/>
      <c r="J51" s="39"/>
      <c r="K51" s="101">
        <f t="shared" ref="K51:K52" si="12">$Q$10+F51</f>
        <v>557.2099999999964</v>
      </c>
      <c r="L51" s="39">
        <v>7.93</v>
      </c>
      <c r="Q51" s="2"/>
    </row>
    <row r="52" spans="1:17" x14ac:dyDescent="0.25">
      <c r="A52">
        <v>0</v>
      </c>
      <c r="B52" s="164">
        <v>43545</v>
      </c>
      <c r="C52" s="7">
        <v>200</v>
      </c>
      <c r="D52" s="43">
        <v>50.098999999999997</v>
      </c>
      <c r="E52" s="39">
        <v>57.4</v>
      </c>
      <c r="F52" s="39">
        <f t="shared" si="8"/>
        <v>1460.2000000000003</v>
      </c>
      <c r="G52" s="39">
        <f t="shared" si="9"/>
        <v>10019.799999999999</v>
      </c>
      <c r="H52" s="179">
        <f t="shared" si="10"/>
        <v>0.14573145172558338</v>
      </c>
      <c r="I52" s="39"/>
      <c r="J52" s="39"/>
      <c r="K52" s="101">
        <f t="shared" si="12"/>
        <v>1657.4099999999958</v>
      </c>
      <c r="L52" s="39">
        <v>8.4700000000000006</v>
      </c>
      <c r="Q52" s="2"/>
    </row>
    <row r="53" spans="1:17" x14ac:dyDescent="0.25">
      <c r="B53" s="164"/>
      <c r="C53" s="10"/>
      <c r="D53" s="39"/>
      <c r="E53" s="39"/>
      <c r="F53" s="39"/>
      <c r="G53" s="39"/>
      <c r="H53" s="179"/>
      <c r="I53" s="39"/>
      <c r="J53" s="39"/>
      <c r="K53" s="39"/>
      <c r="L53" s="39"/>
      <c r="Q53" s="2"/>
    </row>
    <row r="54" spans="1:17" x14ac:dyDescent="0.25">
      <c r="A54" s="4"/>
      <c r="B54" s="164"/>
      <c r="C54" s="10"/>
      <c r="D54" s="39"/>
      <c r="E54" s="39"/>
      <c r="F54" s="39"/>
      <c r="G54" s="39"/>
      <c r="H54" s="179"/>
      <c r="I54" s="39"/>
      <c r="J54" s="39"/>
      <c r="K54" s="39"/>
      <c r="L54" s="39"/>
    </row>
    <row r="55" spans="1:17" x14ac:dyDescent="0.25">
      <c r="A55" s="4"/>
      <c r="B55" s="164"/>
      <c r="C55" s="10"/>
      <c r="D55" s="39"/>
      <c r="E55" s="39"/>
      <c r="F55" s="39"/>
      <c r="G55" s="39"/>
      <c r="H55" s="179"/>
      <c r="I55" s="39"/>
      <c r="J55" s="39"/>
      <c r="K55" s="39"/>
      <c r="L55" s="39"/>
    </row>
    <row r="56" spans="1:17" x14ac:dyDescent="0.25">
      <c r="A56" s="4"/>
      <c r="B56" s="164"/>
      <c r="C56" s="10"/>
      <c r="D56" s="39"/>
      <c r="E56" s="39"/>
      <c r="F56" s="39"/>
      <c r="G56" s="39"/>
      <c r="H56" s="179"/>
      <c r="I56" s="39"/>
      <c r="J56" s="39"/>
      <c r="K56" s="39"/>
      <c r="L56" s="39"/>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t="s">
        <v>65</v>
      </c>
      <c r="M58" s="39">
        <f>K76+M76-F76</f>
        <v>197.20999999999549</v>
      </c>
    </row>
    <row r="59" spans="1:17" x14ac:dyDescent="0.25">
      <c r="A59" s="304" t="s">
        <v>1</v>
      </c>
      <c r="B59" s="304" t="s">
        <v>2</v>
      </c>
      <c r="C59" s="304" t="s">
        <v>4</v>
      </c>
      <c r="D59" s="306" t="s">
        <v>5</v>
      </c>
      <c r="E59" s="306" t="s">
        <v>94</v>
      </c>
      <c r="F59" s="306" t="s">
        <v>60</v>
      </c>
      <c r="G59" s="304" t="s">
        <v>3</v>
      </c>
      <c r="H59" s="304" t="s">
        <v>6</v>
      </c>
      <c r="I59" s="306" t="s">
        <v>7</v>
      </c>
      <c r="J59" s="306" t="s">
        <v>95</v>
      </c>
      <c r="K59" s="306" t="s">
        <v>61</v>
      </c>
      <c r="L59" s="304" t="s">
        <v>37</v>
      </c>
      <c r="M59" s="304" t="s">
        <v>38</v>
      </c>
    </row>
    <row r="60" spans="1:17" x14ac:dyDescent="0.25">
      <c r="A60" s="307" t="s">
        <v>269</v>
      </c>
      <c r="B60" s="297">
        <v>42626</v>
      </c>
      <c r="C60" s="298">
        <v>20</v>
      </c>
      <c r="D60" s="299">
        <v>90.85</v>
      </c>
      <c r="E60" s="299">
        <v>0</v>
      </c>
      <c r="F60" s="299">
        <f t="shared" ref="F60:F65" si="13">D60*C60 + E60</f>
        <v>1817</v>
      </c>
      <c r="G60" s="297">
        <v>42762</v>
      </c>
      <c r="H60" s="298">
        <v>40</v>
      </c>
      <c r="I60" s="299">
        <v>77.78</v>
      </c>
      <c r="J60" s="299">
        <v>7.0000000000000007E-2</v>
      </c>
      <c r="K60" s="299">
        <f>I60*H60 - J60</f>
        <v>3111.1299999999997</v>
      </c>
      <c r="L60" s="297">
        <v>42678</v>
      </c>
      <c r="M60" s="299">
        <v>17</v>
      </c>
    </row>
    <row r="61" spans="1:17" x14ac:dyDescent="0.25">
      <c r="A61" s="308" t="s">
        <v>71</v>
      </c>
      <c r="B61" s="297">
        <v>42646</v>
      </c>
      <c r="C61" s="298">
        <v>20</v>
      </c>
      <c r="D61" s="299">
        <v>87.56</v>
      </c>
      <c r="E61" s="299">
        <v>0</v>
      </c>
      <c r="F61" s="299">
        <f t="shared" si="13"/>
        <v>1751.2</v>
      </c>
      <c r="G61" s="297">
        <v>42788</v>
      </c>
      <c r="H61" s="302">
        <v>40</v>
      </c>
      <c r="I61" s="299">
        <v>80.38</v>
      </c>
      <c r="J61" s="299">
        <v>7.0000000000000007E-2</v>
      </c>
      <c r="K61" s="299">
        <f>I61*H61 - J61</f>
        <v>3215.1299999999997</v>
      </c>
      <c r="L61" s="297">
        <v>42769</v>
      </c>
      <c r="M61" s="299">
        <v>40</v>
      </c>
    </row>
    <row r="62" spans="1:17" x14ac:dyDescent="0.25">
      <c r="A62" s="298"/>
      <c r="B62" s="297">
        <v>42677</v>
      </c>
      <c r="C62" s="298">
        <v>40</v>
      </c>
      <c r="D62" s="299">
        <v>81.98</v>
      </c>
      <c r="E62" s="299">
        <v>0</v>
      </c>
      <c r="F62" s="299">
        <f t="shared" si="13"/>
        <v>3279.2000000000003</v>
      </c>
      <c r="G62" s="297">
        <v>42796</v>
      </c>
      <c r="H62" s="302">
        <v>80</v>
      </c>
      <c r="I62" s="299">
        <v>81.2</v>
      </c>
      <c r="J62" s="299">
        <v>0.14000000000000001</v>
      </c>
      <c r="K62" s="299">
        <f>I62*H62 - J62</f>
        <v>6495.86</v>
      </c>
      <c r="L62" s="297">
        <v>42856</v>
      </c>
      <c r="M62" s="298">
        <v>30</v>
      </c>
    </row>
    <row r="63" spans="1:17" x14ac:dyDescent="0.25">
      <c r="A63" s="298"/>
      <c r="B63" s="297">
        <v>42760</v>
      </c>
      <c r="C63" s="298">
        <v>20</v>
      </c>
      <c r="D63" s="299">
        <v>80.28</v>
      </c>
      <c r="E63" s="299">
        <v>0</v>
      </c>
      <c r="F63" s="299">
        <f t="shared" si="13"/>
        <v>1605.6</v>
      </c>
      <c r="G63" s="297">
        <v>42850</v>
      </c>
      <c r="H63" s="302">
        <v>60</v>
      </c>
      <c r="I63" s="299">
        <v>81.98</v>
      </c>
      <c r="J63" s="299">
        <v>0.11</v>
      </c>
      <c r="K63" s="299">
        <f>I63*H63 - J63</f>
        <v>4918.6900000000005</v>
      </c>
      <c r="L63" s="298"/>
      <c r="M63" s="298"/>
    </row>
    <row r="64" spans="1:17" x14ac:dyDescent="0.25">
      <c r="A64" s="298"/>
      <c r="B64" s="297">
        <v>42762</v>
      </c>
      <c r="C64" s="298">
        <v>80</v>
      </c>
      <c r="D64" s="299">
        <v>77.180000000000007</v>
      </c>
      <c r="E64" s="299">
        <v>0</v>
      </c>
      <c r="F64" s="299">
        <f t="shared" si="13"/>
        <v>6174.4000000000005</v>
      </c>
      <c r="G64" s="298"/>
      <c r="H64" s="302"/>
      <c r="I64" s="299"/>
      <c r="J64" s="299"/>
      <c r="K64" s="299"/>
      <c r="L64" s="298"/>
      <c r="M64" s="298"/>
    </row>
    <row r="65" spans="1:13" x14ac:dyDescent="0.25">
      <c r="A65" s="298"/>
      <c r="B65" s="297">
        <v>42768</v>
      </c>
      <c r="C65" s="298">
        <v>40</v>
      </c>
      <c r="D65" s="299">
        <v>75.08</v>
      </c>
      <c r="E65" s="299">
        <v>0</v>
      </c>
      <c r="F65" s="299">
        <f t="shared" si="13"/>
        <v>3003.2</v>
      </c>
      <c r="G65" s="298"/>
      <c r="H65" s="302"/>
      <c r="I65" s="299"/>
      <c r="J65" s="299"/>
      <c r="K65" s="299"/>
      <c r="L65" s="298"/>
      <c r="M65" s="298"/>
    </row>
    <row r="66" spans="1:13" x14ac:dyDescent="0.25">
      <c r="A66" s="298"/>
      <c r="B66" s="298"/>
      <c r="C66" s="298"/>
      <c r="D66" s="299"/>
      <c r="E66" s="299"/>
      <c r="F66" s="299"/>
      <c r="G66" s="298"/>
      <c r="H66" s="302"/>
      <c r="I66" s="299"/>
      <c r="J66" s="299"/>
      <c r="K66" s="299"/>
      <c r="L66" s="298"/>
      <c r="M66" s="298"/>
    </row>
    <row r="67" spans="1:13" x14ac:dyDescent="0.25">
      <c r="A67" s="298"/>
      <c r="B67" s="298"/>
      <c r="C67" s="298"/>
      <c r="D67" s="299"/>
      <c r="E67" s="299"/>
      <c r="F67" s="299"/>
      <c r="G67" s="298"/>
      <c r="H67" s="302"/>
      <c r="I67" s="299"/>
      <c r="J67" s="299"/>
      <c r="K67" s="299"/>
      <c r="L67" s="298"/>
      <c r="M67" s="298"/>
    </row>
    <row r="68" spans="1:13" x14ac:dyDescent="0.25">
      <c r="A68" s="298"/>
      <c r="B68" s="298"/>
      <c r="C68" s="298"/>
      <c r="D68" s="299"/>
      <c r="E68" s="299"/>
      <c r="F68" s="299"/>
      <c r="G68" s="298"/>
      <c r="H68" s="302"/>
      <c r="I68" s="299"/>
      <c r="J68" s="299"/>
      <c r="K68" s="299"/>
      <c r="L68" s="298"/>
      <c r="M68" s="298"/>
    </row>
    <row r="69" spans="1:13" x14ac:dyDescent="0.25">
      <c r="A69" s="298"/>
      <c r="B69" s="298"/>
      <c r="C69" s="298"/>
      <c r="D69" s="299"/>
      <c r="E69" s="299"/>
      <c r="F69" s="299"/>
      <c r="G69" s="298"/>
      <c r="H69" s="302"/>
      <c r="I69" s="299"/>
      <c r="J69" s="299"/>
      <c r="K69" s="299"/>
      <c r="L69" s="298"/>
      <c r="M69" s="298"/>
    </row>
    <row r="70" spans="1:13" x14ac:dyDescent="0.25">
      <c r="A70" s="298"/>
      <c r="B70" s="298"/>
      <c r="C70" s="298"/>
      <c r="D70" s="299"/>
      <c r="E70" s="299"/>
      <c r="F70" s="299"/>
      <c r="G70" s="298"/>
      <c r="H70" s="302"/>
      <c r="I70" s="299"/>
      <c r="J70" s="299"/>
      <c r="K70" s="299"/>
      <c r="L70" s="298"/>
      <c r="M70" s="298"/>
    </row>
    <row r="71" spans="1:13" x14ac:dyDescent="0.25">
      <c r="A71" s="298"/>
      <c r="B71" s="298"/>
      <c r="C71" s="298"/>
      <c r="D71" s="299"/>
      <c r="E71" s="299"/>
      <c r="F71" s="299"/>
      <c r="G71" s="298"/>
      <c r="H71" s="302"/>
      <c r="I71" s="299"/>
      <c r="J71" s="299"/>
      <c r="K71" s="299"/>
      <c r="L71" s="298"/>
      <c r="M71" s="298"/>
    </row>
    <row r="72" spans="1:13" x14ac:dyDescent="0.25">
      <c r="A72" s="298"/>
      <c r="B72" s="298"/>
      <c r="C72" s="298"/>
      <c r="D72" s="299"/>
      <c r="E72" s="299"/>
      <c r="F72" s="299"/>
      <c r="G72" s="298"/>
      <c r="H72" s="302"/>
      <c r="I72" s="299"/>
      <c r="J72" s="299"/>
      <c r="K72" s="299"/>
      <c r="L72" s="298"/>
      <c r="M72" s="298"/>
    </row>
    <row r="73" spans="1:13" x14ac:dyDescent="0.25">
      <c r="A73" s="298"/>
      <c r="B73" s="298"/>
      <c r="C73" s="298"/>
      <c r="D73" s="299"/>
      <c r="E73" s="299"/>
      <c r="F73" s="299"/>
      <c r="G73" s="298"/>
      <c r="H73" s="302"/>
      <c r="I73" s="299"/>
      <c r="J73" s="299"/>
      <c r="K73" s="299"/>
      <c r="L73" s="298"/>
      <c r="M73" s="298"/>
    </row>
    <row r="74" spans="1:13" x14ac:dyDescent="0.25">
      <c r="A74" s="298"/>
      <c r="B74" s="298"/>
      <c r="C74" s="298"/>
      <c r="D74" s="299"/>
      <c r="E74" s="299"/>
      <c r="F74" s="299"/>
      <c r="G74" s="298"/>
      <c r="H74" s="302"/>
      <c r="I74" s="299"/>
      <c r="J74" s="299"/>
      <c r="K74" s="299"/>
      <c r="L74" s="298"/>
      <c r="M74" s="298"/>
    </row>
    <row r="75" spans="1:13" x14ac:dyDescent="0.25">
      <c r="A75" s="298"/>
      <c r="B75" s="298"/>
      <c r="C75" s="298"/>
      <c r="D75" s="299"/>
      <c r="E75" s="299"/>
      <c r="F75" s="299"/>
      <c r="G75" s="298"/>
      <c r="H75" s="298"/>
      <c r="I75" s="299"/>
      <c r="J75" s="299"/>
      <c r="K75" s="299"/>
      <c r="L75" s="298"/>
      <c r="M75" s="298"/>
    </row>
    <row r="76" spans="1:13" x14ac:dyDescent="0.25">
      <c r="A76" s="21" t="s">
        <v>81</v>
      </c>
      <c r="B76" s="12"/>
      <c r="C76" s="12">
        <f>SUM(C60:C65)</f>
        <v>220</v>
      </c>
      <c r="D76" s="13"/>
      <c r="E76" s="13"/>
      <c r="F76" s="13">
        <f>SUM(F60:F65)</f>
        <v>17630.600000000002</v>
      </c>
      <c r="G76" s="12"/>
      <c r="H76" s="12">
        <f>SUM(H60:H63)</f>
        <v>220</v>
      </c>
      <c r="I76" s="13"/>
      <c r="J76" s="13"/>
      <c r="K76" s="13">
        <f>SUM(K60:K63)</f>
        <v>17740.809999999998</v>
      </c>
      <c r="L76" s="12"/>
      <c r="M76" s="13">
        <f>SUM(M60:M68)</f>
        <v>87</v>
      </c>
    </row>
    <row r="77" spans="1:13" ht="15.75" thickBot="1" x14ac:dyDescent="0.3">
      <c r="A77" s="378" t="s">
        <v>191</v>
      </c>
      <c r="B77" s="379"/>
      <c r="C77" s="380">
        <f>SumByColor($A$19,C60:C75)</f>
        <v>0</v>
      </c>
      <c r="D77" s="380"/>
      <c r="E77" s="380"/>
      <c r="F77" s="381">
        <f>SumByColor($A$19,F60:F75)</f>
        <v>0</v>
      </c>
      <c r="G77" s="380"/>
      <c r="H77" s="380">
        <f>SumByColor($A$19,H60:H75)</f>
        <v>0</v>
      </c>
      <c r="I77" s="380"/>
      <c r="J77" s="380"/>
      <c r="K77" s="381">
        <f>SumByColor($A$19,K60:K75)</f>
        <v>0</v>
      </c>
      <c r="L77" s="380"/>
      <c r="M77" s="381">
        <f>SumByColor($A$19,M60:M75)</f>
        <v>0</v>
      </c>
    </row>
    <row r="78" spans="1:13" x14ac:dyDescent="0.25">
      <c r="A78" s="298"/>
      <c r="B78" s="298"/>
      <c r="C78" s="298"/>
      <c r="D78" s="299"/>
      <c r="E78" s="299"/>
      <c r="F78" s="299"/>
      <c r="G78" s="298"/>
      <c r="H78" s="298"/>
      <c r="I78" s="299"/>
      <c r="J78" s="299"/>
      <c r="K78" s="299"/>
      <c r="L78" s="298"/>
      <c r="M78" s="298"/>
    </row>
    <row r="82" spans="1:12" x14ac:dyDescent="0.25">
      <c r="A82" s="298"/>
      <c r="B82" s="298"/>
      <c r="C82" s="298"/>
      <c r="D82" s="299"/>
      <c r="E82" s="299"/>
      <c r="F82" s="299"/>
      <c r="G82" s="298"/>
      <c r="H82" s="298"/>
      <c r="I82" s="299"/>
      <c r="J82" s="299"/>
      <c r="K82" s="299"/>
      <c r="L82" s="298"/>
    </row>
    <row r="83" spans="1:12" x14ac:dyDescent="0.25">
      <c r="A83" s="298"/>
      <c r="B83" s="414" t="s">
        <v>113</v>
      </c>
      <c r="C83" s="414" t="s">
        <v>145</v>
      </c>
      <c r="D83" s="415" t="s">
        <v>144</v>
      </c>
      <c r="E83" s="416" t="s">
        <v>146</v>
      </c>
      <c r="F83" s="416" t="s">
        <v>65</v>
      </c>
      <c r="G83" s="418" t="s">
        <v>150</v>
      </c>
      <c r="H83" s="418" t="s">
        <v>88</v>
      </c>
      <c r="I83" s="418" t="s">
        <v>153</v>
      </c>
      <c r="J83" s="299"/>
      <c r="K83" s="299"/>
      <c r="L83" s="298"/>
    </row>
    <row r="84" spans="1:12" x14ac:dyDescent="0.25">
      <c r="A84" s="298"/>
      <c r="B84" s="297">
        <v>42626</v>
      </c>
      <c r="C84" s="298">
        <v>20</v>
      </c>
      <c r="D84" s="299">
        <v>90.85</v>
      </c>
      <c r="E84" s="299">
        <v>90.93</v>
      </c>
      <c r="F84" s="299">
        <f t="shared" ref="F84:F107" si="14">C84*(E84-D84)</f>
        <v>1.6000000000002501</v>
      </c>
      <c r="G84" s="299">
        <f t="shared" ref="G84:G107" si="15">D84*C84</f>
        <v>1817</v>
      </c>
      <c r="H84" s="300">
        <f t="shared" ref="H84:H107" si="16">(E84-D84)/D84</f>
        <v>8.8057237204196487E-4</v>
      </c>
      <c r="I84" s="299"/>
      <c r="J84" s="299"/>
      <c r="K84" s="299"/>
      <c r="L84" s="298"/>
    </row>
    <row r="85" spans="1:12" x14ac:dyDescent="0.25">
      <c r="A85" s="298"/>
      <c r="B85" s="297">
        <v>42627</v>
      </c>
      <c r="C85" s="298">
        <v>20</v>
      </c>
      <c r="D85" s="299">
        <v>90.85</v>
      </c>
      <c r="E85" s="299">
        <v>89.44</v>
      </c>
      <c r="F85" s="299">
        <f t="shared" si="14"/>
        <v>-28.199999999999932</v>
      </c>
      <c r="G85" s="299">
        <f t="shared" si="15"/>
        <v>1817</v>
      </c>
      <c r="H85" s="300">
        <f t="shared" si="16"/>
        <v>-1.5520088057237168E-2</v>
      </c>
      <c r="I85" s="299"/>
      <c r="J85" s="299"/>
      <c r="K85" s="299"/>
      <c r="L85" s="298"/>
    </row>
    <row r="86" spans="1:12" x14ac:dyDescent="0.25">
      <c r="A86" s="298"/>
      <c r="B86" s="297">
        <v>42640</v>
      </c>
      <c r="C86" s="298">
        <v>20</v>
      </c>
      <c r="D86" s="299">
        <v>90.85</v>
      </c>
      <c r="E86" s="299">
        <v>90.56</v>
      </c>
      <c r="F86" s="299">
        <f t="shared" si="14"/>
        <v>-5.7999999999998408</v>
      </c>
      <c r="G86" s="299">
        <f t="shared" si="15"/>
        <v>1817</v>
      </c>
      <c r="H86" s="300">
        <f t="shared" si="16"/>
        <v>-3.1920748486515362E-3</v>
      </c>
      <c r="I86" s="299"/>
      <c r="J86" s="299"/>
      <c r="K86" s="299"/>
      <c r="L86" s="298"/>
    </row>
    <row r="87" spans="1:12" x14ac:dyDescent="0.25">
      <c r="A87" s="298"/>
      <c r="B87" s="297">
        <v>42646</v>
      </c>
      <c r="C87" s="298">
        <v>40</v>
      </c>
      <c r="D87" s="299">
        <v>89.204999999999998</v>
      </c>
      <c r="E87" s="299">
        <v>87.09</v>
      </c>
      <c r="F87" s="299">
        <f t="shared" si="14"/>
        <v>-84.599999999999795</v>
      </c>
      <c r="G87" s="299">
        <f t="shared" si="15"/>
        <v>3568.2</v>
      </c>
      <c r="H87" s="300">
        <f t="shared" si="16"/>
        <v>-2.3709433327728211E-2</v>
      </c>
      <c r="I87" s="299"/>
      <c r="J87" s="299"/>
      <c r="K87" s="299"/>
      <c r="L87" s="298"/>
    </row>
    <row r="88" spans="1:12" x14ac:dyDescent="0.25">
      <c r="A88" s="298"/>
      <c r="B88" s="297">
        <v>42651</v>
      </c>
      <c r="C88" s="298">
        <v>40</v>
      </c>
      <c r="D88" s="299">
        <v>89.204999999999998</v>
      </c>
      <c r="E88" s="299">
        <v>86.4</v>
      </c>
      <c r="F88" s="299">
        <f t="shared" si="14"/>
        <v>-112.1999999999997</v>
      </c>
      <c r="G88" s="299">
        <f t="shared" si="15"/>
        <v>3568.2</v>
      </c>
      <c r="H88" s="300">
        <f t="shared" si="16"/>
        <v>-3.1444425760887761E-2</v>
      </c>
      <c r="I88" s="299"/>
      <c r="J88" s="299"/>
      <c r="K88" s="299"/>
      <c r="L88" s="298"/>
    </row>
    <row r="89" spans="1:12" x14ac:dyDescent="0.25">
      <c r="A89" s="298"/>
      <c r="B89" s="297">
        <v>42674</v>
      </c>
      <c r="C89" s="298">
        <v>40</v>
      </c>
      <c r="D89" s="299">
        <v>89.204999999999998</v>
      </c>
      <c r="E89" s="299">
        <v>84.1</v>
      </c>
      <c r="F89" s="299">
        <f t="shared" si="14"/>
        <v>-204.20000000000016</v>
      </c>
      <c r="G89" s="299">
        <f t="shared" si="15"/>
        <v>3568.2</v>
      </c>
      <c r="H89" s="300">
        <f t="shared" si="16"/>
        <v>-5.7227733871419807E-2</v>
      </c>
      <c r="I89" s="299"/>
      <c r="J89" s="299"/>
      <c r="K89" s="299"/>
      <c r="L89" s="298"/>
    </row>
    <row r="90" spans="1:12" x14ac:dyDescent="0.25">
      <c r="A90" s="298"/>
      <c r="B90" s="297">
        <v>42677</v>
      </c>
      <c r="C90" s="298">
        <v>80</v>
      </c>
      <c r="D90" s="299">
        <v>85.38</v>
      </c>
      <c r="E90" s="299">
        <v>81.569999999999993</v>
      </c>
      <c r="F90" s="299">
        <f t="shared" si="14"/>
        <v>-304.80000000000018</v>
      </c>
      <c r="G90" s="299">
        <f t="shared" si="15"/>
        <v>6830.4</v>
      </c>
      <c r="H90" s="300">
        <f t="shared" si="16"/>
        <v>-4.4624033731553089E-2</v>
      </c>
      <c r="I90" s="299" t="s">
        <v>184</v>
      </c>
      <c r="J90" s="299"/>
      <c r="K90" s="299"/>
      <c r="L90" s="298"/>
    </row>
    <row r="91" spans="1:12" x14ac:dyDescent="0.25">
      <c r="A91" s="298"/>
      <c r="B91" s="297">
        <v>42702</v>
      </c>
      <c r="C91" s="298">
        <v>80</v>
      </c>
      <c r="D91" s="299">
        <v>85.38</v>
      </c>
      <c r="E91" s="299">
        <v>74.06</v>
      </c>
      <c r="F91" s="299">
        <f t="shared" si="14"/>
        <v>-905.59999999999945</v>
      </c>
      <c r="G91" s="299">
        <f t="shared" si="15"/>
        <v>6830.4</v>
      </c>
      <c r="H91" s="300">
        <f t="shared" si="16"/>
        <v>-0.13258374326540165</v>
      </c>
      <c r="I91" s="299"/>
      <c r="J91" s="299"/>
      <c r="K91" s="299"/>
      <c r="L91" s="298"/>
    </row>
    <row r="92" spans="1:12" x14ac:dyDescent="0.25">
      <c r="A92" s="298"/>
      <c r="B92" s="297">
        <v>42704</v>
      </c>
      <c r="C92" s="298">
        <v>80</v>
      </c>
      <c r="D92" s="299">
        <v>85.38</v>
      </c>
      <c r="E92" s="299">
        <v>76.89</v>
      </c>
      <c r="F92" s="299">
        <f t="shared" si="14"/>
        <v>-679.19999999999959</v>
      </c>
      <c r="G92" s="299">
        <f t="shared" si="15"/>
        <v>6830.4</v>
      </c>
      <c r="H92" s="300">
        <f t="shared" si="16"/>
        <v>-9.9437807449051244E-2</v>
      </c>
      <c r="I92" s="299"/>
      <c r="J92" s="299"/>
      <c r="K92" s="299"/>
      <c r="L92" s="298"/>
    </row>
    <row r="93" spans="1:12" x14ac:dyDescent="0.25">
      <c r="A93" s="298"/>
      <c r="B93" s="297">
        <v>42729</v>
      </c>
      <c r="C93" s="298">
        <v>80</v>
      </c>
      <c r="D93" s="299">
        <v>85.38</v>
      </c>
      <c r="E93" s="299">
        <v>79.14</v>
      </c>
      <c r="F93" s="299">
        <f t="shared" si="14"/>
        <v>-499.19999999999959</v>
      </c>
      <c r="G93" s="299">
        <f t="shared" si="15"/>
        <v>6830.4</v>
      </c>
      <c r="H93" s="300">
        <f t="shared" si="16"/>
        <v>-7.3085031623330937E-2</v>
      </c>
      <c r="I93" s="299"/>
      <c r="J93" s="299"/>
      <c r="K93" s="299"/>
      <c r="L93" s="298"/>
    </row>
    <row r="94" spans="1:12" x14ac:dyDescent="0.25">
      <c r="A94" s="298"/>
      <c r="B94" s="297">
        <v>42745</v>
      </c>
      <c r="C94" s="298">
        <v>80</v>
      </c>
      <c r="D94" s="299">
        <v>85.38</v>
      </c>
      <c r="E94" s="299">
        <v>82.67</v>
      </c>
      <c r="F94" s="299">
        <f t="shared" si="14"/>
        <v>-216.7999999999995</v>
      </c>
      <c r="G94" s="299">
        <f t="shared" si="15"/>
        <v>6830.4</v>
      </c>
      <c r="H94" s="300">
        <f t="shared" si="16"/>
        <v>-3.1740454438978612E-2</v>
      </c>
      <c r="I94" s="299"/>
      <c r="J94" s="299"/>
      <c r="K94" s="299"/>
      <c r="L94" s="298"/>
    </row>
    <row r="95" spans="1:12" x14ac:dyDescent="0.25">
      <c r="A95" s="298"/>
      <c r="B95" s="297">
        <v>42756</v>
      </c>
      <c r="C95" s="298">
        <v>80</v>
      </c>
      <c r="D95" s="299">
        <v>85.38</v>
      </c>
      <c r="E95" s="299">
        <v>81.56</v>
      </c>
      <c r="F95" s="299">
        <f t="shared" si="14"/>
        <v>-305.59999999999945</v>
      </c>
      <c r="G95" s="299">
        <f t="shared" si="15"/>
        <v>6830.4</v>
      </c>
      <c r="H95" s="300">
        <f t="shared" si="16"/>
        <v>-4.4741157179667292E-2</v>
      </c>
      <c r="I95" s="299"/>
      <c r="J95" s="299"/>
      <c r="K95" s="299"/>
      <c r="L95" s="298"/>
    </row>
    <row r="96" spans="1:12" x14ac:dyDescent="0.25">
      <c r="A96" s="298"/>
      <c r="B96" s="297">
        <v>42760</v>
      </c>
      <c r="C96" s="298">
        <v>100</v>
      </c>
      <c r="D96" s="299">
        <v>84.36</v>
      </c>
      <c r="E96" s="299">
        <v>79.489999999999995</v>
      </c>
      <c r="F96" s="299">
        <f t="shared" si="14"/>
        <v>-487.00000000000045</v>
      </c>
      <c r="G96" s="299">
        <f t="shared" si="15"/>
        <v>8436</v>
      </c>
      <c r="H96" s="300">
        <f t="shared" si="16"/>
        <v>-5.7728781412991995E-2</v>
      </c>
      <c r="I96" s="299"/>
      <c r="J96" s="299"/>
      <c r="K96" s="299"/>
      <c r="L96" s="298"/>
    </row>
    <row r="97" spans="1:12" x14ac:dyDescent="0.25">
      <c r="A97" s="298"/>
      <c r="B97" s="297">
        <v>42762</v>
      </c>
      <c r="C97" s="298">
        <v>180</v>
      </c>
      <c r="D97" s="299">
        <v>81.169280000000001</v>
      </c>
      <c r="E97" s="299">
        <v>77.75</v>
      </c>
      <c r="F97" s="299">
        <f t="shared" si="14"/>
        <v>-615.47040000000015</v>
      </c>
      <c r="G97" s="299">
        <f t="shared" si="15"/>
        <v>14610.4704</v>
      </c>
      <c r="H97" s="300">
        <f t="shared" si="16"/>
        <v>-4.2125296663959574E-2</v>
      </c>
      <c r="I97" s="299"/>
      <c r="J97" s="299"/>
      <c r="K97" s="299"/>
      <c r="L97" s="298"/>
    </row>
    <row r="98" spans="1:12" x14ac:dyDescent="0.25">
      <c r="A98" s="298" t="s">
        <v>360</v>
      </c>
      <c r="B98" s="297">
        <v>42762</v>
      </c>
      <c r="C98" s="298">
        <v>140</v>
      </c>
      <c r="D98" s="299">
        <v>82.137640000000005</v>
      </c>
      <c r="E98" s="299">
        <v>77.75</v>
      </c>
      <c r="F98" s="299">
        <f t="shared" si="14"/>
        <v>-614.26960000000065</v>
      </c>
      <c r="G98" s="299">
        <f t="shared" si="15"/>
        <v>11499.269600000001</v>
      </c>
      <c r="H98" s="300">
        <f t="shared" si="16"/>
        <v>-5.3418140574771865E-2</v>
      </c>
      <c r="I98" s="299"/>
      <c r="J98" s="299"/>
      <c r="K98" s="299"/>
      <c r="L98" s="298"/>
    </row>
    <row r="99" spans="1:12" x14ac:dyDescent="0.25">
      <c r="A99" s="298" t="s">
        <v>375</v>
      </c>
      <c r="B99" s="297">
        <v>42768</v>
      </c>
      <c r="C99" s="298">
        <v>180</v>
      </c>
      <c r="D99" s="299">
        <v>80.347059999999999</v>
      </c>
      <c r="E99" s="299">
        <v>74.8</v>
      </c>
      <c r="F99" s="299">
        <f t="shared" si="14"/>
        <v>-998.47080000000028</v>
      </c>
      <c r="G99" s="299">
        <f t="shared" si="15"/>
        <v>14462.470799999999</v>
      </c>
      <c r="H99" s="300">
        <f t="shared" si="16"/>
        <v>-6.903874267459198E-2</v>
      </c>
      <c r="I99" s="299" t="s">
        <v>184</v>
      </c>
      <c r="J99" s="299"/>
      <c r="K99" s="299"/>
      <c r="L99" s="298"/>
    </row>
    <row r="100" spans="1:12" x14ac:dyDescent="0.25">
      <c r="A100" s="298" t="s">
        <v>375</v>
      </c>
      <c r="B100" s="297">
        <v>42778</v>
      </c>
      <c r="C100" s="298">
        <v>180</v>
      </c>
      <c r="D100" s="299">
        <v>80.347059999999999</v>
      </c>
      <c r="E100" s="299">
        <v>78.53</v>
      </c>
      <c r="F100" s="299">
        <f t="shared" si="14"/>
        <v>-327.07079999999962</v>
      </c>
      <c r="G100" s="299">
        <f t="shared" si="15"/>
        <v>14462.470799999999</v>
      </c>
      <c r="H100" s="300">
        <f t="shared" si="16"/>
        <v>-2.2615139869461284E-2</v>
      </c>
      <c r="I100" s="299"/>
      <c r="J100" s="299"/>
      <c r="K100" s="299"/>
      <c r="L100" s="298"/>
    </row>
    <row r="101" spans="1:12" x14ac:dyDescent="0.25">
      <c r="A101" s="298" t="s">
        <v>429</v>
      </c>
      <c r="B101" s="297">
        <v>42787</v>
      </c>
      <c r="C101" s="298">
        <v>180</v>
      </c>
      <c r="D101" s="299">
        <v>80.346999999999994</v>
      </c>
      <c r="E101" s="299">
        <v>79.760000000000005</v>
      </c>
      <c r="F101" s="299">
        <f t="shared" si="14"/>
        <v>-105.65999999999804</v>
      </c>
      <c r="G101" s="299">
        <f t="shared" si="15"/>
        <v>14462.46</v>
      </c>
      <c r="H101" s="300">
        <f t="shared" si="16"/>
        <v>-7.3058110445939376E-3</v>
      </c>
      <c r="I101" s="299"/>
      <c r="J101" s="299"/>
      <c r="K101" s="299"/>
      <c r="L101" s="298"/>
    </row>
    <row r="102" spans="1:12" x14ac:dyDescent="0.25">
      <c r="A102" s="298" t="s">
        <v>431</v>
      </c>
      <c r="B102" s="297">
        <v>42788</v>
      </c>
      <c r="C102" s="298">
        <v>140</v>
      </c>
      <c r="D102" s="299">
        <v>80.338139999999996</v>
      </c>
      <c r="E102" s="299">
        <v>80.16</v>
      </c>
      <c r="F102" s="299">
        <f t="shared" si="14"/>
        <v>-24.939599999999871</v>
      </c>
      <c r="G102" s="299">
        <f t="shared" si="15"/>
        <v>11247.339599999999</v>
      </c>
      <c r="H102" s="300">
        <f t="shared" si="16"/>
        <v>-2.2173776988115368E-3</v>
      </c>
      <c r="I102" s="299"/>
      <c r="J102" s="299"/>
      <c r="K102" s="299"/>
      <c r="L102" s="298"/>
    </row>
    <row r="103" spans="1:12" x14ac:dyDescent="0.25">
      <c r="A103" s="298" t="s">
        <v>431</v>
      </c>
      <c r="B103" s="297">
        <v>42790</v>
      </c>
      <c r="C103" s="298">
        <v>140</v>
      </c>
      <c r="D103" s="299">
        <v>80.338139999999996</v>
      </c>
      <c r="E103" s="299">
        <v>81.48</v>
      </c>
      <c r="F103" s="299">
        <f t="shared" si="14"/>
        <v>159.86040000000116</v>
      </c>
      <c r="G103" s="299">
        <f t="shared" si="15"/>
        <v>11247.339599999999</v>
      </c>
      <c r="H103" s="300">
        <f t="shared" si="16"/>
        <v>1.4213174464830881E-2</v>
      </c>
      <c r="I103" s="299"/>
      <c r="J103" s="299"/>
      <c r="K103" s="299"/>
      <c r="L103" s="298"/>
    </row>
    <row r="104" spans="1:12" x14ac:dyDescent="0.25">
      <c r="A104" s="298" t="s">
        <v>459</v>
      </c>
      <c r="B104" s="297">
        <v>42796</v>
      </c>
      <c r="C104" s="298">
        <v>60</v>
      </c>
      <c r="D104" s="299">
        <v>79.191299999999998</v>
      </c>
      <c r="E104" s="299">
        <v>81.349999999999994</v>
      </c>
      <c r="F104" s="299">
        <f t="shared" si="14"/>
        <v>129.52199999999976</v>
      </c>
      <c r="G104" s="299">
        <f t="shared" si="15"/>
        <v>4751.4780000000001</v>
      </c>
      <c r="H104" s="300">
        <f t="shared" si="16"/>
        <v>2.7259307524942718E-2</v>
      </c>
      <c r="I104" s="299"/>
      <c r="J104" s="299"/>
      <c r="K104" s="299"/>
      <c r="L104" s="298"/>
    </row>
    <row r="105" spans="1:12" x14ac:dyDescent="0.25">
      <c r="A105" s="298">
        <v>60</v>
      </c>
      <c r="B105" s="297">
        <v>42809</v>
      </c>
      <c r="C105" s="298">
        <v>60</v>
      </c>
      <c r="D105" s="299">
        <v>79.191299999999998</v>
      </c>
      <c r="E105" s="299">
        <v>79.73</v>
      </c>
      <c r="F105" s="299">
        <f t="shared" si="14"/>
        <v>32.322000000000344</v>
      </c>
      <c r="G105" s="299">
        <f t="shared" si="15"/>
        <v>4751.4780000000001</v>
      </c>
      <c r="H105" s="300">
        <f t="shared" si="16"/>
        <v>6.8025149227251697E-3</v>
      </c>
      <c r="I105" s="299"/>
      <c r="J105" s="299"/>
      <c r="K105" s="299"/>
      <c r="L105" s="298"/>
    </row>
    <row r="106" spans="1:12" x14ac:dyDescent="0.25">
      <c r="A106" s="298">
        <v>60</v>
      </c>
      <c r="B106" s="297">
        <v>42818</v>
      </c>
      <c r="C106" s="298">
        <v>60</v>
      </c>
      <c r="D106" s="299">
        <v>79.191299999999998</v>
      </c>
      <c r="E106" s="299">
        <v>78.489999999999995</v>
      </c>
      <c r="F106" s="299">
        <f t="shared" si="14"/>
        <v>-42.078000000000202</v>
      </c>
      <c r="G106" s="299">
        <f t="shared" si="15"/>
        <v>4751.4780000000001</v>
      </c>
      <c r="H106" s="300">
        <f t="shared" si="16"/>
        <v>-8.8557707727995802E-3</v>
      </c>
      <c r="I106" s="299"/>
      <c r="J106" s="299"/>
      <c r="K106" s="299"/>
      <c r="L106" s="298"/>
    </row>
    <row r="107" spans="1:12" x14ac:dyDescent="0.25">
      <c r="A107" s="298">
        <v>60</v>
      </c>
      <c r="B107" s="297">
        <v>42841</v>
      </c>
      <c r="C107" s="298">
        <v>60</v>
      </c>
      <c r="D107" s="299">
        <v>79.19</v>
      </c>
      <c r="E107" s="299">
        <v>77.959999999999994</v>
      </c>
      <c r="F107" s="299">
        <f t="shared" si="14"/>
        <v>-73.800000000000239</v>
      </c>
      <c r="G107" s="299">
        <f t="shared" si="15"/>
        <v>4751.3999999999996</v>
      </c>
      <c r="H107" s="300">
        <f t="shared" si="16"/>
        <v>-1.5532264174769592E-2</v>
      </c>
      <c r="I107" s="299"/>
      <c r="J107" s="299"/>
      <c r="K107" s="299"/>
      <c r="L107" s="298"/>
    </row>
    <row r="108" spans="1:12" x14ac:dyDescent="0.25">
      <c r="A108" s="298">
        <v>0</v>
      </c>
      <c r="B108" s="297">
        <v>42850</v>
      </c>
      <c r="C108" s="298">
        <v>0</v>
      </c>
      <c r="D108" s="299"/>
      <c r="E108" s="299">
        <v>82.17</v>
      </c>
      <c r="F108" s="299">
        <v>167.21</v>
      </c>
      <c r="G108" s="299"/>
      <c r="H108" s="300"/>
      <c r="I108" s="299"/>
      <c r="J108" s="299"/>
      <c r="K108" s="299"/>
      <c r="L108" s="298"/>
    </row>
    <row r="109" spans="1:12" x14ac:dyDescent="0.25">
      <c r="A109" s="298"/>
      <c r="B109" s="297"/>
      <c r="C109" s="298"/>
      <c r="D109" s="299"/>
      <c r="E109" s="299"/>
      <c r="F109" s="299"/>
      <c r="G109" s="299"/>
      <c r="H109" s="300"/>
      <c r="I109" s="299"/>
      <c r="J109" s="299"/>
      <c r="K109" s="299"/>
      <c r="L109" s="298"/>
    </row>
    <row r="110" spans="1:12" x14ac:dyDescent="0.25">
      <c r="A110" s="298"/>
      <c r="B110" s="297"/>
      <c r="C110" s="298"/>
      <c r="D110" s="299"/>
      <c r="E110" s="299"/>
      <c r="F110" s="299"/>
      <c r="G110" s="299"/>
      <c r="H110" s="300"/>
      <c r="I110" s="299"/>
      <c r="J110" s="299"/>
      <c r="K110" s="299"/>
      <c r="L110" s="298"/>
    </row>
    <row r="111" spans="1:12" x14ac:dyDescent="0.25">
      <c r="A111" s="298"/>
      <c r="B111" s="297"/>
      <c r="C111" s="298"/>
      <c r="D111" s="299"/>
      <c r="E111" s="299"/>
      <c r="F111" s="299"/>
      <c r="G111" s="299"/>
      <c r="H111" s="300"/>
      <c r="I111" s="299"/>
      <c r="J111" s="299"/>
      <c r="K111" s="299"/>
      <c r="L111" s="298"/>
    </row>
    <row r="112" spans="1:12" x14ac:dyDescent="0.25">
      <c r="A112" s="298"/>
      <c r="B112" s="297"/>
      <c r="C112" s="298"/>
      <c r="D112" s="299"/>
      <c r="E112" s="299"/>
      <c r="F112" s="299"/>
      <c r="G112" s="299"/>
      <c r="H112" s="300"/>
      <c r="I112" s="299"/>
      <c r="J112" s="299"/>
      <c r="K112" s="299"/>
      <c r="L112" s="298"/>
    </row>
    <row r="113" spans="1:12" x14ac:dyDescent="0.25">
      <c r="A113" s="298"/>
      <c r="B113" s="297"/>
      <c r="C113" s="298"/>
      <c r="D113" s="299"/>
      <c r="E113" s="299"/>
      <c r="F113" s="299"/>
      <c r="G113" s="299"/>
      <c r="H113" s="300"/>
      <c r="I113" s="299"/>
      <c r="J113" s="299"/>
      <c r="K113" s="299"/>
      <c r="L113" s="298"/>
    </row>
    <row r="114" spans="1:12" x14ac:dyDescent="0.25">
      <c r="A114" s="298"/>
      <c r="B114" s="297"/>
      <c r="C114" s="298"/>
      <c r="D114" s="299"/>
      <c r="E114" s="299"/>
      <c r="F114" s="299"/>
      <c r="G114" s="299"/>
      <c r="H114" s="300"/>
      <c r="I114" s="299"/>
      <c r="J114" s="299"/>
      <c r="K114" s="299"/>
      <c r="L114" s="298"/>
    </row>
    <row r="115" spans="1:12" x14ac:dyDescent="0.25">
      <c r="A115" s="298"/>
      <c r="B115" s="297"/>
      <c r="C115" s="298"/>
      <c r="D115" s="299"/>
      <c r="E115" s="299"/>
      <c r="F115" s="299"/>
      <c r="G115" s="299"/>
      <c r="H115" s="300"/>
      <c r="I115" s="299"/>
      <c r="J115" s="299"/>
      <c r="K115" s="299"/>
      <c r="L115" s="298"/>
    </row>
  </sheetData>
  <mergeCells count="1">
    <mergeCell ref="U13:U24"/>
  </mergeCells>
  <conditionalFormatting sqref="O21:O41">
    <cfRule type="colorScale" priority="48">
      <colorScale>
        <cfvo type="min"/>
        <cfvo type="percentile" val="50"/>
        <cfvo type="max"/>
        <color rgb="FFF8696B"/>
        <color rgb="FFFFEB84"/>
        <color rgb="FF63BE7B"/>
      </colorScale>
    </cfRule>
  </conditionalFormatting>
  <conditionalFormatting sqref="P21:P41">
    <cfRule type="colorScale" priority="47">
      <colorScale>
        <cfvo type="min"/>
        <cfvo type="percentile" val="50"/>
        <cfvo type="max"/>
        <color rgb="FFF8696B"/>
        <color rgb="FFFFEB84"/>
        <color rgb="FF63BE7B"/>
      </colorScale>
    </cfRule>
  </conditionalFormatting>
  <conditionalFormatting sqref="F57:F58 H57:H58">
    <cfRule type="expression" dxfId="3220" priority="43">
      <formula>F57&gt;0</formula>
    </cfRule>
    <cfRule type="expression" dxfId="3219" priority="44">
      <formula>F57&lt;0</formula>
    </cfRule>
  </conditionalFormatting>
  <conditionalFormatting sqref="Q7">
    <cfRule type="expression" dxfId="3218" priority="41">
      <formula>Q7&gt;0</formula>
    </cfRule>
    <cfRule type="expression" dxfId="3217" priority="42">
      <formula>Q7&lt;0</formula>
    </cfRule>
  </conditionalFormatting>
  <conditionalFormatting sqref="Q8">
    <cfRule type="expression" dxfId="3216" priority="39">
      <formula>Q8&gt;0</formula>
    </cfRule>
    <cfRule type="expression" dxfId="3215" priority="40">
      <formula>Q8&lt;0</formula>
    </cfRule>
  </conditionalFormatting>
  <conditionalFormatting sqref="M58">
    <cfRule type="expression" dxfId="3214" priority="33">
      <formula>M58&gt;0</formula>
    </cfRule>
    <cfRule type="expression" dxfId="3213" priority="34">
      <formula>M58&lt;0</formula>
    </cfRule>
  </conditionalFormatting>
  <conditionalFormatting sqref="F84:F115">
    <cfRule type="expression" dxfId="3212" priority="31">
      <formula>F84&gt;0</formula>
    </cfRule>
    <cfRule type="expression" dxfId="3211" priority="32">
      <formula>F84&lt;0</formula>
    </cfRule>
  </conditionalFormatting>
  <conditionalFormatting sqref="H84:H115">
    <cfRule type="expression" dxfId="3210" priority="29">
      <formula>H84&gt;0</formula>
    </cfRule>
    <cfRule type="expression" dxfId="3209" priority="30">
      <formula>H84&lt;0</formula>
    </cfRule>
  </conditionalFormatting>
  <conditionalFormatting sqref="F25:F56 H25:H56">
    <cfRule type="expression" dxfId="3208" priority="27">
      <formula>F25&gt;0</formula>
    </cfRule>
    <cfRule type="expression" dxfId="3207" priority="28">
      <formula>F25&lt;0</formula>
    </cfRule>
  </conditionalFormatting>
  <conditionalFormatting sqref="J28:J30 K25:K30 J31:K38">
    <cfRule type="expression" dxfId="3206" priority="23">
      <formula>J25&gt;0</formula>
    </cfRule>
    <cfRule type="expression" dxfId="3205" priority="24">
      <formula>J25&lt;0</formula>
    </cfRule>
  </conditionalFormatting>
  <conditionalFormatting sqref="K39:K42">
    <cfRule type="expression" dxfId="3204" priority="21">
      <formula>K39&gt;0</formula>
    </cfRule>
    <cfRule type="expression" dxfId="3203" priority="22">
      <formula>K39&lt;0</formula>
    </cfRule>
  </conditionalFormatting>
  <conditionalFormatting sqref="K43">
    <cfRule type="expression" dxfId="3202" priority="19">
      <formula>K43&gt;0</formula>
    </cfRule>
    <cfRule type="expression" dxfId="3201" priority="20">
      <formula>K43&lt;0</formula>
    </cfRule>
  </conditionalFormatting>
  <conditionalFormatting sqref="K44">
    <cfRule type="expression" dxfId="3200" priority="17">
      <formula>K44&gt;0</formula>
    </cfRule>
    <cfRule type="expression" dxfId="3199" priority="18">
      <formula>K44&lt;0</formula>
    </cfRule>
  </conditionalFormatting>
  <conditionalFormatting sqref="K45">
    <cfRule type="expression" dxfId="3198" priority="15">
      <formula>K45&gt;0</formula>
    </cfRule>
    <cfRule type="expression" dxfId="3197" priority="16">
      <formula>K45&lt;0</formula>
    </cfRule>
  </conditionalFormatting>
  <conditionalFormatting sqref="K46:K51">
    <cfRule type="expression" dxfId="3196" priority="3">
      <formula>K46&gt;0</formula>
    </cfRule>
    <cfRule type="expression" dxfId="3195" priority="4">
      <formula>K46&lt;0</formula>
    </cfRule>
  </conditionalFormatting>
  <conditionalFormatting sqref="K52">
    <cfRule type="expression" dxfId="3194" priority="1">
      <formula>K52&gt;0</formula>
    </cfRule>
    <cfRule type="expression" dxfId="3193" priority="2">
      <formula>K52&lt;0</formula>
    </cfRule>
  </conditionalFormatting>
  <hyperlinks>
    <hyperlink ref="A3" location="ACTIVE!A1" display="Back"/>
    <hyperlink ref="A61" location="ACTIVE!A1" display="Back"/>
  </hyperlinks>
  <pageMargins left="0.7" right="0.7" top="0.75" bottom="0.75" header="0.3" footer="0.3"/>
  <pageSetup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712</v>
      </c>
      <c r="B2" s="72"/>
      <c r="C2" s="4"/>
      <c r="D2" s="3"/>
      <c r="E2" s="3"/>
      <c r="F2" s="3"/>
      <c r="G2" s="72"/>
      <c r="H2" s="4"/>
      <c r="I2" s="3"/>
      <c r="J2" s="3"/>
      <c r="K2" s="3"/>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242.67</v>
      </c>
      <c r="T3" s="1"/>
    </row>
    <row r="4" spans="1:21" x14ac:dyDescent="0.25">
      <c r="B4" s="72"/>
      <c r="C4" s="4"/>
      <c r="D4" s="3"/>
      <c r="E4" s="3"/>
      <c r="F4" s="3"/>
      <c r="G4" s="72"/>
      <c r="H4" s="161"/>
      <c r="I4" s="3"/>
      <c r="J4" s="3"/>
      <c r="K4" s="3"/>
      <c r="L4" s="4"/>
      <c r="M4" s="4"/>
      <c r="O4" s="11" t="s">
        <v>66</v>
      </c>
      <c r="Q4" s="54">
        <v>242.67</v>
      </c>
      <c r="R4" s="425">
        <v>1.3899999999999999E-2</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4"/>
      <c r="C7" s="4"/>
      <c r="D7" s="3"/>
      <c r="E7" s="3"/>
      <c r="F7" s="3"/>
      <c r="G7" s="4"/>
      <c r="H7" s="161"/>
      <c r="I7" s="3"/>
      <c r="J7" s="3"/>
      <c r="K7" s="3"/>
      <c r="L7" s="4"/>
      <c r="M7" s="4"/>
      <c r="O7" s="11" t="s">
        <v>177</v>
      </c>
      <c r="Q7" s="2">
        <f>Q10+Q8</f>
        <v>843.18000000000029</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H10" s="70"/>
      <c r="O10" s="11" t="s">
        <v>203</v>
      </c>
      <c r="P10" s="33"/>
      <c r="Q10" s="2">
        <f>M66</f>
        <v>843.18000000000029</v>
      </c>
    </row>
    <row r="11" spans="1:21" x14ac:dyDescent="0.25">
      <c r="H11" s="70"/>
      <c r="O11" s="11" t="s">
        <v>175</v>
      </c>
      <c r="P11" s="33"/>
      <c r="Q11" s="134">
        <v>2.8E-3</v>
      </c>
    </row>
    <row r="12" spans="1:21" x14ac:dyDescent="0.25">
      <c r="H12" s="70"/>
    </row>
    <row r="13" spans="1:21" x14ac:dyDescent="0.25">
      <c r="H13" s="70"/>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71">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c r="J24" s="177" t="s">
        <v>149</v>
      </c>
      <c r="K24" s="177" t="s">
        <v>646</v>
      </c>
      <c r="L24" s="177" t="s">
        <v>652</v>
      </c>
    </row>
    <row r="25" spans="1:13" x14ac:dyDescent="0.25">
      <c r="B25" s="164">
        <v>42998</v>
      </c>
      <c r="C25" s="10">
        <v>30</v>
      </c>
      <c r="D25" s="39">
        <v>149.16999999999999</v>
      </c>
      <c r="E25" s="39">
        <v>149.96</v>
      </c>
      <c r="F25" s="39">
        <f>C25*(E25-D25)</f>
        <v>23.700000000000614</v>
      </c>
      <c r="G25" s="39">
        <f>D25*C25</f>
        <v>4475.0999999999995</v>
      </c>
      <c r="H25" s="179">
        <f>(E25-D25)/D25</f>
        <v>5.2959710397534393E-3</v>
      </c>
      <c r="I25" s="39"/>
      <c r="J25" s="39"/>
      <c r="K25" s="39"/>
      <c r="L25" s="39"/>
    </row>
    <row r="26" spans="1:13" x14ac:dyDescent="0.25">
      <c r="B26" s="164">
        <v>43031</v>
      </c>
      <c r="C26" s="10">
        <v>30</v>
      </c>
      <c r="D26" s="39">
        <v>149.16999999999999</v>
      </c>
      <c r="E26" s="39">
        <v>172.16</v>
      </c>
      <c r="F26" s="39">
        <f>C26*(E26-D26)</f>
        <v>689.70000000000027</v>
      </c>
      <c r="G26" s="39">
        <f>D26*C26</f>
        <v>4475.0999999999995</v>
      </c>
      <c r="H26" s="179">
        <f>(E26-D26)/D26</f>
        <v>0.15411946101763097</v>
      </c>
      <c r="I26" s="39"/>
      <c r="J26" s="39"/>
      <c r="K26" s="39"/>
      <c r="L26" s="39"/>
    </row>
    <row r="27" spans="1:13" x14ac:dyDescent="0.25">
      <c r="B27" s="164">
        <v>43035</v>
      </c>
      <c r="C27" s="10">
        <v>0</v>
      </c>
      <c r="D27" s="39"/>
      <c r="E27" s="39"/>
      <c r="F27" s="39">
        <v>843.18</v>
      </c>
      <c r="G27" s="39"/>
      <c r="H27" s="179"/>
      <c r="I27" s="39"/>
      <c r="J27" s="39"/>
      <c r="K27" s="39"/>
      <c r="L27" s="155"/>
    </row>
    <row r="28" spans="1:13" x14ac:dyDescent="0.25">
      <c r="B28" s="164"/>
      <c r="C28" s="10"/>
      <c r="D28" s="39"/>
      <c r="E28" s="39"/>
      <c r="F28" s="39"/>
      <c r="G28" s="39"/>
      <c r="H28" s="179"/>
      <c r="I28" s="39"/>
      <c r="J28" s="39"/>
      <c r="K28" s="39"/>
      <c r="L28" s="155"/>
    </row>
    <row r="29" spans="1:13" x14ac:dyDescent="0.25">
      <c r="B29" s="164"/>
      <c r="C29" s="10"/>
      <c r="D29" s="39"/>
      <c r="E29" s="39"/>
      <c r="F29" s="39"/>
      <c r="G29" s="39"/>
      <c r="H29" s="179"/>
      <c r="I29" s="39"/>
      <c r="J29" s="39"/>
      <c r="K29" s="39"/>
      <c r="L29" s="155"/>
    </row>
    <row r="30" spans="1:13" x14ac:dyDescent="0.25">
      <c r="B30" s="164"/>
      <c r="C30" s="10"/>
      <c r="D30" s="39"/>
      <c r="E30" s="39"/>
      <c r="F30" s="39"/>
      <c r="G30" s="39"/>
      <c r="H30" s="179"/>
      <c r="I30" s="39"/>
      <c r="J30" s="39"/>
      <c r="K30" s="39"/>
      <c r="L30" s="155"/>
    </row>
    <row r="31" spans="1:13" x14ac:dyDescent="0.25">
      <c r="B31" s="164"/>
      <c r="C31" s="10"/>
      <c r="D31" s="39"/>
      <c r="E31" s="39"/>
      <c r="F31" s="39"/>
      <c r="G31" s="39"/>
      <c r="H31" s="179"/>
      <c r="I31" s="39"/>
      <c r="J31" s="39"/>
      <c r="K31" s="39"/>
      <c r="L31" s="155"/>
    </row>
    <row r="32" spans="1:13" x14ac:dyDescent="0.25">
      <c r="B32" s="164"/>
      <c r="C32" s="10"/>
      <c r="D32" s="39"/>
      <c r="E32" s="39"/>
      <c r="F32" s="39"/>
      <c r="G32" s="39"/>
      <c r="H32" s="179"/>
      <c r="I32" s="39"/>
      <c r="J32" s="39"/>
      <c r="K32" s="39"/>
      <c r="L32" s="155"/>
    </row>
    <row r="33" spans="1:17" x14ac:dyDescent="0.25">
      <c r="A33" s="29"/>
      <c r="B33" s="164"/>
      <c r="C33" s="10"/>
      <c r="D33" s="39"/>
      <c r="E33" s="39"/>
      <c r="F33" s="39"/>
      <c r="G33" s="39"/>
      <c r="H33" s="179"/>
      <c r="I33" s="39"/>
      <c r="J33" s="39"/>
      <c r="K33" s="39"/>
      <c r="L33" s="155"/>
    </row>
    <row r="34" spans="1:17" x14ac:dyDescent="0.25">
      <c r="B34" s="164"/>
      <c r="C34" s="10"/>
      <c r="D34" s="39"/>
      <c r="E34" s="39"/>
      <c r="F34" s="39"/>
      <c r="G34" s="39"/>
      <c r="H34" s="179"/>
      <c r="I34" s="39"/>
      <c r="J34" s="39"/>
      <c r="K34" s="39"/>
      <c r="L34" s="155"/>
    </row>
    <row r="35" spans="1:17" x14ac:dyDescent="0.25">
      <c r="B35" s="164"/>
      <c r="C35" s="10"/>
      <c r="D35" s="39"/>
      <c r="E35" s="39"/>
      <c r="F35" s="39"/>
      <c r="G35" s="39"/>
      <c r="H35" s="179"/>
      <c r="I35" s="39"/>
      <c r="J35" s="39"/>
      <c r="K35" s="39"/>
      <c r="L35" s="155"/>
    </row>
    <row r="36" spans="1:17" x14ac:dyDescent="0.25">
      <c r="B36" s="164"/>
      <c r="C36" s="10"/>
      <c r="D36" s="39"/>
      <c r="E36" s="39"/>
      <c r="F36" s="39"/>
      <c r="G36" s="39"/>
      <c r="H36" s="179"/>
      <c r="I36" s="39"/>
      <c r="J36" s="39"/>
      <c r="K36" s="39"/>
      <c r="L36" s="39"/>
    </row>
    <row r="37" spans="1:17" x14ac:dyDescent="0.25">
      <c r="B37" s="164"/>
      <c r="C37" s="10"/>
      <c r="D37" s="39"/>
      <c r="E37" s="39"/>
      <c r="F37" s="39"/>
      <c r="G37" s="39"/>
      <c r="H37" s="179"/>
      <c r="I37" s="39"/>
      <c r="J37" s="39"/>
      <c r="K37" s="39"/>
      <c r="L37" s="39"/>
    </row>
    <row r="38" spans="1:17" x14ac:dyDescent="0.25">
      <c r="B38" s="164"/>
      <c r="C38" s="10"/>
      <c r="D38" s="39"/>
      <c r="E38" s="39"/>
      <c r="F38" s="39"/>
      <c r="G38" s="39"/>
      <c r="H38" s="179"/>
      <c r="I38" s="39"/>
      <c r="J38" s="39"/>
      <c r="K38" s="39"/>
      <c r="L38" s="39"/>
    </row>
    <row r="39" spans="1:17" x14ac:dyDescent="0.25">
      <c r="B39" s="164"/>
      <c r="C39" s="10"/>
      <c r="D39" s="39"/>
      <c r="E39" s="39"/>
      <c r="F39" s="39"/>
      <c r="G39" s="39"/>
      <c r="H39" s="179"/>
      <c r="I39" s="39"/>
      <c r="J39" s="39"/>
      <c r="K39" s="39"/>
      <c r="L39" s="39"/>
    </row>
    <row r="40" spans="1:17" ht="20.25" thickBot="1" x14ac:dyDescent="0.35">
      <c r="B40" s="164"/>
      <c r="C40" s="10"/>
      <c r="D40" s="39"/>
      <c r="E40" s="39"/>
      <c r="F40" s="39"/>
      <c r="G40" s="39"/>
      <c r="H40" s="179"/>
      <c r="I40" s="39"/>
      <c r="J40" s="39"/>
      <c r="K40" s="39"/>
      <c r="L40" s="39"/>
      <c r="O40" s="884" t="s">
        <v>78</v>
      </c>
      <c r="P40" s="884"/>
    </row>
    <row r="41" spans="1:17" ht="15.75" thickTop="1" x14ac:dyDescent="0.25">
      <c r="B41" s="164"/>
      <c r="C41" s="10"/>
      <c r="D41" s="39"/>
      <c r="E41" s="39"/>
      <c r="F41" s="39"/>
      <c r="G41" s="39"/>
      <c r="H41" s="179"/>
      <c r="I41" s="39"/>
      <c r="J41" s="39"/>
      <c r="K41" s="39"/>
      <c r="L41" s="39"/>
      <c r="O41" s="81">
        <v>1.1000000000000001</v>
      </c>
      <c r="P41" s="81">
        <f>O41*$Q$4</f>
        <v>266.93700000000001</v>
      </c>
      <c r="Q41" s="2"/>
    </row>
    <row r="42" spans="1:17" x14ac:dyDescent="0.25">
      <c r="B42" s="164"/>
      <c r="C42" s="10"/>
      <c r="D42" s="39"/>
      <c r="E42" s="39"/>
      <c r="F42" s="39"/>
      <c r="G42" s="39"/>
      <c r="H42" s="179"/>
      <c r="I42" s="39"/>
      <c r="J42" s="39"/>
      <c r="K42" s="39"/>
      <c r="L42" s="39"/>
      <c r="O42" s="81">
        <v>1.0900000000000001</v>
      </c>
      <c r="P42" s="81">
        <f t="shared" ref="P42:P61" si="0">O42*$Q$4</f>
        <v>264.51030000000003</v>
      </c>
      <c r="Q42" s="2"/>
    </row>
    <row r="43" spans="1:17" x14ac:dyDescent="0.25">
      <c r="B43" s="164"/>
      <c r="C43" s="10"/>
      <c r="D43" s="39"/>
      <c r="E43" s="39"/>
      <c r="F43" s="39"/>
      <c r="G43" s="39"/>
      <c r="H43" s="179"/>
      <c r="I43" s="39"/>
      <c r="J43" s="39"/>
      <c r="K43" s="39"/>
      <c r="L43" s="39"/>
      <c r="O43" s="81">
        <v>1.08</v>
      </c>
      <c r="P43" s="81">
        <f t="shared" si="0"/>
        <v>262.08359999999999</v>
      </c>
      <c r="Q43" s="2"/>
    </row>
    <row r="44" spans="1:17" x14ac:dyDescent="0.25">
      <c r="B44" s="164"/>
      <c r="C44" s="10"/>
      <c r="D44" s="39"/>
      <c r="E44" s="39"/>
      <c r="F44" s="39"/>
      <c r="G44" s="39"/>
      <c r="H44" s="179"/>
      <c r="I44" s="39"/>
      <c r="J44" s="39"/>
      <c r="K44" s="39"/>
      <c r="L44" s="39"/>
      <c r="O44" s="81">
        <v>1.07</v>
      </c>
      <c r="P44" s="81">
        <f t="shared" si="0"/>
        <v>259.65690000000001</v>
      </c>
      <c r="Q44" s="2"/>
    </row>
    <row r="45" spans="1:17" x14ac:dyDescent="0.25">
      <c r="B45" s="164"/>
      <c r="C45" s="10"/>
      <c r="D45" s="39"/>
      <c r="E45" s="39"/>
      <c r="F45" s="39"/>
      <c r="G45" s="39"/>
      <c r="H45" s="179"/>
      <c r="I45" s="39"/>
      <c r="J45" s="39"/>
      <c r="K45" s="39"/>
      <c r="L45" s="39"/>
      <c r="O45" s="81">
        <v>1.06</v>
      </c>
      <c r="P45" s="81">
        <f t="shared" si="0"/>
        <v>257.23020000000002</v>
      </c>
      <c r="Q45" s="2"/>
    </row>
    <row r="46" spans="1:17" x14ac:dyDescent="0.25">
      <c r="B46" s="164"/>
      <c r="C46" s="10"/>
      <c r="D46" s="39"/>
      <c r="E46" s="39"/>
      <c r="F46" s="39"/>
      <c r="G46" s="39"/>
      <c r="H46" s="179"/>
      <c r="I46" s="39"/>
      <c r="J46" s="39"/>
      <c r="K46" s="39"/>
      <c r="L46" s="39"/>
      <c r="O46" s="81">
        <v>1.05</v>
      </c>
      <c r="P46" s="81">
        <f t="shared" si="0"/>
        <v>254.80349999999999</v>
      </c>
      <c r="Q46" s="2"/>
    </row>
    <row r="47" spans="1:17" x14ac:dyDescent="0.25">
      <c r="B47" s="72"/>
      <c r="C47" s="4"/>
      <c r="D47" s="3"/>
      <c r="E47" s="3"/>
      <c r="F47" s="3"/>
      <c r="G47" s="3"/>
      <c r="H47" s="216"/>
      <c r="I47" s="214"/>
      <c r="O47" s="81">
        <v>1.04</v>
      </c>
      <c r="P47" s="81">
        <f t="shared" si="0"/>
        <v>252.3768</v>
      </c>
      <c r="Q47" s="2"/>
    </row>
    <row r="48" spans="1:17" x14ac:dyDescent="0.25">
      <c r="B48" s="72"/>
      <c r="C48" s="4"/>
      <c r="D48" s="3"/>
      <c r="E48" s="3"/>
      <c r="F48" s="3"/>
      <c r="G48" s="3"/>
      <c r="H48" s="216"/>
      <c r="I48" s="3"/>
      <c r="O48" s="81">
        <v>1.03</v>
      </c>
      <c r="P48" s="81">
        <f t="shared" si="0"/>
        <v>249.95009999999999</v>
      </c>
      <c r="Q48" s="2"/>
    </row>
    <row r="49" spans="1:17" x14ac:dyDescent="0.25">
      <c r="B49" s="72"/>
      <c r="C49" s="4"/>
      <c r="D49" s="3"/>
      <c r="E49" s="3"/>
      <c r="F49" s="3"/>
      <c r="G49" s="3"/>
      <c r="H49" s="216"/>
      <c r="I49" s="3"/>
      <c r="O49" s="81">
        <v>1.02</v>
      </c>
      <c r="P49" s="81">
        <f t="shared" si="0"/>
        <v>247.52339999999998</v>
      </c>
      <c r="Q49" s="2"/>
    </row>
    <row r="50" spans="1:17" x14ac:dyDescent="0.25">
      <c r="B50" s="72"/>
      <c r="C50" s="4"/>
      <c r="D50" s="3"/>
      <c r="E50" s="3"/>
      <c r="F50" s="3"/>
      <c r="G50" s="3"/>
      <c r="H50" s="216"/>
      <c r="I50" s="3"/>
      <c r="O50" s="81">
        <v>1.01</v>
      </c>
      <c r="P50" s="81">
        <f t="shared" si="0"/>
        <v>245.0967</v>
      </c>
      <c r="Q50" s="2"/>
    </row>
    <row r="51" spans="1:17" x14ac:dyDescent="0.25">
      <c r="B51" s="72"/>
      <c r="C51" s="4"/>
      <c r="D51" s="3"/>
      <c r="E51" s="3"/>
      <c r="F51" s="3"/>
      <c r="G51" s="3"/>
      <c r="H51" s="216"/>
      <c r="I51" s="3"/>
      <c r="O51" s="81">
        <v>1</v>
      </c>
      <c r="P51" s="81">
        <f t="shared" si="0"/>
        <v>242.67</v>
      </c>
      <c r="Q51" s="2"/>
    </row>
    <row r="52" spans="1:17" x14ac:dyDescent="0.25">
      <c r="B52" s="72"/>
      <c r="C52" s="4"/>
      <c r="D52" s="3"/>
      <c r="E52" s="3"/>
      <c r="F52" s="3"/>
      <c r="G52" s="3"/>
      <c r="H52" s="216"/>
      <c r="I52" s="3"/>
      <c r="O52" s="81">
        <v>0.99</v>
      </c>
      <c r="P52" s="81">
        <f t="shared" si="0"/>
        <v>240.24329999999998</v>
      </c>
      <c r="Q52" s="2"/>
    </row>
    <row r="53" spans="1:17" x14ac:dyDescent="0.25">
      <c r="B53" s="72"/>
      <c r="C53" s="4"/>
      <c r="D53" s="3"/>
      <c r="E53" s="3"/>
      <c r="F53" s="3"/>
      <c r="G53" s="3"/>
      <c r="H53" s="216"/>
      <c r="I53" s="3"/>
      <c r="O53" s="81">
        <v>0.98</v>
      </c>
      <c r="P53" s="81">
        <f t="shared" si="0"/>
        <v>237.81659999999999</v>
      </c>
      <c r="Q53" s="2"/>
    </row>
    <row r="54" spans="1:17" x14ac:dyDescent="0.25">
      <c r="A54" s="4"/>
      <c r="B54" s="72"/>
      <c r="C54" s="4"/>
      <c r="D54" s="3"/>
      <c r="E54" s="3"/>
      <c r="F54" s="3"/>
      <c r="G54" s="3"/>
      <c r="H54" s="216"/>
      <c r="I54" s="3"/>
      <c r="J54" s="3"/>
      <c r="K54" s="3"/>
      <c r="L54" s="4"/>
      <c r="O54" s="81">
        <v>0.97</v>
      </c>
      <c r="P54" s="81">
        <f t="shared" si="0"/>
        <v>235.38989999999998</v>
      </c>
    </row>
    <row r="55" spans="1:17" x14ac:dyDescent="0.25">
      <c r="A55" s="4"/>
      <c r="B55" s="72"/>
      <c r="C55" s="4"/>
      <c r="D55" s="3"/>
      <c r="E55" s="3"/>
      <c r="F55" s="3"/>
      <c r="G55" s="3"/>
      <c r="H55" s="216"/>
      <c r="I55" s="3"/>
      <c r="J55" s="3"/>
      <c r="K55" s="3"/>
      <c r="L55" s="4"/>
      <c r="O55" s="81">
        <v>0.96</v>
      </c>
      <c r="P55" s="81">
        <f t="shared" si="0"/>
        <v>232.96319999999997</v>
      </c>
    </row>
    <row r="56" spans="1:17" x14ac:dyDescent="0.25">
      <c r="A56" s="4"/>
      <c r="B56" s="72"/>
      <c r="C56" s="4"/>
      <c r="D56" s="3"/>
      <c r="E56" s="3"/>
      <c r="F56" s="3"/>
      <c r="G56" s="3"/>
      <c r="H56" s="216"/>
      <c r="I56" s="3"/>
      <c r="J56" s="3"/>
      <c r="K56" s="3"/>
      <c r="L56" s="4"/>
      <c r="O56" s="81">
        <v>0.95</v>
      </c>
      <c r="P56" s="81">
        <f t="shared" si="0"/>
        <v>230.53649999999999</v>
      </c>
    </row>
    <row r="57" spans="1:17" x14ac:dyDescent="0.25">
      <c r="A57" s="4"/>
      <c r="B57" s="72"/>
      <c r="C57" s="4"/>
      <c r="D57" s="3"/>
      <c r="E57" s="3"/>
      <c r="F57" s="3"/>
      <c r="G57" s="3"/>
      <c r="H57" s="216"/>
      <c r="I57" s="3"/>
      <c r="J57" s="3"/>
      <c r="K57" s="3"/>
      <c r="L57" s="4"/>
      <c r="O57" s="81">
        <v>0.94</v>
      </c>
      <c r="P57" s="81">
        <f t="shared" si="0"/>
        <v>228.10979999999998</v>
      </c>
    </row>
    <row r="58" spans="1:17" x14ac:dyDescent="0.25">
      <c r="A58" s="4"/>
      <c r="B58" s="72"/>
      <c r="C58" s="4"/>
      <c r="D58" s="3"/>
      <c r="E58" s="3"/>
      <c r="F58" s="3"/>
      <c r="G58" s="3"/>
      <c r="H58" s="216"/>
      <c r="I58" s="3"/>
      <c r="J58" s="3"/>
      <c r="K58" s="3"/>
      <c r="L58" s="4"/>
      <c r="O58" s="81">
        <v>0.93</v>
      </c>
      <c r="P58" s="81">
        <f t="shared" si="0"/>
        <v>225.6831</v>
      </c>
    </row>
    <row r="59" spans="1:17" x14ac:dyDescent="0.25">
      <c r="A59" s="4"/>
      <c r="B59" s="72"/>
      <c r="C59" s="4"/>
      <c r="D59" s="3"/>
      <c r="E59" s="3"/>
      <c r="F59" s="3"/>
      <c r="G59" s="3"/>
      <c r="H59" s="216"/>
      <c r="I59" s="3"/>
      <c r="J59" s="3"/>
      <c r="K59" s="3"/>
      <c r="L59" s="4"/>
      <c r="O59" s="81">
        <v>0.92</v>
      </c>
      <c r="P59" s="81">
        <f t="shared" si="0"/>
        <v>223.25639999999999</v>
      </c>
    </row>
    <row r="60" spans="1:17" x14ac:dyDescent="0.25">
      <c r="A60" s="4"/>
      <c r="B60" s="72"/>
      <c r="C60" s="4"/>
      <c r="D60" s="3"/>
      <c r="E60" s="3"/>
      <c r="F60" s="3"/>
      <c r="G60" s="3"/>
      <c r="H60" s="216"/>
      <c r="I60" s="3"/>
      <c r="J60" s="3"/>
      <c r="K60" s="3"/>
      <c r="L60" s="4"/>
      <c r="O60" s="81">
        <v>0.91</v>
      </c>
      <c r="P60" s="81">
        <f t="shared" si="0"/>
        <v>220.8297</v>
      </c>
    </row>
    <row r="61" spans="1:17" x14ac:dyDescent="0.25">
      <c r="A61" s="4"/>
      <c r="B61" s="72"/>
      <c r="C61" s="4"/>
      <c r="D61" s="3"/>
      <c r="E61" s="3"/>
      <c r="F61" s="3"/>
      <c r="G61" s="3"/>
      <c r="H61" s="216"/>
      <c r="I61" s="3"/>
      <c r="J61" s="3"/>
      <c r="K61" s="3"/>
      <c r="L61" s="4"/>
      <c r="O61" s="81">
        <v>0.9</v>
      </c>
      <c r="P61" s="81">
        <f t="shared" si="0"/>
        <v>218.40299999999999</v>
      </c>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13" x14ac:dyDescent="0.25">
      <c r="A68" s="442"/>
      <c r="B68" s="72">
        <v>42998</v>
      </c>
      <c r="C68" s="4">
        <v>30</v>
      </c>
      <c r="D68" s="3">
        <v>149.16999999999999</v>
      </c>
      <c r="E68" s="3">
        <v>0</v>
      </c>
      <c r="F68" s="3">
        <f>C68*D68+E68</f>
        <v>4475.0999999999995</v>
      </c>
      <c r="G68" s="72">
        <v>43035</v>
      </c>
      <c r="H68" s="4">
        <v>30</v>
      </c>
      <c r="I68" s="3">
        <v>177.28</v>
      </c>
      <c r="J68" s="3">
        <v>0.12</v>
      </c>
      <c r="K68" s="3">
        <f>H68*I68-J68</f>
        <v>5318.28</v>
      </c>
      <c r="L68" s="72"/>
      <c r="M68" s="3"/>
    </row>
    <row r="69" spans="1:13" x14ac:dyDescent="0.25">
      <c r="A69" s="444"/>
      <c r="B69" s="426"/>
      <c r="C69" s="427"/>
      <c r="D69" s="429"/>
      <c r="E69" s="429"/>
      <c r="F69" s="429"/>
      <c r="G69" s="426"/>
      <c r="H69" s="443"/>
      <c r="I69" s="429"/>
      <c r="J69" s="429"/>
      <c r="K69" s="429"/>
      <c r="L69" s="427"/>
      <c r="M69" s="427"/>
    </row>
    <row r="70" spans="1:13" x14ac:dyDescent="0.25">
      <c r="A70" s="427"/>
      <c r="B70" s="426"/>
      <c r="C70" s="427"/>
      <c r="D70" s="429"/>
      <c r="E70" s="429"/>
      <c r="F70" s="429"/>
      <c r="G70" s="426"/>
      <c r="H70" s="443"/>
      <c r="I70" s="429"/>
      <c r="J70" s="429"/>
      <c r="K70" s="429"/>
      <c r="L70" s="427"/>
      <c r="M70" s="427"/>
    </row>
    <row r="71" spans="1:13" x14ac:dyDescent="0.25">
      <c r="A71" s="427"/>
      <c r="B71" s="426"/>
      <c r="C71" s="427"/>
      <c r="D71" s="429"/>
      <c r="E71" s="429"/>
      <c r="F71" s="429"/>
      <c r="G71" s="427"/>
      <c r="H71" s="443"/>
      <c r="I71" s="429"/>
      <c r="J71" s="429"/>
      <c r="K71" s="429"/>
      <c r="L71" s="427"/>
      <c r="M71" s="427"/>
    </row>
    <row r="72" spans="1:13" x14ac:dyDescent="0.25">
      <c r="A72" s="427"/>
      <c r="B72" s="426"/>
      <c r="C72" s="427"/>
      <c r="D72" s="429"/>
      <c r="E72" s="429"/>
      <c r="F72" s="429"/>
      <c r="G72" s="427"/>
      <c r="H72" s="443"/>
      <c r="I72" s="429"/>
      <c r="J72" s="429"/>
      <c r="K72" s="429"/>
      <c r="L72" s="427"/>
      <c r="M72" s="427"/>
    </row>
    <row r="73" spans="1:13" x14ac:dyDescent="0.25">
      <c r="A73" s="427"/>
      <c r="B73" s="427"/>
      <c r="C73" s="427"/>
      <c r="D73" s="429"/>
      <c r="E73" s="429"/>
      <c r="F73" s="429"/>
      <c r="G73" s="427"/>
      <c r="H73" s="443"/>
      <c r="I73" s="429"/>
      <c r="J73" s="429"/>
      <c r="K73" s="429"/>
      <c r="L73" s="427"/>
      <c r="M73" s="427"/>
    </row>
    <row r="74" spans="1:13" x14ac:dyDescent="0.25">
      <c r="A74" s="427"/>
      <c r="B74" s="427"/>
      <c r="C74" s="427"/>
      <c r="D74" s="429"/>
      <c r="E74" s="429"/>
      <c r="F74" s="429"/>
      <c r="G74" s="427"/>
      <c r="H74" s="443"/>
      <c r="I74" s="429"/>
      <c r="J74" s="429"/>
      <c r="K74" s="429"/>
      <c r="L74" s="427"/>
      <c r="M74" s="427"/>
    </row>
    <row r="75" spans="1:13" x14ac:dyDescent="0.25">
      <c r="A75" s="427"/>
      <c r="B75" s="427"/>
      <c r="C75" s="427"/>
      <c r="D75" s="429"/>
      <c r="E75" s="429"/>
      <c r="F75" s="429"/>
      <c r="G75" s="427"/>
      <c r="H75" s="443"/>
      <c r="I75" s="429"/>
      <c r="J75" s="429"/>
      <c r="K75" s="429"/>
      <c r="L75" s="427"/>
      <c r="M75" s="427"/>
    </row>
    <row r="76" spans="1:13" x14ac:dyDescent="0.25">
      <c r="A76" s="427"/>
      <c r="B76" s="427"/>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30</v>
      </c>
      <c r="D84" s="447"/>
      <c r="E84" s="447"/>
      <c r="F84" s="447">
        <f>SUM(F68:F72)</f>
        <v>4475.0999999999995</v>
      </c>
      <c r="G84" s="446"/>
      <c r="H84" s="468">
        <f>SUM(H68:H71)</f>
        <v>30</v>
      </c>
      <c r="I84" s="447"/>
      <c r="J84" s="447"/>
      <c r="K84" s="447">
        <f>SUM(K68:K71)</f>
        <v>5318.28</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586" t="s">
        <v>113</v>
      </c>
      <c r="C88" s="586" t="s">
        <v>145</v>
      </c>
      <c r="D88" s="587" t="s">
        <v>144</v>
      </c>
      <c r="E88" s="588" t="s">
        <v>146</v>
      </c>
      <c r="F88" s="588" t="s">
        <v>65</v>
      </c>
      <c r="G88" s="589" t="s">
        <v>150</v>
      </c>
      <c r="H88" s="589" t="s">
        <v>88</v>
      </c>
      <c r="I88" s="589" t="s">
        <v>153</v>
      </c>
    </row>
    <row r="89" spans="1:13" x14ac:dyDescent="0.25">
      <c r="B89" s="494"/>
      <c r="C89" s="491"/>
      <c r="D89" s="492"/>
      <c r="E89" s="492"/>
      <c r="F89" s="492"/>
      <c r="G89" s="492"/>
      <c r="H89" s="590"/>
      <c r="I89" s="492"/>
    </row>
    <row r="90" spans="1:13" x14ac:dyDescent="0.25">
      <c r="B90" s="494"/>
      <c r="C90" s="491"/>
      <c r="D90" s="492"/>
      <c r="E90" s="492"/>
      <c r="F90" s="492"/>
      <c r="G90" s="492"/>
      <c r="H90" s="590"/>
      <c r="I90" s="492"/>
    </row>
    <row r="91" spans="1:13" x14ac:dyDescent="0.25">
      <c r="B91" s="494"/>
      <c r="C91" s="491"/>
      <c r="D91" s="492"/>
      <c r="E91" s="492"/>
      <c r="F91" s="492"/>
      <c r="G91" s="492"/>
      <c r="H91" s="590"/>
      <c r="I91" s="492"/>
    </row>
    <row r="92" spans="1:13" x14ac:dyDescent="0.25">
      <c r="B92" s="494"/>
      <c r="C92" s="491"/>
      <c r="D92" s="492"/>
      <c r="E92" s="492"/>
      <c r="F92" s="492"/>
      <c r="G92" s="492"/>
      <c r="H92" s="590"/>
      <c r="I92" s="492"/>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192" priority="21">
      <formula>F47&gt;0</formula>
    </cfRule>
    <cfRule type="expression" dxfId="3191" priority="22">
      <formula>F47&lt;0</formula>
    </cfRule>
  </conditionalFormatting>
  <conditionalFormatting sqref="Q7">
    <cfRule type="expression" dxfId="3190" priority="19">
      <formula>Q7&gt;0</formula>
    </cfRule>
    <cfRule type="expression" dxfId="3189" priority="20">
      <formula>Q7&lt;0</formula>
    </cfRule>
  </conditionalFormatting>
  <conditionalFormatting sqref="Q8">
    <cfRule type="expression" dxfId="3188" priority="17">
      <formula>Q8&gt;0</formula>
    </cfRule>
    <cfRule type="expression" dxfId="3187" priority="18">
      <formula>Q8&lt;0</formula>
    </cfRule>
  </conditionalFormatting>
  <conditionalFormatting sqref="F25:F46">
    <cfRule type="expression" dxfId="3186" priority="15">
      <formula>F25&gt;0</formula>
    </cfRule>
    <cfRule type="expression" dxfId="3185" priority="16">
      <formula>F25&lt;0</formula>
    </cfRule>
  </conditionalFormatting>
  <conditionalFormatting sqref="H25:H46">
    <cfRule type="expression" dxfId="3184" priority="13">
      <formula>H25&gt;0</formula>
    </cfRule>
    <cfRule type="expression" dxfId="3183" priority="14">
      <formula>H25&lt;0</formula>
    </cfRule>
  </conditionalFormatting>
  <conditionalFormatting sqref="F89:F110">
    <cfRule type="expression" dxfId="3182" priority="11">
      <formula>F89&gt;0</formula>
    </cfRule>
    <cfRule type="expression" dxfId="3181" priority="12">
      <formula>F89&lt;0</formula>
    </cfRule>
  </conditionalFormatting>
  <conditionalFormatting sqref="H89:H110">
    <cfRule type="expression" dxfId="3180" priority="9">
      <formula>H89&gt;0</formula>
    </cfRule>
    <cfRule type="expression" dxfId="3179" priority="10">
      <formula>H89&lt;0</formula>
    </cfRule>
  </conditionalFormatting>
  <conditionalFormatting sqref="Q10">
    <cfRule type="expression" dxfId="3178" priority="7">
      <formula>Q10&gt;0</formula>
    </cfRule>
    <cfRule type="expression" dxfId="3177" priority="8">
      <formula>Q10&lt;0</formula>
    </cfRule>
  </conditionalFormatting>
  <conditionalFormatting sqref="J25:J38">
    <cfRule type="expression" dxfId="3176" priority="5">
      <formula>J25&gt;0</formula>
    </cfRule>
    <cfRule type="expression" dxfId="3175" priority="6">
      <formula>J25&lt;0</formula>
    </cfRule>
  </conditionalFormatting>
  <conditionalFormatting sqref="K25:K38">
    <cfRule type="expression" dxfId="3174" priority="3">
      <formula>K25&gt;0</formula>
    </cfRule>
    <cfRule type="expression" dxfId="3173" priority="4">
      <formula>K25&lt;0</formula>
    </cfRule>
  </conditionalFormatting>
  <conditionalFormatting sqref="L25:L38">
    <cfRule type="expression" dxfId="3172" priority="1">
      <formula>L25&gt;0</formula>
    </cfRule>
    <cfRule type="expression" dxfId="3171" priority="2">
      <formula>L25&lt;0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1282</v>
      </c>
      <c r="B2" s="368">
        <v>43384</v>
      </c>
      <c r="C2" s="7">
        <v>25</v>
      </c>
      <c r="D2" s="43">
        <v>219</v>
      </c>
      <c r="E2" s="43">
        <v>0</v>
      </c>
      <c r="F2" s="43">
        <f>C2*D2+E2</f>
        <v>5475</v>
      </c>
      <c r="G2" s="368">
        <v>43427</v>
      </c>
      <c r="H2" s="7">
        <v>25</v>
      </c>
      <c r="I2" s="43">
        <v>225.6</v>
      </c>
      <c r="J2" s="43">
        <v>7.0000000000000007E-2</v>
      </c>
      <c r="K2" s="43">
        <f>H2*I2-J2</f>
        <v>5639.93</v>
      </c>
      <c r="L2" s="72">
        <v>43556</v>
      </c>
      <c r="M2" s="3">
        <v>19.5</v>
      </c>
      <c r="O2" s="11" t="s">
        <v>57</v>
      </c>
      <c r="Q2">
        <f>C18-H18</f>
        <v>30</v>
      </c>
      <c r="T2" s="1"/>
    </row>
    <row r="3" spans="1:21" x14ac:dyDescent="0.25">
      <c r="A3" s="22" t="s">
        <v>71</v>
      </c>
      <c r="B3" s="368" t="s">
        <v>1326</v>
      </c>
      <c r="C3" s="4">
        <v>20</v>
      </c>
      <c r="D3" s="3">
        <v>208.5</v>
      </c>
      <c r="E3" s="3">
        <v>0</v>
      </c>
      <c r="F3" s="3">
        <f>C3*D3+E3</f>
        <v>4170</v>
      </c>
      <c r="G3" s="368">
        <v>43447</v>
      </c>
      <c r="H3" s="80">
        <v>20</v>
      </c>
      <c r="I3" s="43">
        <v>186.58</v>
      </c>
      <c r="J3" s="43">
        <v>0.05</v>
      </c>
      <c r="K3" s="43">
        <f>H3*I3-J3</f>
        <v>3731.55</v>
      </c>
      <c r="L3" s="4"/>
      <c r="M3" s="4"/>
      <c r="O3" s="11" t="s">
        <v>58</v>
      </c>
      <c r="Q3" s="178">
        <f>IF(Q2=0, Q4, (F18-K18-M18)/Q2)</f>
        <v>192.66733333333335</v>
      </c>
      <c r="T3" s="1"/>
      <c r="U3" s="22"/>
    </row>
    <row r="4" spans="1:21" x14ac:dyDescent="0.25">
      <c r="B4" s="72">
        <v>43447</v>
      </c>
      <c r="C4" s="7">
        <v>20</v>
      </c>
      <c r="D4" s="43">
        <v>184.2</v>
      </c>
      <c r="E4" s="43">
        <v>0</v>
      </c>
      <c r="F4" s="43">
        <f>C4*D4+E4</f>
        <v>3684</v>
      </c>
      <c r="G4" s="72"/>
      <c r="H4" s="161"/>
      <c r="I4" s="3"/>
      <c r="J4" s="3"/>
      <c r="K4" s="3"/>
      <c r="L4" s="4"/>
      <c r="M4" s="4"/>
      <c r="O4" s="11" t="s">
        <v>66</v>
      </c>
      <c r="Q4" s="54">
        <v>189.9</v>
      </c>
      <c r="R4" s="425">
        <v>1.1900000000000001E-2</v>
      </c>
      <c r="T4" s="693"/>
      <c r="U4" s="30"/>
    </row>
    <row r="5" spans="1:21" x14ac:dyDescent="0.25">
      <c r="B5" s="72">
        <v>43447</v>
      </c>
      <c r="C5" s="4">
        <v>10</v>
      </c>
      <c r="D5" s="3">
        <v>184.2</v>
      </c>
      <c r="E5" s="3">
        <v>0</v>
      </c>
      <c r="F5" s="3">
        <f>C5*D5+E5</f>
        <v>1842</v>
      </c>
      <c r="G5" s="4"/>
      <c r="H5" s="161"/>
      <c r="I5" s="3"/>
      <c r="J5" s="3"/>
      <c r="K5" s="3"/>
      <c r="L5" s="4"/>
      <c r="M5" s="4"/>
      <c r="O5" s="11" t="s">
        <v>67</v>
      </c>
      <c r="Q5" s="3">
        <f>Q4*Q2</f>
        <v>5697</v>
      </c>
      <c r="T5" s="1"/>
    </row>
    <row r="6" spans="1:21" x14ac:dyDescent="0.25">
      <c r="B6" s="72"/>
      <c r="C6" s="4"/>
      <c r="D6" s="3"/>
      <c r="E6" s="3"/>
      <c r="F6" s="3"/>
      <c r="G6" s="4"/>
      <c r="H6" s="161"/>
      <c r="I6" s="3"/>
      <c r="J6" s="3"/>
      <c r="K6" s="3"/>
      <c r="L6" s="4"/>
      <c r="M6" s="4"/>
      <c r="O6" s="11" t="s">
        <v>64</v>
      </c>
      <c r="Q6" s="2">
        <f>Q3*Q2</f>
        <v>5780.02</v>
      </c>
    </row>
    <row r="7" spans="1:21" x14ac:dyDescent="0.25">
      <c r="B7" s="72"/>
      <c r="C7" s="4"/>
      <c r="D7" s="3"/>
      <c r="E7" s="3"/>
      <c r="F7" s="3"/>
      <c r="G7" s="4"/>
      <c r="H7" s="161"/>
      <c r="I7" s="3"/>
      <c r="J7" s="3"/>
      <c r="K7" s="3"/>
      <c r="L7" s="4"/>
      <c r="M7" s="4"/>
      <c r="O7" s="11" t="s">
        <v>177</v>
      </c>
      <c r="Q7" s="2">
        <f>Q10+Q8</f>
        <v>-83.020000000000437</v>
      </c>
      <c r="R7">
        <v>30</v>
      </c>
    </row>
    <row r="8" spans="1:21" x14ac:dyDescent="0.25">
      <c r="B8" s="72"/>
      <c r="C8" s="4"/>
      <c r="D8" s="3"/>
      <c r="E8" s="3"/>
      <c r="F8" s="3"/>
      <c r="G8" s="4"/>
      <c r="H8" s="161"/>
      <c r="I8" s="3"/>
      <c r="J8" s="3"/>
      <c r="K8" s="3"/>
      <c r="L8" s="4"/>
      <c r="M8" s="4"/>
      <c r="O8" s="11" t="s">
        <v>179</v>
      </c>
      <c r="P8" s="33"/>
      <c r="Q8" s="2">
        <f>K18+M18-F18+Q2*Q4</f>
        <v>-83.020000000000437</v>
      </c>
      <c r="T8" s="1"/>
    </row>
    <row r="9" spans="1:21" x14ac:dyDescent="0.25">
      <c r="B9" s="4"/>
      <c r="C9" s="4"/>
      <c r="D9" s="3"/>
      <c r="E9" s="3"/>
      <c r="F9" s="3"/>
      <c r="G9" s="4"/>
      <c r="H9" s="161"/>
      <c r="I9" s="3"/>
      <c r="J9" s="3"/>
      <c r="K9" s="3"/>
      <c r="L9" s="4"/>
      <c r="M9" s="4"/>
      <c r="O9" s="11" t="s">
        <v>204</v>
      </c>
      <c r="Q9" s="134">
        <f>IF(Q2=0, 0, Q8/Q6)</f>
        <v>-1.4363272099404575E-2</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0</v>
      </c>
    </row>
    <row r="12" spans="1:21" x14ac:dyDescent="0.25">
      <c r="H12" s="70"/>
      <c r="O12" s="11" t="s">
        <v>921</v>
      </c>
      <c r="Q12" s="1" t="s">
        <v>1346</v>
      </c>
    </row>
    <row r="13" spans="1:21" x14ac:dyDescent="0.25">
      <c r="H13" s="70"/>
      <c r="O13" s="11" t="s">
        <v>947</v>
      </c>
    </row>
    <row r="14" spans="1:21" x14ac:dyDescent="0.25">
      <c r="H14" s="70"/>
    </row>
    <row r="15" spans="1:21" x14ac:dyDescent="0.25">
      <c r="H15" s="70"/>
    </row>
    <row r="16" spans="1:21" ht="20.25" thickBot="1" x14ac:dyDescent="0.35">
      <c r="H16" s="70"/>
      <c r="O16" s="884" t="s">
        <v>78</v>
      </c>
      <c r="P16" s="884"/>
    </row>
    <row r="17" spans="1:16" ht="15.75" thickTop="1" x14ac:dyDescent="0.25">
      <c r="O17" s="81">
        <v>1.1000000000000001</v>
      </c>
      <c r="P17" s="81">
        <f>O17*$Q$4</f>
        <v>208.89000000000001</v>
      </c>
    </row>
    <row r="18" spans="1:16" x14ac:dyDescent="0.25">
      <c r="A18" s="31" t="s">
        <v>81</v>
      </c>
      <c r="B18" s="14"/>
      <c r="C18" s="14">
        <f>SUM(C2:C8)</f>
        <v>75</v>
      </c>
      <c r="D18" s="18"/>
      <c r="E18" s="18"/>
      <c r="F18" s="18">
        <f>SUM(F2:F8)</f>
        <v>15171</v>
      </c>
      <c r="G18" s="14"/>
      <c r="H18" s="71">
        <f>SUM(H2:H5)</f>
        <v>45</v>
      </c>
      <c r="I18" s="18"/>
      <c r="J18" s="18"/>
      <c r="K18" s="18">
        <f>SUM(K2:K5)</f>
        <v>9371.48</v>
      </c>
      <c r="L18" s="14"/>
      <c r="M18" s="18">
        <f>SUM(M2:M10)</f>
        <v>19.5</v>
      </c>
      <c r="O18" s="81">
        <v>1.0900000000000001</v>
      </c>
      <c r="P18" s="81">
        <f t="shared" ref="P18:P37" si="0">O18*$Q$4</f>
        <v>206.99100000000001</v>
      </c>
    </row>
    <row r="19" spans="1:16" ht="15.75" thickBot="1" x14ac:dyDescent="0.3">
      <c r="A19" s="277" t="s">
        <v>191</v>
      </c>
      <c r="B19" s="278"/>
      <c r="C19" s="279">
        <f>SumByColor($A$19,C2:C17)</f>
        <v>45</v>
      </c>
      <c r="D19" s="279"/>
      <c r="E19" s="279"/>
      <c r="F19" s="280">
        <f>SumByColor($A$19,F2:F17)</f>
        <v>9159</v>
      </c>
      <c r="G19" s="279"/>
      <c r="H19" s="279">
        <f>SumByColor($A$19,H2:H17)</f>
        <v>45</v>
      </c>
      <c r="I19" s="279"/>
      <c r="J19" s="279"/>
      <c r="K19" s="280">
        <f>SumByColor($A$19,K2:K17)</f>
        <v>9372</v>
      </c>
      <c r="L19" s="279"/>
      <c r="M19" s="280">
        <f>SumByColor($A$19,M2:M17)</f>
        <v>0</v>
      </c>
      <c r="O19" s="81">
        <v>1.08</v>
      </c>
      <c r="P19" s="81">
        <f t="shared" si="0"/>
        <v>205.09200000000001</v>
      </c>
    </row>
    <row r="20" spans="1:16" x14ac:dyDescent="0.25">
      <c r="O20" s="81">
        <v>1.07</v>
      </c>
      <c r="P20" s="81">
        <f t="shared" si="0"/>
        <v>203.19300000000001</v>
      </c>
    </row>
    <row r="21" spans="1:16" x14ac:dyDescent="0.25">
      <c r="O21" s="81">
        <v>1.06</v>
      </c>
      <c r="P21" s="81">
        <f t="shared" si="0"/>
        <v>201.29400000000001</v>
      </c>
    </row>
    <row r="22" spans="1:16" x14ac:dyDescent="0.25">
      <c r="O22" s="81">
        <v>1.05</v>
      </c>
      <c r="P22" s="81">
        <f t="shared" si="0"/>
        <v>199.39500000000001</v>
      </c>
    </row>
    <row r="23" spans="1:16" x14ac:dyDescent="0.25">
      <c r="O23" s="81">
        <v>1.04</v>
      </c>
      <c r="P23" s="81">
        <f t="shared" si="0"/>
        <v>197.49600000000001</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195.59700000000001</v>
      </c>
    </row>
    <row r="25" spans="1:16" x14ac:dyDescent="0.25">
      <c r="B25" s="164">
        <v>43384</v>
      </c>
      <c r="C25" s="10">
        <v>25</v>
      </c>
      <c r="D25" s="39">
        <v>219</v>
      </c>
      <c r="E25" s="39">
        <v>217.42</v>
      </c>
      <c r="F25" s="39">
        <f>C25*(E25-D25)</f>
        <v>-39.500000000000313</v>
      </c>
      <c r="G25" s="39">
        <f>D25*C25</f>
        <v>5475</v>
      </c>
      <c r="H25" s="179">
        <f>(E25-D25)/D25</f>
        <v>-7.2146118721461757E-3</v>
      </c>
      <c r="I25" s="39"/>
      <c r="J25" s="39"/>
      <c r="K25" s="39"/>
      <c r="L25" s="39"/>
      <c r="O25" s="81">
        <v>1.02</v>
      </c>
      <c r="P25" s="81">
        <f t="shared" si="0"/>
        <v>193.69800000000001</v>
      </c>
    </row>
    <row r="26" spans="1:16" x14ac:dyDescent="0.25">
      <c r="B26" s="164">
        <v>43427</v>
      </c>
      <c r="C26" s="10">
        <v>0</v>
      </c>
      <c r="D26" s="39">
        <v>219</v>
      </c>
      <c r="E26" s="39">
        <v>225.6</v>
      </c>
      <c r="F26" s="39"/>
      <c r="G26" s="39"/>
      <c r="H26" s="179"/>
      <c r="I26" s="39"/>
      <c r="J26" s="39">
        <v>164.93</v>
      </c>
      <c r="K26" s="39"/>
      <c r="L26" s="39"/>
      <c r="O26" s="81">
        <v>1.01</v>
      </c>
      <c r="P26" s="81">
        <f t="shared" si="0"/>
        <v>191.79900000000001</v>
      </c>
    </row>
    <row r="27" spans="1:16" x14ac:dyDescent="0.25">
      <c r="B27" s="164">
        <v>43441</v>
      </c>
      <c r="C27" s="10">
        <v>20</v>
      </c>
      <c r="D27" s="39">
        <v>200.2535</v>
      </c>
      <c r="E27" s="39">
        <v>201.39</v>
      </c>
      <c r="F27" s="39">
        <f>C27*(E27-D27)</f>
        <v>22.729999999999677</v>
      </c>
      <c r="G27" s="39">
        <f>D27*C27</f>
        <v>4005.07</v>
      </c>
      <c r="H27" s="179">
        <f>(E27-D27)/D27</f>
        <v>5.6753065489491264E-3</v>
      </c>
      <c r="I27" s="39"/>
      <c r="J27" s="39"/>
      <c r="K27" s="39"/>
      <c r="L27" s="39"/>
      <c r="O27" s="81">
        <v>1</v>
      </c>
      <c r="P27" s="81">
        <f t="shared" si="0"/>
        <v>189.9</v>
      </c>
    </row>
    <row r="28" spans="1:16" x14ac:dyDescent="0.25">
      <c r="B28" s="164">
        <v>43447</v>
      </c>
      <c r="C28" s="10">
        <v>30</v>
      </c>
      <c r="D28" s="39">
        <v>193.31729999999999</v>
      </c>
      <c r="E28" s="39">
        <v>187.18</v>
      </c>
      <c r="F28" s="39">
        <f>C28*(E28-D28)</f>
        <v>-184.11899999999946</v>
      </c>
      <c r="G28" s="39">
        <f>D28*C28</f>
        <v>5799.5189999999993</v>
      </c>
      <c r="H28" s="179">
        <f>(E28-D28)/D28</f>
        <v>-3.1747288007850212E-2</v>
      </c>
      <c r="I28" s="39"/>
      <c r="J28" s="39"/>
      <c r="K28" s="39"/>
      <c r="L28" s="39"/>
      <c r="O28" s="81">
        <v>0.99</v>
      </c>
      <c r="P28" s="81">
        <f t="shared" si="0"/>
        <v>188.001</v>
      </c>
    </row>
    <row r="29" spans="1:16" x14ac:dyDescent="0.25">
      <c r="B29" s="164">
        <v>43535</v>
      </c>
      <c r="C29" s="10">
        <v>30</v>
      </c>
      <c r="D29" s="39">
        <v>193.31729999999999</v>
      </c>
      <c r="E29" s="39">
        <v>176.45</v>
      </c>
      <c r="F29" s="39">
        <f>C29*(E29-D29)</f>
        <v>-506.01900000000001</v>
      </c>
      <c r="G29" s="39">
        <f>D29*C29</f>
        <v>5799.5189999999993</v>
      </c>
      <c r="H29" s="179">
        <f>(E29-D29)/D29</f>
        <v>-8.7251891062000153E-2</v>
      </c>
      <c r="I29" s="39"/>
      <c r="J29" s="39"/>
      <c r="K29" s="39"/>
      <c r="L29" s="39"/>
      <c r="O29" s="81">
        <v>0.98</v>
      </c>
      <c r="P29" s="81">
        <f t="shared" si="0"/>
        <v>186.102</v>
      </c>
    </row>
    <row r="30" spans="1:16" x14ac:dyDescent="0.25">
      <c r="A30">
        <v>30</v>
      </c>
      <c r="B30" s="164">
        <v>43556</v>
      </c>
      <c r="C30" s="10">
        <v>30</v>
      </c>
      <c r="D30" s="39">
        <v>192.66730000000001</v>
      </c>
      <c r="E30" s="39">
        <v>186.45</v>
      </c>
      <c r="F30" s="39">
        <f>C30*(E30-D30)</f>
        <v>-186.51900000000069</v>
      </c>
      <c r="G30" s="39">
        <f>D30*C30</f>
        <v>5780.0190000000002</v>
      </c>
      <c r="H30" s="179">
        <f>(E30-D30)/D30</f>
        <v>-3.2269617106795094E-2</v>
      </c>
      <c r="I30" s="39"/>
      <c r="J30" s="39"/>
      <c r="K30" s="39"/>
      <c r="L30" s="39"/>
      <c r="O30" s="81">
        <v>0.97</v>
      </c>
      <c r="P30" s="81">
        <f t="shared" si="0"/>
        <v>184.203</v>
      </c>
    </row>
    <row r="31" spans="1:16" x14ac:dyDescent="0.25">
      <c r="B31" s="164"/>
      <c r="C31" s="10"/>
      <c r="D31" s="39"/>
      <c r="E31" s="39"/>
      <c r="F31" s="39"/>
      <c r="G31" s="39"/>
      <c r="H31" s="179"/>
      <c r="I31" s="39"/>
      <c r="J31" s="39"/>
      <c r="K31" s="39"/>
      <c r="L31" s="39"/>
      <c r="O31" s="81">
        <v>0.96</v>
      </c>
      <c r="P31" s="81">
        <f t="shared" si="0"/>
        <v>182.304</v>
      </c>
    </row>
    <row r="32" spans="1:16" x14ac:dyDescent="0.25">
      <c r="B32" s="164"/>
      <c r="C32" s="10"/>
      <c r="D32" s="39"/>
      <c r="E32" s="39"/>
      <c r="F32" s="39"/>
      <c r="G32" s="39"/>
      <c r="H32" s="179"/>
      <c r="I32" s="39"/>
      <c r="J32" s="39"/>
      <c r="K32" s="39"/>
      <c r="L32" s="39"/>
      <c r="O32" s="81">
        <v>0.95</v>
      </c>
      <c r="P32" s="81">
        <f t="shared" si="0"/>
        <v>180.405</v>
      </c>
    </row>
    <row r="33" spans="2:17" x14ac:dyDescent="0.25">
      <c r="B33" s="164"/>
      <c r="C33" s="10"/>
      <c r="D33" s="39"/>
      <c r="E33" s="39"/>
      <c r="F33" s="39"/>
      <c r="G33" s="39"/>
      <c r="H33" s="179"/>
      <c r="I33" s="39"/>
      <c r="J33" s="39"/>
      <c r="K33" s="39"/>
      <c r="L33" s="39"/>
      <c r="O33" s="81">
        <v>0.94</v>
      </c>
      <c r="P33" s="81">
        <f t="shared" si="0"/>
        <v>178.506</v>
      </c>
    </row>
    <row r="34" spans="2:17" x14ac:dyDescent="0.25">
      <c r="B34" s="164"/>
      <c r="C34" s="10"/>
      <c r="D34" s="39"/>
      <c r="E34" s="39"/>
      <c r="F34" s="39"/>
      <c r="G34" s="39"/>
      <c r="H34" s="179"/>
      <c r="I34" s="39"/>
      <c r="J34" s="39"/>
      <c r="K34" s="39"/>
      <c r="L34" s="39"/>
      <c r="O34" s="81">
        <v>0.93</v>
      </c>
      <c r="P34" s="81">
        <f t="shared" si="0"/>
        <v>176.60700000000003</v>
      </c>
    </row>
    <row r="35" spans="2:17" x14ac:dyDescent="0.25">
      <c r="B35" s="164"/>
      <c r="C35" s="10"/>
      <c r="D35" s="39"/>
      <c r="E35" s="39"/>
      <c r="F35" s="39"/>
      <c r="G35" s="39"/>
      <c r="H35" s="179"/>
      <c r="I35" s="39"/>
      <c r="J35" s="39"/>
      <c r="K35" s="39"/>
      <c r="L35" s="39"/>
      <c r="O35" s="81">
        <v>0.92</v>
      </c>
      <c r="P35" s="81">
        <f t="shared" si="0"/>
        <v>174.70800000000003</v>
      </c>
    </row>
    <row r="36" spans="2:17" x14ac:dyDescent="0.25">
      <c r="B36" s="164"/>
      <c r="C36" s="10"/>
      <c r="D36" s="39"/>
      <c r="E36" s="39"/>
      <c r="F36" s="39"/>
      <c r="G36" s="39"/>
      <c r="H36" s="179"/>
      <c r="I36" s="39"/>
      <c r="J36" s="39"/>
      <c r="K36" s="39"/>
      <c r="L36" s="39"/>
      <c r="O36" s="81">
        <v>0.91</v>
      </c>
      <c r="P36" s="81">
        <f t="shared" si="0"/>
        <v>172.809</v>
      </c>
    </row>
    <row r="37" spans="2:17" x14ac:dyDescent="0.25">
      <c r="B37" s="164"/>
      <c r="C37" s="10"/>
      <c r="D37" s="39"/>
      <c r="E37" s="39"/>
      <c r="F37" s="39"/>
      <c r="G37" s="39"/>
      <c r="H37" s="179"/>
      <c r="I37" s="39"/>
      <c r="J37" s="39"/>
      <c r="K37" s="39"/>
      <c r="L37" s="39"/>
      <c r="O37" s="81">
        <v>0.9</v>
      </c>
      <c r="P37" s="81">
        <f t="shared" si="0"/>
        <v>170.91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170" priority="39">
      <formula>F47&gt;0</formula>
    </cfRule>
    <cfRule type="expression" dxfId="3169" priority="40">
      <formula>F47&lt;0</formula>
    </cfRule>
  </conditionalFormatting>
  <conditionalFormatting sqref="Q7">
    <cfRule type="expression" dxfId="3168" priority="37">
      <formula>Q7&gt;0</formula>
    </cfRule>
    <cfRule type="expression" dxfId="3167" priority="38">
      <formula>Q7&lt;0</formula>
    </cfRule>
  </conditionalFormatting>
  <conditionalFormatting sqref="Q8">
    <cfRule type="expression" dxfId="3166" priority="35">
      <formula>Q8&gt;0</formula>
    </cfRule>
    <cfRule type="expression" dxfId="3165" priority="36">
      <formula>Q8&lt;0</formula>
    </cfRule>
  </conditionalFormatting>
  <conditionalFormatting sqref="F30:F46">
    <cfRule type="expression" dxfId="3164" priority="33">
      <formula>F30&gt;0</formula>
    </cfRule>
    <cfRule type="expression" dxfId="3163" priority="34">
      <formula>F30&lt;0</formula>
    </cfRule>
  </conditionalFormatting>
  <conditionalFormatting sqref="H30:H46">
    <cfRule type="expression" dxfId="3162" priority="31">
      <formula>H30&gt;0</formula>
    </cfRule>
    <cfRule type="expression" dxfId="3161" priority="32">
      <formula>H30&lt;0</formula>
    </cfRule>
  </conditionalFormatting>
  <conditionalFormatting sqref="Q10">
    <cfRule type="expression" dxfId="3160" priority="29">
      <formula>Q10&gt;0</formula>
    </cfRule>
    <cfRule type="expression" dxfId="3159" priority="30">
      <formula>Q10&lt;0</formula>
    </cfRule>
  </conditionalFormatting>
  <conditionalFormatting sqref="J25:J38">
    <cfRule type="expression" dxfId="3158" priority="27">
      <formula>J25&gt;0</formula>
    </cfRule>
    <cfRule type="expression" dxfId="3157" priority="28">
      <formula>J25&lt;0</formula>
    </cfRule>
  </conditionalFormatting>
  <conditionalFormatting sqref="K25:K38">
    <cfRule type="expression" dxfId="3156" priority="25">
      <formula>K25&gt;0</formula>
    </cfRule>
    <cfRule type="expression" dxfId="3155" priority="26">
      <formula>K25&lt;0</formula>
    </cfRule>
  </conditionalFormatting>
  <conditionalFormatting sqref="L25 L38">
    <cfRule type="expression" dxfId="3154" priority="23">
      <formula>L25&gt;0</formula>
    </cfRule>
    <cfRule type="expression" dxfId="3153" priority="24">
      <formula>L25&lt;0</formula>
    </cfRule>
  </conditionalFormatting>
  <conditionalFormatting sqref="F89:F110">
    <cfRule type="expression" dxfId="3152" priority="21">
      <formula>F89&gt;0</formula>
    </cfRule>
    <cfRule type="expression" dxfId="3151" priority="22">
      <formula>F89&lt;0</formula>
    </cfRule>
  </conditionalFormatting>
  <conditionalFormatting sqref="H89:H110">
    <cfRule type="expression" dxfId="3150" priority="19">
      <formula>H89&gt;0</formula>
    </cfRule>
    <cfRule type="expression" dxfId="3149" priority="20">
      <formula>H89&lt;0</formula>
    </cfRule>
  </conditionalFormatting>
  <conditionalFormatting sqref="J89:J102">
    <cfRule type="expression" dxfId="3148" priority="17">
      <formula>J89&gt;0</formula>
    </cfRule>
    <cfRule type="expression" dxfId="3147" priority="18">
      <formula>J89&lt;0</formula>
    </cfRule>
  </conditionalFormatting>
  <conditionalFormatting sqref="K89:K102">
    <cfRule type="expression" dxfId="3146" priority="15">
      <formula>K89&gt;0</formula>
    </cfRule>
    <cfRule type="expression" dxfId="3145" priority="16">
      <formula>K89&lt;0</formula>
    </cfRule>
  </conditionalFormatting>
  <conditionalFormatting sqref="L89:L102">
    <cfRule type="expression" dxfId="3144" priority="13">
      <formula>L89&gt;0</formula>
    </cfRule>
    <cfRule type="expression" dxfId="3143" priority="14">
      <formula>L89&lt;0</formula>
    </cfRule>
  </conditionalFormatting>
  <conditionalFormatting sqref="F25">
    <cfRule type="expression" dxfId="3142" priority="11">
      <formula>F25&gt;0</formula>
    </cfRule>
    <cfRule type="expression" dxfId="3141" priority="12">
      <formula>F25&lt;0</formula>
    </cfRule>
  </conditionalFormatting>
  <conditionalFormatting sqref="H25:H26">
    <cfRule type="expression" dxfId="3140" priority="9">
      <formula>H25&gt;0</formula>
    </cfRule>
    <cfRule type="expression" dxfId="3139" priority="10">
      <formula>H25&lt;0</formula>
    </cfRule>
  </conditionalFormatting>
  <conditionalFormatting sqref="F26">
    <cfRule type="expression" dxfId="3138" priority="7">
      <formula>F26&gt;0</formula>
    </cfRule>
    <cfRule type="expression" dxfId="3137" priority="8">
      <formula>F26&lt;0</formula>
    </cfRule>
  </conditionalFormatting>
  <conditionalFormatting sqref="F27:F29">
    <cfRule type="expression" dxfId="3136" priority="3">
      <formula>F27&gt;0</formula>
    </cfRule>
    <cfRule type="expression" dxfId="3135" priority="4">
      <formula>F27&lt;0</formula>
    </cfRule>
  </conditionalFormatting>
  <conditionalFormatting sqref="H27:H29">
    <cfRule type="expression" dxfId="3134" priority="1">
      <formula>H27&gt;0</formula>
    </cfRule>
    <cfRule type="expression" dxfId="3133" priority="2">
      <formula>H27&lt;0</formula>
    </cfRule>
  </conditionalFormatting>
  <hyperlinks>
    <hyperlink ref="A3" location="ACTIVE!A1" display="Back"/>
  </hyperlinks>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8">
        <v>43384</v>
      </c>
      <c r="C2" s="7">
        <v>300</v>
      </c>
      <c r="D2" s="43">
        <v>16.8</v>
      </c>
      <c r="E2" s="43">
        <v>0</v>
      </c>
      <c r="F2" s="43">
        <f>C2*D2+E2</f>
        <v>5040</v>
      </c>
      <c r="G2" s="368">
        <v>43417</v>
      </c>
      <c r="H2" s="7">
        <v>300</v>
      </c>
      <c r="I2" s="43">
        <v>19.68</v>
      </c>
      <c r="J2" s="43">
        <v>0.08</v>
      </c>
      <c r="K2" s="43">
        <f>H2*I2-J2</f>
        <v>5903.92</v>
      </c>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19.62</v>
      </c>
      <c r="T3" s="1"/>
      <c r="U3" s="22"/>
    </row>
    <row r="4" spans="1:21" x14ac:dyDescent="0.25">
      <c r="B4" s="72"/>
      <c r="C4" s="4"/>
      <c r="D4" s="3"/>
      <c r="E4" s="3"/>
      <c r="F4" s="3"/>
      <c r="G4" s="72"/>
      <c r="H4" s="161"/>
      <c r="I4" s="3"/>
      <c r="J4" s="3"/>
      <c r="K4" s="3"/>
      <c r="L4" s="4"/>
      <c r="M4" s="4"/>
      <c r="O4" s="11" t="s">
        <v>66</v>
      </c>
      <c r="Q4" s="54">
        <v>19.62</v>
      </c>
      <c r="R4" s="425">
        <v>-5.1000000000000004E-3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863.92000000000007</v>
      </c>
      <c r="R7">
        <v>0</v>
      </c>
    </row>
    <row r="8" spans="1:21" x14ac:dyDescent="0.25">
      <c r="B8" s="72"/>
      <c r="C8" s="4"/>
      <c r="D8" s="3"/>
      <c r="E8" s="3"/>
      <c r="F8" s="3"/>
      <c r="G8" s="4"/>
      <c r="H8" s="161"/>
      <c r="I8" s="3"/>
      <c r="J8" s="3"/>
      <c r="K8" s="3"/>
      <c r="L8" s="4"/>
      <c r="M8" s="4"/>
      <c r="O8" s="11" t="s">
        <v>179</v>
      </c>
      <c r="P8" s="33"/>
      <c r="Q8" s="2">
        <f>K18+M18-F18+Q2*Q4</f>
        <v>863.92000000000007</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0</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4" t="s">
        <v>78</v>
      </c>
      <c r="P16" s="884"/>
    </row>
    <row r="17" spans="1:16" ht="15.75" thickTop="1" x14ac:dyDescent="0.25">
      <c r="O17" s="81">
        <v>1.1000000000000001</v>
      </c>
      <c r="P17" s="81">
        <f>O17*$Q$4</f>
        <v>21.582000000000004</v>
      </c>
    </row>
    <row r="18" spans="1:16" x14ac:dyDescent="0.25">
      <c r="A18" s="31" t="s">
        <v>81</v>
      </c>
      <c r="B18" s="14"/>
      <c r="C18" s="14">
        <f>SUM(C2:C8)</f>
        <v>300</v>
      </c>
      <c r="D18" s="18"/>
      <c r="E18" s="18"/>
      <c r="F18" s="18">
        <f>SUM(F2:F8)</f>
        <v>5040</v>
      </c>
      <c r="G18" s="14"/>
      <c r="H18" s="71">
        <f>SUM(H2:H5)</f>
        <v>300</v>
      </c>
      <c r="I18" s="18"/>
      <c r="J18" s="18"/>
      <c r="K18" s="18">
        <f>SUM(K2:K5)</f>
        <v>5903.92</v>
      </c>
      <c r="L18" s="14"/>
      <c r="M18" s="18">
        <f>SUM(M2:M10)</f>
        <v>0</v>
      </c>
      <c r="O18" s="81">
        <v>1.0900000000000001</v>
      </c>
      <c r="P18" s="81">
        <f t="shared" ref="P18:P37" si="0">O18*$Q$4</f>
        <v>21.385800000000003</v>
      </c>
    </row>
    <row r="19" spans="1:16" ht="15.75" thickBot="1" x14ac:dyDescent="0.3">
      <c r="A19" s="277" t="s">
        <v>191</v>
      </c>
      <c r="B19" s="278"/>
      <c r="C19" s="279">
        <f>SumByColor($A$19,C2:C17)</f>
        <v>300</v>
      </c>
      <c r="D19" s="279"/>
      <c r="E19" s="279"/>
      <c r="F19" s="280">
        <f>SumByColor($A$19,F2:F17)</f>
        <v>5040</v>
      </c>
      <c r="G19" s="279"/>
      <c r="H19" s="279">
        <f>SumByColor($A$19,H2:H17)</f>
        <v>300</v>
      </c>
      <c r="I19" s="279"/>
      <c r="J19" s="279"/>
      <c r="K19" s="280">
        <f>SumByColor($A$19,K2:K17)</f>
        <v>5904</v>
      </c>
      <c r="L19" s="279"/>
      <c r="M19" s="280">
        <f>SumByColor($A$19,M2:M17)</f>
        <v>0</v>
      </c>
      <c r="O19" s="81">
        <v>1.08</v>
      </c>
      <c r="P19" s="81">
        <f t="shared" si="0"/>
        <v>21.189600000000002</v>
      </c>
    </row>
    <row r="20" spans="1:16" x14ac:dyDescent="0.25">
      <c r="O20" s="81">
        <v>1.07</v>
      </c>
      <c r="P20" s="81">
        <f t="shared" si="0"/>
        <v>20.993400000000001</v>
      </c>
    </row>
    <row r="21" spans="1:16" x14ac:dyDescent="0.25">
      <c r="O21" s="81">
        <v>1.06</v>
      </c>
      <c r="P21" s="81">
        <f t="shared" si="0"/>
        <v>20.797200000000004</v>
      </c>
    </row>
    <row r="22" spans="1:16" x14ac:dyDescent="0.25">
      <c r="O22" s="81">
        <v>1.05</v>
      </c>
      <c r="P22" s="81">
        <f t="shared" si="0"/>
        <v>20.601000000000003</v>
      </c>
    </row>
    <row r="23" spans="1:16" x14ac:dyDescent="0.25">
      <c r="O23" s="81">
        <v>1.04</v>
      </c>
      <c r="P23" s="81">
        <f t="shared" si="0"/>
        <v>20.404800000000002</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20.208600000000001</v>
      </c>
    </row>
    <row r="25" spans="1:16" x14ac:dyDescent="0.25">
      <c r="B25" s="164">
        <v>43384</v>
      </c>
      <c r="C25" s="10">
        <v>300</v>
      </c>
      <c r="D25" s="39">
        <v>16.8</v>
      </c>
      <c r="E25" s="39">
        <v>16.89</v>
      </c>
      <c r="F25" s="39">
        <f>C25*(E25-D25)</f>
        <v>26.999999999999957</v>
      </c>
      <c r="G25" s="39">
        <f>D25*C25</f>
        <v>5040</v>
      </c>
      <c r="H25" s="179">
        <f>(E25-D25)/D25</f>
        <v>5.3571428571428485E-3</v>
      </c>
      <c r="I25" s="39"/>
      <c r="J25" s="39"/>
      <c r="K25" s="39"/>
      <c r="L25" s="39"/>
      <c r="O25" s="81">
        <v>1.02</v>
      </c>
      <c r="P25" s="81">
        <f t="shared" si="0"/>
        <v>20.012400000000003</v>
      </c>
    </row>
    <row r="26" spans="1:16" x14ac:dyDescent="0.25">
      <c r="B26" s="164">
        <v>43417</v>
      </c>
      <c r="C26" s="10">
        <v>0</v>
      </c>
      <c r="D26" s="39">
        <v>16.8</v>
      </c>
      <c r="E26" s="39">
        <v>19.04</v>
      </c>
      <c r="F26" s="39">
        <f>C26*(E26-D26)</f>
        <v>0</v>
      </c>
      <c r="G26" s="39">
        <f>D26*C26</f>
        <v>0</v>
      </c>
      <c r="H26" s="179">
        <f>(E26-D26)/D26</f>
        <v>0.13333333333333325</v>
      </c>
      <c r="I26" s="39"/>
      <c r="J26" s="39">
        <v>863.92</v>
      </c>
      <c r="K26" s="39"/>
      <c r="L26" s="39"/>
      <c r="O26" s="81">
        <v>1.01</v>
      </c>
      <c r="P26" s="81">
        <f t="shared" si="0"/>
        <v>19.816200000000002</v>
      </c>
    </row>
    <row r="27" spans="1:16" x14ac:dyDescent="0.25">
      <c r="B27" s="164"/>
      <c r="C27" s="10"/>
      <c r="D27" s="39"/>
      <c r="E27" s="39"/>
      <c r="F27" s="39"/>
      <c r="G27" s="39"/>
      <c r="H27" s="179"/>
      <c r="I27" s="39"/>
      <c r="J27" s="39"/>
      <c r="K27" s="39"/>
      <c r="L27" s="39"/>
      <c r="O27" s="81">
        <v>1</v>
      </c>
      <c r="P27" s="81">
        <f t="shared" si="0"/>
        <v>19.62</v>
      </c>
    </row>
    <row r="28" spans="1:16" x14ac:dyDescent="0.25">
      <c r="B28" s="164"/>
      <c r="C28" s="10"/>
      <c r="D28" s="39"/>
      <c r="E28" s="39"/>
      <c r="F28" s="39"/>
      <c r="G28" s="39"/>
      <c r="H28" s="179"/>
      <c r="I28" s="39"/>
      <c r="J28" s="39"/>
      <c r="K28" s="39"/>
      <c r="L28" s="39"/>
      <c r="O28" s="81">
        <v>0.99</v>
      </c>
      <c r="P28" s="81">
        <f t="shared" si="0"/>
        <v>19.4238</v>
      </c>
    </row>
    <row r="29" spans="1:16" x14ac:dyDescent="0.25">
      <c r="B29" s="164"/>
      <c r="C29" s="10"/>
      <c r="D29" s="39"/>
      <c r="E29" s="39"/>
      <c r="F29" s="39"/>
      <c r="G29" s="39"/>
      <c r="H29" s="179"/>
      <c r="I29" s="39"/>
      <c r="J29" s="39"/>
      <c r="K29" s="39"/>
      <c r="L29" s="39"/>
      <c r="O29" s="81">
        <v>0.98</v>
      </c>
      <c r="P29" s="81">
        <f t="shared" si="0"/>
        <v>19.227599999999999</v>
      </c>
    </row>
    <row r="30" spans="1:16" x14ac:dyDescent="0.25">
      <c r="B30" s="164"/>
      <c r="C30" s="10"/>
      <c r="D30" s="39"/>
      <c r="E30" s="39"/>
      <c r="F30" s="39"/>
      <c r="G30" s="39"/>
      <c r="H30" s="179"/>
      <c r="I30" s="39"/>
      <c r="J30" s="39"/>
      <c r="K30" s="39"/>
      <c r="L30" s="39"/>
      <c r="O30" s="81">
        <v>0.97</v>
      </c>
      <c r="P30" s="81">
        <f t="shared" si="0"/>
        <v>19.031400000000001</v>
      </c>
    </row>
    <row r="31" spans="1:16" x14ac:dyDescent="0.25">
      <c r="B31" s="164"/>
      <c r="C31" s="10"/>
      <c r="D31" s="39"/>
      <c r="E31" s="39"/>
      <c r="F31" s="39"/>
      <c r="G31" s="39"/>
      <c r="H31" s="179"/>
      <c r="I31" s="39"/>
      <c r="J31" s="39"/>
      <c r="K31" s="39"/>
      <c r="L31" s="39"/>
      <c r="O31" s="81">
        <v>0.96</v>
      </c>
      <c r="P31" s="81">
        <f t="shared" si="0"/>
        <v>18.8352</v>
      </c>
    </row>
    <row r="32" spans="1:16" x14ac:dyDescent="0.25">
      <c r="B32" s="164"/>
      <c r="C32" s="10"/>
      <c r="D32" s="39"/>
      <c r="E32" s="39"/>
      <c r="F32" s="39"/>
      <c r="G32" s="39"/>
      <c r="H32" s="179"/>
      <c r="I32" s="39"/>
      <c r="J32" s="39"/>
      <c r="K32" s="39"/>
      <c r="L32" s="39"/>
      <c r="O32" s="81">
        <v>0.95</v>
      </c>
      <c r="P32" s="81">
        <f t="shared" si="0"/>
        <v>18.638999999999999</v>
      </c>
    </row>
    <row r="33" spans="2:17" x14ac:dyDescent="0.25">
      <c r="B33" s="164"/>
      <c r="C33" s="10"/>
      <c r="D33" s="39"/>
      <c r="E33" s="39"/>
      <c r="F33" s="39"/>
      <c r="G33" s="39"/>
      <c r="H33" s="179"/>
      <c r="I33" s="39"/>
      <c r="J33" s="39"/>
      <c r="K33" s="39"/>
      <c r="L33" s="39"/>
      <c r="O33" s="81">
        <v>0.94</v>
      </c>
      <c r="P33" s="81">
        <f t="shared" si="0"/>
        <v>18.442799999999998</v>
      </c>
    </row>
    <row r="34" spans="2:17" x14ac:dyDescent="0.25">
      <c r="B34" s="164"/>
      <c r="C34" s="10"/>
      <c r="D34" s="39"/>
      <c r="E34" s="39"/>
      <c r="F34" s="39"/>
      <c r="G34" s="39"/>
      <c r="H34" s="179"/>
      <c r="I34" s="39"/>
      <c r="J34" s="39"/>
      <c r="K34" s="39"/>
      <c r="L34" s="39"/>
      <c r="O34" s="81">
        <v>0.93</v>
      </c>
      <c r="P34" s="81">
        <f t="shared" si="0"/>
        <v>18.246600000000001</v>
      </c>
    </row>
    <row r="35" spans="2:17" x14ac:dyDescent="0.25">
      <c r="B35" s="164"/>
      <c r="C35" s="10"/>
      <c r="D35" s="39"/>
      <c r="E35" s="39"/>
      <c r="F35" s="39"/>
      <c r="G35" s="39"/>
      <c r="H35" s="179"/>
      <c r="I35" s="39"/>
      <c r="J35" s="39"/>
      <c r="K35" s="39"/>
      <c r="L35" s="39"/>
      <c r="O35" s="81">
        <v>0.92</v>
      </c>
      <c r="P35" s="81">
        <f t="shared" si="0"/>
        <v>18.050400000000003</v>
      </c>
    </row>
    <row r="36" spans="2:17" x14ac:dyDescent="0.25">
      <c r="B36" s="164"/>
      <c r="C36" s="10"/>
      <c r="D36" s="39"/>
      <c r="E36" s="39"/>
      <c r="F36" s="39"/>
      <c r="G36" s="39"/>
      <c r="H36" s="179"/>
      <c r="I36" s="39"/>
      <c r="J36" s="39"/>
      <c r="K36" s="39"/>
      <c r="L36" s="39"/>
      <c r="O36" s="81">
        <v>0.91</v>
      </c>
      <c r="P36" s="81">
        <f t="shared" si="0"/>
        <v>17.854200000000002</v>
      </c>
    </row>
    <row r="37" spans="2:17" x14ac:dyDescent="0.25">
      <c r="B37" s="164"/>
      <c r="C37" s="10"/>
      <c r="D37" s="39"/>
      <c r="E37" s="39"/>
      <c r="F37" s="39"/>
      <c r="G37" s="39"/>
      <c r="H37" s="179"/>
      <c r="I37" s="39"/>
      <c r="J37" s="39"/>
      <c r="K37" s="39"/>
      <c r="L37" s="39"/>
      <c r="O37" s="81">
        <v>0.9</v>
      </c>
      <c r="P37" s="81">
        <f t="shared" si="0"/>
        <v>17.658000000000001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1281</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132" priority="35">
      <formula>F47&gt;0</formula>
    </cfRule>
    <cfRule type="expression" dxfId="3131" priority="36">
      <formula>F47&lt;0</formula>
    </cfRule>
  </conditionalFormatting>
  <conditionalFormatting sqref="Q7">
    <cfRule type="expression" dxfId="3130" priority="33">
      <formula>Q7&gt;0</formula>
    </cfRule>
    <cfRule type="expression" dxfId="3129" priority="34">
      <formula>Q7&lt;0</formula>
    </cfRule>
  </conditionalFormatting>
  <conditionalFormatting sqref="Q8">
    <cfRule type="expression" dxfId="3128" priority="31">
      <formula>Q8&gt;0</formula>
    </cfRule>
    <cfRule type="expression" dxfId="3127" priority="32">
      <formula>Q8&lt;0</formula>
    </cfRule>
  </conditionalFormatting>
  <conditionalFormatting sqref="F30:F46">
    <cfRule type="expression" dxfId="3126" priority="29">
      <formula>F30&gt;0</formula>
    </cfRule>
    <cfRule type="expression" dxfId="3125" priority="30">
      <formula>F30&lt;0</formula>
    </cfRule>
  </conditionalFormatting>
  <conditionalFormatting sqref="H30:H46">
    <cfRule type="expression" dxfId="3124" priority="27">
      <formula>H30&gt;0</formula>
    </cfRule>
    <cfRule type="expression" dxfId="3123" priority="28">
      <formula>H30&lt;0</formula>
    </cfRule>
  </conditionalFormatting>
  <conditionalFormatting sqref="Q10">
    <cfRule type="expression" dxfId="3122" priority="25">
      <formula>Q10&gt;0</formula>
    </cfRule>
    <cfRule type="expression" dxfId="3121" priority="26">
      <formula>Q10&lt;0</formula>
    </cfRule>
  </conditionalFormatting>
  <conditionalFormatting sqref="J25:J38">
    <cfRule type="expression" dxfId="3120" priority="23">
      <formula>J25&gt;0</formula>
    </cfRule>
    <cfRule type="expression" dxfId="3119" priority="24">
      <formula>J25&lt;0</formula>
    </cfRule>
  </conditionalFormatting>
  <conditionalFormatting sqref="K25:K38">
    <cfRule type="expression" dxfId="3118" priority="21">
      <formula>K25&gt;0</formula>
    </cfRule>
    <cfRule type="expression" dxfId="3117" priority="22">
      <formula>K25&lt;0</formula>
    </cfRule>
  </conditionalFormatting>
  <conditionalFormatting sqref="L25 L38">
    <cfRule type="expression" dxfId="3116" priority="19">
      <formula>L25&gt;0</formula>
    </cfRule>
    <cfRule type="expression" dxfId="3115" priority="20">
      <formula>L25&lt;0</formula>
    </cfRule>
  </conditionalFormatting>
  <conditionalFormatting sqref="F89:F110">
    <cfRule type="expression" dxfId="3114" priority="17">
      <formula>F89&gt;0</formula>
    </cfRule>
    <cfRule type="expression" dxfId="3113" priority="18">
      <formula>F89&lt;0</formula>
    </cfRule>
  </conditionalFormatting>
  <conditionalFormatting sqref="H89:H110">
    <cfRule type="expression" dxfId="3112" priority="15">
      <formula>H89&gt;0</formula>
    </cfRule>
    <cfRule type="expression" dxfId="3111" priority="16">
      <formula>H89&lt;0</formula>
    </cfRule>
  </conditionalFormatting>
  <conditionalFormatting sqref="J89:J102">
    <cfRule type="expression" dxfId="3110" priority="13">
      <formula>J89&gt;0</formula>
    </cfRule>
    <cfRule type="expression" dxfId="3109" priority="14">
      <formula>J89&lt;0</formula>
    </cfRule>
  </conditionalFormatting>
  <conditionalFormatting sqref="K89:K102">
    <cfRule type="expression" dxfId="3108" priority="11">
      <formula>K89&gt;0</formula>
    </cfRule>
    <cfRule type="expression" dxfId="3107" priority="12">
      <formula>K89&lt;0</formula>
    </cfRule>
  </conditionalFormatting>
  <conditionalFormatting sqref="L89:L102">
    <cfRule type="expression" dxfId="3106" priority="9">
      <formula>L89&gt;0</formula>
    </cfRule>
    <cfRule type="expression" dxfId="3105" priority="10">
      <formula>L89&lt;0</formula>
    </cfRule>
  </conditionalFormatting>
  <conditionalFormatting sqref="F29 F25:F26">
    <cfRule type="expression" dxfId="3104" priority="7">
      <formula>F25&gt;0</formula>
    </cfRule>
    <cfRule type="expression" dxfId="3103" priority="8">
      <formula>F25&lt;0</formula>
    </cfRule>
  </conditionalFormatting>
  <conditionalFormatting sqref="H29 H25:H27">
    <cfRule type="expression" dxfId="3102" priority="5">
      <formula>H25&gt;0</formula>
    </cfRule>
    <cfRule type="expression" dxfId="3101" priority="6">
      <formula>H25&lt;0</formula>
    </cfRule>
  </conditionalFormatting>
  <conditionalFormatting sqref="F27:F28">
    <cfRule type="expression" dxfId="3100" priority="3">
      <formula>F27&gt;0</formula>
    </cfRule>
    <cfRule type="expression" dxfId="3099" priority="4">
      <formula>F27&lt;0</formula>
    </cfRule>
  </conditionalFormatting>
  <conditionalFormatting sqref="H28">
    <cfRule type="expression" dxfId="3098" priority="1">
      <formula>H28&gt;0</formula>
    </cfRule>
    <cfRule type="expression" dxfId="3097" priority="2">
      <formula>H28&lt;0</formula>
    </cfRule>
  </conditionalFormatting>
  <hyperlinks>
    <hyperlink ref="A3"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1311</v>
      </c>
      <c r="B2" s="368">
        <v>43424</v>
      </c>
      <c r="C2" s="7">
        <v>100</v>
      </c>
      <c r="D2" s="43">
        <v>25.91</v>
      </c>
      <c r="E2" s="43">
        <v>0</v>
      </c>
      <c r="F2" s="43">
        <f>C2*D2+E2</f>
        <v>2591</v>
      </c>
      <c r="G2" s="368">
        <v>43424</v>
      </c>
      <c r="H2" s="7">
        <v>100</v>
      </c>
      <c r="I2" s="43">
        <v>25.4</v>
      </c>
      <c r="J2" s="43">
        <v>0.03</v>
      </c>
      <c r="K2" s="43">
        <f>H2*I2-J2</f>
        <v>2539.9699999999998</v>
      </c>
      <c r="L2" s="72"/>
      <c r="M2" s="3"/>
      <c r="O2" s="11" t="s">
        <v>57</v>
      </c>
      <c r="Q2">
        <f>C18-H18</f>
        <v>0</v>
      </c>
      <c r="T2" s="1"/>
    </row>
    <row r="3" spans="1:21" x14ac:dyDescent="0.25">
      <c r="A3" s="22" t="s">
        <v>71</v>
      </c>
      <c r="B3" s="498">
        <v>43447</v>
      </c>
      <c r="C3" s="7">
        <v>100</v>
      </c>
      <c r="D3" s="43">
        <v>23.55</v>
      </c>
      <c r="E3" s="43">
        <v>0</v>
      </c>
      <c r="F3" s="43">
        <f>C3*D3+E3</f>
        <v>2355</v>
      </c>
      <c r="G3" s="368">
        <v>43496</v>
      </c>
      <c r="H3" s="80">
        <v>100</v>
      </c>
      <c r="I3" s="43">
        <v>30</v>
      </c>
      <c r="J3" s="43">
        <v>0.04</v>
      </c>
      <c r="K3" s="43">
        <f>H3*I3-J3</f>
        <v>2999.96</v>
      </c>
      <c r="L3" s="4"/>
      <c r="M3" s="4"/>
      <c r="O3" s="11" t="s">
        <v>58</v>
      </c>
      <c r="Q3" s="178">
        <f>IF(Q2=0, Q4, (F18-K18-M18)/Q2)</f>
        <v>27.169899999999998</v>
      </c>
      <c r="T3" s="1"/>
    </row>
    <row r="4" spans="1:21" x14ac:dyDescent="0.25">
      <c r="B4" s="72"/>
      <c r="C4" s="4"/>
      <c r="D4" s="3"/>
      <c r="E4" s="3"/>
      <c r="F4" s="3"/>
      <c r="G4" s="72"/>
      <c r="H4" s="161"/>
      <c r="I4" s="3"/>
      <c r="J4" s="3"/>
      <c r="K4" s="3"/>
      <c r="L4" s="4"/>
      <c r="M4" s="4"/>
      <c r="O4" s="11" t="s">
        <v>66</v>
      </c>
      <c r="Q4" s="54">
        <v>27.169899999999998</v>
      </c>
      <c r="R4" s="425">
        <v>-4.4000000000000003E-3</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593.93000000000029</v>
      </c>
      <c r="R7">
        <v>0</v>
      </c>
      <c r="T7" s="1"/>
    </row>
    <row r="8" spans="1:21" x14ac:dyDescent="0.25">
      <c r="B8" s="72"/>
      <c r="C8" s="4"/>
      <c r="D8" s="3"/>
      <c r="E8" s="3"/>
      <c r="F8" s="3"/>
      <c r="G8" s="72"/>
      <c r="H8" s="161"/>
      <c r="I8" s="3"/>
      <c r="J8" s="3"/>
      <c r="K8" s="3"/>
      <c r="L8" s="4"/>
      <c r="M8" s="4"/>
      <c r="O8" s="11" t="s">
        <v>179</v>
      </c>
      <c r="P8" s="33"/>
      <c r="Q8" s="2">
        <f>K18+M18-F18+Q2*Q4</f>
        <v>593.93000000000029</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0</v>
      </c>
      <c r="R11">
        <v>0</v>
      </c>
    </row>
    <row r="12" spans="1:21" x14ac:dyDescent="0.25">
      <c r="H12" s="70"/>
      <c r="O12" s="11" t="s">
        <v>921</v>
      </c>
      <c r="Q12" s="1" t="s">
        <v>1352</v>
      </c>
    </row>
    <row r="13" spans="1:21" x14ac:dyDescent="0.25">
      <c r="H13" s="70"/>
      <c r="O13" s="11" t="s">
        <v>947</v>
      </c>
      <c r="Q13" s="2">
        <f>Q4/4.4</f>
        <v>6.174977272727272</v>
      </c>
      <c r="T13" s="1"/>
    </row>
    <row r="14" spans="1:21" x14ac:dyDescent="0.25">
      <c r="H14" s="70"/>
      <c r="O14" s="11" t="s">
        <v>1034</v>
      </c>
      <c r="Q14" s="1"/>
    </row>
    <row r="15" spans="1:21" x14ac:dyDescent="0.25">
      <c r="H15" s="70"/>
    </row>
    <row r="16" spans="1:21" ht="20.25" thickBot="1" x14ac:dyDescent="0.35">
      <c r="H16" s="70"/>
      <c r="O16" s="884" t="s">
        <v>78</v>
      </c>
      <c r="P16" s="884"/>
    </row>
    <row r="17" spans="1:16" ht="15.75" thickTop="1" x14ac:dyDescent="0.25">
      <c r="O17" s="81">
        <v>1.1000000000000001</v>
      </c>
      <c r="P17" s="81">
        <f>O17*$Q$4</f>
        <v>29.886890000000001</v>
      </c>
    </row>
    <row r="18" spans="1:16" x14ac:dyDescent="0.25">
      <c r="A18" s="31" t="s">
        <v>81</v>
      </c>
      <c r="B18" s="14"/>
      <c r="C18" s="14">
        <f>SUM(C2:C9)</f>
        <v>200</v>
      </c>
      <c r="D18" s="18"/>
      <c r="E18" s="18"/>
      <c r="F18" s="18">
        <f>SUM(F2:F9)</f>
        <v>4946</v>
      </c>
      <c r="G18" s="14"/>
      <c r="H18" s="71">
        <f>SUM(H2:H8)</f>
        <v>200</v>
      </c>
      <c r="I18" s="18"/>
      <c r="J18" s="18"/>
      <c r="K18" s="18">
        <f>SUM(K2:K8)</f>
        <v>5539.93</v>
      </c>
      <c r="L18" s="14"/>
      <c r="M18" s="18">
        <f>SUM(M2:M10)</f>
        <v>0</v>
      </c>
      <c r="O18" s="81">
        <v>1.0900000000000001</v>
      </c>
      <c r="P18" s="81">
        <f t="shared" ref="P18:P37" si="0">O18*$Q$4</f>
        <v>29.615190999999999</v>
      </c>
    </row>
    <row r="19" spans="1:16" ht="15.75" thickBot="1" x14ac:dyDescent="0.3">
      <c r="A19" s="277" t="s">
        <v>191</v>
      </c>
      <c r="B19" s="278"/>
      <c r="C19" s="279">
        <f>SumByColor($A$19,C2:C17)</f>
        <v>200</v>
      </c>
      <c r="D19" s="279"/>
      <c r="E19" s="279"/>
      <c r="F19" s="280">
        <f>SumByColor($A$19,F2:F17)</f>
        <v>4946</v>
      </c>
      <c r="G19" s="279"/>
      <c r="H19" s="279">
        <f>SumByColor($A$19,H2:H17)</f>
        <v>200</v>
      </c>
      <c r="I19" s="279"/>
      <c r="J19" s="279"/>
      <c r="K19" s="280">
        <f>SumByColor($A$19,K2:K17)</f>
        <v>5540</v>
      </c>
      <c r="L19" s="279"/>
      <c r="M19" s="280">
        <f>SumByColor($A$19,M2:M17)</f>
        <v>0</v>
      </c>
      <c r="O19" s="81">
        <v>1.08</v>
      </c>
      <c r="P19" s="81">
        <f t="shared" si="0"/>
        <v>29.343492000000001</v>
      </c>
    </row>
    <row r="20" spans="1:16" x14ac:dyDescent="0.25">
      <c r="O20" s="81">
        <v>1.07</v>
      </c>
      <c r="P20" s="81">
        <f t="shared" si="0"/>
        <v>29.071793</v>
      </c>
    </row>
    <row r="21" spans="1:16" x14ac:dyDescent="0.25">
      <c r="O21" s="81">
        <v>1.06</v>
      </c>
      <c r="P21" s="81">
        <f t="shared" si="0"/>
        <v>28.800094000000001</v>
      </c>
    </row>
    <row r="22" spans="1:16" x14ac:dyDescent="0.25">
      <c r="O22" s="81">
        <v>1.05</v>
      </c>
      <c r="P22" s="81">
        <f t="shared" si="0"/>
        <v>28.528395</v>
      </c>
    </row>
    <row r="23" spans="1:16" x14ac:dyDescent="0.25">
      <c r="O23" s="81">
        <v>1.04</v>
      </c>
      <c r="P23" s="81">
        <f t="shared" si="0"/>
        <v>28.256695999999998</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27.984997</v>
      </c>
    </row>
    <row r="25" spans="1:16" x14ac:dyDescent="0.25">
      <c r="B25" s="164">
        <v>43427</v>
      </c>
      <c r="C25" s="10">
        <v>100</v>
      </c>
      <c r="D25" s="39">
        <v>25.91</v>
      </c>
      <c r="E25" s="39">
        <v>26.69</v>
      </c>
      <c r="F25" s="39">
        <f>C25*(E25-D25)</f>
        <v>78.000000000000114</v>
      </c>
      <c r="G25" s="39">
        <f>D25*C25</f>
        <v>2591</v>
      </c>
      <c r="H25" s="179">
        <f>(E25-D25)/D25</f>
        <v>3.0104206869934431E-2</v>
      </c>
      <c r="I25" s="39"/>
      <c r="J25" s="39"/>
      <c r="K25" s="39"/>
      <c r="L25" s="39"/>
      <c r="O25" s="81">
        <v>1.02</v>
      </c>
      <c r="P25" s="81">
        <f t="shared" si="0"/>
        <v>27.713297999999998</v>
      </c>
    </row>
    <row r="26" spans="1:16" x14ac:dyDescent="0.25">
      <c r="B26" s="164">
        <v>43430</v>
      </c>
      <c r="C26" s="10">
        <v>100</v>
      </c>
      <c r="D26" s="39">
        <v>25.91</v>
      </c>
      <c r="E26" s="39">
        <v>27</v>
      </c>
      <c r="F26" s="39">
        <f>C26*(E26-D26)</f>
        <v>108.99999999999999</v>
      </c>
      <c r="G26" s="39">
        <f>D26*C26</f>
        <v>2591</v>
      </c>
      <c r="H26" s="179">
        <f>(E26-D26)/D26</f>
        <v>4.2068699343882666E-2</v>
      </c>
      <c r="I26" s="39"/>
      <c r="J26" s="39"/>
      <c r="K26" s="39"/>
      <c r="L26" s="39"/>
      <c r="O26" s="81">
        <v>1.01</v>
      </c>
      <c r="P26" s="81">
        <f t="shared" si="0"/>
        <v>27.441599</v>
      </c>
    </row>
    <row r="27" spans="1:16" x14ac:dyDescent="0.25">
      <c r="B27" s="164">
        <v>43447</v>
      </c>
      <c r="C27" s="10">
        <v>200</v>
      </c>
      <c r="D27" s="39">
        <v>24.73</v>
      </c>
      <c r="E27" s="39">
        <v>23.51</v>
      </c>
      <c r="F27" s="39">
        <f>C27*(E27-D27)</f>
        <v>-243.99999999999977</v>
      </c>
      <c r="G27" s="39">
        <f>D27*C27</f>
        <v>4946</v>
      </c>
      <c r="H27" s="179">
        <f>(E27-D27)/D27</f>
        <v>-4.9332794177112768E-2</v>
      </c>
      <c r="I27" s="39"/>
      <c r="J27" s="39"/>
      <c r="K27" s="39"/>
      <c r="L27" s="39"/>
      <c r="O27" s="81">
        <v>1</v>
      </c>
      <c r="P27" s="81">
        <f t="shared" si="0"/>
        <v>27.169899999999998</v>
      </c>
    </row>
    <row r="28" spans="1:16" x14ac:dyDescent="0.25">
      <c r="B28" s="164">
        <v>43476</v>
      </c>
      <c r="C28" s="10">
        <v>100</v>
      </c>
      <c r="D28" s="39">
        <v>24.060300000000002</v>
      </c>
      <c r="E28" s="39">
        <v>25.27</v>
      </c>
      <c r="F28" s="39">
        <f>C28*(E28-D28)</f>
        <v>120.9699999999998</v>
      </c>
      <c r="G28" s="39">
        <f>D28*C28</f>
        <v>2406.0300000000002</v>
      </c>
      <c r="H28" s="179">
        <f>(E28-D28)/D28</f>
        <v>5.0277843584660122E-2</v>
      </c>
      <c r="I28" s="39"/>
      <c r="J28" s="39"/>
      <c r="K28" s="39"/>
      <c r="L28" s="39"/>
      <c r="O28" s="81">
        <v>0.99</v>
      </c>
      <c r="P28" s="81">
        <f t="shared" si="0"/>
        <v>26.898200999999997</v>
      </c>
    </row>
    <row r="29" spans="1:16" x14ac:dyDescent="0.25">
      <c r="B29" s="164">
        <v>43496</v>
      </c>
      <c r="C29" s="10">
        <v>0</v>
      </c>
      <c r="D29" s="39"/>
      <c r="E29" s="39">
        <v>27.17</v>
      </c>
      <c r="F29" s="39"/>
      <c r="G29" s="39"/>
      <c r="H29" s="179"/>
      <c r="I29" s="39"/>
      <c r="J29" s="778">
        <v>593.92999999999995</v>
      </c>
      <c r="K29" s="39"/>
      <c r="L29" s="39"/>
      <c r="O29" s="81">
        <v>0.98</v>
      </c>
      <c r="P29" s="81">
        <f t="shared" si="0"/>
        <v>26.626501999999999</v>
      </c>
    </row>
    <row r="30" spans="1:16" x14ac:dyDescent="0.25">
      <c r="B30" s="164"/>
      <c r="C30" s="10"/>
      <c r="D30" s="39"/>
      <c r="E30" s="39"/>
      <c r="F30" s="39"/>
      <c r="G30" s="39"/>
      <c r="H30" s="179"/>
      <c r="I30" s="39"/>
      <c r="J30" s="39"/>
      <c r="K30" s="39"/>
      <c r="L30" s="39"/>
      <c r="O30" s="81">
        <v>0.97</v>
      </c>
      <c r="P30" s="81">
        <f t="shared" si="0"/>
        <v>26.354802999999997</v>
      </c>
    </row>
    <row r="31" spans="1:16" x14ac:dyDescent="0.25">
      <c r="B31" s="164"/>
      <c r="C31" s="10"/>
      <c r="D31" s="39"/>
      <c r="E31" s="39"/>
      <c r="F31" s="39"/>
      <c r="G31" s="39"/>
      <c r="H31" s="179"/>
      <c r="I31" s="39"/>
      <c r="J31" s="39"/>
      <c r="K31" s="39"/>
      <c r="L31" s="39"/>
      <c r="O31" s="81">
        <v>0.96</v>
      </c>
      <c r="P31" s="81">
        <f t="shared" si="0"/>
        <v>26.083103999999999</v>
      </c>
    </row>
    <row r="32" spans="1:16" x14ac:dyDescent="0.25">
      <c r="B32" s="164"/>
      <c r="C32" s="10"/>
      <c r="D32" s="39"/>
      <c r="E32" s="39"/>
      <c r="F32" s="39"/>
      <c r="G32" s="39"/>
      <c r="H32" s="179"/>
      <c r="I32" s="39"/>
      <c r="J32" s="39"/>
      <c r="K32" s="39"/>
      <c r="L32" s="39"/>
      <c r="O32" s="81">
        <v>0.95</v>
      </c>
      <c r="P32" s="81">
        <f t="shared" si="0"/>
        <v>25.811404999999997</v>
      </c>
    </row>
    <row r="33" spans="2:17" x14ac:dyDescent="0.25">
      <c r="B33" s="164"/>
      <c r="C33" s="10"/>
      <c r="D33" s="39"/>
      <c r="E33" s="39"/>
      <c r="F33" s="39"/>
      <c r="G33" s="39"/>
      <c r="H33" s="179"/>
      <c r="I33" s="39"/>
      <c r="J33" s="39"/>
      <c r="K33" s="39"/>
      <c r="L33" s="39"/>
      <c r="O33" s="81">
        <v>0.94</v>
      </c>
      <c r="P33" s="81">
        <f t="shared" si="0"/>
        <v>25.539705999999995</v>
      </c>
    </row>
    <row r="34" spans="2:17" x14ac:dyDescent="0.25">
      <c r="B34" s="164"/>
      <c r="C34" s="10"/>
      <c r="D34" s="39"/>
      <c r="E34" s="39"/>
      <c r="F34" s="39"/>
      <c r="G34" s="39"/>
      <c r="H34" s="179"/>
      <c r="I34" s="39"/>
      <c r="J34" s="39"/>
      <c r="K34" s="39"/>
      <c r="L34" s="39"/>
      <c r="O34" s="81">
        <v>0.93</v>
      </c>
      <c r="P34" s="81">
        <f t="shared" si="0"/>
        <v>25.268007000000001</v>
      </c>
    </row>
    <row r="35" spans="2:17" x14ac:dyDescent="0.25">
      <c r="B35" s="164"/>
      <c r="C35" s="10"/>
      <c r="D35" s="39"/>
      <c r="E35" s="39"/>
      <c r="F35" s="39"/>
      <c r="G35" s="39"/>
      <c r="H35" s="179"/>
      <c r="I35" s="39"/>
      <c r="J35" s="39"/>
      <c r="K35" s="39"/>
      <c r="L35" s="39"/>
      <c r="O35" s="81">
        <v>0.92</v>
      </c>
      <c r="P35" s="81">
        <f t="shared" si="0"/>
        <v>24.996307999999999</v>
      </c>
    </row>
    <row r="36" spans="2:17" x14ac:dyDescent="0.25">
      <c r="B36" s="164"/>
      <c r="C36" s="10"/>
      <c r="D36" s="39"/>
      <c r="E36" s="39"/>
      <c r="F36" s="39"/>
      <c r="G36" s="39"/>
      <c r="H36" s="179"/>
      <c r="I36" s="39"/>
      <c r="J36" s="39"/>
      <c r="K36" s="39"/>
      <c r="L36" s="39"/>
      <c r="O36" s="81">
        <v>0.91</v>
      </c>
      <c r="P36" s="81">
        <f t="shared" si="0"/>
        <v>24.724609000000001</v>
      </c>
    </row>
    <row r="37" spans="2:17" x14ac:dyDescent="0.25">
      <c r="B37" s="164"/>
      <c r="C37" s="10"/>
      <c r="D37" s="39"/>
      <c r="E37" s="39"/>
      <c r="F37" s="39"/>
      <c r="G37" s="39"/>
      <c r="H37" s="179"/>
      <c r="I37" s="39"/>
      <c r="J37" s="39"/>
      <c r="K37" s="39"/>
      <c r="L37" s="39"/>
      <c r="O37" s="81">
        <v>0.9</v>
      </c>
      <c r="P37" s="81">
        <f t="shared" si="0"/>
        <v>24.452909999999999</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1311</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096" priority="43">
      <formula>F54&gt;0</formula>
    </cfRule>
    <cfRule type="expression" dxfId="3095" priority="44">
      <formula>F54&lt;0</formula>
    </cfRule>
  </conditionalFormatting>
  <conditionalFormatting sqref="Q7">
    <cfRule type="expression" dxfId="3094" priority="41">
      <formula>Q7&gt;0</formula>
    </cfRule>
    <cfRule type="expression" dxfId="3093" priority="42">
      <formula>Q7&lt;0</formula>
    </cfRule>
  </conditionalFormatting>
  <conditionalFormatting sqref="Q8">
    <cfRule type="expression" dxfId="3092" priority="39">
      <formula>Q8&gt;0</formula>
    </cfRule>
    <cfRule type="expression" dxfId="3091" priority="40">
      <formula>Q8&lt;0</formula>
    </cfRule>
  </conditionalFormatting>
  <conditionalFormatting sqref="F33:F36 F38:F53">
    <cfRule type="expression" dxfId="3090" priority="37">
      <formula>F33&gt;0</formula>
    </cfRule>
    <cfRule type="expression" dxfId="3089" priority="38">
      <formula>F33&lt;0</formula>
    </cfRule>
  </conditionalFormatting>
  <conditionalFormatting sqref="H33:H36 H38:H53">
    <cfRule type="expression" dxfId="3088" priority="35">
      <formula>H33&gt;0</formula>
    </cfRule>
    <cfRule type="expression" dxfId="3087" priority="36">
      <formula>H33&lt;0</formula>
    </cfRule>
  </conditionalFormatting>
  <conditionalFormatting sqref="Q10">
    <cfRule type="expression" dxfId="3086" priority="33">
      <formula>Q10&gt;0</formula>
    </cfRule>
    <cfRule type="expression" dxfId="3085" priority="34">
      <formula>Q10&lt;0</formula>
    </cfRule>
  </conditionalFormatting>
  <conditionalFormatting sqref="J25:J37">
    <cfRule type="expression" dxfId="3084" priority="31">
      <formula>J25&gt;0</formula>
    </cfRule>
    <cfRule type="expression" dxfId="3083" priority="32">
      <formula>J25&lt;0</formula>
    </cfRule>
  </conditionalFormatting>
  <conditionalFormatting sqref="K25:K38">
    <cfRule type="expression" dxfId="3082" priority="29">
      <formula>K25&gt;0</formula>
    </cfRule>
    <cfRule type="expression" dxfId="3081" priority="30">
      <formula>K25&lt;0</formula>
    </cfRule>
  </conditionalFormatting>
  <conditionalFormatting sqref="L25">
    <cfRule type="expression" dxfId="3080" priority="27">
      <formula>L25&gt;0</formula>
    </cfRule>
    <cfRule type="expression" dxfId="3079" priority="28">
      <formula>L25&lt;0</formula>
    </cfRule>
  </conditionalFormatting>
  <conditionalFormatting sqref="F89:F110">
    <cfRule type="expression" dxfId="3078" priority="25">
      <formula>F89&gt;0</formula>
    </cfRule>
    <cfRule type="expression" dxfId="3077" priority="26">
      <formula>F89&lt;0</formula>
    </cfRule>
  </conditionalFormatting>
  <conditionalFormatting sqref="H89:H110">
    <cfRule type="expression" dxfId="3076" priority="23">
      <formula>H89&gt;0</formula>
    </cfRule>
    <cfRule type="expression" dxfId="3075" priority="24">
      <formula>H89&lt;0</formula>
    </cfRule>
  </conditionalFormatting>
  <conditionalFormatting sqref="J89:J102">
    <cfRule type="expression" dxfId="3074" priority="21">
      <formula>J89&gt;0</formula>
    </cfRule>
    <cfRule type="expression" dxfId="3073" priority="22">
      <formula>J89&lt;0</formula>
    </cfRule>
  </conditionalFormatting>
  <conditionalFormatting sqref="K89:K102">
    <cfRule type="expression" dxfId="3072" priority="19">
      <formula>K89&gt;0</formula>
    </cfRule>
    <cfRule type="expression" dxfId="3071" priority="20">
      <formula>K89&lt;0</formula>
    </cfRule>
  </conditionalFormatting>
  <conditionalFormatting sqref="L89:L102">
    <cfRule type="expression" dxfId="3070" priority="17">
      <formula>L89&gt;0</formula>
    </cfRule>
    <cfRule type="expression" dxfId="3069" priority="18">
      <formula>L89&lt;0</formula>
    </cfRule>
  </conditionalFormatting>
  <conditionalFormatting sqref="F29:F32">
    <cfRule type="expression" dxfId="3068" priority="15">
      <formula>F29&gt;0</formula>
    </cfRule>
    <cfRule type="expression" dxfId="3067" priority="16">
      <formula>F29&lt;0</formula>
    </cfRule>
  </conditionalFormatting>
  <conditionalFormatting sqref="H29:H32">
    <cfRule type="expression" dxfId="3066" priority="13">
      <formula>H29&gt;0</formula>
    </cfRule>
    <cfRule type="expression" dxfId="3065" priority="14">
      <formula>H29&lt;0</formula>
    </cfRule>
  </conditionalFormatting>
  <conditionalFormatting sqref="F25:F28">
    <cfRule type="expression" dxfId="3064" priority="11">
      <formula>F25&gt;0</formula>
    </cfRule>
    <cfRule type="expression" dxfId="3063" priority="12">
      <formula>F25&lt;0</formula>
    </cfRule>
  </conditionalFormatting>
  <conditionalFormatting sqref="H25:H28">
    <cfRule type="expression" dxfId="3062" priority="9">
      <formula>H25&gt;0</formula>
    </cfRule>
    <cfRule type="expression" dxfId="3061" priority="10">
      <formula>H25&lt;0</formula>
    </cfRule>
  </conditionalFormatting>
  <conditionalFormatting sqref="F37">
    <cfRule type="expression" dxfId="3060" priority="7">
      <formula>F37&gt;0</formula>
    </cfRule>
    <cfRule type="expression" dxfId="3059" priority="8">
      <formula>F37&lt;0</formula>
    </cfRule>
  </conditionalFormatting>
  <conditionalFormatting sqref="H37">
    <cfRule type="expression" dxfId="3058" priority="5">
      <formula>H37&gt;0</formula>
    </cfRule>
    <cfRule type="expression" dxfId="3057" priority="6">
      <formula>H37&lt;0</formula>
    </cfRule>
  </conditionalFormatting>
  <conditionalFormatting sqref="J49">
    <cfRule type="expression" dxfId="3056" priority="3">
      <formula>J49&gt;0</formula>
    </cfRule>
    <cfRule type="expression" dxfId="3055" priority="4">
      <formula>J49&lt;0</formula>
    </cfRule>
  </conditionalFormatting>
  <conditionalFormatting sqref="J38:J48">
    <cfRule type="expression" dxfId="3054" priority="1">
      <formula>J38&gt;0</formula>
    </cfRule>
    <cfRule type="expression" dxfId="3053" priority="2">
      <formula>J38&lt;0</formula>
    </cfRule>
  </conditionalFormatting>
  <hyperlinks>
    <hyperlink ref="A3" location="ACTIVE!A1" display="Back"/>
  </hyperlinks>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1274</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1393</v>
      </c>
      <c r="B2" s="404">
        <v>43558</v>
      </c>
      <c r="C2" s="4">
        <v>66</v>
      </c>
      <c r="D2" s="3">
        <v>57.13</v>
      </c>
      <c r="E2" s="3">
        <v>0</v>
      </c>
      <c r="F2" s="3">
        <f>C2*D2+E2</f>
        <v>3770.5800000000004</v>
      </c>
      <c r="G2" s="72"/>
      <c r="H2" s="4"/>
      <c r="I2" s="3"/>
      <c r="J2" s="3"/>
      <c r="K2" s="3"/>
      <c r="L2" s="72"/>
      <c r="M2" s="3"/>
      <c r="O2" s="11" t="s">
        <v>57</v>
      </c>
      <c r="Q2">
        <f>C18-H18</f>
        <v>66</v>
      </c>
      <c r="T2" s="1"/>
      <c r="U2" t="s">
        <v>1363</v>
      </c>
    </row>
    <row r="3" spans="1:21" x14ac:dyDescent="0.25">
      <c r="A3" s="22" t="s">
        <v>71</v>
      </c>
      <c r="B3" s="72"/>
      <c r="C3" s="4"/>
      <c r="D3" s="3"/>
      <c r="E3" s="3"/>
      <c r="F3" s="3"/>
      <c r="G3" s="72"/>
      <c r="H3" s="161"/>
      <c r="I3" s="3"/>
      <c r="J3" s="3"/>
      <c r="K3" s="3"/>
      <c r="L3" s="72"/>
      <c r="M3" s="3"/>
      <c r="O3" s="11" t="s">
        <v>58</v>
      </c>
      <c r="Q3" s="178">
        <f>IF(Q2=0, Q4, (F18-K18-M18)/Q2)</f>
        <v>57.13</v>
      </c>
      <c r="T3" s="1"/>
    </row>
    <row r="4" spans="1:21" x14ac:dyDescent="0.25">
      <c r="B4" s="72"/>
      <c r="C4" s="4"/>
      <c r="D4" s="3"/>
      <c r="E4" s="3"/>
      <c r="F4" s="3"/>
      <c r="G4" s="72"/>
      <c r="H4" s="161"/>
      <c r="I4" s="3"/>
      <c r="J4" s="3"/>
      <c r="K4" s="3"/>
      <c r="L4" s="4"/>
      <c r="M4" s="4"/>
      <c r="O4" s="11" t="s">
        <v>66</v>
      </c>
      <c r="Q4" s="54">
        <v>57.24</v>
      </c>
      <c r="R4" s="425">
        <v>-4.1399999999999999E-2</v>
      </c>
      <c r="T4" s="1"/>
    </row>
    <row r="5" spans="1:21" x14ac:dyDescent="0.25">
      <c r="B5" s="72"/>
      <c r="C5" s="4"/>
      <c r="D5" s="3"/>
      <c r="E5" s="3"/>
      <c r="F5" s="3"/>
      <c r="G5" s="72"/>
      <c r="H5" s="161"/>
      <c r="I5" s="3"/>
      <c r="J5" s="3"/>
      <c r="K5" s="3"/>
      <c r="L5" s="4"/>
      <c r="M5" s="4"/>
      <c r="O5" s="11" t="s">
        <v>67</v>
      </c>
      <c r="Q5" s="3">
        <f>Q4*Q2</f>
        <v>3777.84</v>
      </c>
      <c r="T5" s="693"/>
      <c r="U5" s="30"/>
    </row>
    <row r="6" spans="1:21" x14ac:dyDescent="0.25">
      <c r="B6" s="72"/>
      <c r="C6" s="4"/>
      <c r="D6" s="3"/>
      <c r="E6" s="3"/>
      <c r="F6" s="3"/>
      <c r="G6" s="72"/>
      <c r="H6" s="161"/>
      <c r="I6" s="3"/>
      <c r="J6" s="3"/>
      <c r="K6" s="3"/>
      <c r="L6" s="4"/>
      <c r="M6" s="4"/>
      <c r="O6" s="11" t="s">
        <v>64</v>
      </c>
      <c r="Q6" s="2">
        <f>Q3*Q2</f>
        <v>3770.5800000000004</v>
      </c>
      <c r="U6" s="405"/>
    </row>
    <row r="7" spans="1:21" x14ac:dyDescent="0.25">
      <c r="B7" s="72"/>
      <c r="C7" s="4"/>
      <c r="D7" s="3"/>
      <c r="E7" s="3"/>
      <c r="F7" s="3"/>
      <c r="G7" s="72"/>
      <c r="H7" s="161"/>
      <c r="I7" s="3"/>
      <c r="J7" s="3"/>
      <c r="K7" s="3"/>
      <c r="L7" s="4"/>
      <c r="M7" s="4"/>
      <c r="O7" s="11" t="s">
        <v>177</v>
      </c>
      <c r="Q7" s="2">
        <f>Q10+Q8</f>
        <v>7.2599999999997635</v>
      </c>
      <c r="R7" s="29">
        <v>43588</v>
      </c>
    </row>
    <row r="8" spans="1:21" x14ac:dyDescent="0.25">
      <c r="B8" s="72"/>
      <c r="C8" s="4"/>
      <c r="D8" s="3"/>
      <c r="E8" s="3"/>
      <c r="F8" s="3"/>
      <c r="G8" s="72"/>
      <c r="H8" s="161"/>
      <c r="I8" s="3"/>
      <c r="J8" s="3"/>
      <c r="K8" s="3"/>
      <c r="L8" s="4"/>
      <c r="M8" s="4"/>
      <c r="O8" s="11" t="s">
        <v>179</v>
      </c>
      <c r="P8" s="33"/>
      <c r="Q8" s="2">
        <f>K18+M18-F18+Q2*Q4</f>
        <v>7.2599999999997635</v>
      </c>
      <c r="T8" s="1"/>
      <c r="U8" s="741"/>
    </row>
    <row r="9" spans="1:21" x14ac:dyDescent="0.25">
      <c r="B9" s="72"/>
      <c r="C9" s="4"/>
      <c r="D9" s="3"/>
      <c r="E9" s="3"/>
      <c r="F9" s="3"/>
      <c r="G9" s="4"/>
      <c r="H9" s="161"/>
      <c r="I9" s="3"/>
      <c r="J9" s="3"/>
      <c r="K9" s="3"/>
      <c r="L9" s="4"/>
      <c r="M9" s="4"/>
      <c r="O9" s="11" t="s">
        <v>204</v>
      </c>
      <c r="Q9" s="134">
        <f>IF(Q2=0, 0, Q8/Q6)</f>
        <v>1.925433222474994E-3</v>
      </c>
    </row>
    <row r="10" spans="1:21" x14ac:dyDescent="0.25">
      <c r="B10" s="72"/>
      <c r="C10" s="4"/>
      <c r="D10" s="3"/>
      <c r="E10" s="3"/>
      <c r="F10" s="3"/>
      <c r="G10" s="4"/>
      <c r="H10" s="161"/>
      <c r="I10" s="3"/>
      <c r="J10" s="3"/>
      <c r="K10" s="3"/>
      <c r="L10" s="4"/>
      <c r="M10" s="4"/>
      <c r="O10" s="11" t="s">
        <v>203</v>
      </c>
      <c r="P10" s="33"/>
      <c r="Q10" s="2">
        <f>M66</f>
        <v>0</v>
      </c>
      <c r="T10" s="156"/>
    </row>
    <row r="11" spans="1:21" x14ac:dyDescent="0.25">
      <c r="B11" s="72"/>
      <c r="C11" s="4"/>
      <c r="D11" s="3"/>
      <c r="E11" s="3"/>
      <c r="F11" s="3"/>
      <c r="G11" s="4"/>
      <c r="H11" s="161"/>
      <c r="I11" s="3"/>
      <c r="J11" s="3"/>
      <c r="K11" s="3"/>
      <c r="L11" s="4"/>
      <c r="M11" s="4"/>
      <c r="O11" s="11" t="s">
        <v>175</v>
      </c>
      <c r="P11" s="33"/>
      <c r="Q11" s="134"/>
      <c r="R11">
        <v>0.4</v>
      </c>
    </row>
    <row r="12" spans="1:21" x14ac:dyDescent="0.25">
      <c r="B12" s="4"/>
      <c r="C12" s="4"/>
      <c r="D12" s="3"/>
      <c r="E12" s="3"/>
      <c r="F12" s="3"/>
      <c r="G12" s="4"/>
      <c r="H12" s="161"/>
      <c r="I12" s="3"/>
      <c r="J12" s="3"/>
      <c r="K12" s="3"/>
      <c r="L12" s="4"/>
      <c r="M12" s="4"/>
      <c r="O12" s="11" t="s">
        <v>921</v>
      </c>
      <c r="Q12" s="1"/>
      <c r="T12" s="1"/>
    </row>
    <row r="13" spans="1:21" x14ac:dyDescent="0.25">
      <c r="B13" s="4"/>
      <c r="C13" s="4"/>
      <c r="D13" s="3"/>
      <c r="E13" s="3"/>
      <c r="F13" s="3"/>
      <c r="G13" s="4"/>
      <c r="H13" s="161"/>
      <c r="I13" s="3"/>
      <c r="J13" s="3"/>
      <c r="K13" s="3"/>
      <c r="L13" s="4"/>
      <c r="M13" s="4"/>
      <c r="O13" s="11" t="s">
        <v>947</v>
      </c>
      <c r="Q13" s="2"/>
    </row>
    <row r="14" spans="1:21" x14ac:dyDescent="0.25">
      <c r="H14" s="70"/>
      <c r="O14" s="11" t="s">
        <v>1034</v>
      </c>
      <c r="Q14" s="1"/>
      <c r="T14" s="1"/>
    </row>
    <row r="15" spans="1:21" x14ac:dyDescent="0.25">
      <c r="H15" s="70"/>
    </row>
    <row r="16" spans="1:21" x14ac:dyDescent="0.25">
      <c r="H16" s="70"/>
      <c r="T16" s="1"/>
    </row>
    <row r="18" spans="1:20" ht="20.25" thickBot="1" x14ac:dyDescent="0.35">
      <c r="A18" s="31" t="s">
        <v>81</v>
      </c>
      <c r="B18" s="14"/>
      <c r="C18" s="14">
        <f>SUM(C2:C12)</f>
        <v>66</v>
      </c>
      <c r="D18" s="18"/>
      <c r="E18" s="18"/>
      <c r="F18" s="18">
        <f>SUM(F2:F12)</f>
        <v>3770.5800000000004</v>
      </c>
      <c r="G18" s="14"/>
      <c r="H18" s="71">
        <f>SUM(H2:H8)</f>
        <v>0</v>
      </c>
      <c r="I18" s="18"/>
      <c r="J18" s="18"/>
      <c r="K18" s="18">
        <f>SUM(K2:K8)</f>
        <v>0</v>
      </c>
      <c r="L18" s="14"/>
      <c r="M18" s="18">
        <f>SUM(M2:M10)</f>
        <v>0</v>
      </c>
      <c r="O18" s="882" t="s">
        <v>78</v>
      </c>
      <c r="P18" s="882"/>
      <c r="T18" s="1"/>
    </row>
    <row r="19" spans="1:20" ht="16.5" thickTop="1"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1.1000000000000001</v>
      </c>
      <c r="P19" s="81">
        <f>O19*$Q$4</f>
        <v>62.964000000000006</v>
      </c>
    </row>
    <row r="20" spans="1:20" x14ac:dyDescent="0.25">
      <c r="O20" s="81">
        <v>1.0900000000000001</v>
      </c>
      <c r="P20" s="81">
        <f t="shared" ref="P20:P39" si="0">O20*$Q$4</f>
        <v>62.391600000000004</v>
      </c>
    </row>
    <row r="21" spans="1:20" x14ac:dyDescent="0.25">
      <c r="O21" s="81">
        <v>1.08</v>
      </c>
      <c r="P21" s="81">
        <f t="shared" si="0"/>
        <v>61.819200000000009</v>
      </c>
      <c r="T21" s="1"/>
    </row>
    <row r="22" spans="1:20" x14ac:dyDescent="0.25">
      <c r="O22" s="81">
        <v>1.07</v>
      </c>
      <c r="P22" s="81">
        <f t="shared" si="0"/>
        <v>61.246800000000007</v>
      </c>
    </row>
    <row r="23" spans="1:20" x14ac:dyDescent="0.25">
      <c r="O23" s="81">
        <v>1.06</v>
      </c>
      <c r="P23" s="81">
        <f t="shared" si="0"/>
        <v>60.674400000000006</v>
      </c>
    </row>
    <row r="24" spans="1:20" x14ac:dyDescent="0.25">
      <c r="B24" s="162" t="s">
        <v>113</v>
      </c>
      <c r="C24" s="162" t="s">
        <v>145</v>
      </c>
      <c r="D24" s="163" t="s">
        <v>144</v>
      </c>
      <c r="E24" s="165" t="s">
        <v>146</v>
      </c>
      <c r="F24" s="165" t="s">
        <v>65</v>
      </c>
      <c r="G24" s="177" t="s">
        <v>150</v>
      </c>
      <c r="H24" s="177" t="s">
        <v>88</v>
      </c>
      <c r="I24" s="177" t="s">
        <v>153</v>
      </c>
      <c r="J24" s="177" t="s">
        <v>149</v>
      </c>
      <c r="K24" s="177" t="s">
        <v>487</v>
      </c>
      <c r="L24" s="177" t="s">
        <v>947</v>
      </c>
      <c r="O24" s="81">
        <v>1.05</v>
      </c>
      <c r="P24" s="81">
        <f t="shared" si="0"/>
        <v>60.102000000000004</v>
      </c>
    </row>
    <row r="25" spans="1:20" x14ac:dyDescent="0.25">
      <c r="B25" s="164">
        <v>43558</v>
      </c>
      <c r="C25" s="10">
        <v>66</v>
      </c>
      <c r="D25" s="39">
        <v>57.13</v>
      </c>
      <c r="E25" s="39">
        <v>56.88</v>
      </c>
      <c r="F25" s="39">
        <f t="shared" ref="F25" si="1">C25*(E25-D25)</f>
        <v>-16.5</v>
      </c>
      <c r="G25" s="39">
        <f t="shared" ref="G25" si="2">D25*C25</f>
        <v>3770.5800000000004</v>
      </c>
      <c r="H25" s="179"/>
      <c r="I25" s="39"/>
      <c r="J25" s="39"/>
      <c r="K25" s="39"/>
      <c r="L25" s="39"/>
      <c r="O25" s="81">
        <v>1.04</v>
      </c>
      <c r="P25" s="81">
        <f t="shared" si="0"/>
        <v>59.529600000000002</v>
      </c>
    </row>
    <row r="26" spans="1:20" x14ac:dyDescent="0.25">
      <c r="B26" s="164"/>
      <c r="C26" s="10"/>
      <c r="D26" s="39"/>
      <c r="E26" s="39"/>
      <c r="F26" s="39"/>
      <c r="G26" s="39"/>
      <c r="H26" s="179"/>
      <c r="I26" s="39"/>
      <c r="J26" s="39"/>
      <c r="K26" s="39"/>
      <c r="L26" s="39"/>
      <c r="O26" s="81">
        <v>1.03</v>
      </c>
      <c r="P26" s="81">
        <f t="shared" si="0"/>
        <v>58.9572</v>
      </c>
      <c r="T26" s="156"/>
    </row>
    <row r="27" spans="1:20" x14ac:dyDescent="0.25">
      <c r="B27" s="164"/>
      <c r="C27" s="10"/>
      <c r="D27" s="39"/>
      <c r="E27" s="39"/>
      <c r="F27" s="39"/>
      <c r="G27" s="39"/>
      <c r="H27" s="179"/>
      <c r="I27" s="39"/>
      <c r="J27" s="39"/>
      <c r="K27" s="39"/>
      <c r="L27" s="39"/>
      <c r="O27" s="81">
        <v>1.02</v>
      </c>
      <c r="P27" s="81">
        <f t="shared" si="0"/>
        <v>58.384800000000006</v>
      </c>
      <c r="T27" s="67"/>
    </row>
    <row r="28" spans="1:20" x14ac:dyDescent="0.25">
      <c r="B28" s="164"/>
      <c r="C28" s="10"/>
      <c r="D28" s="39"/>
      <c r="E28" s="39"/>
      <c r="F28" s="39"/>
      <c r="G28" s="39"/>
      <c r="H28" s="179"/>
      <c r="I28" s="39"/>
      <c r="J28" s="39"/>
      <c r="K28" s="39"/>
      <c r="L28" s="39"/>
      <c r="O28" s="81">
        <v>1.01</v>
      </c>
      <c r="P28" s="81">
        <f t="shared" si="0"/>
        <v>57.812400000000004</v>
      </c>
      <c r="T28" s="156"/>
    </row>
    <row r="29" spans="1:20" x14ac:dyDescent="0.25">
      <c r="B29" s="164"/>
      <c r="C29" s="10"/>
      <c r="D29" s="39"/>
      <c r="E29" s="39"/>
      <c r="F29" s="39"/>
      <c r="G29" s="39"/>
      <c r="H29" s="179"/>
      <c r="I29" s="39"/>
      <c r="J29" s="39"/>
      <c r="K29" s="39"/>
      <c r="L29" s="39"/>
      <c r="O29" s="81">
        <v>1</v>
      </c>
      <c r="P29" s="81">
        <f t="shared" si="0"/>
        <v>57.24</v>
      </c>
      <c r="T29" s="156"/>
    </row>
    <row r="30" spans="1:20" x14ac:dyDescent="0.25">
      <c r="B30" s="164"/>
      <c r="C30" s="10"/>
      <c r="D30" s="39"/>
      <c r="E30" s="39"/>
      <c r="F30" s="39"/>
      <c r="G30" s="39"/>
      <c r="H30" s="179"/>
      <c r="I30" s="39"/>
      <c r="J30" s="39"/>
      <c r="K30" s="39"/>
      <c r="L30" s="39"/>
      <c r="O30" s="81">
        <v>0.99</v>
      </c>
      <c r="P30" s="81">
        <f t="shared" si="0"/>
        <v>56.6676</v>
      </c>
      <c r="T30" s="156"/>
    </row>
    <row r="31" spans="1:20" x14ac:dyDescent="0.25">
      <c r="B31" s="164"/>
      <c r="C31" s="10"/>
      <c r="D31" s="39"/>
      <c r="E31" s="39"/>
      <c r="F31" s="39"/>
      <c r="G31" s="39"/>
      <c r="H31" s="179"/>
      <c r="I31" s="39"/>
      <c r="J31" s="39"/>
      <c r="K31" s="39"/>
      <c r="L31" s="39"/>
      <c r="O31" s="81">
        <v>0.98</v>
      </c>
      <c r="P31" s="81">
        <f t="shared" si="0"/>
        <v>56.095199999999998</v>
      </c>
    </row>
    <row r="32" spans="1:20" x14ac:dyDescent="0.25">
      <c r="B32" s="164"/>
      <c r="C32" s="10"/>
      <c r="D32" s="39"/>
      <c r="E32" s="39"/>
      <c r="F32" s="39"/>
      <c r="G32" s="39"/>
      <c r="H32" s="179"/>
      <c r="I32" s="39"/>
      <c r="J32" s="39"/>
      <c r="K32" s="39"/>
      <c r="L32" s="39"/>
      <c r="O32" s="81">
        <v>0.97</v>
      </c>
      <c r="P32" s="81">
        <f t="shared" si="0"/>
        <v>55.522800000000004</v>
      </c>
    </row>
    <row r="33" spans="2:17" x14ac:dyDescent="0.25">
      <c r="B33" s="164"/>
      <c r="C33" s="10"/>
      <c r="D33" s="39"/>
      <c r="E33" s="39"/>
      <c r="F33" s="39"/>
      <c r="G33" s="39"/>
      <c r="H33" s="179"/>
      <c r="I33" s="39"/>
      <c r="J33" s="39"/>
      <c r="K33" s="39"/>
      <c r="L33" s="39"/>
      <c r="O33" s="81">
        <v>0.96</v>
      </c>
      <c r="P33" s="81">
        <f t="shared" si="0"/>
        <v>54.950400000000002</v>
      </c>
    </row>
    <row r="34" spans="2:17" x14ac:dyDescent="0.25">
      <c r="B34" s="164"/>
      <c r="C34" s="10"/>
      <c r="D34" s="39"/>
      <c r="E34" s="39"/>
      <c r="F34" s="39"/>
      <c r="G34" s="39"/>
      <c r="H34" s="179"/>
      <c r="I34" s="39"/>
      <c r="J34" s="39"/>
      <c r="K34" s="39"/>
      <c r="L34" s="39"/>
      <c r="O34" s="81">
        <v>0.95</v>
      </c>
      <c r="P34" s="81">
        <f t="shared" si="0"/>
        <v>54.378</v>
      </c>
    </row>
    <row r="35" spans="2:17" x14ac:dyDescent="0.25">
      <c r="B35" s="164"/>
      <c r="C35" s="10"/>
      <c r="D35" s="39"/>
      <c r="E35" s="39"/>
      <c r="F35" s="39"/>
      <c r="G35" s="39"/>
      <c r="H35" s="179"/>
      <c r="I35" s="39"/>
      <c r="J35" s="39"/>
      <c r="K35" s="39"/>
      <c r="L35" s="39"/>
      <c r="O35" s="81">
        <v>0.94</v>
      </c>
      <c r="P35" s="81">
        <f t="shared" si="0"/>
        <v>53.805599999999998</v>
      </c>
    </row>
    <row r="36" spans="2:17" x14ac:dyDescent="0.25">
      <c r="B36" s="164"/>
      <c r="C36" s="10"/>
      <c r="D36" s="39"/>
      <c r="E36" s="39"/>
      <c r="F36" s="39"/>
      <c r="G36" s="39"/>
      <c r="H36" s="179"/>
      <c r="I36" s="39"/>
      <c r="J36" s="39"/>
      <c r="K36" s="39"/>
      <c r="L36" s="39"/>
      <c r="O36" s="81">
        <v>0.93</v>
      </c>
      <c r="P36" s="81">
        <f t="shared" si="0"/>
        <v>53.233200000000004</v>
      </c>
    </row>
    <row r="37" spans="2:17" x14ac:dyDescent="0.25">
      <c r="B37" s="164"/>
      <c r="C37" s="10"/>
      <c r="D37" s="39"/>
      <c r="E37" s="39"/>
      <c r="F37" s="39"/>
      <c r="G37" s="39"/>
      <c r="H37" s="179"/>
      <c r="I37" s="39"/>
      <c r="J37" s="39"/>
      <c r="K37" s="39"/>
      <c r="L37" s="39"/>
      <c r="O37" s="81">
        <v>0.92</v>
      </c>
      <c r="P37" s="81">
        <f t="shared" si="0"/>
        <v>52.660800000000002</v>
      </c>
    </row>
    <row r="38" spans="2:17" x14ac:dyDescent="0.25">
      <c r="B38" s="164"/>
      <c r="C38" s="10"/>
      <c r="D38" s="39"/>
      <c r="E38" s="39"/>
      <c r="F38" s="39"/>
      <c r="G38" s="39"/>
      <c r="H38" s="179"/>
      <c r="I38" s="39"/>
      <c r="J38" s="39"/>
      <c r="K38" s="39"/>
      <c r="L38" s="39"/>
      <c r="O38" s="81">
        <v>0.91</v>
      </c>
      <c r="P38" s="81">
        <f t="shared" si="0"/>
        <v>52.088400000000007</v>
      </c>
    </row>
    <row r="39" spans="2:17" x14ac:dyDescent="0.25">
      <c r="B39" s="164"/>
      <c r="C39" s="10"/>
      <c r="D39" s="39"/>
      <c r="E39" s="39"/>
      <c r="F39" s="39"/>
      <c r="G39" s="39"/>
      <c r="H39" s="179"/>
      <c r="I39" s="39"/>
      <c r="J39" s="39"/>
      <c r="K39" s="39"/>
      <c r="L39" s="39"/>
      <c r="O39" s="81">
        <v>0.9</v>
      </c>
      <c r="P39" s="81">
        <f t="shared" si="0"/>
        <v>51.516000000000005</v>
      </c>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39"/>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164"/>
      <c r="C54" s="10"/>
      <c r="D54" s="39"/>
      <c r="E54" s="39"/>
      <c r="F54" s="39"/>
      <c r="G54" s="39"/>
      <c r="H54" s="179"/>
      <c r="I54" s="39"/>
      <c r="J54" s="778"/>
      <c r="K54" s="39"/>
      <c r="L54" s="39"/>
    </row>
    <row r="55" spans="1:17" x14ac:dyDescent="0.25">
      <c r="A55" s="4"/>
      <c r="B55" s="164"/>
      <c r="C55" s="10"/>
      <c r="D55" s="39"/>
      <c r="E55" s="39"/>
      <c r="F55" s="778"/>
      <c r="G55" s="39"/>
      <c r="H55" s="179"/>
      <c r="I55" s="39"/>
      <c r="J55" s="39"/>
      <c r="K55" s="39"/>
      <c r="L55" s="39"/>
    </row>
    <row r="56" spans="1:17" x14ac:dyDescent="0.25">
      <c r="A56" s="4"/>
      <c r="B56" s="164"/>
      <c r="C56" s="10"/>
      <c r="D56" s="39"/>
      <c r="E56" s="39"/>
      <c r="F56" s="778"/>
      <c r="G56" s="39"/>
      <c r="H56" s="179"/>
      <c r="I56" s="39"/>
      <c r="J56" s="39"/>
      <c r="K56" s="39"/>
      <c r="L56" s="39"/>
    </row>
    <row r="57" spans="1:17" x14ac:dyDescent="0.25">
      <c r="A57" s="4"/>
      <c r="B57" s="164"/>
      <c r="C57" s="10"/>
      <c r="D57" s="39"/>
      <c r="E57" s="39"/>
      <c r="F57" s="778"/>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1393</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19:O39">
    <cfRule type="colorScale" priority="36">
      <colorScale>
        <cfvo type="min"/>
        <cfvo type="percentile" val="50"/>
        <cfvo type="max"/>
        <color rgb="FFF8696B"/>
        <color rgb="FFFFEB84"/>
        <color rgb="FF63BE7B"/>
      </colorScale>
    </cfRule>
  </conditionalFormatting>
  <conditionalFormatting sqref="P19:P39">
    <cfRule type="colorScale" priority="35">
      <colorScale>
        <cfvo type="min"/>
        <cfvo type="percentile" val="50"/>
        <cfvo type="max"/>
        <color rgb="FFF8696B"/>
        <color rgb="FFFFEB84"/>
        <color rgb="FF63BE7B"/>
      </colorScale>
    </cfRule>
  </conditionalFormatting>
  <conditionalFormatting sqref="Q7">
    <cfRule type="expression" dxfId="3052" priority="33">
      <formula>Q7&gt;0</formula>
    </cfRule>
    <cfRule type="expression" dxfId="3051" priority="34">
      <formula>Q7&lt;0</formula>
    </cfRule>
  </conditionalFormatting>
  <conditionalFormatting sqref="Q8">
    <cfRule type="expression" dxfId="3050" priority="31">
      <formula>Q8&gt;0</formula>
    </cfRule>
    <cfRule type="expression" dxfId="3049" priority="32">
      <formula>Q8&lt;0</formula>
    </cfRule>
  </conditionalFormatting>
  <conditionalFormatting sqref="F34:F54 F58:F63">
    <cfRule type="expression" dxfId="3048" priority="29">
      <formula>F34&gt;0</formula>
    </cfRule>
    <cfRule type="expression" dxfId="3047" priority="30">
      <formula>F34&lt;0</formula>
    </cfRule>
  </conditionalFormatting>
  <conditionalFormatting sqref="H34:H54 H58:H63">
    <cfRule type="expression" dxfId="3046" priority="27">
      <formula>H34&gt;0</formula>
    </cfRule>
    <cfRule type="expression" dxfId="3045" priority="28">
      <formula>H34&lt;0</formula>
    </cfRule>
  </conditionalFormatting>
  <conditionalFormatting sqref="Q10">
    <cfRule type="expression" dxfId="3044" priority="25">
      <formula>Q10&gt;0</formula>
    </cfRule>
    <cfRule type="expression" dxfId="3043" priority="26">
      <formula>Q10&lt;0</formula>
    </cfRule>
  </conditionalFormatting>
  <conditionalFormatting sqref="J25:J38">
    <cfRule type="expression" dxfId="3042" priority="23">
      <formula>J25&gt;0</formula>
    </cfRule>
    <cfRule type="expression" dxfId="3041" priority="24">
      <formula>J25&lt;0</formula>
    </cfRule>
  </conditionalFormatting>
  <conditionalFormatting sqref="K25:K35 K37:K38">
    <cfRule type="expression" dxfId="3040" priority="21">
      <formula>K25&gt;0</formula>
    </cfRule>
    <cfRule type="expression" dxfId="3039" priority="22">
      <formula>K25&lt;0</formula>
    </cfRule>
  </conditionalFormatting>
  <conditionalFormatting sqref="F89:F110">
    <cfRule type="expression" dxfId="3038" priority="19">
      <formula>F89&gt;0</formula>
    </cfRule>
    <cfRule type="expression" dxfId="3037" priority="20">
      <formula>F89&lt;0</formula>
    </cfRule>
  </conditionalFormatting>
  <conditionalFormatting sqref="H89:H110">
    <cfRule type="expression" dxfId="3036" priority="17">
      <formula>H89&gt;0</formula>
    </cfRule>
    <cfRule type="expression" dxfId="3035" priority="18">
      <formula>H89&lt;0</formula>
    </cfRule>
  </conditionalFormatting>
  <conditionalFormatting sqref="J89:J102">
    <cfRule type="expression" dxfId="3034" priority="15">
      <formula>J89&gt;0</formula>
    </cfRule>
    <cfRule type="expression" dxfId="3033" priority="16">
      <formula>J89&lt;0</formula>
    </cfRule>
  </conditionalFormatting>
  <conditionalFormatting sqref="K89:K102">
    <cfRule type="expression" dxfId="3032" priority="13">
      <formula>K89&gt;0</formula>
    </cfRule>
    <cfRule type="expression" dxfId="3031" priority="14">
      <formula>K89&lt;0</formula>
    </cfRule>
  </conditionalFormatting>
  <conditionalFormatting sqref="L89:L102">
    <cfRule type="expression" dxfId="3030" priority="11">
      <formula>L89&gt;0</formula>
    </cfRule>
    <cfRule type="expression" dxfId="3029" priority="12">
      <formula>L89&lt;0</formula>
    </cfRule>
  </conditionalFormatting>
  <conditionalFormatting sqref="F25:F33">
    <cfRule type="expression" dxfId="3028" priority="9">
      <formula>F25&gt;0</formula>
    </cfRule>
    <cfRule type="expression" dxfId="3027" priority="10">
      <formula>F25&lt;0</formula>
    </cfRule>
  </conditionalFormatting>
  <conditionalFormatting sqref="H25:H33">
    <cfRule type="expression" dxfId="3026" priority="7">
      <formula>H25&gt;0</formula>
    </cfRule>
    <cfRule type="expression" dxfId="3025" priority="8">
      <formula>H25&lt;0</formula>
    </cfRule>
  </conditionalFormatting>
  <conditionalFormatting sqref="J54">
    <cfRule type="expression" dxfId="3024" priority="5">
      <formula>J54&gt;0</formula>
    </cfRule>
    <cfRule type="expression" dxfId="3023" priority="6">
      <formula>J54&lt;0</formula>
    </cfRule>
  </conditionalFormatting>
  <conditionalFormatting sqref="F55:F57">
    <cfRule type="expression" dxfId="3022" priority="3">
      <formula>F55&gt;0</formula>
    </cfRule>
    <cfRule type="expression" dxfId="3021" priority="4">
      <formula>F55&lt;0</formula>
    </cfRule>
  </conditionalFormatting>
  <conditionalFormatting sqref="H55:H57">
    <cfRule type="expression" dxfId="3020" priority="1">
      <formula>H55&gt;0</formula>
    </cfRule>
    <cfRule type="expression" dxfId="3019"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J3" sqref="J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1276</v>
      </c>
      <c r="B2" s="368">
        <v>43383</v>
      </c>
      <c r="C2" s="7">
        <v>100</v>
      </c>
      <c r="D2" s="43">
        <v>54.6</v>
      </c>
      <c r="E2" s="43">
        <v>0</v>
      </c>
      <c r="F2" s="43">
        <f>C2*D2+E2</f>
        <v>5460</v>
      </c>
      <c r="G2" s="368">
        <v>43516</v>
      </c>
      <c r="H2" s="7">
        <v>100</v>
      </c>
      <c r="I2" s="43">
        <v>55.75</v>
      </c>
      <c r="J2" s="43">
        <v>7.0000000000000007E-2</v>
      </c>
      <c r="K2" s="43">
        <f>H2*I2-J2</f>
        <v>5574.93</v>
      </c>
      <c r="L2" s="72">
        <v>43461</v>
      </c>
      <c r="M2" s="7">
        <v>31.86</v>
      </c>
      <c r="O2" s="11" t="s">
        <v>57</v>
      </c>
      <c r="Q2">
        <f>C18-H18</f>
        <v>0</v>
      </c>
      <c r="T2" s="1"/>
      <c r="U2" t="s">
        <v>1277</v>
      </c>
    </row>
    <row r="3" spans="1:21" x14ac:dyDescent="0.25">
      <c r="A3" s="22" t="s">
        <v>71</v>
      </c>
      <c r="B3" s="72"/>
      <c r="C3" s="4"/>
      <c r="D3" s="3"/>
      <c r="E3" s="3"/>
      <c r="F3" s="3"/>
      <c r="G3" s="72"/>
      <c r="H3" s="161"/>
      <c r="I3" s="3"/>
      <c r="J3" s="3"/>
      <c r="K3" s="3"/>
      <c r="L3" s="4"/>
      <c r="M3" s="4"/>
      <c r="O3" s="11" t="s">
        <v>58</v>
      </c>
      <c r="Q3" s="178">
        <f>IF(Q2=0, Q4, (F18-K18-M18)/Q2)</f>
        <v>54.82</v>
      </c>
      <c r="T3" s="1"/>
      <c r="U3" s="22"/>
    </row>
    <row r="4" spans="1:21" x14ac:dyDescent="0.25">
      <c r="B4" s="72"/>
      <c r="C4" s="4"/>
      <c r="D4" s="3"/>
      <c r="E4" s="3"/>
      <c r="F4" s="3"/>
      <c r="G4" s="72"/>
      <c r="H4" s="161"/>
      <c r="I4" s="3"/>
      <c r="J4" s="3"/>
      <c r="K4" s="3"/>
      <c r="L4" s="4"/>
      <c r="M4" s="4"/>
      <c r="O4" s="11" t="s">
        <v>66</v>
      </c>
      <c r="Q4" s="54">
        <v>54.82</v>
      </c>
      <c r="R4" s="425">
        <v>6.1999999999999998E-3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146.78999999999996</v>
      </c>
      <c r="R7">
        <v>0</v>
      </c>
    </row>
    <row r="8" spans="1:21" x14ac:dyDescent="0.25">
      <c r="B8" s="72"/>
      <c r="C8" s="4"/>
      <c r="D8" s="3"/>
      <c r="E8" s="3"/>
      <c r="F8" s="3"/>
      <c r="G8" s="4"/>
      <c r="H8" s="161"/>
      <c r="I8" s="3"/>
      <c r="J8" s="3"/>
      <c r="K8" s="3"/>
      <c r="L8" s="72"/>
      <c r="M8" s="4"/>
      <c r="O8" s="11" t="s">
        <v>179</v>
      </c>
      <c r="P8" s="33"/>
      <c r="Q8" s="2">
        <f>K18+M18-F18+Q2*Q4</f>
        <v>146.78999999999996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2.1072601240423202E-2</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4" t="s">
        <v>78</v>
      </c>
      <c r="P16" s="884"/>
    </row>
    <row r="17" spans="1:16" ht="15.75" thickTop="1" x14ac:dyDescent="0.25">
      <c r="O17" s="81">
        <v>1.1000000000000001</v>
      </c>
      <c r="P17" s="81">
        <f>O17*$Q$4</f>
        <v>60.302000000000007</v>
      </c>
    </row>
    <row r="18" spans="1:16" x14ac:dyDescent="0.25">
      <c r="A18" s="31" t="s">
        <v>81</v>
      </c>
      <c r="B18" s="14"/>
      <c r="C18" s="14">
        <f>SUM(C2:C8)</f>
        <v>100</v>
      </c>
      <c r="D18" s="18"/>
      <c r="E18" s="18"/>
      <c r="F18" s="18">
        <f>SUM(F2:F8)</f>
        <v>5460</v>
      </c>
      <c r="G18" s="14"/>
      <c r="H18" s="71">
        <f>SUM(H2:H5)</f>
        <v>100</v>
      </c>
      <c r="I18" s="18"/>
      <c r="J18" s="18"/>
      <c r="K18" s="18">
        <f>SUM(K2:K5)</f>
        <v>5574.93</v>
      </c>
      <c r="L18" s="14"/>
      <c r="M18" s="18">
        <f>SUM(M2:M10)</f>
        <v>31.86</v>
      </c>
      <c r="O18" s="81">
        <v>1.0900000000000001</v>
      </c>
      <c r="P18" s="81">
        <f t="shared" ref="P18:P37" si="0">O18*$Q$4</f>
        <v>59.753800000000005</v>
      </c>
    </row>
    <row r="19" spans="1:16" ht="15.75" thickBot="1" x14ac:dyDescent="0.3">
      <c r="A19" s="277" t="s">
        <v>191</v>
      </c>
      <c r="B19" s="278"/>
      <c r="C19" s="279">
        <f>SumByColor($A$19,C2:C17)</f>
        <v>100</v>
      </c>
      <c r="D19" s="279"/>
      <c r="E19" s="279"/>
      <c r="F19" s="280">
        <f>SumByColor($A$19,F2:F17)</f>
        <v>5460</v>
      </c>
      <c r="G19" s="279"/>
      <c r="H19" s="279">
        <f>SumByColor($A$19,H2:H17)</f>
        <v>100</v>
      </c>
      <c r="I19" s="279"/>
      <c r="J19" s="279"/>
      <c r="K19" s="280">
        <f>SumByColor($A$19,K2:K17)</f>
        <v>5575</v>
      </c>
      <c r="L19" s="279"/>
      <c r="M19" s="280">
        <f>SumByColor($A$19,M2:M17)</f>
        <v>32</v>
      </c>
      <c r="O19" s="81">
        <v>1.08</v>
      </c>
      <c r="P19" s="81">
        <f t="shared" si="0"/>
        <v>59.205600000000004</v>
      </c>
    </row>
    <row r="20" spans="1:16" x14ac:dyDescent="0.25">
      <c r="O20" s="81">
        <v>1.07</v>
      </c>
      <c r="P20" s="81">
        <f t="shared" si="0"/>
        <v>58.657400000000003</v>
      </c>
    </row>
    <row r="21" spans="1:16" x14ac:dyDescent="0.25">
      <c r="O21" s="81">
        <v>1.06</v>
      </c>
      <c r="P21" s="81">
        <f t="shared" si="0"/>
        <v>58.109200000000001</v>
      </c>
    </row>
    <row r="22" spans="1:16" x14ac:dyDescent="0.25">
      <c r="O22" s="81">
        <v>1.05</v>
      </c>
      <c r="P22" s="81">
        <f t="shared" si="0"/>
        <v>57.561</v>
      </c>
    </row>
    <row r="23" spans="1:16" x14ac:dyDescent="0.25">
      <c r="O23" s="81">
        <v>1.04</v>
      </c>
      <c r="P23" s="81">
        <f t="shared" si="0"/>
        <v>57.012800000000006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56.464600000000004</v>
      </c>
    </row>
    <row r="25" spans="1:16" x14ac:dyDescent="0.25">
      <c r="B25" s="164">
        <v>43383</v>
      </c>
      <c r="C25" s="10">
        <v>100</v>
      </c>
      <c r="D25" s="39">
        <v>54.6</v>
      </c>
      <c r="E25" s="39">
        <v>54.24</v>
      </c>
      <c r="F25" s="39">
        <f>C25*(E25-D25)</f>
        <v>-35.999999999999943</v>
      </c>
      <c r="G25" s="39">
        <f>D25*C25</f>
        <v>5460</v>
      </c>
      <c r="H25" s="179">
        <f>(E25-D25)/D25</f>
        <v>-6.593406593406583E-3</v>
      </c>
      <c r="I25" s="39"/>
      <c r="J25" s="39"/>
      <c r="K25" s="39"/>
      <c r="L25" s="39"/>
      <c r="O25" s="81">
        <v>1.02</v>
      </c>
      <c r="P25" s="81">
        <f t="shared" si="0"/>
        <v>55.916400000000003</v>
      </c>
    </row>
    <row r="26" spans="1:16" x14ac:dyDescent="0.25">
      <c r="B26" s="164">
        <v>43385</v>
      </c>
      <c r="C26" s="10">
        <v>100</v>
      </c>
      <c r="D26" s="39">
        <v>54.6</v>
      </c>
      <c r="E26" s="39">
        <v>53.76</v>
      </c>
      <c r="F26" s="39">
        <f>C26*(E26-D26)</f>
        <v>-84.000000000000341</v>
      </c>
      <c r="G26" s="39">
        <f>D26*C26</f>
        <v>5460</v>
      </c>
      <c r="H26" s="179">
        <f>(E26-D26)/D26</f>
        <v>-1.5384615384615446E-2</v>
      </c>
      <c r="I26" s="39"/>
      <c r="J26" s="39"/>
      <c r="K26" s="39"/>
      <c r="L26" s="39"/>
      <c r="O26" s="81">
        <v>1.01</v>
      </c>
      <c r="P26" s="81">
        <f t="shared" si="0"/>
        <v>55.368200000000002</v>
      </c>
    </row>
    <row r="27" spans="1:16" x14ac:dyDescent="0.25">
      <c r="B27" s="164">
        <v>43461</v>
      </c>
      <c r="C27" s="10">
        <v>100</v>
      </c>
      <c r="D27" s="39">
        <v>54.281399999999998</v>
      </c>
      <c r="E27" s="39">
        <v>50.37</v>
      </c>
      <c r="F27" s="39">
        <f>C27*(E27-D27)</f>
        <v>-391.14000000000004</v>
      </c>
      <c r="G27" s="39">
        <f>D27*C27</f>
        <v>5428.1399999999994</v>
      </c>
      <c r="H27" s="179">
        <f>(E27-D27)/D27</f>
        <v>-7.2057831964540353E-2</v>
      </c>
      <c r="I27" s="39"/>
      <c r="J27" s="39"/>
      <c r="K27" s="39"/>
      <c r="L27" s="39"/>
      <c r="O27" s="81">
        <v>1</v>
      </c>
      <c r="P27" s="81">
        <f t="shared" si="0"/>
        <v>54.82</v>
      </c>
    </row>
    <row r="28" spans="1:16" x14ac:dyDescent="0.25">
      <c r="B28" s="164">
        <v>43516</v>
      </c>
      <c r="C28" s="10">
        <v>0</v>
      </c>
      <c r="D28" s="39">
        <v>54.28</v>
      </c>
      <c r="E28" s="39">
        <v>55.75</v>
      </c>
      <c r="F28" s="39">
        <v>146.86000000000001</v>
      </c>
      <c r="G28" s="39"/>
      <c r="H28" s="179">
        <f>(E28-D28)/D28</f>
        <v>2.7081798084008821E-2</v>
      </c>
      <c r="I28" s="39"/>
      <c r="J28" s="39"/>
      <c r="K28" s="39"/>
      <c r="L28" s="39"/>
      <c r="O28" s="81">
        <v>0.99</v>
      </c>
      <c r="P28" s="81">
        <f t="shared" si="0"/>
        <v>54.271799999999999</v>
      </c>
    </row>
    <row r="29" spans="1:16" x14ac:dyDescent="0.25">
      <c r="B29" s="164"/>
      <c r="C29" s="10"/>
      <c r="D29" s="39"/>
      <c r="E29" s="39"/>
      <c r="F29" s="39"/>
      <c r="G29" s="39"/>
      <c r="H29" s="179"/>
      <c r="I29" s="39"/>
      <c r="J29" s="39"/>
      <c r="K29" s="39"/>
      <c r="L29" s="39"/>
      <c r="O29" s="81">
        <v>0.98</v>
      </c>
      <c r="P29" s="81">
        <f t="shared" si="0"/>
        <v>53.723599999999998</v>
      </c>
    </row>
    <row r="30" spans="1:16" x14ac:dyDescent="0.25">
      <c r="B30" s="164"/>
      <c r="C30" s="10"/>
      <c r="D30" s="39"/>
      <c r="E30" s="39"/>
      <c r="F30" s="39"/>
      <c r="G30" s="39"/>
      <c r="H30" s="179"/>
      <c r="I30" s="39"/>
      <c r="J30" s="39"/>
      <c r="K30" s="39"/>
      <c r="L30" s="39"/>
      <c r="O30" s="81">
        <v>0.97</v>
      </c>
      <c r="P30" s="81">
        <f t="shared" si="0"/>
        <v>53.175399999999996</v>
      </c>
    </row>
    <row r="31" spans="1:16" x14ac:dyDescent="0.25">
      <c r="B31" s="164"/>
      <c r="C31" s="10"/>
      <c r="D31" s="39"/>
      <c r="E31" s="39"/>
      <c r="F31" s="39"/>
      <c r="G31" s="39"/>
      <c r="H31" s="179"/>
      <c r="I31" s="39"/>
      <c r="J31" s="39"/>
      <c r="K31" s="39"/>
      <c r="L31" s="39"/>
      <c r="O31" s="81">
        <v>0.96</v>
      </c>
      <c r="P31" s="81">
        <f t="shared" si="0"/>
        <v>52.627199999999995</v>
      </c>
    </row>
    <row r="32" spans="1:16" x14ac:dyDescent="0.25">
      <c r="B32" s="164"/>
      <c r="C32" s="10"/>
      <c r="D32" s="39"/>
      <c r="E32" s="39"/>
      <c r="F32" s="39"/>
      <c r="G32" s="39"/>
      <c r="H32" s="179"/>
      <c r="I32" s="39"/>
      <c r="J32" s="39"/>
      <c r="K32" s="39"/>
      <c r="L32" s="39"/>
      <c r="O32" s="81">
        <v>0.95</v>
      </c>
      <c r="P32" s="81">
        <f t="shared" si="0"/>
        <v>52.079000000000001</v>
      </c>
    </row>
    <row r="33" spans="2:17" x14ac:dyDescent="0.25">
      <c r="B33" s="164"/>
      <c r="C33" s="10"/>
      <c r="D33" s="39"/>
      <c r="E33" s="39"/>
      <c r="F33" s="39"/>
      <c r="G33" s="39"/>
      <c r="H33" s="179"/>
      <c r="I33" s="39"/>
      <c r="J33" s="39"/>
      <c r="K33" s="39"/>
      <c r="L33" s="39"/>
      <c r="O33" s="81">
        <v>0.94</v>
      </c>
      <c r="P33" s="81">
        <f t="shared" si="0"/>
        <v>51.530799999999999</v>
      </c>
    </row>
    <row r="34" spans="2:17" x14ac:dyDescent="0.25">
      <c r="B34" s="164"/>
      <c r="C34" s="10"/>
      <c r="D34" s="39"/>
      <c r="E34" s="39"/>
      <c r="F34" s="39"/>
      <c r="G34" s="39"/>
      <c r="H34" s="179"/>
      <c r="I34" s="39"/>
      <c r="J34" s="39"/>
      <c r="K34" s="39"/>
      <c r="L34" s="39"/>
      <c r="O34" s="81">
        <v>0.93</v>
      </c>
      <c r="P34" s="81">
        <f t="shared" si="0"/>
        <v>50.982600000000005</v>
      </c>
    </row>
    <row r="35" spans="2:17" x14ac:dyDescent="0.25">
      <c r="B35" s="164"/>
      <c r="C35" s="10"/>
      <c r="D35" s="39"/>
      <c r="E35" s="39"/>
      <c r="F35" s="39"/>
      <c r="G35" s="39"/>
      <c r="H35" s="179"/>
      <c r="I35" s="39"/>
      <c r="J35" s="39"/>
      <c r="K35" s="39"/>
      <c r="L35" s="39"/>
      <c r="O35" s="81">
        <v>0.92</v>
      </c>
      <c r="P35" s="81">
        <f t="shared" si="0"/>
        <v>50.434400000000004</v>
      </c>
    </row>
    <row r="36" spans="2:17" x14ac:dyDescent="0.25">
      <c r="B36" s="164"/>
      <c r="C36" s="10"/>
      <c r="D36" s="39"/>
      <c r="E36" s="39"/>
      <c r="F36" s="39"/>
      <c r="G36" s="39"/>
      <c r="H36" s="179"/>
      <c r="I36" s="39"/>
      <c r="J36" s="39"/>
      <c r="K36" s="39"/>
      <c r="L36" s="39"/>
      <c r="O36" s="81">
        <v>0.91</v>
      </c>
      <c r="P36" s="81">
        <f t="shared" si="0"/>
        <v>49.886200000000002</v>
      </c>
    </row>
    <row r="37" spans="2:17" x14ac:dyDescent="0.25">
      <c r="B37" s="164"/>
      <c r="C37" s="10"/>
      <c r="D37" s="39"/>
      <c r="E37" s="39"/>
      <c r="F37" s="39"/>
      <c r="G37" s="39"/>
      <c r="H37" s="179"/>
      <c r="I37" s="39"/>
      <c r="J37" s="39"/>
      <c r="K37" s="39"/>
      <c r="L37" s="39"/>
      <c r="O37" s="81">
        <v>0.9</v>
      </c>
      <c r="P37" s="81">
        <f t="shared" si="0"/>
        <v>49.338000000000001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18" priority="35">
      <formula>F47&gt;0</formula>
    </cfRule>
    <cfRule type="expression" dxfId="3017" priority="36">
      <formula>F47&lt;0</formula>
    </cfRule>
  </conditionalFormatting>
  <conditionalFormatting sqref="Q7">
    <cfRule type="expression" dxfId="3016" priority="33">
      <formula>Q7&gt;0</formula>
    </cfRule>
    <cfRule type="expression" dxfId="3015" priority="34">
      <formula>Q7&lt;0</formula>
    </cfRule>
  </conditionalFormatting>
  <conditionalFormatting sqref="Q8">
    <cfRule type="expression" dxfId="3014" priority="31">
      <formula>Q8&gt;0</formula>
    </cfRule>
    <cfRule type="expression" dxfId="3013" priority="32">
      <formula>Q8&lt;0</formula>
    </cfRule>
  </conditionalFormatting>
  <conditionalFormatting sqref="F30:F46">
    <cfRule type="expression" dxfId="3012" priority="29">
      <formula>F30&gt;0</formula>
    </cfRule>
    <cfRule type="expression" dxfId="3011" priority="30">
      <formula>F30&lt;0</formula>
    </cfRule>
  </conditionalFormatting>
  <conditionalFormatting sqref="H30:H46">
    <cfRule type="expression" dxfId="3010" priority="27">
      <formula>H30&gt;0</formula>
    </cfRule>
    <cfRule type="expression" dxfId="3009" priority="28">
      <formula>H30&lt;0</formula>
    </cfRule>
  </conditionalFormatting>
  <conditionalFormatting sqref="Q10">
    <cfRule type="expression" dxfId="3008" priority="25">
      <formula>Q10&gt;0</formula>
    </cfRule>
    <cfRule type="expression" dxfId="3007" priority="26">
      <formula>Q10&lt;0</formula>
    </cfRule>
  </conditionalFormatting>
  <conditionalFormatting sqref="J25:J38">
    <cfRule type="expression" dxfId="3006" priority="23">
      <formula>J25&gt;0</formula>
    </cfRule>
    <cfRule type="expression" dxfId="3005" priority="24">
      <formula>J25&lt;0</formula>
    </cfRule>
  </conditionalFormatting>
  <conditionalFormatting sqref="K25:K38">
    <cfRule type="expression" dxfId="3004" priority="21">
      <formula>K25&gt;0</formula>
    </cfRule>
    <cfRule type="expression" dxfId="3003" priority="22">
      <formula>K25&lt;0</formula>
    </cfRule>
  </conditionalFormatting>
  <conditionalFormatting sqref="L25 L38">
    <cfRule type="expression" dxfId="3002" priority="19">
      <formula>L25&gt;0</formula>
    </cfRule>
    <cfRule type="expression" dxfId="3001" priority="20">
      <formula>L25&lt;0</formula>
    </cfRule>
  </conditionalFormatting>
  <conditionalFormatting sqref="F89:F110">
    <cfRule type="expression" dxfId="3000" priority="17">
      <formula>F89&gt;0</formula>
    </cfRule>
    <cfRule type="expression" dxfId="2999" priority="18">
      <formula>F89&lt;0</formula>
    </cfRule>
  </conditionalFormatting>
  <conditionalFormatting sqref="H89:H110">
    <cfRule type="expression" dxfId="2998" priority="15">
      <formula>H89&gt;0</formula>
    </cfRule>
    <cfRule type="expression" dxfId="2997" priority="16">
      <formula>H89&lt;0</formula>
    </cfRule>
  </conditionalFormatting>
  <conditionalFormatting sqref="J89:J102">
    <cfRule type="expression" dxfId="2996" priority="13">
      <formula>J89&gt;0</formula>
    </cfRule>
    <cfRule type="expression" dxfId="2995" priority="14">
      <formula>J89&lt;0</formula>
    </cfRule>
  </conditionalFormatting>
  <conditionalFormatting sqref="K89:K102">
    <cfRule type="expression" dxfId="2994" priority="11">
      <formula>K89&gt;0</formula>
    </cfRule>
    <cfRule type="expression" dxfId="2993" priority="12">
      <formula>K89&lt;0</formula>
    </cfRule>
  </conditionalFormatting>
  <conditionalFormatting sqref="L89:L102">
    <cfRule type="expression" dxfId="2992" priority="9">
      <formula>L89&gt;0</formula>
    </cfRule>
    <cfRule type="expression" dxfId="2991" priority="10">
      <formula>L89&lt;0</formula>
    </cfRule>
  </conditionalFormatting>
  <conditionalFormatting sqref="F29 F25:F27">
    <cfRule type="expression" dxfId="2990" priority="7">
      <formula>F25&gt;0</formula>
    </cfRule>
    <cfRule type="expression" dxfId="2989" priority="8">
      <formula>F25&lt;0</formula>
    </cfRule>
  </conditionalFormatting>
  <conditionalFormatting sqref="H25:H29">
    <cfRule type="expression" dxfId="2988" priority="5">
      <formula>H25&gt;0</formula>
    </cfRule>
    <cfRule type="expression" dxfId="2987" priority="6">
      <formula>H25&lt;0</formula>
    </cfRule>
  </conditionalFormatting>
  <conditionalFormatting sqref="F28">
    <cfRule type="expression" dxfId="2986" priority="3">
      <formula>F28&gt;0</formula>
    </cfRule>
    <cfRule type="expression" dxfId="2985"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1317</v>
      </c>
      <c r="B2" s="368">
        <v>43427</v>
      </c>
      <c r="C2" s="7">
        <v>50</v>
      </c>
      <c r="D2" s="43">
        <v>99.45</v>
      </c>
      <c r="E2" s="43">
        <v>0</v>
      </c>
      <c r="F2" s="43">
        <f>C2*D2+E2</f>
        <v>4972.5</v>
      </c>
      <c r="G2" s="368">
        <v>43483</v>
      </c>
      <c r="H2" s="7">
        <v>25</v>
      </c>
      <c r="I2" s="43">
        <v>100.58</v>
      </c>
      <c r="J2" s="43">
        <v>0.03</v>
      </c>
      <c r="K2" s="43">
        <f>H2*I2-J2</f>
        <v>2514.4699999999998</v>
      </c>
      <c r="L2" s="72">
        <v>43496</v>
      </c>
      <c r="M2" s="43">
        <v>22</v>
      </c>
      <c r="O2" s="11" t="s">
        <v>57</v>
      </c>
      <c r="Q2">
        <f>C18-H18</f>
        <v>50</v>
      </c>
      <c r="T2" s="1"/>
    </row>
    <row r="3" spans="1:21" x14ac:dyDescent="0.25">
      <c r="A3" s="22" t="s">
        <v>71</v>
      </c>
      <c r="B3" s="72">
        <v>43427</v>
      </c>
      <c r="C3" s="4">
        <v>50</v>
      </c>
      <c r="D3" s="3">
        <v>99.45</v>
      </c>
      <c r="E3" s="3">
        <v>0</v>
      </c>
      <c r="F3" s="3">
        <f>C3*D3+E3</f>
        <v>4972.5</v>
      </c>
      <c r="G3" s="368">
        <v>43483</v>
      </c>
      <c r="H3" s="80">
        <v>25</v>
      </c>
      <c r="I3" s="43">
        <v>101.03</v>
      </c>
      <c r="J3" s="43">
        <v>0.03</v>
      </c>
      <c r="K3" s="43">
        <f>H3*I3-J3</f>
        <v>2525.7199999999998</v>
      </c>
      <c r="L3" s="4"/>
      <c r="M3" s="4"/>
      <c r="O3" s="11" t="s">
        <v>58</v>
      </c>
      <c r="Q3" s="178">
        <f>IF(Q2=0, Q4, (F18-K18-M18)/Q2)</f>
        <v>97.656200000000013</v>
      </c>
      <c r="T3" s="1"/>
    </row>
    <row r="4" spans="1:21" x14ac:dyDescent="0.25">
      <c r="B4" s="72"/>
      <c r="C4" s="4"/>
      <c r="D4" s="3"/>
      <c r="E4" s="3"/>
      <c r="F4" s="3"/>
      <c r="G4" s="72"/>
      <c r="H4" s="161"/>
      <c r="I4" s="3"/>
      <c r="J4" s="3"/>
      <c r="K4" s="3"/>
      <c r="L4" s="4"/>
      <c r="M4" s="4"/>
      <c r="O4" s="11" t="s">
        <v>66</v>
      </c>
      <c r="Q4" s="54">
        <v>98.63</v>
      </c>
      <c r="R4" s="425">
        <v>5.2999999999999999E-2</v>
      </c>
      <c r="T4" s="693"/>
      <c r="U4" s="30"/>
    </row>
    <row r="5" spans="1:21" x14ac:dyDescent="0.25">
      <c r="B5" s="72"/>
      <c r="C5" s="4"/>
      <c r="D5" s="3"/>
      <c r="E5" s="3"/>
      <c r="F5" s="3"/>
      <c r="G5" s="72"/>
      <c r="H5" s="161"/>
      <c r="I5" s="3"/>
      <c r="J5" s="3"/>
      <c r="K5" s="3"/>
      <c r="L5" s="4"/>
      <c r="M5" s="4"/>
      <c r="O5" s="11" t="s">
        <v>67</v>
      </c>
      <c r="Q5" s="3">
        <f>Q4*Q2</f>
        <v>4931.5</v>
      </c>
    </row>
    <row r="6" spans="1:21" x14ac:dyDescent="0.25">
      <c r="B6" s="72"/>
      <c r="C6" s="4"/>
      <c r="D6" s="3"/>
      <c r="E6" s="3"/>
      <c r="F6" s="3"/>
      <c r="G6" s="72"/>
      <c r="H6" s="161"/>
      <c r="I6" s="3"/>
      <c r="J6" s="3"/>
      <c r="K6" s="3"/>
      <c r="L6" s="4"/>
      <c r="M6" s="4"/>
      <c r="O6" s="11" t="s">
        <v>64</v>
      </c>
      <c r="Q6" s="2">
        <f>Q3*Q2</f>
        <v>4882.8100000000004</v>
      </c>
    </row>
    <row r="7" spans="1:21" x14ac:dyDescent="0.25">
      <c r="B7" s="72"/>
      <c r="C7" s="4"/>
      <c r="D7" s="3"/>
      <c r="E7" s="3"/>
      <c r="F7" s="3"/>
      <c r="G7" s="72"/>
      <c r="H7" s="161"/>
      <c r="I7" s="3"/>
      <c r="J7" s="3"/>
      <c r="K7" s="3"/>
      <c r="L7" s="4"/>
      <c r="M7" s="4"/>
      <c r="O7" s="11" t="s">
        <v>177</v>
      </c>
      <c r="Q7" s="2">
        <f>Q10+Q8</f>
        <v>48.6899999999996</v>
      </c>
      <c r="R7">
        <v>50</v>
      </c>
      <c r="T7" s="1"/>
    </row>
    <row r="8" spans="1:21" x14ac:dyDescent="0.25">
      <c r="B8" s="72"/>
      <c r="C8" s="4"/>
      <c r="D8" s="3"/>
      <c r="E8" s="3"/>
      <c r="F8" s="3"/>
      <c r="G8" s="72"/>
      <c r="H8" s="161"/>
      <c r="I8" s="3"/>
      <c r="J8" s="3"/>
      <c r="K8" s="3"/>
      <c r="L8" s="4"/>
      <c r="M8" s="4"/>
      <c r="O8" s="11" t="s">
        <v>179</v>
      </c>
      <c r="P8" s="33"/>
      <c r="Q8" s="2">
        <f>K18+M18-F18+Q2*Q4</f>
        <v>48.6899999999996</v>
      </c>
    </row>
    <row r="9" spans="1:21" x14ac:dyDescent="0.25">
      <c r="B9" s="4"/>
      <c r="C9" s="4"/>
      <c r="D9" s="3"/>
      <c r="E9" s="3"/>
      <c r="F9" s="3"/>
      <c r="G9" s="4"/>
      <c r="H9" s="161"/>
      <c r="I9" s="3"/>
      <c r="J9" s="3"/>
      <c r="K9" s="3"/>
      <c r="L9" s="4"/>
      <c r="M9" s="4"/>
      <c r="O9" s="11" t="s">
        <v>204</v>
      </c>
      <c r="Q9" s="134">
        <f>IF(Q2=0, 0, Q8/Q6)</f>
        <v>9.9717171055190758E-3</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8.9222346142147427E-3</v>
      </c>
      <c r="R11">
        <f>0.88/4</f>
        <v>0.22</v>
      </c>
    </row>
    <row r="12" spans="1:21" x14ac:dyDescent="0.25">
      <c r="H12" s="70"/>
      <c r="O12" s="11" t="s">
        <v>921</v>
      </c>
      <c r="Q12" s="1" t="s">
        <v>1353</v>
      </c>
    </row>
    <row r="13" spans="1:21" x14ac:dyDescent="0.25">
      <c r="H13" s="70"/>
      <c r="O13" s="11" t="s">
        <v>947</v>
      </c>
      <c r="Q13" s="2">
        <f>Q4/4.4</f>
        <v>22.415909090909089</v>
      </c>
      <c r="T13" s="1"/>
    </row>
    <row r="14" spans="1:21" x14ac:dyDescent="0.25">
      <c r="H14" s="70"/>
      <c r="O14" s="11" t="s">
        <v>1034</v>
      </c>
      <c r="Q14" s="1">
        <v>43436</v>
      </c>
    </row>
    <row r="15" spans="1:21" x14ac:dyDescent="0.25">
      <c r="H15" s="70"/>
    </row>
    <row r="16" spans="1:21" ht="20.25" thickBot="1" x14ac:dyDescent="0.35">
      <c r="H16" s="70"/>
      <c r="O16" s="884" t="s">
        <v>78</v>
      </c>
      <c r="P16" s="884"/>
    </row>
    <row r="17" spans="1:16" ht="15.75" thickTop="1" x14ac:dyDescent="0.25">
      <c r="O17" s="81">
        <v>1.1000000000000001</v>
      </c>
      <c r="P17" s="81">
        <f>O17*$Q$4</f>
        <v>108.49300000000001</v>
      </c>
    </row>
    <row r="18" spans="1:16" x14ac:dyDescent="0.25">
      <c r="A18" s="31" t="s">
        <v>81</v>
      </c>
      <c r="B18" s="14"/>
      <c r="C18" s="14">
        <f>SUM(C2:C9)</f>
        <v>100</v>
      </c>
      <c r="D18" s="18"/>
      <c r="E18" s="18"/>
      <c r="F18" s="18">
        <f>SUM(F2:F9)</f>
        <v>9945</v>
      </c>
      <c r="G18" s="14"/>
      <c r="H18" s="71">
        <f>SUM(H2:H8)</f>
        <v>50</v>
      </c>
      <c r="I18" s="18"/>
      <c r="J18" s="18"/>
      <c r="K18" s="18">
        <f>SUM(K2:K8)</f>
        <v>5040.1899999999996</v>
      </c>
      <c r="L18" s="14"/>
      <c r="M18" s="18">
        <f>SUM(M2:M10)</f>
        <v>22</v>
      </c>
      <c r="O18" s="81">
        <v>1.0900000000000001</v>
      </c>
      <c r="P18" s="81">
        <f t="shared" ref="P18:P37" si="0">O18*$Q$4</f>
        <v>107.50670000000001</v>
      </c>
    </row>
    <row r="19" spans="1:16" ht="15.75" thickBot="1" x14ac:dyDescent="0.3">
      <c r="A19" s="277" t="s">
        <v>191</v>
      </c>
      <c r="B19" s="278"/>
      <c r="C19" s="279">
        <f>SumByColor($A$19,C2:C17)</f>
        <v>50</v>
      </c>
      <c r="D19" s="279"/>
      <c r="E19" s="279"/>
      <c r="F19" s="280">
        <f>SumByColor($A$19,F2:F17)</f>
        <v>4972</v>
      </c>
      <c r="G19" s="279"/>
      <c r="H19" s="279">
        <f>SumByColor($A$19,H2:H17)</f>
        <v>50</v>
      </c>
      <c r="I19" s="279"/>
      <c r="J19" s="279"/>
      <c r="K19" s="280">
        <f>SumByColor($A$19,K2:K17)</f>
        <v>5040</v>
      </c>
      <c r="L19" s="279"/>
      <c r="M19" s="280">
        <f>SumByColor($A$19,M2:M17)</f>
        <v>22</v>
      </c>
      <c r="O19" s="81">
        <v>1.08</v>
      </c>
      <c r="P19" s="81">
        <f t="shared" si="0"/>
        <v>106.5204</v>
      </c>
    </row>
    <row r="20" spans="1:16" x14ac:dyDescent="0.25">
      <c r="O20" s="81">
        <v>1.07</v>
      </c>
      <c r="P20" s="81">
        <f t="shared" si="0"/>
        <v>105.5341</v>
      </c>
    </row>
    <row r="21" spans="1:16" x14ac:dyDescent="0.25">
      <c r="O21" s="81">
        <v>1.06</v>
      </c>
      <c r="P21" s="81">
        <f t="shared" si="0"/>
        <v>104.5478</v>
      </c>
    </row>
    <row r="22" spans="1:16" x14ac:dyDescent="0.25">
      <c r="O22" s="81">
        <v>1.05</v>
      </c>
      <c r="P22" s="81">
        <f t="shared" si="0"/>
        <v>103.5615</v>
      </c>
    </row>
    <row r="23" spans="1:16" x14ac:dyDescent="0.25">
      <c r="O23" s="81">
        <v>1.04</v>
      </c>
      <c r="P23" s="81">
        <f t="shared" si="0"/>
        <v>102.5752</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101.5889</v>
      </c>
    </row>
    <row r="25" spans="1:16" x14ac:dyDescent="0.25">
      <c r="B25" s="164">
        <v>43427</v>
      </c>
      <c r="C25" s="10">
        <v>100</v>
      </c>
      <c r="D25" s="39">
        <v>99.45</v>
      </c>
      <c r="E25" s="39">
        <v>99.45</v>
      </c>
      <c r="F25" s="39">
        <f t="shared" ref="F25:F33" si="1">C25*(E25-D25)</f>
        <v>0</v>
      </c>
      <c r="G25" s="39">
        <f t="shared" ref="G25:G33" si="2">D25*C25</f>
        <v>9945</v>
      </c>
      <c r="H25" s="179">
        <f t="shared" ref="H25:H33" si="3">(E25-D25)/D25</f>
        <v>0</v>
      </c>
      <c r="I25" s="39"/>
      <c r="J25" s="39"/>
      <c r="K25" s="39"/>
      <c r="L25" s="39"/>
      <c r="O25" s="81">
        <v>1.02</v>
      </c>
      <c r="P25" s="81">
        <f t="shared" si="0"/>
        <v>100.6026</v>
      </c>
    </row>
    <row r="26" spans="1:16" x14ac:dyDescent="0.25">
      <c r="B26" s="164">
        <v>43432</v>
      </c>
      <c r="C26" s="10">
        <v>100</v>
      </c>
      <c r="D26" s="39">
        <v>99.45</v>
      </c>
      <c r="E26" s="39">
        <v>103.77</v>
      </c>
      <c r="F26" s="39">
        <f t="shared" si="1"/>
        <v>431.99999999999932</v>
      </c>
      <c r="G26" s="39">
        <f t="shared" si="2"/>
        <v>9945</v>
      </c>
      <c r="H26" s="179">
        <f t="shared" si="3"/>
        <v>4.343891402714925E-2</v>
      </c>
      <c r="I26" s="39"/>
      <c r="J26" s="39"/>
      <c r="K26" s="39"/>
      <c r="L26" s="39"/>
      <c r="O26" s="81">
        <v>1.01</v>
      </c>
      <c r="P26" s="81">
        <f t="shared" si="0"/>
        <v>99.616299999999995</v>
      </c>
    </row>
    <row r="27" spans="1:16" x14ac:dyDescent="0.25">
      <c r="B27" s="164">
        <v>43442</v>
      </c>
      <c r="C27" s="10">
        <v>100</v>
      </c>
      <c r="D27" s="39">
        <v>99.45</v>
      </c>
      <c r="E27" s="39">
        <v>103.61</v>
      </c>
      <c r="F27" s="39">
        <f t="shared" si="1"/>
        <v>415.99999999999966</v>
      </c>
      <c r="G27" s="39">
        <f t="shared" si="2"/>
        <v>9945</v>
      </c>
      <c r="H27" s="179">
        <f t="shared" si="3"/>
        <v>4.1830065359477087E-2</v>
      </c>
      <c r="I27" s="39"/>
      <c r="J27" s="39"/>
      <c r="K27" s="39"/>
      <c r="L27" s="39"/>
      <c r="O27" s="81">
        <v>1</v>
      </c>
      <c r="P27" s="81">
        <f t="shared" si="0"/>
        <v>98.63</v>
      </c>
    </row>
    <row r="28" spans="1:16" x14ac:dyDescent="0.25">
      <c r="B28" s="164">
        <v>43461</v>
      </c>
      <c r="C28" s="10">
        <v>100</v>
      </c>
      <c r="D28" s="39">
        <v>99.45</v>
      </c>
      <c r="E28" s="39">
        <v>85.81</v>
      </c>
      <c r="F28" s="39">
        <f t="shared" si="1"/>
        <v>-1364</v>
      </c>
      <c r="G28" s="39">
        <f t="shared" si="2"/>
        <v>9945</v>
      </c>
      <c r="H28" s="179">
        <f t="shared" si="3"/>
        <v>-0.13715434891905481</v>
      </c>
      <c r="I28" s="39"/>
      <c r="J28" s="39"/>
      <c r="K28" s="39"/>
      <c r="L28" s="39"/>
      <c r="O28" s="81">
        <v>0.99</v>
      </c>
      <c r="P28" s="81">
        <f t="shared" si="0"/>
        <v>97.643699999999995</v>
      </c>
    </row>
    <row r="29" spans="1:16" x14ac:dyDescent="0.25">
      <c r="B29" s="164">
        <v>43467</v>
      </c>
      <c r="C29" s="10">
        <v>100</v>
      </c>
      <c r="D29" s="39">
        <v>99.45</v>
      </c>
      <c r="E29" s="39">
        <v>90.61</v>
      </c>
      <c r="F29" s="39">
        <f t="shared" si="1"/>
        <v>-884.00000000000034</v>
      </c>
      <c r="G29" s="39">
        <f t="shared" si="2"/>
        <v>9945</v>
      </c>
      <c r="H29" s="179">
        <f t="shared" si="3"/>
        <v>-8.888888888888892E-2</v>
      </c>
      <c r="I29" s="39"/>
      <c r="J29" s="39"/>
      <c r="K29" s="39"/>
      <c r="L29" s="39"/>
      <c r="O29" s="81">
        <v>0.98</v>
      </c>
      <c r="P29" s="81">
        <f t="shared" si="0"/>
        <v>96.657399999999996</v>
      </c>
    </row>
    <row r="30" spans="1:16" x14ac:dyDescent="0.25">
      <c r="B30" s="164">
        <v>43483</v>
      </c>
      <c r="C30" s="10">
        <v>75</v>
      </c>
      <c r="D30" s="39">
        <v>99.073700000000002</v>
      </c>
      <c r="E30" s="39">
        <v>100.58</v>
      </c>
      <c r="F30" s="39">
        <f t="shared" si="1"/>
        <v>112.9724999999997</v>
      </c>
      <c r="G30" s="39">
        <f t="shared" si="2"/>
        <v>7430.5275000000001</v>
      </c>
      <c r="H30" s="179">
        <f t="shared" si="3"/>
        <v>1.5203833106061406E-2</v>
      </c>
      <c r="I30" s="39"/>
      <c r="J30" s="39"/>
      <c r="K30" s="39"/>
      <c r="L30" s="39"/>
      <c r="O30" s="81">
        <v>0.97</v>
      </c>
      <c r="P30" s="81">
        <f t="shared" si="0"/>
        <v>95.671099999999996</v>
      </c>
    </row>
    <row r="31" spans="1:16" x14ac:dyDescent="0.25">
      <c r="B31" s="164">
        <v>43483</v>
      </c>
      <c r="C31" s="10">
        <v>50</v>
      </c>
      <c r="D31" s="39">
        <v>98.096000000000004</v>
      </c>
      <c r="E31" s="39">
        <v>101.03</v>
      </c>
      <c r="F31" s="39">
        <f t="shared" si="1"/>
        <v>146.69999999999987</v>
      </c>
      <c r="G31" s="39">
        <f t="shared" si="2"/>
        <v>4904.8</v>
      </c>
      <c r="H31" s="179">
        <f t="shared" si="3"/>
        <v>2.9909476431250994E-2</v>
      </c>
      <c r="I31" s="39"/>
      <c r="J31" s="39"/>
      <c r="K31" s="39"/>
      <c r="L31" s="39"/>
      <c r="O31" s="81">
        <v>0.96</v>
      </c>
      <c r="P31" s="81">
        <f t="shared" si="0"/>
        <v>94.684799999999996</v>
      </c>
    </row>
    <row r="32" spans="1:16" x14ac:dyDescent="0.25">
      <c r="B32" s="164">
        <v>43496</v>
      </c>
      <c r="C32" s="10">
        <v>50</v>
      </c>
      <c r="D32" s="39">
        <v>97.656199999999998</v>
      </c>
      <c r="E32" s="39">
        <v>99.45</v>
      </c>
      <c r="F32" s="39">
        <f t="shared" si="1"/>
        <v>89.690000000000225</v>
      </c>
      <c r="G32" s="39">
        <f t="shared" si="2"/>
        <v>4882.8099999999995</v>
      </c>
      <c r="H32" s="179">
        <f t="shared" si="3"/>
        <v>1.8368521404683005E-2</v>
      </c>
      <c r="I32" s="39"/>
      <c r="J32" s="39"/>
      <c r="K32" s="39"/>
      <c r="L32" s="39"/>
      <c r="O32" s="81">
        <v>0.95</v>
      </c>
      <c r="P32" s="81">
        <f t="shared" si="0"/>
        <v>93.698499999999996</v>
      </c>
    </row>
    <row r="33" spans="2:17" x14ac:dyDescent="0.25">
      <c r="B33" s="164">
        <v>43535</v>
      </c>
      <c r="C33" s="10">
        <v>50</v>
      </c>
      <c r="D33" s="39">
        <v>97.66</v>
      </c>
      <c r="E33" s="39">
        <v>86.26</v>
      </c>
      <c r="F33" s="39">
        <f t="shared" si="1"/>
        <v>-569.99999999999955</v>
      </c>
      <c r="G33" s="39">
        <f t="shared" si="2"/>
        <v>4883</v>
      </c>
      <c r="H33" s="179">
        <f t="shared" si="3"/>
        <v>-0.11673151750972754</v>
      </c>
      <c r="I33" s="39"/>
      <c r="J33" s="39"/>
      <c r="K33" s="39"/>
      <c r="L33" s="39"/>
      <c r="O33" s="81">
        <v>0.94</v>
      </c>
      <c r="P33" s="81">
        <f t="shared" si="0"/>
        <v>92.712199999999996</v>
      </c>
    </row>
    <row r="34" spans="2:17" x14ac:dyDescent="0.25">
      <c r="B34" s="164"/>
      <c r="C34" s="10"/>
      <c r="D34" s="39"/>
      <c r="E34" s="39"/>
      <c r="F34" s="39"/>
      <c r="G34" s="39"/>
      <c r="H34" s="179"/>
      <c r="I34" s="39"/>
      <c r="J34" s="39"/>
      <c r="K34" s="39"/>
      <c r="L34" s="39"/>
      <c r="O34" s="81">
        <v>0.93</v>
      </c>
      <c r="P34" s="81">
        <f t="shared" si="0"/>
        <v>91.725899999999996</v>
      </c>
    </row>
    <row r="35" spans="2:17" x14ac:dyDescent="0.25">
      <c r="B35" s="164"/>
      <c r="C35" s="10"/>
      <c r="D35" s="39"/>
      <c r="E35" s="39"/>
      <c r="F35" s="39"/>
      <c r="G35" s="39"/>
      <c r="H35" s="179"/>
      <c r="I35" s="39"/>
      <c r="J35" s="39"/>
      <c r="K35" s="39"/>
      <c r="L35" s="39"/>
      <c r="O35" s="81">
        <v>0.92</v>
      </c>
      <c r="P35" s="81">
        <f t="shared" si="0"/>
        <v>90.739599999999996</v>
      </c>
    </row>
    <row r="36" spans="2:17" x14ac:dyDescent="0.25">
      <c r="B36" s="164"/>
      <c r="C36" s="10"/>
      <c r="D36" s="39"/>
      <c r="E36" s="39"/>
      <c r="F36" s="39"/>
      <c r="G36" s="39"/>
      <c r="H36" s="179"/>
      <c r="I36" s="39"/>
      <c r="J36" s="39"/>
      <c r="K36" s="39"/>
      <c r="L36" s="39"/>
      <c r="O36" s="81">
        <v>0.91</v>
      </c>
      <c r="P36" s="81">
        <f t="shared" si="0"/>
        <v>89.753299999999996</v>
      </c>
    </row>
    <row r="37" spans="2:17" x14ac:dyDescent="0.25">
      <c r="B37" s="164"/>
      <c r="C37" s="10"/>
      <c r="D37" s="39"/>
      <c r="E37" s="39"/>
      <c r="F37" s="39"/>
      <c r="G37" s="39"/>
      <c r="H37" s="179"/>
      <c r="I37" s="39"/>
      <c r="J37" s="39"/>
      <c r="K37" s="39"/>
      <c r="L37" s="39"/>
      <c r="O37" s="81">
        <v>0.9</v>
      </c>
      <c r="P37" s="81">
        <f t="shared" si="0"/>
        <v>88.766999999999996</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1317</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84" priority="43">
      <formula>F54&gt;0</formula>
    </cfRule>
    <cfRule type="expression" dxfId="2983" priority="44">
      <formula>F54&lt;0</formula>
    </cfRule>
  </conditionalFormatting>
  <conditionalFormatting sqref="Q7">
    <cfRule type="expression" dxfId="2982" priority="41">
      <formula>Q7&gt;0</formula>
    </cfRule>
    <cfRule type="expression" dxfId="2981" priority="42">
      <formula>Q7&lt;0</formula>
    </cfRule>
  </conditionalFormatting>
  <conditionalFormatting sqref="Q8">
    <cfRule type="expression" dxfId="2980" priority="39">
      <formula>Q8&gt;0</formula>
    </cfRule>
    <cfRule type="expression" dxfId="2979" priority="40">
      <formula>Q8&lt;0</formula>
    </cfRule>
  </conditionalFormatting>
  <conditionalFormatting sqref="F33:F36 F38:F53">
    <cfRule type="expression" dxfId="2978" priority="37">
      <formula>F33&gt;0</formula>
    </cfRule>
    <cfRule type="expression" dxfId="2977" priority="38">
      <formula>F33&lt;0</formula>
    </cfRule>
  </conditionalFormatting>
  <conditionalFormatting sqref="H33:H36 H38:H53">
    <cfRule type="expression" dxfId="2976" priority="35">
      <formula>H33&gt;0</formula>
    </cfRule>
    <cfRule type="expression" dxfId="2975" priority="36">
      <formula>H33&lt;0</formula>
    </cfRule>
  </conditionalFormatting>
  <conditionalFormatting sqref="Q10">
    <cfRule type="expression" dxfId="2974" priority="33">
      <formula>Q10&gt;0</formula>
    </cfRule>
    <cfRule type="expression" dxfId="2973" priority="34">
      <formula>Q10&lt;0</formula>
    </cfRule>
  </conditionalFormatting>
  <conditionalFormatting sqref="J25:J37">
    <cfRule type="expression" dxfId="2972" priority="31">
      <formula>J25&gt;0</formula>
    </cfRule>
    <cfRule type="expression" dxfId="2971" priority="32">
      <formula>J25&lt;0</formula>
    </cfRule>
  </conditionalFormatting>
  <conditionalFormatting sqref="K25:K38">
    <cfRule type="expression" dxfId="2970" priority="29">
      <formula>K25&gt;0</formula>
    </cfRule>
    <cfRule type="expression" dxfId="2969" priority="30">
      <formula>K25&lt;0</formula>
    </cfRule>
  </conditionalFormatting>
  <conditionalFormatting sqref="L25">
    <cfRule type="expression" dxfId="2968" priority="27">
      <formula>L25&gt;0</formula>
    </cfRule>
    <cfRule type="expression" dxfId="2967" priority="28">
      <formula>L25&lt;0</formula>
    </cfRule>
  </conditionalFormatting>
  <conditionalFormatting sqref="F89:F110">
    <cfRule type="expression" dxfId="2966" priority="25">
      <formula>F89&gt;0</formula>
    </cfRule>
    <cfRule type="expression" dxfId="2965" priority="26">
      <formula>F89&lt;0</formula>
    </cfRule>
  </conditionalFormatting>
  <conditionalFormatting sqref="H89:H110">
    <cfRule type="expression" dxfId="2964" priority="23">
      <formula>H89&gt;0</formula>
    </cfRule>
    <cfRule type="expression" dxfId="2963" priority="24">
      <formula>H89&lt;0</formula>
    </cfRule>
  </conditionalFormatting>
  <conditionalFormatting sqref="J89:J102">
    <cfRule type="expression" dxfId="2962" priority="21">
      <formula>J89&gt;0</formula>
    </cfRule>
    <cfRule type="expression" dxfId="2961" priority="22">
      <formula>J89&lt;0</formula>
    </cfRule>
  </conditionalFormatting>
  <conditionalFormatting sqref="K89:K102">
    <cfRule type="expression" dxfId="2960" priority="19">
      <formula>K89&gt;0</formula>
    </cfRule>
    <cfRule type="expression" dxfId="2959" priority="20">
      <formula>K89&lt;0</formula>
    </cfRule>
  </conditionalFormatting>
  <conditionalFormatting sqref="L89:L102">
    <cfRule type="expression" dxfId="2958" priority="17">
      <formula>L89&gt;0</formula>
    </cfRule>
    <cfRule type="expression" dxfId="2957" priority="18">
      <formula>L89&lt;0</formula>
    </cfRule>
  </conditionalFormatting>
  <conditionalFormatting sqref="F29:F32">
    <cfRule type="expression" dxfId="2956" priority="15">
      <formula>F29&gt;0</formula>
    </cfRule>
    <cfRule type="expression" dxfId="2955" priority="16">
      <formula>F29&lt;0</formula>
    </cfRule>
  </conditionalFormatting>
  <conditionalFormatting sqref="H29:H32">
    <cfRule type="expression" dxfId="2954" priority="13">
      <formula>H29&gt;0</formula>
    </cfRule>
    <cfRule type="expression" dxfId="2953" priority="14">
      <formula>H29&lt;0</formula>
    </cfRule>
  </conditionalFormatting>
  <conditionalFormatting sqref="F25:F28">
    <cfRule type="expression" dxfId="2952" priority="11">
      <formula>F25&gt;0</formula>
    </cfRule>
    <cfRule type="expression" dxfId="2951" priority="12">
      <formula>F25&lt;0</formula>
    </cfRule>
  </conditionalFormatting>
  <conditionalFormatting sqref="H25:H28">
    <cfRule type="expression" dxfId="2950" priority="9">
      <formula>H25&gt;0</formula>
    </cfRule>
    <cfRule type="expression" dxfId="2949" priority="10">
      <formula>H25&lt;0</formula>
    </cfRule>
  </conditionalFormatting>
  <conditionalFormatting sqref="F37">
    <cfRule type="expression" dxfId="2948" priority="7">
      <formula>F37&gt;0</formula>
    </cfRule>
    <cfRule type="expression" dxfId="2947" priority="8">
      <formula>F37&lt;0</formula>
    </cfRule>
  </conditionalFormatting>
  <conditionalFormatting sqref="H37">
    <cfRule type="expression" dxfId="2946" priority="5">
      <formula>H37&gt;0</formula>
    </cfRule>
    <cfRule type="expression" dxfId="2945" priority="6">
      <formula>H37&lt;0</formula>
    </cfRule>
  </conditionalFormatting>
  <conditionalFormatting sqref="J49">
    <cfRule type="expression" dxfId="2944" priority="3">
      <formula>J49&gt;0</formula>
    </cfRule>
    <cfRule type="expression" dxfId="2943" priority="4">
      <formula>J49&lt;0</formula>
    </cfRule>
  </conditionalFormatting>
  <conditionalFormatting sqref="J38:J48">
    <cfRule type="expression" dxfId="2942" priority="1">
      <formula>J38&gt;0</formula>
    </cfRule>
    <cfRule type="expression" dxfId="2941" priority="2">
      <formula>J38&lt;0</formula>
    </cfRule>
  </conditionalFormatting>
  <hyperlinks>
    <hyperlink ref="A3" location="ACTIVE!A1" display="Back"/>
  </hyperlinks>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1278</v>
      </c>
      <c r="B2" s="368">
        <v>43383</v>
      </c>
      <c r="C2" s="7">
        <v>150</v>
      </c>
      <c r="D2" s="43">
        <v>35.479999999999997</v>
      </c>
      <c r="E2" s="43">
        <v>0</v>
      </c>
      <c r="F2" s="43">
        <f>C2*D2+E2</f>
        <v>5321.9999999999991</v>
      </c>
      <c r="G2" s="368">
        <v>43418</v>
      </c>
      <c r="H2" s="80">
        <v>150</v>
      </c>
      <c r="I2" s="43">
        <v>36.71</v>
      </c>
      <c r="J2" s="43">
        <v>7.0000000000000007E-2</v>
      </c>
      <c r="K2" s="43">
        <f>H2*I2-J2</f>
        <v>5506.43</v>
      </c>
      <c r="L2" s="72"/>
      <c r="M2" s="3"/>
      <c r="O2" s="11" t="s">
        <v>57</v>
      </c>
      <c r="Q2">
        <f>C18-H18</f>
        <v>0</v>
      </c>
      <c r="T2" s="1"/>
    </row>
    <row r="3" spans="1:21" x14ac:dyDescent="0.25">
      <c r="A3" s="22" t="s">
        <v>71</v>
      </c>
      <c r="B3" s="368">
        <v>43391</v>
      </c>
      <c r="C3" s="7">
        <v>150</v>
      </c>
      <c r="D3" s="43">
        <v>34.880000000000003</v>
      </c>
      <c r="E3" s="43">
        <v>0</v>
      </c>
      <c r="F3" s="43">
        <f>C3*D3+E3</f>
        <v>5232</v>
      </c>
      <c r="G3" s="368">
        <v>43432</v>
      </c>
      <c r="H3" s="80">
        <v>150</v>
      </c>
      <c r="I3" s="43">
        <v>40.31</v>
      </c>
      <c r="J3" s="43">
        <v>0.08</v>
      </c>
      <c r="K3" s="43">
        <f>H3*I3-J3</f>
        <v>6046.42</v>
      </c>
      <c r="L3" s="4"/>
      <c r="M3" s="4"/>
      <c r="O3" s="11" t="s">
        <v>58</v>
      </c>
      <c r="Q3" s="178">
        <f>IF(Q2=0, Q4, (F18-K18-M18)/Q2)</f>
        <v>44.65</v>
      </c>
      <c r="T3" s="1"/>
      <c r="U3" s="22"/>
    </row>
    <row r="4" spans="1:21" x14ac:dyDescent="0.25">
      <c r="B4" s="368">
        <v>43413</v>
      </c>
      <c r="C4" s="7">
        <v>100</v>
      </c>
      <c r="D4" s="43">
        <v>34.380000000000003</v>
      </c>
      <c r="E4" s="43">
        <v>0</v>
      </c>
      <c r="F4" s="43">
        <f>C4*D4+E4</f>
        <v>3438.0000000000005</v>
      </c>
      <c r="G4" s="368">
        <v>43445</v>
      </c>
      <c r="H4" s="80">
        <v>100</v>
      </c>
      <c r="I4" s="43">
        <v>40.31</v>
      </c>
      <c r="J4" s="43">
        <v>0.05</v>
      </c>
      <c r="K4" s="43">
        <f>H4*I4-J4</f>
        <v>4030.95</v>
      </c>
      <c r="L4" s="4"/>
      <c r="M4" s="4"/>
      <c r="O4" s="11" t="s">
        <v>66</v>
      </c>
      <c r="Q4" s="54">
        <v>44.65</v>
      </c>
      <c r="R4" s="425">
        <v>1.2999999999999999E-3</v>
      </c>
      <c r="T4" s="693"/>
      <c r="U4" s="30"/>
    </row>
    <row r="5" spans="1:21" x14ac:dyDescent="0.25">
      <c r="B5" s="368" t="s">
        <v>1327</v>
      </c>
      <c r="C5" s="7">
        <v>100</v>
      </c>
      <c r="D5" s="43">
        <v>38.28</v>
      </c>
      <c r="E5" s="43">
        <v>0</v>
      </c>
      <c r="F5" s="43">
        <f>C5*D5+E5</f>
        <v>3828</v>
      </c>
      <c r="G5" s="368">
        <v>43454</v>
      </c>
      <c r="H5" s="80">
        <v>100</v>
      </c>
      <c r="I5" s="43">
        <v>38.26</v>
      </c>
      <c r="J5" s="43">
        <v>0.05</v>
      </c>
      <c r="K5" s="43">
        <f>H5*I5-J5</f>
        <v>3825.95</v>
      </c>
      <c r="L5" s="4"/>
      <c r="M5" s="4"/>
      <c r="O5" s="11" t="s">
        <v>67</v>
      </c>
      <c r="Q5" s="3">
        <f>Q4*Q2</f>
        <v>0</v>
      </c>
      <c r="T5" s="1"/>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1589.75</v>
      </c>
      <c r="R7">
        <v>0</v>
      </c>
    </row>
    <row r="8" spans="1:21" x14ac:dyDescent="0.25">
      <c r="B8" s="72"/>
      <c r="C8" s="4"/>
      <c r="D8" s="3"/>
      <c r="E8" s="3"/>
      <c r="F8" s="3"/>
      <c r="G8" s="4"/>
      <c r="H8" s="161"/>
      <c r="I8" s="3"/>
      <c r="J8" s="3"/>
      <c r="K8" s="3"/>
      <c r="L8" s="4"/>
      <c r="M8" s="4"/>
      <c r="O8" s="11" t="s">
        <v>179</v>
      </c>
      <c r="P8" s="33"/>
      <c r="Q8" s="2">
        <f>K18+M18-F18+Q2*Q4</f>
        <v>1589.75</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1.1086226203807393E-3</v>
      </c>
      <c r="R11">
        <f>0.099/2</f>
        <v>4.9500000000000002E-2</v>
      </c>
    </row>
    <row r="12" spans="1:21" x14ac:dyDescent="0.25">
      <c r="H12" s="70"/>
      <c r="O12" s="11" t="s">
        <v>921</v>
      </c>
      <c r="Q12" s="1"/>
      <c r="T12" s="1">
        <v>43418</v>
      </c>
      <c r="U12" t="s">
        <v>1303</v>
      </c>
    </row>
    <row r="13" spans="1:21" x14ac:dyDescent="0.25">
      <c r="H13" s="70"/>
      <c r="O13" s="11" t="s">
        <v>947</v>
      </c>
    </row>
    <row r="14" spans="1:21" x14ac:dyDescent="0.25">
      <c r="H14" s="70"/>
    </row>
    <row r="15" spans="1:21" x14ac:dyDescent="0.25">
      <c r="H15" s="70"/>
    </row>
    <row r="16" spans="1:21" ht="20.25" thickBot="1" x14ac:dyDescent="0.35">
      <c r="H16" s="70"/>
      <c r="O16" s="884" t="s">
        <v>78</v>
      </c>
      <c r="P16" s="884"/>
    </row>
    <row r="17" spans="1:16" ht="15.75" thickTop="1" x14ac:dyDescent="0.25">
      <c r="O17" s="81">
        <v>1.1000000000000001</v>
      </c>
      <c r="P17" s="81">
        <f>O17*$Q$4</f>
        <v>49.115000000000002</v>
      </c>
    </row>
    <row r="18" spans="1:16" x14ac:dyDescent="0.25">
      <c r="A18" s="31" t="s">
        <v>81</v>
      </c>
      <c r="B18" s="14"/>
      <c r="C18" s="14">
        <f>SUM(C2:C8)</f>
        <v>500</v>
      </c>
      <c r="D18" s="18"/>
      <c r="E18" s="18"/>
      <c r="F18" s="18">
        <f>SUM(F2:F8)</f>
        <v>17820</v>
      </c>
      <c r="G18" s="14"/>
      <c r="H18" s="71">
        <f>SUM(H2:H5)</f>
        <v>500</v>
      </c>
      <c r="I18" s="18"/>
      <c r="J18" s="18"/>
      <c r="K18" s="18">
        <f>SUM(K2:K5)</f>
        <v>19409.75</v>
      </c>
      <c r="L18" s="14"/>
      <c r="M18" s="18">
        <f>SUM(M2:M10)</f>
        <v>0</v>
      </c>
      <c r="O18" s="81">
        <v>1.0900000000000001</v>
      </c>
      <c r="P18" s="81">
        <f t="shared" ref="P18:P37" si="0">O18*$Q$4</f>
        <v>48.668500000000002</v>
      </c>
    </row>
    <row r="19" spans="1:16" ht="15.75" thickBot="1" x14ac:dyDescent="0.3">
      <c r="A19" s="277" t="s">
        <v>191</v>
      </c>
      <c r="B19" s="278"/>
      <c r="C19" s="279">
        <f>SumByColor($A$19,C2:C17)</f>
        <v>500</v>
      </c>
      <c r="D19" s="279"/>
      <c r="E19" s="279"/>
      <c r="F19" s="280">
        <f>SumByColor($A$19,F2:F17)</f>
        <v>17820</v>
      </c>
      <c r="G19" s="279"/>
      <c r="H19" s="279">
        <f>SumByColor($A$19,H2:H17)</f>
        <v>500</v>
      </c>
      <c r="I19" s="279"/>
      <c r="J19" s="279"/>
      <c r="K19" s="280">
        <f>SumByColor($A$19,K2:K17)</f>
        <v>19409</v>
      </c>
      <c r="L19" s="279"/>
      <c r="M19" s="280">
        <f>SumByColor($A$19,M2:M17)</f>
        <v>0</v>
      </c>
      <c r="O19" s="81">
        <v>1.08</v>
      </c>
      <c r="P19" s="81">
        <f t="shared" si="0"/>
        <v>48.222000000000001</v>
      </c>
    </row>
    <row r="20" spans="1:16" x14ac:dyDescent="0.25">
      <c r="O20" s="81">
        <v>1.07</v>
      </c>
      <c r="P20" s="81">
        <f t="shared" si="0"/>
        <v>47.775500000000001</v>
      </c>
    </row>
    <row r="21" spans="1:16" x14ac:dyDescent="0.25">
      <c r="O21" s="81">
        <v>1.06</v>
      </c>
      <c r="P21" s="81">
        <f t="shared" si="0"/>
        <v>47.329000000000001</v>
      </c>
    </row>
    <row r="22" spans="1:16" x14ac:dyDescent="0.25">
      <c r="O22" s="81">
        <v>1.05</v>
      </c>
      <c r="P22" s="81">
        <f t="shared" si="0"/>
        <v>46.8825</v>
      </c>
    </row>
    <row r="23" spans="1:16" x14ac:dyDescent="0.25">
      <c r="O23" s="81">
        <v>1.04</v>
      </c>
      <c r="P23" s="81">
        <f t="shared" si="0"/>
        <v>46.436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45.9895</v>
      </c>
    </row>
    <row r="25" spans="1:16" x14ac:dyDescent="0.25">
      <c r="B25" s="164">
        <v>43383</v>
      </c>
      <c r="C25" s="10">
        <v>150</v>
      </c>
      <c r="D25" s="39">
        <v>35.479999999999997</v>
      </c>
      <c r="E25" s="39">
        <v>35.4</v>
      </c>
      <c r="F25" s="39">
        <f t="shared" ref="F25:F34" si="1">C25*(E25-D25)</f>
        <v>-11.999999999999744</v>
      </c>
      <c r="G25" s="39">
        <f t="shared" ref="G25:G34" si="2">D25*C25</f>
        <v>5321.9999999999991</v>
      </c>
      <c r="H25" s="179">
        <f t="shared" ref="H25:H34" si="3">(E25-D25)/D25</f>
        <v>-2.2547914317925114E-3</v>
      </c>
      <c r="I25" s="39"/>
      <c r="J25" s="39"/>
      <c r="K25" s="39"/>
      <c r="L25" s="39"/>
      <c r="O25" s="81">
        <v>1.02</v>
      </c>
      <c r="P25" s="81">
        <f t="shared" si="0"/>
        <v>45.542999999999999</v>
      </c>
    </row>
    <row r="26" spans="1:16" x14ac:dyDescent="0.25">
      <c r="B26" s="164">
        <v>43385</v>
      </c>
      <c r="C26" s="10">
        <v>150</v>
      </c>
      <c r="D26" s="39">
        <v>35.479999999999997</v>
      </c>
      <c r="E26" s="39">
        <v>37.869999999999997</v>
      </c>
      <c r="F26" s="39">
        <f t="shared" si="1"/>
        <v>358.50000000000011</v>
      </c>
      <c r="G26" s="39">
        <f t="shared" si="2"/>
        <v>5321.9999999999991</v>
      </c>
      <c r="H26" s="179">
        <f t="shared" si="3"/>
        <v>6.7361894024802721E-2</v>
      </c>
      <c r="I26" s="39"/>
      <c r="J26" s="39"/>
      <c r="K26" s="39"/>
      <c r="L26" s="39"/>
      <c r="O26" s="81">
        <v>1.01</v>
      </c>
      <c r="P26" s="81">
        <f t="shared" si="0"/>
        <v>45.096499999999999</v>
      </c>
    </row>
    <row r="27" spans="1:16" x14ac:dyDescent="0.25">
      <c r="B27" s="164">
        <v>43391</v>
      </c>
      <c r="C27" s="10">
        <v>300</v>
      </c>
      <c r="D27" s="39">
        <v>35.18</v>
      </c>
      <c r="E27" s="39">
        <v>35.01</v>
      </c>
      <c r="F27" s="39">
        <f t="shared" si="1"/>
        <v>-51.000000000000512</v>
      </c>
      <c r="G27" s="39">
        <f t="shared" si="2"/>
        <v>10554</v>
      </c>
      <c r="H27" s="179">
        <f t="shared" si="3"/>
        <v>-4.8322910744741819E-3</v>
      </c>
      <c r="I27" s="39"/>
      <c r="J27" s="39"/>
      <c r="K27" s="39"/>
      <c r="L27" s="39"/>
      <c r="O27" s="81">
        <v>1</v>
      </c>
      <c r="P27" s="81">
        <f t="shared" si="0"/>
        <v>44.65</v>
      </c>
    </row>
    <row r="28" spans="1:16" x14ac:dyDescent="0.25">
      <c r="B28" s="164">
        <v>43394</v>
      </c>
      <c r="C28" s="7">
        <v>300</v>
      </c>
      <c r="D28" s="43">
        <v>35.18</v>
      </c>
      <c r="E28" s="39">
        <v>35.72</v>
      </c>
      <c r="F28" s="39">
        <f t="shared" si="1"/>
        <v>161.99999999999974</v>
      </c>
      <c r="G28" s="39">
        <f t="shared" si="2"/>
        <v>10554</v>
      </c>
      <c r="H28" s="179">
        <f t="shared" si="3"/>
        <v>1.5349630471858987E-2</v>
      </c>
      <c r="I28" s="39"/>
      <c r="J28" s="39"/>
      <c r="K28" s="39"/>
      <c r="L28" s="39"/>
      <c r="O28" s="81">
        <v>0.99</v>
      </c>
      <c r="P28" s="81">
        <f t="shared" si="0"/>
        <v>44.203499999999998</v>
      </c>
    </row>
    <row r="29" spans="1:16" x14ac:dyDescent="0.25">
      <c r="B29" s="164">
        <v>43415</v>
      </c>
      <c r="C29" s="10">
        <v>400</v>
      </c>
      <c r="D29" s="39">
        <v>34.979999999999997</v>
      </c>
      <c r="E29" s="39">
        <v>34.82</v>
      </c>
      <c r="F29" s="39">
        <f t="shared" si="1"/>
        <v>-63.999999999998636</v>
      </c>
      <c r="G29" s="39">
        <f t="shared" si="2"/>
        <v>13991.999999999998</v>
      </c>
      <c r="H29" s="179">
        <f t="shared" si="3"/>
        <v>-4.5740423098912693E-3</v>
      </c>
      <c r="I29" s="39"/>
      <c r="J29" s="39"/>
      <c r="K29" s="39"/>
      <c r="L29" s="39"/>
      <c r="O29" s="81">
        <v>0.98</v>
      </c>
      <c r="P29" s="81">
        <f t="shared" si="0"/>
        <v>43.756999999999998</v>
      </c>
    </row>
    <row r="30" spans="1:16" x14ac:dyDescent="0.25">
      <c r="B30" s="164">
        <v>43417</v>
      </c>
      <c r="C30" s="10">
        <v>400</v>
      </c>
      <c r="D30" s="39">
        <v>34.979999999999997</v>
      </c>
      <c r="E30" s="39">
        <v>35.1</v>
      </c>
      <c r="F30" s="39">
        <f t="shared" si="1"/>
        <v>48.000000000001819</v>
      </c>
      <c r="G30" s="39">
        <f t="shared" si="2"/>
        <v>13991.999999999998</v>
      </c>
      <c r="H30" s="179">
        <f t="shared" si="3"/>
        <v>3.4305317324186554E-3</v>
      </c>
      <c r="I30" s="39"/>
      <c r="J30" s="39"/>
      <c r="K30" s="39"/>
      <c r="L30" s="39"/>
      <c r="O30" s="81">
        <v>0.97</v>
      </c>
      <c r="P30" s="81">
        <f t="shared" si="0"/>
        <v>43.310499999999998</v>
      </c>
    </row>
    <row r="31" spans="1:16" x14ac:dyDescent="0.25">
      <c r="B31" s="164">
        <v>43418</v>
      </c>
      <c r="C31" s="10">
        <v>250</v>
      </c>
      <c r="D31" s="39">
        <v>33.942300000000003</v>
      </c>
      <c r="E31" s="39">
        <v>36.6</v>
      </c>
      <c r="F31" s="39">
        <f t="shared" si="1"/>
        <v>664.42499999999961</v>
      </c>
      <c r="G31" s="39">
        <f t="shared" si="2"/>
        <v>8485.5750000000007</v>
      </c>
      <c r="H31" s="179">
        <f t="shared" si="3"/>
        <v>7.8300527660176186E-2</v>
      </c>
      <c r="I31" s="39"/>
      <c r="J31" s="39"/>
      <c r="K31" s="39"/>
      <c r="L31" s="39"/>
      <c r="O31" s="81">
        <v>0.96</v>
      </c>
      <c r="P31" s="81">
        <f t="shared" si="0"/>
        <v>42.863999999999997</v>
      </c>
    </row>
    <row r="32" spans="1:16" x14ac:dyDescent="0.25">
      <c r="B32" s="164">
        <v>43430</v>
      </c>
      <c r="C32" s="10">
        <v>250</v>
      </c>
      <c r="D32" s="39">
        <v>33.94</v>
      </c>
      <c r="E32" s="39">
        <v>38.299999999999997</v>
      </c>
      <c r="F32" s="39">
        <f t="shared" si="1"/>
        <v>1089.9999999999998</v>
      </c>
      <c r="G32" s="39">
        <f t="shared" si="2"/>
        <v>8485</v>
      </c>
      <c r="H32" s="179">
        <f t="shared" si="3"/>
        <v>0.1284619917501473</v>
      </c>
      <c r="I32" s="39"/>
      <c r="J32" s="39"/>
      <c r="K32" s="39"/>
      <c r="L32" s="39"/>
      <c r="O32" s="81">
        <v>0.95</v>
      </c>
      <c r="P32" s="81">
        <f t="shared" si="0"/>
        <v>42.417499999999997</v>
      </c>
    </row>
    <row r="33" spans="2:17" x14ac:dyDescent="0.25">
      <c r="B33" s="164">
        <v>43432</v>
      </c>
      <c r="C33" s="10">
        <v>100</v>
      </c>
      <c r="D33" s="39">
        <v>24.391500000000001</v>
      </c>
      <c r="E33" s="39">
        <v>41.02</v>
      </c>
      <c r="F33" s="778">
        <f t="shared" si="1"/>
        <v>1662.8500000000004</v>
      </c>
      <c r="G33" s="39">
        <f t="shared" si="2"/>
        <v>2439.15</v>
      </c>
      <c r="H33" s="179">
        <f t="shared" si="3"/>
        <v>0.68173339073037742</v>
      </c>
      <c r="I33" s="39"/>
      <c r="J33" s="39"/>
      <c r="K33" s="39"/>
      <c r="L33" s="39"/>
      <c r="O33" s="81">
        <v>0.94</v>
      </c>
      <c r="P33" s="81">
        <f t="shared" si="0"/>
        <v>41.970999999999997</v>
      </c>
    </row>
    <row r="34" spans="2:17" x14ac:dyDescent="0.25">
      <c r="B34" s="164">
        <v>43445</v>
      </c>
      <c r="C34" s="10">
        <v>100</v>
      </c>
      <c r="D34" s="39">
        <v>22.361999999999998</v>
      </c>
      <c r="E34" s="39">
        <v>40.31</v>
      </c>
      <c r="F34" s="778">
        <f t="shared" si="1"/>
        <v>1794.8000000000004</v>
      </c>
      <c r="G34" s="39">
        <f t="shared" si="2"/>
        <v>2236.1999999999998</v>
      </c>
      <c r="H34" s="179">
        <f t="shared" si="3"/>
        <v>0.80261157320454368</v>
      </c>
      <c r="I34" s="39"/>
      <c r="J34" s="39"/>
      <c r="K34" s="39"/>
      <c r="L34" s="39"/>
      <c r="O34" s="81">
        <v>0.93</v>
      </c>
      <c r="P34" s="81">
        <f t="shared" si="0"/>
        <v>41.524500000000003</v>
      </c>
    </row>
    <row r="35" spans="2:17" x14ac:dyDescent="0.25">
      <c r="B35" s="164"/>
      <c r="C35" s="10"/>
      <c r="D35" s="39"/>
      <c r="E35" s="39"/>
      <c r="F35" s="39"/>
      <c r="G35" s="39"/>
      <c r="H35" s="179"/>
      <c r="I35" s="39"/>
      <c r="J35" s="39"/>
      <c r="K35" s="39"/>
      <c r="L35" s="39"/>
      <c r="O35" s="81">
        <v>0.92</v>
      </c>
      <c r="P35" s="81">
        <f t="shared" si="0"/>
        <v>41.078000000000003</v>
      </c>
    </row>
    <row r="36" spans="2:17" x14ac:dyDescent="0.25">
      <c r="B36" s="164"/>
      <c r="C36" s="10"/>
      <c r="D36" s="39"/>
      <c r="E36" s="39"/>
      <c r="F36" s="39"/>
      <c r="G36" s="39"/>
      <c r="H36" s="179"/>
      <c r="I36" s="39"/>
      <c r="J36" s="39"/>
      <c r="K36" s="39"/>
      <c r="L36" s="39"/>
      <c r="O36" s="81">
        <v>0.91</v>
      </c>
      <c r="P36" s="81">
        <f t="shared" si="0"/>
        <v>40.631500000000003</v>
      </c>
    </row>
    <row r="37" spans="2:17" x14ac:dyDescent="0.25">
      <c r="B37" s="164"/>
      <c r="C37" s="10"/>
      <c r="D37" s="39"/>
      <c r="E37" s="39"/>
      <c r="F37" s="39"/>
      <c r="G37" s="39"/>
      <c r="H37" s="179"/>
      <c r="I37" s="39"/>
      <c r="J37" s="39"/>
      <c r="K37" s="39"/>
      <c r="L37" s="39"/>
      <c r="O37" s="81">
        <v>0.9</v>
      </c>
      <c r="P37" s="81">
        <f t="shared" si="0"/>
        <v>40.185000000000002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40" priority="35">
      <formula>F47&gt;0</formula>
    </cfRule>
    <cfRule type="expression" dxfId="2939" priority="36">
      <formula>F47&lt;0</formula>
    </cfRule>
  </conditionalFormatting>
  <conditionalFormatting sqref="Q7">
    <cfRule type="expression" dxfId="2938" priority="33">
      <formula>Q7&gt;0</formula>
    </cfRule>
    <cfRule type="expression" dxfId="2937" priority="34">
      <formula>Q7&lt;0</formula>
    </cfRule>
  </conditionalFormatting>
  <conditionalFormatting sqref="Q8">
    <cfRule type="expression" dxfId="2936" priority="31">
      <formula>Q8&gt;0</formula>
    </cfRule>
    <cfRule type="expression" dxfId="2935" priority="32">
      <formula>Q8&lt;0</formula>
    </cfRule>
  </conditionalFormatting>
  <conditionalFormatting sqref="F30:F46">
    <cfRule type="expression" dxfId="2934" priority="29">
      <formula>F30&gt;0</formula>
    </cfRule>
    <cfRule type="expression" dxfId="2933" priority="30">
      <formula>F30&lt;0</formula>
    </cfRule>
  </conditionalFormatting>
  <conditionalFormatting sqref="H30:H46">
    <cfRule type="expression" dxfId="2932" priority="27">
      <formula>H30&gt;0</formula>
    </cfRule>
    <cfRule type="expression" dxfId="2931" priority="28">
      <formula>H30&lt;0</formula>
    </cfRule>
  </conditionalFormatting>
  <conditionalFormatting sqref="Q10">
    <cfRule type="expression" dxfId="2930" priority="25">
      <formula>Q10&gt;0</formula>
    </cfRule>
    <cfRule type="expression" dxfId="2929" priority="26">
      <formula>Q10&lt;0</formula>
    </cfRule>
  </conditionalFormatting>
  <conditionalFormatting sqref="J25:J38">
    <cfRule type="expression" dxfId="2928" priority="23">
      <formula>J25&gt;0</formula>
    </cfRule>
    <cfRule type="expression" dxfId="2927" priority="24">
      <formula>J25&lt;0</formula>
    </cfRule>
  </conditionalFormatting>
  <conditionalFormatting sqref="K25:K38">
    <cfRule type="expression" dxfId="2926" priority="21">
      <formula>K25&gt;0</formula>
    </cfRule>
    <cfRule type="expression" dxfId="2925" priority="22">
      <formula>K25&lt;0</formula>
    </cfRule>
  </conditionalFormatting>
  <conditionalFormatting sqref="L25 L38">
    <cfRule type="expression" dxfId="2924" priority="19">
      <formula>L25&gt;0</formula>
    </cfRule>
    <cfRule type="expression" dxfId="2923" priority="20">
      <formula>L25&lt;0</formula>
    </cfRule>
  </conditionalFormatting>
  <conditionalFormatting sqref="F89:F110">
    <cfRule type="expression" dxfId="2922" priority="17">
      <formula>F89&gt;0</formula>
    </cfRule>
    <cfRule type="expression" dxfId="2921" priority="18">
      <formula>F89&lt;0</formula>
    </cfRule>
  </conditionalFormatting>
  <conditionalFormatting sqref="H89:H110">
    <cfRule type="expression" dxfId="2920" priority="15">
      <formula>H89&gt;0</formula>
    </cfRule>
    <cfRule type="expression" dxfId="2919" priority="16">
      <formula>H89&lt;0</formula>
    </cfRule>
  </conditionalFormatting>
  <conditionalFormatting sqref="J89:J102">
    <cfRule type="expression" dxfId="2918" priority="13">
      <formula>J89&gt;0</formula>
    </cfRule>
    <cfRule type="expression" dxfId="2917" priority="14">
      <formula>J89&lt;0</formula>
    </cfRule>
  </conditionalFormatting>
  <conditionalFormatting sqref="K89:K102">
    <cfRule type="expression" dxfId="2916" priority="11">
      <formula>K89&gt;0</formula>
    </cfRule>
    <cfRule type="expression" dxfId="2915" priority="12">
      <formula>K89&lt;0</formula>
    </cfRule>
  </conditionalFormatting>
  <conditionalFormatting sqref="L89:L102">
    <cfRule type="expression" dxfId="2914" priority="9">
      <formula>L89&gt;0</formula>
    </cfRule>
    <cfRule type="expression" dxfId="2913" priority="10">
      <formula>L89&lt;0</formula>
    </cfRule>
  </conditionalFormatting>
  <conditionalFormatting sqref="F25:F29">
    <cfRule type="expression" dxfId="2912" priority="7">
      <formula>F25&gt;0</formula>
    </cfRule>
    <cfRule type="expression" dxfId="2911" priority="8">
      <formula>F25&lt;0</formula>
    </cfRule>
  </conditionalFormatting>
  <conditionalFormatting sqref="H25:H29">
    <cfRule type="expression" dxfId="2910" priority="5">
      <formula>H25&gt;0</formula>
    </cfRule>
    <cfRule type="expression" dxfId="2909" priority="6">
      <formula>H25&lt;0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1331</v>
      </c>
      <c r="B2" s="368" t="s">
        <v>1337</v>
      </c>
      <c r="C2" s="4">
        <v>60</v>
      </c>
      <c r="D2" s="3">
        <v>48.8</v>
      </c>
      <c r="E2" s="3">
        <v>0</v>
      </c>
      <c r="F2" s="3">
        <f>C2*D2+E2</f>
        <v>2928</v>
      </c>
      <c r="G2" s="368">
        <v>43462</v>
      </c>
      <c r="H2" s="4">
        <v>60</v>
      </c>
      <c r="I2" s="3">
        <v>48.79</v>
      </c>
      <c r="J2" s="3">
        <v>0.04</v>
      </c>
      <c r="K2" s="3">
        <f>H2*I2-J2</f>
        <v>2927.36</v>
      </c>
      <c r="L2" s="72"/>
      <c r="M2" s="3"/>
      <c r="O2" s="11" t="s">
        <v>57</v>
      </c>
      <c r="Q2">
        <f>C18-H18</f>
        <v>0</v>
      </c>
      <c r="T2" s="1"/>
    </row>
    <row r="3" spans="1:21" x14ac:dyDescent="0.25">
      <c r="A3" s="22" t="s">
        <v>71</v>
      </c>
      <c r="B3" s="117"/>
      <c r="C3" s="4"/>
      <c r="D3" s="3"/>
      <c r="E3" s="3"/>
      <c r="F3" s="3"/>
      <c r="G3" s="72"/>
      <c r="H3" s="161"/>
      <c r="I3" s="3"/>
      <c r="J3" s="3"/>
      <c r="K3" s="3"/>
      <c r="L3" s="4"/>
      <c r="M3" s="4"/>
      <c r="O3" s="11" t="s">
        <v>58</v>
      </c>
      <c r="Q3" s="178">
        <f>IF(Q2=0, Q4, (F18-K18-M18)/Q2)</f>
        <v>57.43</v>
      </c>
      <c r="T3" s="1"/>
    </row>
    <row r="4" spans="1:21" x14ac:dyDescent="0.25">
      <c r="B4" s="72"/>
      <c r="C4" s="4"/>
      <c r="D4" s="3"/>
      <c r="E4" s="3"/>
      <c r="F4" s="3"/>
      <c r="G4" s="72"/>
      <c r="H4" s="161"/>
      <c r="I4" s="3"/>
      <c r="J4" s="3"/>
      <c r="K4" s="3"/>
      <c r="L4" s="4"/>
      <c r="M4" s="4"/>
      <c r="O4" s="11" t="s">
        <v>66</v>
      </c>
      <c r="Q4" s="54">
        <v>57.43</v>
      </c>
      <c r="R4" s="425">
        <v>1.2699999999999999E-2</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-0.63999999999987267</v>
      </c>
      <c r="R7">
        <v>0</v>
      </c>
      <c r="T7" s="1"/>
    </row>
    <row r="8" spans="1:21" x14ac:dyDescent="0.25">
      <c r="B8" s="72"/>
      <c r="C8" s="4"/>
      <c r="D8" s="3"/>
      <c r="E8" s="3"/>
      <c r="F8" s="3"/>
      <c r="G8" s="72"/>
      <c r="H8" s="161"/>
      <c r="I8" s="3"/>
      <c r="J8" s="3"/>
      <c r="K8" s="3"/>
      <c r="L8" s="4"/>
      <c r="M8" s="4"/>
      <c r="O8" s="11" t="s">
        <v>179</v>
      </c>
      <c r="P8" s="33"/>
      <c r="Q8" s="2">
        <f>K18+M18-F18+Q2*Q4</f>
        <v>-0.63999999999987267</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1.532300191537524E-2</v>
      </c>
      <c r="R11">
        <f>0.88/4</f>
        <v>0.22</v>
      </c>
    </row>
    <row r="12" spans="1:21" x14ac:dyDescent="0.25">
      <c r="H12" s="70"/>
      <c r="O12" s="11" t="s">
        <v>921</v>
      </c>
      <c r="Q12" s="1"/>
    </row>
    <row r="13" spans="1:21" x14ac:dyDescent="0.25">
      <c r="H13" s="70"/>
      <c r="O13" s="11" t="s">
        <v>947</v>
      </c>
      <c r="Q13" s="2">
        <f>Q4/4.4</f>
        <v>13.052272727272726</v>
      </c>
      <c r="T13" s="1"/>
    </row>
    <row r="14" spans="1:21" x14ac:dyDescent="0.25">
      <c r="H14" s="70"/>
      <c r="O14" s="11" t="s">
        <v>1034</v>
      </c>
      <c r="Q14" s="1"/>
    </row>
    <row r="15" spans="1:21" x14ac:dyDescent="0.25">
      <c r="H15" s="70"/>
    </row>
    <row r="16" spans="1:21" ht="20.25" thickBot="1" x14ac:dyDescent="0.35">
      <c r="H16" s="70"/>
      <c r="O16" s="884" t="s">
        <v>78</v>
      </c>
      <c r="P16" s="884"/>
    </row>
    <row r="17" spans="1:16" ht="15.75" thickTop="1" x14ac:dyDescent="0.25">
      <c r="O17" s="81">
        <v>1.1000000000000001</v>
      </c>
      <c r="P17" s="81">
        <f>O17*$Q$4</f>
        <v>63.173000000000002</v>
      </c>
    </row>
    <row r="18" spans="1:16" x14ac:dyDescent="0.25">
      <c r="A18" s="31" t="s">
        <v>81</v>
      </c>
      <c r="B18" s="14"/>
      <c r="C18" s="14">
        <f>SUM(C2:C9)</f>
        <v>60</v>
      </c>
      <c r="D18" s="18"/>
      <c r="E18" s="18"/>
      <c r="F18" s="18">
        <f>SUM(F2:F9)</f>
        <v>2928</v>
      </c>
      <c r="G18" s="14"/>
      <c r="H18" s="71">
        <f>SUM(H2:H8)</f>
        <v>60</v>
      </c>
      <c r="I18" s="18"/>
      <c r="J18" s="18"/>
      <c r="K18" s="18">
        <f>SUM(K2:K8)</f>
        <v>2927.36</v>
      </c>
      <c r="L18" s="14"/>
      <c r="M18" s="18">
        <f>SUM(M2:M10)</f>
        <v>0</v>
      </c>
      <c r="O18" s="81">
        <v>1.0900000000000001</v>
      </c>
      <c r="P18" s="81">
        <f t="shared" ref="P18:P37" si="0">O18*$Q$4</f>
        <v>62.598700000000001</v>
      </c>
    </row>
    <row r="19" spans="1:16"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1.08</v>
      </c>
      <c r="P19" s="81">
        <f t="shared" si="0"/>
        <v>62.024400000000007</v>
      </c>
    </row>
    <row r="20" spans="1:16" x14ac:dyDescent="0.25">
      <c r="O20" s="81">
        <v>1.07</v>
      </c>
      <c r="P20" s="81">
        <f t="shared" si="0"/>
        <v>61.450100000000006</v>
      </c>
    </row>
    <row r="21" spans="1:16" x14ac:dyDescent="0.25">
      <c r="O21" s="81">
        <v>1.06</v>
      </c>
      <c r="P21" s="81">
        <f t="shared" si="0"/>
        <v>60.875800000000005</v>
      </c>
    </row>
    <row r="22" spans="1:16" x14ac:dyDescent="0.25">
      <c r="O22" s="81">
        <v>1.05</v>
      </c>
      <c r="P22" s="81">
        <f t="shared" si="0"/>
        <v>60.301500000000004</v>
      </c>
    </row>
    <row r="23" spans="1:16" x14ac:dyDescent="0.25">
      <c r="O23" s="81">
        <v>1.04</v>
      </c>
      <c r="P23" s="81">
        <f t="shared" si="0"/>
        <v>59.727200000000003</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59.152900000000002</v>
      </c>
    </row>
    <row r="25" spans="1:16" x14ac:dyDescent="0.25">
      <c r="B25" s="164">
        <v>43464</v>
      </c>
      <c r="C25" s="10">
        <v>0</v>
      </c>
      <c r="D25" s="39">
        <v>48.68</v>
      </c>
      <c r="E25" s="39"/>
      <c r="F25" s="39">
        <v>-0.56000000000000005</v>
      </c>
      <c r="G25" s="39"/>
      <c r="H25" s="179"/>
      <c r="I25" s="39"/>
      <c r="J25" s="39"/>
      <c r="K25" s="39"/>
      <c r="L25" s="39"/>
      <c r="O25" s="81">
        <v>1.02</v>
      </c>
      <c r="P25" s="81">
        <f t="shared" si="0"/>
        <v>58.578600000000002</v>
      </c>
    </row>
    <row r="26" spans="1:16" x14ac:dyDescent="0.25">
      <c r="B26" s="164"/>
      <c r="C26" s="10"/>
      <c r="D26" s="39"/>
      <c r="E26" s="39"/>
      <c r="F26" s="39"/>
      <c r="G26" s="39"/>
      <c r="H26" s="179"/>
      <c r="I26" s="39"/>
      <c r="J26" s="39"/>
      <c r="K26" s="39"/>
      <c r="L26" s="39"/>
      <c r="O26" s="81">
        <v>1.01</v>
      </c>
      <c r="P26" s="81">
        <f t="shared" si="0"/>
        <v>58.004300000000001</v>
      </c>
    </row>
    <row r="27" spans="1:16" x14ac:dyDescent="0.25">
      <c r="B27" s="164"/>
      <c r="C27" s="10"/>
      <c r="D27" s="39"/>
      <c r="E27" s="39"/>
      <c r="F27" s="39"/>
      <c r="G27" s="39"/>
      <c r="H27" s="179"/>
      <c r="I27" s="39"/>
      <c r="J27" s="39"/>
      <c r="K27" s="39"/>
      <c r="L27" s="39"/>
      <c r="O27" s="81">
        <v>1</v>
      </c>
      <c r="P27" s="81">
        <f t="shared" si="0"/>
        <v>57.43</v>
      </c>
    </row>
    <row r="28" spans="1:16" x14ac:dyDescent="0.25">
      <c r="B28" s="164"/>
      <c r="C28" s="10"/>
      <c r="D28" s="39"/>
      <c r="E28" s="39"/>
      <c r="F28" s="39"/>
      <c r="G28" s="39"/>
      <c r="H28" s="179"/>
      <c r="I28" s="39"/>
      <c r="J28" s="39"/>
      <c r="K28" s="39"/>
      <c r="L28" s="39"/>
      <c r="O28" s="81">
        <v>0.99</v>
      </c>
      <c r="P28" s="81">
        <f t="shared" si="0"/>
        <v>56.855699999999999</v>
      </c>
    </row>
    <row r="29" spans="1:16" x14ac:dyDescent="0.25">
      <c r="B29" s="164"/>
      <c r="C29" s="10"/>
      <c r="D29" s="39"/>
      <c r="E29" s="39"/>
      <c r="F29" s="39"/>
      <c r="G29" s="39"/>
      <c r="H29" s="179"/>
      <c r="I29" s="39"/>
      <c r="J29" s="39"/>
      <c r="K29" s="39"/>
      <c r="L29" s="39"/>
      <c r="O29" s="81">
        <v>0.98</v>
      </c>
      <c r="P29" s="81">
        <f t="shared" si="0"/>
        <v>56.281399999999998</v>
      </c>
    </row>
    <row r="30" spans="1:16" x14ac:dyDescent="0.25">
      <c r="B30" s="164"/>
      <c r="C30" s="10"/>
      <c r="D30" s="39"/>
      <c r="E30" s="39"/>
      <c r="F30" s="39"/>
      <c r="G30" s="39"/>
      <c r="H30" s="179"/>
      <c r="I30" s="39"/>
      <c r="J30" s="39"/>
      <c r="K30" s="39"/>
      <c r="L30" s="39"/>
      <c r="O30" s="81">
        <v>0.97</v>
      </c>
      <c r="P30" s="81">
        <f t="shared" si="0"/>
        <v>55.707099999999997</v>
      </c>
    </row>
    <row r="31" spans="1:16" x14ac:dyDescent="0.25">
      <c r="B31" s="164"/>
      <c r="C31" s="10"/>
      <c r="D31" s="39"/>
      <c r="E31" s="39"/>
      <c r="F31" s="39"/>
      <c r="G31" s="39"/>
      <c r="H31" s="179"/>
      <c r="I31" s="39"/>
      <c r="J31" s="39"/>
      <c r="K31" s="39"/>
      <c r="L31" s="39"/>
      <c r="O31" s="81">
        <v>0.96</v>
      </c>
      <c r="P31" s="81">
        <f t="shared" si="0"/>
        <v>55.132799999999996</v>
      </c>
    </row>
    <row r="32" spans="1:16" x14ac:dyDescent="0.25">
      <c r="B32" s="164"/>
      <c r="C32" s="10"/>
      <c r="D32" s="39"/>
      <c r="E32" s="39"/>
      <c r="F32" s="39"/>
      <c r="G32" s="39"/>
      <c r="H32" s="179"/>
      <c r="I32" s="39"/>
      <c r="J32" s="39"/>
      <c r="K32" s="39"/>
      <c r="L32" s="39"/>
      <c r="O32" s="81">
        <v>0.95</v>
      </c>
      <c r="P32" s="81">
        <f t="shared" si="0"/>
        <v>54.558499999999995</v>
      </c>
    </row>
    <row r="33" spans="2:17" x14ac:dyDescent="0.25">
      <c r="B33" s="164"/>
      <c r="C33" s="10"/>
      <c r="D33" s="39"/>
      <c r="E33" s="39"/>
      <c r="F33" s="39"/>
      <c r="G33" s="39"/>
      <c r="H33" s="179"/>
      <c r="I33" s="39"/>
      <c r="J33" s="39"/>
      <c r="K33" s="39"/>
      <c r="L33" s="39"/>
      <c r="O33" s="81">
        <v>0.94</v>
      </c>
      <c r="P33" s="81">
        <f t="shared" si="0"/>
        <v>53.984199999999994</v>
      </c>
    </row>
    <row r="34" spans="2:17" x14ac:dyDescent="0.25">
      <c r="B34" s="164"/>
      <c r="C34" s="10"/>
      <c r="D34" s="39"/>
      <c r="E34" s="39"/>
      <c r="F34" s="39"/>
      <c r="G34" s="39"/>
      <c r="H34" s="179"/>
      <c r="I34" s="39"/>
      <c r="J34" s="39"/>
      <c r="K34" s="39"/>
      <c r="L34" s="39"/>
      <c r="O34" s="81">
        <v>0.93</v>
      </c>
      <c r="P34" s="81">
        <f t="shared" si="0"/>
        <v>53.4099</v>
      </c>
    </row>
    <row r="35" spans="2:17" x14ac:dyDescent="0.25">
      <c r="B35" s="164"/>
      <c r="C35" s="10"/>
      <c r="D35" s="39"/>
      <c r="E35" s="39"/>
      <c r="F35" s="39"/>
      <c r="G35" s="39"/>
      <c r="H35" s="179"/>
      <c r="I35" s="39"/>
      <c r="J35" s="39"/>
      <c r="K35" s="39"/>
      <c r="L35" s="39"/>
      <c r="O35" s="81">
        <v>0.92</v>
      </c>
      <c r="P35" s="81">
        <f t="shared" si="0"/>
        <v>52.835599999999999</v>
      </c>
    </row>
    <row r="36" spans="2:17" x14ac:dyDescent="0.25">
      <c r="B36" s="164"/>
      <c r="C36" s="10"/>
      <c r="D36" s="39"/>
      <c r="E36" s="39"/>
      <c r="F36" s="39"/>
      <c r="G36" s="39"/>
      <c r="H36" s="179"/>
      <c r="I36" s="39"/>
      <c r="J36" s="39"/>
      <c r="K36" s="39"/>
      <c r="L36" s="39"/>
      <c r="O36" s="81">
        <v>0.91</v>
      </c>
      <c r="P36" s="81">
        <f t="shared" si="0"/>
        <v>52.261299999999999</v>
      </c>
    </row>
    <row r="37" spans="2:17" x14ac:dyDescent="0.25">
      <c r="B37" s="164"/>
      <c r="C37" s="10"/>
      <c r="D37" s="39"/>
      <c r="E37" s="39"/>
      <c r="F37" s="39"/>
      <c r="G37" s="39"/>
      <c r="H37" s="179"/>
      <c r="I37" s="39"/>
      <c r="J37" s="39"/>
      <c r="K37" s="39"/>
      <c r="L37" s="39"/>
      <c r="O37" s="81">
        <v>0.9</v>
      </c>
      <c r="P37" s="81">
        <f t="shared" si="0"/>
        <v>51.686999999999998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08" priority="43">
      <formula>F54&gt;0</formula>
    </cfRule>
    <cfRule type="expression" dxfId="2907" priority="44">
      <formula>F54&lt;0</formula>
    </cfRule>
  </conditionalFormatting>
  <conditionalFormatting sqref="Q7">
    <cfRule type="expression" dxfId="2906" priority="41">
      <formula>Q7&gt;0</formula>
    </cfRule>
    <cfRule type="expression" dxfId="2905" priority="42">
      <formula>Q7&lt;0</formula>
    </cfRule>
  </conditionalFormatting>
  <conditionalFormatting sqref="Q8">
    <cfRule type="expression" dxfId="2904" priority="39">
      <formula>Q8&gt;0</formula>
    </cfRule>
    <cfRule type="expression" dxfId="2903" priority="40">
      <formula>Q8&lt;0</formula>
    </cfRule>
  </conditionalFormatting>
  <conditionalFormatting sqref="F33:F36 F38:F53">
    <cfRule type="expression" dxfId="2902" priority="37">
      <formula>F33&gt;0</formula>
    </cfRule>
    <cfRule type="expression" dxfId="2901" priority="38">
      <formula>F33&lt;0</formula>
    </cfRule>
  </conditionalFormatting>
  <conditionalFormatting sqref="H33:H36 H38:H53">
    <cfRule type="expression" dxfId="2900" priority="35">
      <formula>H33&gt;0</formula>
    </cfRule>
    <cfRule type="expression" dxfId="2899" priority="36">
      <formula>H33&lt;0</formula>
    </cfRule>
  </conditionalFormatting>
  <conditionalFormatting sqref="Q10">
    <cfRule type="expression" dxfId="2898" priority="33">
      <formula>Q10&gt;0</formula>
    </cfRule>
    <cfRule type="expression" dxfId="2897" priority="34">
      <formula>Q10&lt;0</formula>
    </cfRule>
  </conditionalFormatting>
  <conditionalFormatting sqref="J25:J37">
    <cfRule type="expression" dxfId="2896" priority="31">
      <formula>J25&gt;0</formula>
    </cfRule>
    <cfRule type="expression" dxfId="2895" priority="32">
      <formula>J25&lt;0</formula>
    </cfRule>
  </conditionalFormatting>
  <conditionalFormatting sqref="K25:K38">
    <cfRule type="expression" dxfId="2894" priority="29">
      <formula>K25&gt;0</formula>
    </cfRule>
    <cfRule type="expression" dxfId="2893" priority="30">
      <formula>K25&lt;0</formula>
    </cfRule>
  </conditionalFormatting>
  <conditionalFormatting sqref="L25">
    <cfRule type="expression" dxfId="2892" priority="27">
      <formula>L25&gt;0</formula>
    </cfRule>
    <cfRule type="expression" dxfId="2891" priority="28">
      <formula>L25&lt;0</formula>
    </cfRule>
  </conditionalFormatting>
  <conditionalFormatting sqref="F89:F110">
    <cfRule type="expression" dxfId="2890" priority="25">
      <formula>F89&gt;0</formula>
    </cfRule>
    <cfRule type="expression" dxfId="2889" priority="26">
      <formula>F89&lt;0</formula>
    </cfRule>
  </conditionalFormatting>
  <conditionalFormatting sqref="H89:H110">
    <cfRule type="expression" dxfId="2888" priority="23">
      <formula>H89&gt;0</formula>
    </cfRule>
    <cfRule type="expression" dxfId="2887" priority="24">
      <formula>H89&lt;0</formula>
    </cfRule>
  </conditionalFormatting>
  <conditionalFormatting sqref="J89:J102">
    <cfRule type="expression" dxfId="2886" priority="21">
      <formula>J89&gt;0</formula>
    </cfRule>
    <cfRule type="expression" dxfId="2885" priority="22">
      <formula>J89&lt;0</formula>
    </cfRule>
  </conditionalFormatting>
  <conditionalFormatting sqref="K89:K102">
    <cfRule type="expression" dxfId="2884" priority="19">
      <formula>K89&gt;0</formula>
    </cfRule>
    <cfRule type="expression" dxfId="2883" priority="20">
      <formula>K89&lt;0</formula>
    </cfRule>
  </conditionalFormatting>
  <conditionalFormatting sqref="L89:L102">
    <cfRule type="expression" dxfId="2882" priority="17">
      <formula>L89&gt;0</formula>
    </cfRule>
    <cfRule type="expression" dxfId="2881" priority="18">
      <formula>L89&lt;0</formula>
    </cfRule>
  </conditionalFormatting>
  <conditionalFormatting sqref="F29:F32">
    <cfRule type="expression" dxfId="2880" priority="15">
      <formula>F29&gt;0</formula>
    </cfRule>
    <cfRule type="expression" dxfId="2879" priority="16">
      <formula>F29&lt;0</formula>
    </cfRule>
  </conditionalFormatting>
  <conditionalFormatting sqref="H29:H32">
    <cfRule type="expression" dxfId="2878" priority="13">
      <formula>H29&gt;0</formula>
    </cfRule>
    <cfRule type="expression" dxfId="2877" priority="14">
      <formula>H29&lt;0</formula>
    </cfRule>
  </conditionalFormatting>
  <conditionalFormatting sqref="F25:F28">
    <cfRule type="expression" dxfId="2876" priority="11">
      <formula>F25&gt;0</formula>
    </cfRule>
    <cfRule type="expression" dxfId="2875" priority="12">
      <formula>F25&lt;0</formula>
    </cfRule>
  </conditionalFormatting>
  <conditionalFormatting sqref="H25:H28">
    <cfRule type="expression" dxfId="2874" priority="9">
      <formula>H25&gt;0</formula>
    </cfRule>
    <cfRule type="expression" dxfId="2873" priority="10">
      <formula>H25&lt;0</formula>
    </cfRule>
  </conditionalFormatting>
  <conditionalFormatting sqref="F37">
    <cfRule type="expression" dxfId="2872" priority="7">
      <formula>F37&gt;0</formula>
    </cfRule>
    <cfRule type="expression" dxfId="2871" priority="8">
      <formula>F37&lt;0</formula>
    </cfRule>
  </conditionalFormatting>
  <conditionalFormatting sqref="H37">
    <cfRule type="expression" dxfId="2870" priority="5">
      <formula>H37&gt;0</formula>
    </cfRule>
    <cfRule type="expression" dxfId="2869" priority="6">
      <formula>H37&lt;0</formula>
    </cfRule>
  </conditionalFormatting>
  <conditionalFormatting sqref="J49">
    <cfRule type="expression" dxfId="2868" priority="3">
      <formula>J49&gt;0</formula>
    </cfRule>
    <cfRule type="expression" dxfId="2867" priority="4">
      <formula>J49&lt;0</formula>
    </cfRule>
  </conditionalFormatting>
  <conditionalFormatting sqref="J38:J48">
    <cfRule type="expression" dxfId="2866" priority="1">
      <formula>J38&gt;0</formula>
    </cfRule>
    <cfRule type="expression" dxfId="2865" priority="2">
      <formula>J38&lt;0</formula>
    </cfRule>
  </conditionalFormatting>
  <hyperlinks>
    <hyperlink ref="A3" location="ACTIVE!A1" display="Back"/>
  </hyperlinks>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1316</v>
      </c>
      <c r="B2" s="368">
        <v>43427</v>
      </c>
      <c r="C2" s="7">
        <v>300</v>
      </c>
      <c r="D2" s="43">
        <v>26.8</v>
      </c>
      <c r="E2" s="43">
        <v>0</v>
      </c>
      <c r="F2" s="43">
        <f>C2*D2+E2</f>
        <v>8040</v>
      </c>
      <c r="G2" s="368">
        <v>43445</v>
      </c>
      <c r="H2" s="80">
        <v>300</v>
      </c>
      <c r="I2" s="43">
        <v>26.79</v>
      </c>
      <c r="J2" s="43">
        <v>0.1</v>
      </c>
      <c r="K2" s="43">
        <f>H2*I2-J2</f>
        <v>8036.9</v>
      </c>
      <c r="L2" s="72">
        <v>43553</v>
      </c>
      <c r="M2" s="43">
        <v>8</v>
      </c>
      <c r="O2" s="11" t="s">
        <v>57</v>
      </c>
      <c r="Q2">
        <f>C18-H18</f>
        <v>0</v>
      </c>
      <c r="T2" s="1"/>
    </row>
    <row r="3" spans="1:21" x14ac:dyDescent="0.25">
      <c r="A3" s="22" t="s">
        <v>71</v>
      </c>
      <c r="B3" s="498">
        <v>43448</v>
      </c>
      <c r="C3" s="7">
        <v>100</v>
      </c>
      <c r="D3" s="43">
        <v>26</v>
      </c>
      <c r="E3" s="43">
        <v>0</v>
      </c>
      <c r="F3" s="43">
        <f>C3*D3+E3</f>
        <v>2600</v>
      </c>
      <c r="G3" s="368">
        <v>43457</v>
      </c>
      <c r="H3" s="80">
        <v>100</v>
      </c>
      <c r="I3" s="43">
        <v>22.67</v>
      </c>
      <c r="J3" s="43">
        <v>0.03</v>
      </c>
      <c r="K3" s="43">
        <f>H3*I3-J3</f>
        <v>2266.9699999999998</v>
      </c>
      <c r="L3" s="4"/>
      <c r="M3" s="4"/>
      <c r="O3" s="11" t="s">
        <v>58</v>
      </c>
      <c r="Q3" s="178">
        <f>IF(Q2=0, Q4, (F18-K18-M18)/Q2)</f>
        <v>30.24</v>
      </c>
      <c r="T3" s="1"/>
    </row>
    <row r="4" spans="1:21" x14ac:dyDescent="0.25">
      <c r="B4" s="498">
        <v>43448</v>
      </c>
      <c r="C4" s="7">
        <v>100</v>
      </c>
      <c r="D4" s="43">
        <v>26</v>
      </c>
      <c r="E4" s="43">
        <v>0</v>
      </c>
      <c r="F4" s="43">
        <f>C4*D4+E4</f>
        <v>2600</v>
      </c>
      <c r="G4" s="368">
        <v>43483</v>
      </c>
      <c r="H4" s="80">
        <v>100</v>
      </c>
      <c r="I4" s="43">
        <v>27.02</v>
      </c>
      <c r="J4" s="43">
        <v>0.04</v>
      </c>
      <c r="K4" s="43">
        <f>H4*I4-J4</f>
        <v>2701.96</v>
      </c>
      <c r="L4" s="4"/>
      <c r="M4" s="4"/>
      <c r="O4" s="11" t="s">
        <v>66</v>
      </c>
      <c r="Q4" s="54">
        <v>30.24</v>
      </c>
      <c r="R4" s="425">
        <v>-8.8999999999999999E-3</v>
      </c>
      <c r="T4" s="693"/>
      <c r="U4" s="30"/>
    </row>
    <row r="5" spans="1:21" x14ac:dyDescent="0.25">
      <c r="B5" s="368">
        <v>43454</v>
      </c>
      <c r="C5" s="7">
        <v>100</v>
      </c>
      <c r="D5" s="43">
        <v>22.92</v>
      </c>
      <c r="E5" s="43">
        <v>0</v>
      </c>
      <c r="F5" s="43">
        <f>C5*D5+E5</f>
        <v>2292</v>
      </c>
      <c r="G5" s="368">
        <v>43509</v>
      </c>
      <c r="H5" s="80">
        <v>100</v>
      </c>
      <c r="I5" s="43">
        <v>26.88</v>
      </c>
      <c r="J5" s="43">
        <v>0.03</v>
      </c>
      <c r="K5" s="43">
        <f>H5*I5-J5</f>
        <v>2687.97</v>
      </c>
      <c r="L5" s="4"/>
      <c r="M5" s="4"/>
      <c r="O5" s="11" t="s">
        <v>67</v>
      </c>
      <c r="Q5" s="3">
        <f>Q4*Q2</f>
        <v>0</v>
      </c>
    </row>
    <row r="6" spans="1:21" x14ac:dyDescent="0.25">
      <c r="B6" s="368">
        <v>43503</v>
      </c>
      <c r="C6" s="7">
        <v>100</v>
      </c>
      <c r="D6" s="43">
        <v>25.5</v>
      </c>
      <c r="E6" s="43">
        <v>0</v>
      </c>
      <c r="F6" s="43">
        <f>C6*D6+E6</f>
        <v>2550</v>
      </c>
      <c r="G6" s="368">
        <v>43544</v>
      </c>
      <c r="H6" s="80">
        <v>100</v>
      </c>
      <c r="I6" s="43">
        <v>30.99</v>
      </c>
      <c r="J6" s="43">
        <v>0.04</v>
      </c>
      <c r="K6" s="43">
        <f>H6*I6-J6</f>
        <v>3098.96</v>
      </c>
      <c r="L6" s="4"/>
      <c r="M6" s="4"/>
      <c r="O6" s="11" t="s">
        <v>64</v>
      </c>
      <c r="Q6" s="2">
        <f>Q3*Q2</f>
        <v>0</v>
      </c>
    </row>
    <row r="7" spans="1:21" x14ac:dyDescent="0.25">
      <c r="B7" s="72"/>
      <c r="C7" s="4"/>
      <c r="D7" s="3"/>
      <c r="E7" s="3"/>
      <c r="F7" s="3"/>
      <c r="G7" s="72"/>
      <c r="H7" s="161"/>
      <c r="I7" s="3"/>
      <c r="J7" s="3"/>
      <c r="K7" s="3"/>
      <c r="L7" s="4"/>
      <c r="M7" s="4"/>
      <c r="O7" s="11" t="s">
        <v>177</v>
      </c>
      <c r="Q7" s="2">
        <f>Q10+Q8</f>
        <v>718.7599999999984</v>
      </c>
      <c r="R7">
        <v>0</v>
      </c>
      <c r="T7" s="1"/>
    </row>
    <row r="8" spans="1:21" x14ac:dyDescent="0.25">
      <c r="B8" s="72"/>
      <c r="C8" s="4"/>
      <c r="D8" s="3"/>
      <c r="E8" s="3"/>
      <c r="F8" s="3"/>
      <c r="G8" s="72"/>
      <c r="H8" s="161"/>
      <c r="I8" s="3"/>
      <c r="J8" s="3"/>
      <c r="K8" s="3"/>
      <c r="L8" s="4"/>
      <c r="M8" s="4"/>
      <c r="O8" s="11" t="s">
        <v>179</v>
      </c>
      <c r="P8" s="33"/>
      <c r="Q8" s="2">
        <f>K18+M18-F18+Q2*Q4</f>
        <v>718.7599999999984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1.0582010582010583E-2</v>
      </c>
      <c r="R11">
        <f>0.32/4</f>
        <v>0.08</v>
      </c>
    </row>
    <row r="12" spans="1:21" x14ac:dyDescent="0.25">
      <c r="H12" s="70"/>
      <c r="O12" s="11" t="s">
        <v>921</v>
      </c>
      <c r="Q12" s="1" t="s">
        <v>1358</v>
      </c>
    </row>
    <row r="13" spans="1:21" x14ac:dyDescent="0.25">
      <c r="H13" s="70"/>
      <c r="O13" s="11" t="s">
        <v>947</v>
      </c>
      <c r="Q13" s="2"/>
      <c r="T13" s="1"/>
    </row>
    <row r="14" spans="1:21" x14ac:dyDescent="0.25">
      <c r="H14" s="70"/>
      <c r="O14" s="11" t="s">
        <v>1034</v>
      </c>
      <c r="Q14" s="1"/>
    </row>
    <row r="15" spans="1:21" x14ac:dyDescent="0.25">
      <c r="H15" s="70"/>
    </row>
    <row r="16" spans="1:21" ht="20.25" thickBot="1" x14ac:dyDescent="0.35">
      <c r="H16" s="70"/>
      <c r="O16" s="884" t="s">
        <v>78</v>
      </c>
      <c r="P16" s="884"/>
    </row>
    <row r="17" spans="1:16" ht="15.75" thickTop="1" x14ac:dyDescent="0.25">
      <c r="O17" s="81">
        <v>1.1000000000000001</v>
      </c>
      <c r="P17" s="81">
        <f>O17*$Q$4</f>
        <v>33.264000000000003</v>
      </c>
    </row>
    <row r="18" spans="1:16" x14ac:dyDescent="0.25">
      <c r="A18" s="31" t="s">
        <v>81</v>
      </c>
      <c r="B18" s="14"/>
      <c r="C18" s="14">
        <f>SUM(C2:C9)</f>
        <v>700</v>
      </c>
      <c r="D18" s="18"/>
      <c r="E18" s="18"/>
      <c r="F18" s="18">
        <f>SUM(F2:F9)</f>
        <v>18082</v>
      </c>
      <c r="G18" s="14"/>
      <c r="H18" s="71">
        <f>SUM(H2:H8)</f>
        <v>700</v>
      </c>
      <c r="I18" s="18"/>
      <c r="J18" s="18"/>
      <c r="K18" s="18">
        <f>SUM(K2:K8)</f>
        <v>18792.759999999998</v>
      </c>
      <c r="L18" s="14"/>
      <c r="M18" s="18">
        <f>SUM(M2:M10)</f>
        <v>8</v>
      </c>
      <c r="O18" s="81">
        <v>1.0900000000000001</v>
      </c>
      <c r="P18" s="81">
        <f t="shared" ref="P18:P37" si="0">O18*$Q$4</f>
        <v>32.961600000000004</v>
      </c>
    </row>
    <row r="19" spans="1:16" ht="15.75" thickBot="1" x14ac:dyDescent="0.3">
      <c r="A19" s="277" t="s">
        <v>191</v>
      </c>
      <c r="B19" s="278"/>
      <c r="C19" s="279">
        <f>SumByColor($A$19,C2:C17)</f>
        <v>700</v>
      </c>
      <c r="D19" s="279"/>
      <c r="E19" s="279"/>
      <c r="F19" s="280">
        <f>SumByColor($A$19,F2:F17)</f>
        <v>18082</v>
      </c>
      <c r="G19" s="279"/>
      <c r="H19" s="279">
        <f>SumByColor($A$19,H2:H17)</f>
        <v>700</v>
      </c>
      <c r="I19" s="279"/>
      <c r="J19" s="279"/>
      <c r="K19" s="280">
        <f>SumByColor($A$19,K2:K17)</f>
        <v>18793</v>
      </c>
      <c r="L19" s="279"/>
      <c r="M19" s="280">
        <f>SumByColor($A$19,M2:M17)</f>
        <v>8</v>
      </c>
      <c r="O19" s="81">
        <v>1.08</v>
      </c>
      <c r="P19" s="81">
        <f t="shared" si="0"/>
        <v>32.659199999999998</v>
      </c>
    </row>
    <row r="20" spans="1:16" x14ac:dyDescent="0.25">
      <c r="O20" s="81">
        <v>1.07</v>
      </c>
      <c r="P20" s="81">
        <f t="shared" si="0"/>
        <v>32.3568</v>
      </c>
    </row>
    <row r="21" spans="1:16" x14ac:dyDescent="0.25">
      <c r="O21" s="81">
        <v>1.06</v>
      </c>
      <c r="P21" s="81">
        <f t="shared" si="0"/>
        <v>32.054400000000001</v>
      </c>
    </row>
    <row r="22" spans="1:16" x14ac:dyDescent="0.25">
      <c r="O22" s="81">
        <v>1.05</v>
      </c>
      <c r="P22" s="81">
        <f t="shared" si="0"/>
        <v>31.751999999999999</v>
      </c>
    </row>
    <row r="23" spans="1:16" x14ac:dyDescent="0.25">
      <c r="O23" s="81">
        <v>1.04</v>
      </c>
      <c r="P23" s="81">
        <f t="shared" si="0"/>
        <v>31.4496</v>
      </c>
    </row>
    <row r="24" spans="1:16" x14ac:dyDescent="0.25">
      <c r="A24" s="162" t="s">
        <v>224</v>
      </c>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31.147199999999998</v>
      </c>
    </row>
    <row r="25" spans="1:16" x14ac:dyDescent="0.25">
      <c r="A25" s="881"/>
      <c r="B25" s="164">
        <v>43427</v>
      </c>
      <c r="C25" s="10">
        <v>300</v>
      </c>
      <c r="D25" s="39">
        <v>26.8</v>
      </c>
      <c r="E25" s="39">
        <v>26.91</v>
      </c>
      <c r="F25" s="39">
        <f>C25*(E25-D25)</f>
        <v>32.999999999999829</v>
      </c>
      <c r="G25" s="39">
        <f>D25*C25</f>
        <v>8040</v>
      </c>
      <c r="H25" s="179">
        <f>(E25-D25)/D25</f>
        <v>4.1044776119402776E-3</v>
      </c>
      <c r="I25" s="39"/>
      <c r="J25" s="39">
        <v>664</v>
      </c>
      <c r="K25" s="39"/>
      <c r="L25" s="39"/>
      <c r="O25" s="81">
        <v>1.02</v>
      </c>
      <c r="P25" s="81">
        <f t="shared" si="0"/>
        <v>30.844799999999999</v>
      </c>
    </row>
    <row r="26" spans="1:16" x14ac:dyDescent="0.25">
      <c r="A26" s="881"/>
      <c r="B26" s="164">
        <v>43445</v>
      </c>
      <c r="C26" s="10">
        <v>0</v>
      </c>
      <c r="D26" s="39">
        <v>26.8</v>
      </c>
      <c r="E26" s="39">
        <v>26.79</v>
      </c>
      <c r="F26" s="39"/>
      <c r="G26" s="39"/>
      <c r="H26" s="179"/>
      <c r="I26" s="39"/>
      <c r="J26" s="39">
        <v>-3.1</v>
      </c>
      <c r="K26" s="39"/>
      <c r="L26" s="39"/>
      <c r="O26" s="81">
        <v>1.01</v>
      </c>
      <c r="P26" s="81">
        <f t="shared" si="0"/>
        <v>30.542399999999997</v>
      </c>
    </row>
    <row r="27" spans="1:16" x14ac:dyDescent="0.25">
      <c r="A27" s="881"/>
      <c r="B27" s="164">
        <v>43448</v>
      </c>
      <c r="C27" s="10">
        <v>200</v>
      </c>
      <c r="D27" s="39">
        <v>26.015499999999999</v>
      </c>
      <c r="E27" s="39">
        <v>25.84</v>
      </c>
      <c r="F27" s="39">
        <f t="shared" ref="F27:F33" si="1">C27*(E27-D27)</f>
        <v>-35.099999999999909</v>
      </c>
      <c r="G27" s="39">
        <f t="shared" ref="G27:G35" si="2">D27*C27</f>
        <v>5203.0999999999995</v>
      </c>
      <c r="H27" s="179">
        <f t="shared" ref="H27:H34" si="3">(E27-D27)/D27</f>
        <v>-6.7459783590551612E-3</v>
      </c>
      <c r="I27" s="39"/>
      <c r="J27" s="39">
        <v>-35.1</v>
      </c>
      <c r="K27" s="39"/>
      <c r="L27" s="39"/>
      <c r="O27" s="81">
        <v>1</v>
      </c>
      <c r="P27" s="81">
        <f t="shared" si="0"/>
        <v>30.24</v>
      </c>
    </row>
    <row r="28" spans="1:16" x14ac:dyDescent="0.25">
      <c r="A28" s="881"/>
      <c r="B28" s="164">
        <v>43454</v>
      </c>
      <c r="C28" s="10">
        <v>300</v>
      </c>
      <c r="D28" s="39">
        <v>24.983699999999999</v>
      </c>
      <c r="E28" s="39">
        <v>22.92</v>
      </c>
      <c r="F28" s="39">
        <f t="shared" si="1"/>
        <v>-619.10999999999922</v>
      </c>
      <c r="G28" s="39">
        <f t="shared" si="2"/>
        <v>7495.11</v>
      </c>
      <c r="H28" s="179">
        <f t="shared" si="3"/>
        <v>-8.2601856410379454E-2</v>
      </c>
      <c r="I28" s="39"/>
      <c r="J28" s="39">
        <v>-619.10999999999922</v>
      </c>
      <c r="K28" s="39"/>
      <c r="L28" s="39"/>
      <c r="O28" s="81">
        <v>0.99</v>
      </c>
      <c r="P28" s="81">
        <f t="shared" si="0"/>
        <v>29.9376</v>
      </c>
    </row>
    <row r="29" spans="1:16" x14ac:dyDescent="0.25">
      <c r="A29" s="881"/>
      <c r="B29" s="164">
        <v>43457</v>
      </c>
      <c r="C29" s="7">
        <v>200</v>
      </c>
      <c r="D29" s="43">
        <v>26.140699999999999</v>
      </c>
      <c r="E29" s="39">
        <v>21.91</v>
      </c>
      <c r="F29" s="39">
        <f t="shared" si="1"/>
        <v>-846.13999999999976</v>
      </c>
      <c r="G29" s="39">
        <f t="shared" si="2"/>
        <v>5228.1399999999994</v>
      </c>
      <c r="H29" s="179">
        <f t="shared" si="3"/>
        <v>-0.16184340893702154</v>
      </c>
      <c r="I29" s="39"/>
      <c r="J29" s="39">
        <v>-846.13999999999976</v>
      </c>
      <c r="K29" s="39"/>
      <c r="L29" s="39"/>
      <c r="O29" s="81">
        <v>0.98</v>
      </c>
      <c r="P29" s="81">
        <f t="shared" si="0"/>
        <v>29.635199999999998</v>
      </c>
    </row>
    <row r="30" spans="1:16" x14ac:dyDescent="0.25">
      <c r="A30" s="881"/>
      <c r="B30" s="164">
        <v>43483</v>
      </c>
      <c r="C30" s="10">
        <v>100</v>
      </c>
      <c r="D30" s="39">
        <v>25.261700000000001</v>
      </c>
      <c r="E30" s="39">
        <v>27.02</v>
      </c>
      <c r="F30" s="39">
        <f t="shared" si="1"/>
        <v>175.82999999999984</v>
      </c>
      <c r="G30" s="39">
        <f t="shared" si="2"/>
        <v>2526.17</v>
      </c>
      <c r="H30" s="179">
        <f t="shared" si="3"/>
        <v>6.9603391695729044E-2</v>
      </c>
      <c r="I30" s="39"/>
      <c r="J30" s="39">
        <v>175.82999999999984</v>
      </c>
      <c r="K30" s="39"/>
      <c r="L30" s="39"/>
      <c r="O30" s="81">
        <v>0.97</v>
      </c>
      <c r="P30" s="81">
        <f t="shared" si="0"/>
        <v>29.332799999999999</v>
      </c>
    </row>
    <row r="31" spans="1:16" x14ac:dyDescent="0.25">
      <c r="A31" s="881"/>
      <c r="B31" s="164">
        <v>43503</v>
      </c>
      <c r="C31" s="7">
        <v>200</v>
      </c>
      <c r="D31" s="43">
        <v>25.3809</v>
      </c>
      <c r="E31" s="39">
        <v>25.3</v>
      </c>
      <c r="F31" s="39">
        <f t="shared" si="1"/>
        <v>-16.17999999999995</v>
      </c>
      <c r="G31" s="39">
        <f t="shared" si="2"/>
        <v>5076.18</v>
      </c>
      <c r="H31" s="179">
        <f t="shared" si="3"/>
        <v>-3.1874362217257758E-3</v>
      </c>
      <c r="I31" s="39"/>
      <c r="J31" s="39">
        <v>-16.17999999999995</v>
      </c>
      <c r="K31" s="39"/>
      <c r="L31" s="39"/>
      <c r="O31" s="81">
        <v>0.96</v>
      </c>
      <c r="P31" s="81">
        <f t="shared" si="0"/>
        <v>29.030399999999997</v>
      </c>
    </row>
    <row r="32" spans="1:16" x14ac:dyDescent="0.25">
      <c r="A32" s="881">
        <v>0</v>
      </c>
      <c r="B32" s="164">
        <v>43509</v>
      </c>
      <c r="C32" s="10">
        <v>100</v>
      </c>
      <c r="D32" s="39">
        <v>23.882000000000001</v>
      </c>
      <c r="E32" s="39">
        <v>26.91</v>
      </c>
      <c r="F32" s="39">
        <f t="shared" si="1"/>
        <v>302.79999999999984</v>
      </c>
      <c r="G32" s="39">
        <f t="shared" si="2"/>
        <v>2388.2000000000003</v>
      </c>
      <c r="H32" s="179">
        <f t="shared" si="3"/>
        <v>0.12679005108449873</v>
      </c>
      <c r="I32" s="39"/>
      <c r="J32" s="39">
        <v>302.79999999999984</v>
      </c>
      <c r="K32" s="39"/>
      <c r="L32" s="39"/>
      <c r="O32" s="81">
        <v>0.95</v>
      </c>
      <c r="P32" s="81">
        <f t="shared" si="0"/>
        <v>28.727999999999998</v>
      </c>
    </row>
    <row r="33" spans="1:17" x14ac:dyDescent="0.25">
      <c r="A33" s="881">
        <v>100</v>
      </c>
      <c r="B33" s="164">
        <v>43535</v>
      </c>
      <c r="C33" s="10">
        <v>100</v>
      </c>
      <c r="D33" s="39">
        <v>23.882000000000001</v>
      </c>
      <c r="E33" s="39">
        <v>27.8</v>
      </c>
      <c r="F33" s="39">
        <f t="shared" si="1"/>
        <v>391.79999999999995</v>
      </c>
      <c r="G33" s="39">
        <f t="shared" si="2"/>
        <v>2388.2000000000003</v>
      </c>
      <c r="H33" s="179">
        <f t="shared" si="3"/>
        <v>0.1640566116740641</v>
      </c>
      <c r="I33" s="39"/>
      <c r="J33" s="39">
        <v>391.79999999999995</v>
      </c>
      <c r="K33" s="39"/>
      <c r="L33" s="39"/>
      <c r="O33" s="81">
        <v>0.94</v>
      </c>
      <c r="P33" s="81">
        <f t="shared" si="0"/>
        <v>28.425599999999996</v>
      </c>
    </row>
    <row r="34" spans="1:17" x14ac:dyDescent="0.25">
      <c r="A34" s="881"/>
      <c r="B34" s="164">
        <v>43544</v>
      </c>
      <c r="C34" s="10">
        <v>0</v>
      </c>
      <c r="D34" s="39">
        <v>23.88</v>
      </c>
      <c r="E34" s="39">
        <v>30.99</v>
      </c>
      <c r="F34" s="39"/>
      <c r="G34" s="39">
        <f t="shared" si="2"/>
        <v>0</v>
      </c>
      <c r="H34" s="179">
        <f t="shared" si="3"/>
        <v>0.29773869346733667</v>
      </c>
      <c r="I34" s="39"/>
      <c r="J34" s="39">
        <v>710.76</v>
      </c>
      <c r="K34" s="39"/>
      <c r="L34" s="39"/>
      <c r="O34" s="81">
        <v>0.93</v>
      </c>
      <c r="P34" s="81">
        <f t="shared" si="0"/>
        <v>28.123200000000001</v>
      </c>
    </row>
    <row r="35" spans="1:17" x14ac:dyDescent="0.25">
      <c r="A35" s="881"/>
      <c r="B35" s="164">
        <v>43555</v>
      </c>
      <c r="C35" s="10">
        <v>0</v>
      </c>
      <c r="D35" s="39"/>
      <c r="E35" s="39"/>
      <c r="F35" s="39"/>
      <c r="G35" s="39">
        <f t="shared" si="2"/>
        <v>0</v>
      </c>
      <c r="H35" s="179"/>
      <c r="I35" s="39" t="s">
        <v>184</v>
      </c>
      <c r="J35" s="39">
        <v>718.76</v>
      </c>
      <c r="K35" s="39"/>
      <c r="L35" s="39"/>
      <c r="O35" s="81">
        <v>0.92</v>
      </c>
      <c r="P35" s="81">
        <f t="shared" si="0"/>
        <v>27.820799999999998</v>
      </c>
    </row>
    <row r="36" spans="1:17" x14ac:dyDescent="0.25">
      <c r="A36" s="881"/>
      <c r="B36" s="164"/>
      <c r="C36" s="10"/>
      <c r="D36" s="39"/>
      <c r="E36" s="39"/>
      <c r="F36" s="39"/>
      <c r="G36" s="39"/>
      <c r="H36" s="179"/>
      <c r="I36" s="39"/>
      <c r="J36" s="39"/>
      <c r="K36" s="39"/>
      <c r="L36" s="39"/>
      <c r="O36" s="81">
        <v>0.91</v>
      </c>
      <c r="P36" s="81">
        <f t="shared" si="0"/>
        <v>27.5184</v>
      </c>
    </row>
    <row r="37" spans="1:17" x14ac:dyDescent="0.25">
      <c r="A37" s="881"/>
      <c r="B37" s="164"/>
      <c r="C37" s="10"/>
      <c r="D37" s="39"/>
      <c r="E37" s="39"/>
      <c r="F37" s="39"/>
      <c r="G37" s="39"/>
      <c r="H37" s="179"/>
      <c r="I37" s="39"/>
      <c r="J37" s="39"/>
      <c r="K37" s="39"/>
      <c r="L37" s="39"/>
      <c r="O37" s="81">
        <v>0.9</v>
      </c>
      <c r="P37" s="81">
        <f t="shared" si="0"/>
        <v>27.215999999999998</v>
      </c>
    </row>
    <row r="38" spans="1:17" x14ac:dyDescent="0.25">
      <c r="A38" s="881"/>
      <c r="B38" s="164"/>
      <c r="C38" s="10"/>
      <c r="D38" s="39"/>
      <c r="E38" s="39"/>
      <c r="F38" s="39"/>
      <c r="G38" s="39"/>
      <c r="H38" s="179"/>
      <c r="I38" s="39"/>
      <c r="J38" s="39"/>
      <c r="K38" s="39"/>
      <c r="L38" s="39"/>
    </row>
    <row r="39" spans="1:17" x14ac:dyDescent="0.25">
      <c r="A39" s="881"/>
      <c r="B39" s="164"/>
      <c r="C39" s="10"/>
      <c r="D39" s="39"/>
      <c r="E39" s="39"/>
      <c r="F39" s="39"/>
      <c r="G39" s="39"/>
      <c r="H39" s="179"/>
      <c r="I39" s="39"/>
      <c r="J39" s="39"/>
      <c r="K39" s="39"/>
      <c r="L39" s="39"/>
    </row>
    <row r="40" spans="1:17" x14ac:dyDescent="0.25">
      <c r="A40" s="881"/>
      <c r="B40" s="164"/>
      <c r="C40" s="10"/>
      <c r="D40" s="39"/>
      <c r="E40" s="39"/>
      <c r="F40" s="39"/>
      <c r="G40" s="39"/>
      <c r="H40" s="179"/>
      <c r="I40" s="39"/>
      <c r="J40" s="39"/>
      <c r="K40" s="39"/>
      <c r="L40" s="39"/>
    </row>
    <row r="41" spans="1:17" x14ac:dyDescent="0.25">
      <c r="A41" s="881"/>
      <c r="B41" s="164"/>
      <c r="C41" s="10"/>
      <c r="D41" s="39"/>
      <c r="E41" s="39"/>
      <c r="F41" s="39"/>
      <c r="G41" s="39"/>
      <c r="H41" s="179"/>
      <c r="I41" s="39"/>
      <c r="J41" s="39"/>
      <c r="K41" s="39"/>
      <c r="L41" s="39"/>
      <c r="Q41" s="2"/>
    </row>
    <row r="42" spans="1:17" x14ac:dyDescent="0.25">
      <c r="A42" s="881"/>
      <c r="B42" s="164"/>
      <c r="C42" s="10"/>
      <c r="D42" s="39"/>
      <c r="E42" s="39"/>
      <c r="F42" s="39"/>
      <c r="G42" s="39"/>
      <c r="H42" s="179"/>
      <c r="I42" s="39"/>
      <c r="J42" s="39"/>
      <c r="K42" s="39"/>
      <c r="L42" s="39"/>
      <c r="Q42" s="2"/>
    </row>
    <row r="43" spans="1:17" x14ac:dyDescent="0.25">
      <c r="A43" s="881"/>
      <c r="B43" s="164"/>
      <c r="C43" s="10"/>
      <c r="D43" s="39"/>
      <c r="E43" s="39"/>
      <c r="F43" s="39"/>
      <c r="G43" s="39"/>
      <c r="H43" s="179"/>
      <c r="I43" s="39"/>
      <c r="J43" s="39"/>
      <c r="K43" s="39"/>
      <c r="L43" s="39"/>
      <c r="Q43" s="2"/>
    </row>
    <row r="44" spans="1:17" x14ac:dyDescent="0.25">
      <c r="A44" s="881"/>
      <c r="B44" s="164"/>
      <c r="C44" s="10"/>
      <c r="D44" s="39"/>
      <c r="E44" s="39"/>
      <c r="F44" s="39"/>
      <c r="G44" s="39"/>
      <c r="H44" s="179"/>
      <c r="I44" s="39"/>
      <c r="J44" s="39"/>
      <c r="K44" s="39"/>
      <c r="L44" s="39"/>
      <c r="Q44" s="2"/>
    </row>
    <row r="45" spans="1:17" x14ac:dyDescent="0.25">
      <c r="A45" s="881"/>
      <c r="B45" s="164"/>
      <c r="C45" s="10"/>
      <c r="D45" s="39"/>
      <c r="E45" s="39"/>
      <c r="F45" s="778"/>
      <c r="G45" s="39"/>
      <c r="H45" s="179"/>
      <c r="I45" s="39"/>
      <c r="J45" s="39"/>
      <c r="K45" s="39"/>
      <c r="L45" s="39"/>
      <c r="Q45" s="2"/>
    </row>
    <row r="46" spans="1:17" x14ac:dyDescent="0.25">
      <c r="A46" s="881"/>
      <c r="B46" s="164"/>
      <c r="C46" s="10"/>
      <c r="D46" s="39"/>
      <c r="E46" s="39"/>
      <c r="F46" s="39"/>
      <c r="G46" s="39"/>
      <c r="H46" s="179"/>
      <c r="I46" s="39"/>
      <c r="J46" s="39"/>
      <c r="K46" s="39"/>
      <c r="L46" s="39"/>
      <c r="Q46" s="2"/>
    </row>
    <row r="47" spans="1:17" x14ac:dyDescent="0.25">
      <c r="A47" s="881"/>
      <c r="B47" s="164"/>
      <c r="C47" s="10"/>
      <c r="D47" s="39"/>
      <c r="E47" s="39"/>
      <c r="F47" s="39"/>
      <c r="G47" s="39"/>
      <c r="H47" s="179"/>
      <c r="I47" s="39"/>
      <c r="J47" s="39"/>
      <c r="K47" s="39"/>
      <c r="L47" s="39"/>
      <c r="Q47" s="2"/>
    </row>
    <row r="48" spans="1:17" x14ac:dyDescent="0.25">
      <c r="A48" s="881"/>
      <c r="B48" s="164"/>
      <c r="C48" s="10"/>
      <c r="D48" s="39"/>
      <c r="E48" s="39"/>
      <c r="F48" s="39"/>
      <c r="G48" s="39"/>
      <c r="H48" s="179"/>
      <c r="I48" s="39"/>
      <c r="J48" s="39"/>
      <c r="K48" s="39"/>
      <c r="L48" s="39"/>
      <c r="Q48" s="2"/>
    </row>
    <row r="49" spans="1:17" x14ac:dyDescent="0.25">
      <c r="A49" s="881"/>
      <c r="B49" s="164"/>
      <c r="C49" s="10"/>
      <c r="D49" s="39"/>
      <c r="E49" s="39"/>
      <c r="F49" s="39"/>
      <c r="G49" s="39"/>
      <c r="H49" s="179"/>
      <c r="I49" s="39"/>
      <c r="J49" s="778"/>
      <c r="K49" s="39"/>
      <c r="L49" s="39"/>
      <c r="Q49" s="2"/>
    </row>
    <row r="50" spans="1:17" x14ac:dyDescent="0.25">
      <c r="A50" s="881"/>
      <c r="B50" s="164"/>
      <c r="C50" s="10"/>
      <c r="D50" s="39"/>
      <c r="E50" s="39"/>
      <c r="F50" s="39"/>
      <c r="G50" s="39"/>
      <c r="H50" s="179"/>
      <c r="I50" s="39"/>
      <c r="J50" s="39"/>
      <c r="K50" s="39"/>
      <c r="L50" s="39"/>
      <c r="Q50" s="2"/>
    </row>
    <row r="51" spans="1:17" x14ac:dyDescent="0.25">
      <c r="A51" s="881"/>
      <c r="B51" s="164"/>
      <c r="C51" s="10"/>
      <c r="D51" s="39"/>
      <c r="E51" s="39"/>
      <c r="F51" s="39"/>
      <c r="G51" s="39"/>
      <c r="H51" s="179"/>
      <c r="I51" s="39"/>
      <c r="J51" s="39"/>
      <c r="K51" s="39"/>
      <c r="L51" s="39"/>
      <c r="Q51" s="2"/>
    </row>
    <row r="52" spans="1:17" x14ac:dyDescent="0.25">
      <c r="A52" s="881"/>
      <c r="B52" s="164"/>
      <c r="C52" s="10"/>
      <c r="D52" s="39"/>
      <c r="E52" s="39"/>
      <c r="F52" s="39"/>
      <c r="G52" s="39"/>
      <c r="H52" s="179"/>
      <c r="I52" s="39"/>
      <c r="J52" s="39"/>
      <c r="K52" s="39"/>
      <c r="L52" s="39"/>
      <c r="Q52" s="2"/>
    </row>
    <row r="53" spans="1:17" x14ac:dyDescent="0.25">
      <c r="A53" s="881"/>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2864" priority="53">
      <formula>F54&gt;0</formula>
    </cfRule>
    <cfRule type="expression" dxfId="2863" priority="54">
      <formula>F54&lt;0</formula>
    </cfRule>
  </conditionalFormatting>
  <conditionalFormatting sqref="Q7">
    <cfRule type="expression" dxfId="2862" priority="51">
      <formula>Q7&gt;0</formula>
    </cfRule>
    <cfRule type="expression" dxfId="2861" priority="52">
      <formula>Q7&lt;0</formula>
    </cfRule>
  </conditionalFormatting>
  <conditionalFormatting sqref="Q8">
    <cfRule type="expression" dxfId="2860" priority="49">
      <formula>Q8&gt;0</formula>
    </cfRule>
    <cfRule type="expression" dxfId="2859" priority="50">
      <formula>Q8&lt;0</formula>
    </cfRule>
  </conditionalFormatting>
  <conditionalFormatting sqref="F33:F36 F38:F53">
    <cfRule type="expression" dxfId="2858" priority="47">
      <formula>F33&gt;0</formula>
    </cfRule>
    <cfRule type="expression" dxfId="2857" priority="48">
      <formula>F33&lt;0</formula>
    </cfRule>
  </conditionalFormatting>
  <conditionalFormatting sqref="H38:H53 H33:H36">
    <cfRule type="expression" dxfId="2856" priority="45">
      <formula>H33&gt;0</formula>
    </cfRule>
    <cfRule type="expression" dxfId="2855" priority="46">
      <formula>H33&lt;0</formula>
    </cfRule>
  </conditionalFormatting>
  <conditionalFormatting sqref="Q10">
    <cfRule type="expression" dxfId="2854" priority="43">
      <formula>Q10&gt;0</formula>
    </cfRule>
    <cfRule type="expression" dxfId="2853" priority="44">
      <formula>Q10&lt;0</formula>
    </cfRule>
  </conditionalFormatting>
  <conditionalFormatting sqref="J25:J27 J34:J37">
    <cfRule type="expression" dxfId="2852" priority="41">
      <formula>J25&gt;0</formula>
    </cfRule>
    <cfRule type="expression" dxfId="2851" priority="42">
      <formula>J25&lt;0</formula>
    </cfRule>
  </conditionalFormatting>
  <conditionalFormatting sqref="K25:K38">
    <cfRule type="expression" dxfId="2850" priority="39">
      <formula>K25&gt;0</formula>
    </cfRule>
    <cfRule type="expression" dxfId="2849" priority="40">
      <formula>K25&lt;0</formula>
    </cfRule>
  </conditionalFormatting>
  <conditionalFormatting sqref="L25">
    <cfRule type="expression" dxfId="2848" priority="37">
      <formula>L25&gt;0</formula>
    </cfRule>
    <cfRule type="expression" dxfId="2847" priority="38">
      <formula>L25&lt;0</formula>
    </cfRule>
  </conditionalFormatting>
  <conditionalFormatting sqref="F89:F110">
    <cfRule type="expression" dxfId="2846" priority="35">
      <formula>F89&gt;0</formula>
    </cfRule>
    <cfRule type="expression" dxfId="2845" priority="36">
      <formula>F89&lt;0</formula>
    </cfRule>
  </conditionalFormatting>
  <conditionalFormatting sqref="H89:H110">
    <cfRule type="expression" dxfId="2844" priority="33">
      <formula>H89&gt;0</formula>
    </cfRule>
    <cfRule type="expression" dxfId="2843" priority="34">
      <formula>H89&lt;0</formula>
    </cfRule>
  </conditionalFormatting>
  <conditionalFormatting sqref="J89:J102">
    <cfRule type="expression" dxfId="2842" priority="31">
      <formula>J89&gt;0</formula>
    </cfRule>
    <cfRule type="expression" dxfId="2841" priority="32">
      <formula>J89&lt;0</formula>
    </cfRule>
  </conditionalFormatting>
  <conditionalFormatting sqref="K89:K102">
    <cfRule type="expression" dxfId="2840" priority="29">
      <formula>K89&gt;0</formula>
    </cfRule>
    <cfRule type="expression" dxfId="2839" priority="30">
      <formula>K89&lt;0</formula>
    </cfRule>
  </conditionalFormatting>
  <conditionalFormatting sqref="L89:L102">
    <cfRule type="expression" dxfId="2838" priority="27">
      <formula>L89&gt;0</formula>
    </cfRule>
    <cfRule type="expression" dxfId="2837" priority="28">
      <formula>L89&lt;0</formula>
    </cfRule>
  </conditionalFormatting>
  <conditionalFormatting sqref="F31:F32">
    <cfRule type="expression" dxfId="2836" priority="25">
      <formula>F31&gt;0</formula>
    </cfRule>
    <cfRule type="expression" dxfId="2835" priority="26">
      <formula>F31&lt;0</formula>
    </cfRule>
  </conditionalFormatting>
  <conditionalFormatting sqref="H31:H32">
    <cfRule type="expression" dxfId="2834" priority="23">
      <formula>H31&gt;0</formula>
    </cfRule>
    <cfRule type="expression" dxfId="2833" priority="24">
      <formula>H31&lt;0</formula>
    </cfRule>
  </conditionalFormatting>
  <conditionalFormatting sqref="F25:F26">
    <cfRule type="expression" dxfId="2832" priority="21">
      <formula>F25&gt;0</formula>
    </cfRule>
    <cfRule type="expression" dxfId="2831" priority="22">
      <formula>F25&lt;0</formula>
    </cfRule>
  </conditionalFormatting>
  <conditionalFormatting sqref="H25:H26">
    <cfRule type="expression" dxfId="2830" priority="19">
      <formula>H25&gt;0</formula>
    </cfRule>
    <cfRule type="expression" dxfId="2829" priority="20">
      <formula>H25&lt;0</formula>
    </cfRule>
  </conditionalFormatting>
  <conditionalFormatting sqref="F37">
    <cfRule type="expression" dxfId="2828" priority="17">
      <formula>F37&gt;0</formula>
    </cfRule>
    <cfRule type="expression" dxfId="2827" priority="18">
      <formula>F37&lt;0</formula>
    </cfRule>
  </conditionalFormatting>
  <conditionalFormatting sqref="H37">
    <cfRule type="expression" dxfId="2826" priority="15">
      <formula>H37&gt;0</formula>
    </cfRule>
    <cfRule type="expression" dxfId="2825" priority="16">
      <formula>H37&lt;0</formula>
    </cfRule>
  </conditionalFormatting>
  <conditionalFormatting sqref="J49">
    <cfRule type="expression" dxfId="2824" priority="13">
      <formula>J49&gt;0</formula>
    </cfRule>
    <cfRule type="expression" dxfId="2823" priority="14">
      <formula>J49&lt;0</formula>
    </cfRule>
  </conditionalFormatting>
  <conditionalFormatting sqref="J38:J48">
    <cfRule type="expression" dxfId="2822" priority="11">
      <formula>J38&gt;0</formula>
    </cfRule>
    <cfRule type="expression" dxfId="2821" priority="12">
      <formula>J38&lt;0</formula>
    </cfRule>
  </conditionalFormatting>
  <conditionalFormatting sqref="F27:F30">
    <cfRule type="expression" dxfId="2820" priority="9">
      <formula>F27&gt;0</formula>
    </cfRule>
    <cfRule type="expression" dxfId="2819" priority="10">
      <formula>F27&lt;0</formula>
    </cfRule>
  </conditionalFormatting>
  <conditionalFormatting sqref="H27:H30">
    <cfRule type="expression" dxfId="2818" priority="7">
      <formula>H27&gt;0</formula>
    </cfRule>
    <cfRule type="expression" dxfId="2817" priority="8">
      <formula>H27&lt;0</formula>
    </cfRule>
  </conditionalFormatting>
  <conditionalFormatting sqref="J33">
    <cfRule type="expression" dxfId="2816" priority="5">
      <formula>J33&gt;0</formula>
    </cfRule>
    <cfRule type="expression" dxfId="2815" priority="6">
      <formula>J33&lt;0</formula>
    </cfRule>
  </conditionalFormatting>
  <conditionalFormatting sqref="J31:J32">
    <cfRule type="expression" dxfId="2814" priority="3">
      <formula>J31&gt;0</formula>
    </cfRule>
    <cfRule type="expression" dxfId="2813" priority="4">
      <formula>J31&lt;0</formula>
    </cfRule>
  </conditionalFormatting>
  <conditionalFormatting sqref="J28:J30">
    <cfRule type="expression" dxfId="2812" priority="1">
      <formula>J28&gt;0</formula>
    </cfRule>
    <cfRule type="expression" dxfId="2811" priority="2">
      <formula>J28&lt;0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1329</v>
      </c>
      <c r="B2" s="368">
        <v>43451</v>
      </c>
      <c r="C2" s="7">
        <v>200</v>
      </c>
      <c r="D2" s="43">
        <v>13.68</v>
      </c>
      <c r="E2" s="43">
        <v>0</v>
      </c>
      <c r="F2" s="43">
        <f>C2*D2+E2</f>
        <v>2736</v>
      </c>
      <c r="G2" s="368">
        <v>43515</v>
      </c>
      <c r="H2" s="80">
        <v>200</v>
      </c>
      <c r="I2" s="43">
        <v>15.63</v>
      </c>
      <c r="J2" s="43">
        <v>0.04</v>
      </c>
      <c r="K2" s="43">
        <f>H2*I2-J2</f>
        <v>3125.96</v>
      </c>
      <c r="L2" s="72">
        <v>43515</v>
      </c>
      <c r="M2" s="43">
        <v>61</v>
      </c>
      <c r="O2" s="11" t="s">
        <v>57</v>
      </c>
      <c r="Q2">
        <f>C18-H18</f>
        <v>0</v>
      </c>
      <c r="T2" s="1"/>
    </row>
    <row r="3" spans="1:21" x14ac:dyDescent="0.25">
      <c r="A3" s="22" t="s">
        <v>71</v>
      </c>
      <c r="B3" s="72"/>
      <c r="C3" s="4"/>
      <c r="D3" s="3"/>
      <c r="E3" s="3"/>
      <c r="F3" s="3"/>
      <c r="G3" s="72"/>
      <c r="H3" s="161"/>
      <c r="I3" s="3"/>
      <c r="J3" s="3"/>
      <c r="K3" s="3"/>
      <c r="L3" s="4"/>
      <c r="M3" s="4"/>
      <c r="O3" s="11" t="s">
        <v>58</v>
      </c>
      <c r="Q3" s="178">
        <f>IF(Q2=0, Q4, (F18-K18-M18)/Q2)</f>
        <v>15.62</v>
      </c>
      <c r="T3" s="1"/>
      <c r="U3" s="22"/>
    </row>
    <row r="4" spans="1:21" x14ac:dyDescent="0.25">
      <c r="B4" s="72"/>
      <c r="C4" s="4"/>
      <c r="D4" s="3"/>
      <c r="E4" s="3"/>
      <c r="F4" s="3"/>
      <c r="G4" s="72"/>
      <c r="H4" s="161"/>
      <c r="I4" s="3"/>
      <c r="J4" s="3"/>
      <c r="K4" s="3"/>
      <c r="L4" s="4"/>
      <c r="M4" s="4"/>
      <c r="O4" s="11" t="s">
        <v>66</v>
      </c>
      <c r="Q4" s="54">
        <v>15.62</v>
      </c>
      <c r="R4" s="425">
        <v>3.7900000000000003E-2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450.96000000000004</v>
      </c>
      <c r="R7">
        <v>0</v>
      </c>
    </row>
    <row r="8" spans="1:21" x14ac:dyDescent="0.25">
      <c r="B8" s="72"/>
      <c r="C8" s="4"/>
      <c r="D8" s="3"/>
      <c r="E8" s="3"/>
      <c r="F8" s="3"/>
      <c r="G8" s="4"/>
      <c r="H8" s="161"/>
      <c r="I8" s="3"/>
      <c r="J8" s="3"/>
      <c r="K8" s="3"/>
      <c r="L8" s="4"/>
      <c r="M8" s="4"/>
      <c r="O8" s="11" t="s">
        <v>179</v>
      </c>
      <c r="P8" s="33"/>
      <c r="Q8" s="2">
        <f>K18+M18-F18+Q2*Q4</f>
        <v>450.96000000000004</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7.3956466069142135E-2</v>
      </c>
      <c r="R11">
        <f>0.2888*4</f>
        <v>1.1552</v>
      </c>
    </row>
    <row r="12" spans="1:21" x14ac:dyDescent="0.25">
      <c r="H12" s="70"/>
      <c r="O12" s="11" t="s">
        <v>921</v>
      </c>
      <c r="Q12" s="1" t="s">
        <v>1381</v>
      </c>
    </row>
    <row r="13" spans="1:21" x14ac:dyDescent="0.25">
      <c r="H13" s="70"/>
      <c r="O13" s="11" t="s">
        <v>947</v>
      </c>
    </row>
    <row r="14" spans="1:21" x14ac:dyDescent="0.25">
      <c r="H14" s="70"/>
    </row>
    <row r="15" spans="1:21" x14ac:dyDescent="0.25">
      <c r="H15" s="70"/>
    </row>
    <row r="16" spans="1:21" ht="20.25" thickBot="1" x14ac:dyDescent="0.35">
      <c r="H16" s="70"/>
      <c r="O16" s="884" t="s">
        <v>78</v>
      </c>
      <c r="P16" s="884"/>
    </row>
    <row r="17" spans="1:16" ht="15.75" thickTop="1" x14ac:dyDescent="0.25">
      <c r="O17" s="81">
        <v>1.1000000000000001</v>
      </c>
      <c r="P17" s="81">
        <f>O17*$Q$4</f>
        <v>17.182000000000002</v>
      </c>
    </row>
    <row r="18" spans="1:16" x14ac:dyDescent="0.25">
      <c r="A18" s="31" t="s">
        <v>81</v>
      </c>
      <c r="B18" s="14"/>
      <c r="C18" s="14">
        <f>SUM(C2:C8)</f>
        <v>200</v>
      </c>
      <c r="D18" s="18"/>
      <c r="E18" s="18"/>
      <c r="F18" s="18">
        <f>SUM(F2:F8)</f>
        <v>2736</v>
      </c>
      <c r="G18" s="14"/>
      <c r="H18" s="71">
        <f>SUM(H2:H5)</f>
        <v>200</v>
      </c>
      <c r="I18" s="18"/>
      <c r="J18" s="18"/>
      <c r="K18" s="18">
        <f>SUM(K2:K5)</f>
        <v>3125.96</v>
      </c>
      <c r="L18" s="14"/>
      <c r="M18" s="18">
        <f>SUM(M2:M10)</f>
        <v>61</v>
      </c>
      <c r="O18" s="81">
        <v>1.0900000000000001</v>
      </c>
      <c r="P18" s="81">
        <f t="shared" ref="P18:P37" si="0">O18*$Q$4</f>
        <v>17.0258</v>
      </c>
    </row>
    <row r="19" spans="1:16" ht="15.75" thickBot="1" x14ac:dyDescent="0.3">
      <c r="A19" s="277" t="s">
        <v>191</v>
      </c>
      <c r="B19" s="278"/>
      <c r="C19" s="279">
        <f>SumByColor($A$19,C2:C17)</f>
        <v>200</v>
      </c>
      <c r="D19" s="279"/>
      <c r="E19" s="279"/>
      <c r="F19" s="280">
        <f>SumByColor($A$19,F2:F17)</f>
        <v>2736</v>
      </c>
      <c r="G19" s="279"/>
      <c r="H19" s="279">
        <f>SumByColor($A$19,H2:H17)</f>
        <v>200</v>
      </c>
      <c r="I19" s="279"/>
      <c r="J19" s="279"/>
      <c r="K19" s="280">
        <f>SumByColor($A$19,K2:K17)</f>
        <v>3126</v>
      </c>
      <c r="L19" s="279"/>
      <c r="M19" s="280">
        <f>SumByColor($A$19,M2:M17)</f>
        <v>61</v>
      </c>
      <c r="O19" s="81">
        <v>1.08</v>
      </c>
      <c r="P19" s="81">
        <f t="shared" si="0"/>
        <v>16.869600000000002</v>
      </c>
    </row>
    <row r="20" spans="1:16" x14ac:dyDescent="0.25">
      <c r="O20" s="81">
        <v>1.07</v>
      </c>
      <c r="P20" s="81">
        <f t="shared" si="0"/>
        <v>16.7134</v>
      </c>
    </row>
    <row r="21" spans="1:16" x14ac:dyDescent="0.25">
      <c r="O21" s="81">
        <v>1.06</v>
      </c>
      <c r="P21" s="81">
        <f t="shared" si="0"/>
        <v>16.557200000000002</v>
      </c>
    </row>
    <row r="22" spans="1:16" x14ac:dyDescent="0.25">
      <c r="O22" s="81">
        <v>1.05</v>
      </c>
      <c r="P22" s="81">
        <f t="shared" si="0"/>
        <v>16.401</v>
      </c>
    </row>
    <row r="23" spans="1:16" x14ac:dyDescent="0.25">
      <c r="O23" s="81">
        <v>1.04</v>
      </c>
      <c r="P23" s="81">
        <f t="shared" si="0"/>
        <v>16.244800000000001</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16.0886</v>
      </c>
    </row>
    <row r="25" spans="1:16" x14ac:dyDescent="0.25">
      <c r="B25" s="164">
        <v>43508</v>
      </c>
      <c r="C25" s="10">
        <v>200</v>
      </c>
      <c r="D25" s="39">
        <v>13.68</v>
      </c>
      <c r="E25" s="39">
        <v>14.54</v>
      </c>
      <c r="F25" s="39">
        <f>(E25-D25)*C25</f>
        <v>171.99999999999989</v>
      </c>
      <c r="G25" s="39"/>
      <c r="H25" s="179"/>
      <c r="I25" s="39"/>
      <c r="J25" s="39"/>
      <c r="K25" s="39"/>
      <c r="L25" s="39"/>
      <c r="O25" s="81">
        <v>1.02</v>
      </c>
      <c r="P25" s="81">
        <f t="shared" si="0"/>
        <v>15.932399999999999</v>
      </c>
    </row>
    <row r="26" spans="1:16" x14ac:dyDescent="0.25">
      <c r="B26" s="164">
        <v>43515</v>
      </c>
      <c r="C26" s="10">
        <v>0</v>
      </c>
      <c r="D26" s="39">
        <v>13.375</v>
      </c>
      <c r="E26" s="39">
        <v>15.62</v>
      </c>
      <c r="F26" s="778">
        <v>450.96</v>
      </c>
      <c r="G26" s="39"/>
      <c r="H26" s="179"/>
      <c r="I26" s="39"/>
      <c r="J26" s="39"/>
      <c r="K26" s="39"/>
      <c r="L26" s="39"/>
      <c r="O26" s="81">
        <v>1.01</v>
      </c>
      <c r="P26" s="81">
        <f t="shared" si="0"/>
        <v>15.776199999999999</v>
      </c>
    </row>
    <row r="27" spans="1:16" x14ac:dyDescent="0.25">
      <c r="B27" s="164"/>
      <c r="C27" s="10"/>
      <c r="D27" s="39"/>
      <c r="E27" s="39"/>
      <c r="F27" s="39"/>
      <c r="G27" s="39"/>
      <c r="H27" s="179"/>
      <c r="I27" s="39"/>
      <c r="J27" s="39"/>
      <c r="K27" s="39"/>
      <c r="L27" s="39"/>
      <c r="O27" s="81">
        <v>1</v>
      </c>
      <c r="P27" s="81">
        <f t="shared" si="0"/>
        <v>15.62</v>
      </c>
    </row>
    <row r="28" spans="1:16" x14ac:dyDescent="0.25">
      <c r="B28" s="164"/>
      <c r="C28" s="10"/>
      <c r="D28" s="39"/>
      <c r="E28" s="39"/>
      <c r="F28" s="39"/>
      <c r="G28" s="39"/>
      <c r="H28" s="179"/>
      <c r="I28" s="39"/>
      <c r="J28" s="39"/>
      <c r="K28" s="39"/>
      <c r="L28" s="39"/>
      <c r="O28" s="81">
        <v>0.99</v>
      </c>
      <c r="P28" s="81">
        <f t="shared" si="0"/>
        <v>15.463799999999999</v>
      </c>
    </row>
    <row r="29" spans="1:16" x14ac:dyDescent="0.25">
      <c r="B29" s="164"/>
      <c r="C29" s="10"/>
      <c r="D29" s="39"/>
      <c r="E29" s="39"/>
      <c r="F29" s="39"/>
      <c r="G29" s="39"/>
      <c r="H29" s="179"/>
      <c r="I29" s="39"/>
      <c r="J29" s="39"/>
      <c r="K29" s="39"/>
      <c r="L29" s="39"/>
      <c r="O29" s="81">
        <v>0.98</v>
      </c>
      <c r="P29" s="81">
        <f t="shared" si="0"/>
        <v>15.307599999999999</v>
      </c>
    </row>
    <row r="30" spans="1:16" x14ac:dyDescent="0.25">
      <c r="B30" s="164"/>
      <c r="C30" s="10"/>
      <c r="D30" s="39"/>
      <c r="E30" s="39"/>
      <c r="F30" s="39"/>
      <c r="G30" s="39"/>
      <c r="H30" s="179"/>
      <c r="I30" s="39"/>
      <c r="J30" s="39"/>
      <c r="K30" s="39"/>
      <c r="L30" s="39"/>
      <c r="O30" s="81">
        <v>0.97</v>
      </c>
      <c r="P30" s="81">
        <f t="shared" si="0"/>
        <v>15.151399999999999</v>
      </c>
    </row>
    <row r="31" spans="1:16" x14ac:dyDescent="0.25">
      <c r="B31" s="164"/>
      <c r="C31" s="10"/>
      <c r="D31" s="39"/>
      <c r="E31" s="39"/>
      <c r="F31" s="39"/>
      <c r="G31" s="39"/>
      <c r="H31" s="179"/>
      <c r="I31" s="39"/>
      <c r="J31" s="39"/>
      <c r="K31" s="39"/>
      <c r="L31" s="39"/>
      <c r="O31" s="81">
        <v>0.96</v>
      </c>
      <c r="P31" s="81">
        <f t="shared" si="0"/>
        <v>14.995199999999999</v>
      </c>
    </row>
    <row r="32" spans="1:16" x14ac:dyDescent="0.25">
      <c r="B32" s="164"/>
      <c r="C32" s="10"/>
      <c r="D32" s="39"/>
      <c r="E32" s="39"/>
      <c r="F32" s="39"/>
      <c r="G32" s="39"/>
      <c r="H32" s="179"/>
      <c r="I32" s="39"/>
      <c r="J32" s="39"/>
      <c r="K32" s="39"/>
      <c r="L32" s="39"/>
      <c r="O32" s="81">
        <v>0.95</v>
      </c>
      <c r="P32" s="81">
        <f t="shared" si="0"/>
        <v>14.838999999999999</v>
      </c>
    </row>
    <row r="33" spans="2:17" x14ac:dyDescent="0.25">
      <c r="B33" s="164"/>
      <c r="C33" s="10"/>
      <c r="D33" s="39"/>
      <c r="E33" s="39"/>
      <c r="F33" s="39"/>
      <c r="G33" s="39"/>
      <c r="H33" s="179"/>
      <c r="I33" s="39"/>
      <c r="J33" s="39"/>
      <c r="K33" s="39"/>
      <c r="L33" s="39"/>
      <c r="O33" s="81">
        <v>0.94</v>
      </c>
      <c r="P33" s="81">
        <f t="shared" si="0"/>
        <v>14.682799999999999</v>
      </c>
    </row>
    <row r="34" spans="2:17" x14ac:dyDescent="0.25">
      <c r="B34" s="164"/>
      <c r="C34" s="10"/>
      <c r="D34" s="39"/>
      <c r="E34" s="39"/>
      <c r="F34" s="39"/>
      <c r="G34" s="39"/>
      <c r="H34" s="179"/>
      <c r="I34" s="39"/>
      <c r="J34" s="39"/>
      <c r="K34" s="39"/>
      <c r="L34" s="39"/>
      <c r="O34" s="81">
        <v>0.93</v>
      </c>
      <c r="P34" s="81">
        <f t="shared" si="0"/>
        <v>14.5266</v>
      </c>
    </row>
    <row r="35" spans="2:17" x14ac:dyDescent="0.25">
      <c r="B35" s="164"/>
      <c r="C35" s="10"/>
      <c r="D35" s="39"/>
      <c r="E35" s="39"/>
      <c r="F35" s="39"/>
      <c r="G35" s="39"/>
      <c r="H35" s="179"/>
      <c r="I35" s="39"/>
      <c r="J35" s="39"/>
      <c r="K35" s="39"/>
      <c r="L35" s="39"/>
      <c r="O35" s="81">
        <v>0.92</v>
      </c>
      <c r="P35" s="81">
        <f t="shared" si="0"/>
        <v>14.3704</v>
      </c>
    </row>
    <row r="36" spans="2:17" x14ac:dyDescent="0.25">
      <c r="B36" s="164"/>
      <c r="C36" s="10"/>
      <c r="D36" s="39"/>
      <c r="E36" s="39"/>
      <c r="F36" s="39"/>
      <c r="G36" s="39"/>
      <c r="H36" s="179"/>
      <c r="I36" s="39"/>
      <c r="J36" s="39"/>
      <c r="K36" s="39"/>
      <c r="L36" s="39"/>
      <c r="O36" s="81">
        <v>0.91</v>
      </c>
      <c r="P36" s="81">
        <f t="shared" si="0"/>
        <v>14.2142</v>
      </c>
    </row>
    <row r="37" spans="2:17" x14ac:dyDescent="0.25">
      <c r="B37" s="164"/>
      <c r="C37" s="10"/>
      <c r="D37" s="39"/>
      <c r="E37" s="39"/>
      <c r="F37" s="39"/>
      <c r="G37" s="39"/>
      <c r="H37" s="179"/>
      <c r="I37" s="39"/>
      <c r="J37" s="39"/>
      <c r="K37" s="39"/>
      <c r="L37" s="39"/>
      <c r="O37" s="81">
        <v>0.9</v>
      </c>
      <c r="P37" s="81">
        <f t="shared" si="0"/>
        <v>14.058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10" priority="35">
      <formula>F47&gt;0</formula>
    </cfRule>
    <cfRule type="expression" dxfId="2809" priority="36">
      <formula>F47&lt;0</formula>
    </cfRule>
  </conditionalFormatting>
  <conditionalFormatting sqref="Q7">
    <cfRule type="expression" dxfId="2808" priority="33">
      <formula>Q7&gt;0</formula>
    </cfRule>
    <cfRule type="expression" dxfId="2807" priority="34">
      <formula>Q7&lt;0</formula>
    </cfRule>
  </conditionalFormatting>
  <conditionalFormatting sqref="Q8">
    <cfRule type="expression" dxfId="2806" priority="31">
      <formula>Q8&gt;0</formula>
    </cfRule>
    <cfRule type="expression" dxfId="2805" priority="32">
      <formula>Q8&lt;0</formula>
    </cfRule>
  </conditionalFormatting>
  <conditionalFormatting sqref="F30:F46">
    <cfRule type="expression" dxfId="2804" priority="29">
      <formula>F30&gt;0</formula>
    </cfRule>
    <cfRule type="expression" dxfId="2803" priority="30">
      <formula>F30&lt;0</formula>
    </cfRule>
  </conditionalFormatting>
  <conditionalFormatting sqref="H30:H46">
    <cfRule type="expression" dxfId="2802" priority="27">
      <formula>H30&gt;0</formula>
    </cfRule>
    <cfRule type="expression" dxfId="2801" priority="28">
      <formula>H30&lt;0</formula>
    </cfRule>
  </conditionalFormatting>
  <conditionalFormatting sqref="Q10">
    <cfRule type="expression" dxfId="2800" priority="25">
      <formula>Q10&gt;0</formula>
    </cfRule>
    <cfRule type="expression" dxfId="2799" priority="26">
      <formula>Q10&lt;0</formula>
    </cfRule>
  </conditionalFormatting>
  <conditionalFormatting sqref="J25:J38">
    <cfRule type="expression" dxfId="2798" priority="23">
      <formula>J25&gt;0</formula>
    </cfRule>
    <cfRule type="expression" dxfId="2797" priority="24">
      <formula>J25&lt;0</formula>
    </cfRule>
  </conditionalFormatting>
  <conditionalFormatting sqref="K25:K38">
    <cfRule type="expression" dxfId="2796" priority="21">
      <formula>K25&gt;0</formula>
    </cfRule>
    <cfRule type="expression" dxfId="2795" priority="22">
      <formula>K25&lt;0</formula>
    </cfRule>
  </conditionalFormatting>
  <conditionalFormatting sqref="L25 L38">
    <cfRule type="expression" dxfId="2794" priority="19">
      <formula>L25&gt;0</formula>
    </cfRule>
    <cfRule type="expression" dxfId="2793" priority="20">
      <formula>L25&lt;0</formula>
    </cfRule>
  </conditionalFormatting>
  <conditionalFormatting sqref="F89:F110">
    <cfRule type="expression" dxfId="2792" priority="17">
      <formula>F89&gt;0</formula>
    </cfRule>
    <cfRule type="expression" dxfId="2791" priority="18">
      <formula>F89&lt;0</formula>
    </cfRule>
  </conditionalFormatting>
  <conditionalFormatting sqref="H89:H110">
    <cfRule type="expression" dxfId="2790" priority="15">
      <formula>H89&gt;0</formula>
    </cfRule>
    <cfRule type="expression" dxfId="2789" priority="16">
      <formula>H89&lt;0</formula>
    </cfRule>
  </conditionalFormatting>
  <conditionalFormatting sqref="J89:J102">
    <cfRule type="expression" dxfId="2788" priority="13">
      <formula>J89&gt;0</formula>
    </cfRule>
    <cfRule type="expression" dxfId="2787" priority="14">
      <formula>J89&lt;0</formula>
    </cfRule>
  </conditionalFormatting>
  <conditionalFormatting sqref="K89:K102">
    <cfRule type="expression" dxfId="2786" priority="11">
      <formula>K89&gt;0</formula>
    </cfRule>
    <cfRule type="expression" dxfId="2785" priority="12">
      <formula>K89&lt;0</formula>
    </cfRule>
  </conditionalFormatting>
  <conditionalFormatting sqref="L89:L102">
    <cfRule type="expression" dxfId="2784" priority="9">
      <formula>L89&gt;0</formula>
    </cfRule>
    <cfRule type="expression" dxfId="2783" priority="10">
      <formula>L89&lt;0</formula>
    </cfRule>
  </conditionalFormatting>
  <conditionalFormatting sqref="F29 F25:F26">
    <cfRule type="expression" dxfId="2782" priority="7">
      <formula>F25&gt;0</formula>
    </cfRule>
    <cfRule type="expression" dxfId="2781" priority="8">
      <formula>F25&lt;0</formula>
    </cfRule>
  </conditionalFormatting>
  <conditionalFormatting sqref="H29 H25:H27">
    <cfRule type="expression" dxfId="2780" priority="5">
      <formula>H25&gt;0</formula>
    </cfRule>
    <cfRule type="expression" dxfId="2779" priority="6">
      <formula>H25&lt;0</formula>
    </cfRule>
  </conditionalFormatting>
  <conditionalFormatting sqref="F27:F28">
    <cfRule type="expression" dxfId="2778" priority="3">
      <formula>F27&gt;0</formula>
    </cfRule>
    <cfRule type="expression" dxfId="2777" priority="4">
      <formula>F27&lt;0</formula>
    </cfRule>
  </conditionalFormatting>
  <conditionalFormatting sqref="H28">
    <cfRule type="expression" dxfId="2776" priority="1">
      <formula>H28&gt;0</formula>
    </cfRule>
    <cfRule type="expression" dxfId="2775" priority="2">
      <formula>H28&lt;0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1330</v>
      </c>
      <c r="B2" s="368">
        <v>43453</v>
      </c>
      <c r="C2" s="7">
        <v>100</v>
      </c>
      <c r="D2" s="43">
        <v>39.700000000000003</v>
      </c>
      <c r="E2" s="43">
        <v>0</v>
      </c>
      <c r="F2" s="43">
        <f>C2*D2+E2</f>
        <v>3970.0000000000005</v>
      </c>
      <c r="G2" s="368">
        <v>43483</v>
      </c>
      <c r="H2" s="7">
        <v>100</v>
      </c>
      <c r="I2" s="43">
        <v>41.9</v>
      </c>
      <c r="J2" s="43">
        <v>0.05</v>
      </c>
      <c r="K2" s="43">
        <f>H2*I2-J2</f>
        <v>4189.95</v>
      </c>
      <c r="L2" s="72">
        <v>43464</v>
      </c>
      <c r="M2" s="43">
        <v>125.98</v>
      </c>
      <c r="O2" s="11" t="s">
        <v>57</v>
      </c>
      <c r="Q2">
        <f>C18-H18</f>
        <v>0</v>
      </c>
      <c r="T2" s="1"/>
    </row>
    <row r="3" spans="1:21" x14ac:dyDescent="0.25">
      <c r="A3" s="22" t="s">
        <v>71</v>
      </c>
      <c r="B3" s="72"/>
      <c r="C3" s="4"/>
      <c r="D3" s="3"/>
      <c r="E3" s="3"/>
      <c r="F3" s="3"/>
      <c r="G3" s="72"/>
      <c r="H3" s="161"/>
      <c r="I3" s="3"/>
      <c r="J3" s="3"/>
      <c r="K3" s="3"/>
      <c r="L3" s="72">
        <v>43464</v>
      </c>
      <c r="M3" s="43">
        <v>1.5</v>
      </c>
      <c r="O3" s="11" t="s">
        <v>58</v>
      </c>
      <c r="Q3" s="178">
        <f>IF(Q2=0, Q4, (F18-K18-M18)/Q2)</f>
        <v>42.63</v>
      </c>
      <c r="T3" s="1"/>
      <c r="U3" s="22"/>
    </row>
    <row r="4" spans="1:21" x14ac:dyDescent="0.25">
      <c r="B4" s="72"/>
      <c r="C4" s="4"/>
      <c r="D4" s="3"/>
      <c r="E4" s="3"/>
      <c r="F4" s="3"/>
      <c r="G4" s="72"/>
      <c r="H4" s="161"/>
      <c r="I4" s="3"/>
      <c r="J4" s="3"/>
      <c r="K4" s="3"/>
      <c r="L4" s="4"/>
      <c r="M4" s="4"/>
      <c r="O4" s="11" t="s">
        <v>66</v>
      </c>
      <c r="Q4" s="54">
        <v>42.63</v>
      </c>
      <c r="R4" s="425">
        <v>8.6E-3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347.42999999999893</v>
      </c>
      <c r="R7">
        <v>0</v>
      </c>
    </row>
    <row r="8" spans="1:21" x14ac:dyDescent="0.25">
      <c r="B8" s="72"/>
      <c r="C8" s="4"/>
      <c r="D8" s="3"/>
      <c r="E8" s="3"/>
      <c r="F8" s="3"/>
      <c r="G8" s="4"/>
      <c r="H8" s="161"/>
      <c r="I8" s="3"/>
      <c r="J8" s="3"/>
      <c r="K8" s="3"/>
      <c r="L8" s="4"/>
      <c r="M8" s="4"/>
      <c r="O8" s="11" t="s">
        <v>179</v>
      </c>
      <c r="P8" s="33"/>
      <c r="Q8" s="2">
        <f>K18+M18-F18+Q2*Q4</f>
        <v>347.42999999999893</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2.7098287590898426E-2</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4" t="s">
        <v>78</v>
      </c>
      <c r="P16" s="884"/>
    </row>
    <row r="17" spans="1:16" ht="15.75" thickTop="1" x14ac:dyDescent="0.25">
      <c r="O17" s="81">
        <v>1.1000000000000001</v>
      </c>
      <c r="P17" s="81">
        <f>O17*$Q$4</f>
        <v>46.893000000000008</v>
      </c>
    </row>
    <row r="18" spans="1:16" x14ac:dyDescent="0.25">
      <c r="A18" s="31" t="s">
        <v>81</v>
      </c>
      <c r="B18" s="14"/>
      <c r="C18" s="14">
        <f>SUM(C2:C8)</f>
        <v>100</v>
      </c>
      <c r="D18" s="18"/>
      <c r="E18" s="18"/>
      <c r="F18" s="18">
        <f>SUM(F2:F8)</f>
        <v>3970.0000000000005</v>
      </c>
      <c r="G18" s="14"/>
      <c r="H18" s="71">
        <f>SUM(H2:H5)</f>
        <v>100</v>
      </c>
      <c r="I18" s="18"/>
      <c r="J18" s="18"/>
      <c r="K18" s="18">
        <f>SUM(K2:K5)</f>
        <v>4189.95</v>
      </c>
      <c r="L18" s="14"/>
      <c r="M18" s="18">
        <f>SUM(M2:M10)</f>
        <v>127.48</v>
      </c>
      <c r="O18" s="81">
        <v>1.0900000000000001</v>
      </c>
      <c r="P18" s="81">
        <f t="shared" ref="P18:P37" si="0">O18*$Q$4</f>
        <v>46.466700000000003</v>
      </c>
    </row>
    <row r="19" spans="1:16" ht="15.75" thickBot="1" x14ac:dyDescent="0.3">
      <c r="A19" s="277" t="s">
        <v>191</v>
      </c>
      <c r="B19" s="278"/>
      <c r="C19" s="279">
        <f>SumByColor($A$19,C2:C17)</f>
        <v>100</v>
      </c>
      <c r="D19" s="279"/>
      <c r="E19" s="279"/>
      <c r="F19" s="280">
        <f>SumByColor($A$19,F2:F17)</f>
        <v>3970</v>
      </c>
      <c r="G19" s="279"/>
      <c r="H19" s="279">
        <f>SumByColor($A$19,H2:H17)</f>
        <v>100</v>
      </c>
      <c r="I19" s="279"/>
      <c r="J19" s="279"/>
      <c r="K19" s="280">
        <f>SumByColor($A$19,K2:K17)</f>
        <v>4190</v>
      </c>
      <c r="L19" s="279"/>
      <c r="M19" s="280">
        <f>SumByColor($A$19,M2:M17)</f>
        <v>128</v>
      </c>
      <c r="O19" s="81">
        <v>1.08</v>
      </c>
      <c r="P19" s="81">
        <f t="shared" si="0"/>
        <v>46.040400000000005</v>
      </c>
    </row>
    <row r="20" spans="1:16" x14ac:dyDescent="0.25">
      <c r="O20" s="81">
        <v>1.07</v>
      </c>
      <c r="P20" s="81">
        <f t="shared" si="0"/>
        <v>45.614100000000008</v>
      </c>
    </row>
    <row r="21" spans="1:16" x14ac:dyDescent="0.25">
      <c r="O21" s="81">
        <v>1.06</v>
      </c>
      <c r="P21" s="81">
        <f t="shared" si="0"/>
        <v>45.187800000000003</v>
      </c>
    </row>
    <row r="22" spans="1:16" x14ac:dyDescent="0.25">
      <c r="O22" s="81">
        <v>1.05</v>
      </c>
      <c r="P22" s="81">
        <f t="shared" si="0"/>
        <v>44.761500000000005</v>
      </c>
    </row>
    <row r="23" spans="1:16" x14ac:dyDescent="0.25">
      <c r="O23" s="81">
        <v>1.04</v>
      </c>
      <c r="P23" s="81">
        <f t="shared" si="0"/>
        <v>44.335200000000007</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43.908900000000003</v>
      </c>
    </row>
    <row r="25" spans="1:16" x14ac:dyDescent="0.25">
      <c r="B25" s="164">
        <v>43464</v>
      </c>
      <c r="C25" s="10">
        <v>100</v>
      </c>
      <c r="D25" s="39">
        <v>38.425199999999997</v>
      </c>
      <c r="E25" s="39">
        <v>37.99</v>
      </c>
      <c r="F25" s="39">
        <f xml:space="preserve"> - C25*(D25-E25)</f>
        <v>-43.51999999999947</v>
      </c>
      <c r="G25" s="39">
        <f>D25*C25</f>
        <v>3842.5199999999995</v>
      </c>
      <c r="H25" s="179">
        <f>F25/G25</f>
        <v>-1.1325900710991609E-2</v>
      </c>
      <c r="I25" s="39">
        <v>38</v>
      </c>
      <c r="J25" s="39"/>
      <c r="K25" s="39"/>
      <c r="L25" s="39"/>
      <c r="O25" s="81">
        <v>1.02</v>
      </c>
      <c r="P25" s="81">
        <f t="shared" si="0"/>
        <v>43.482600000000005</v>
      </c>
    </row>
    <row r="26" spans="1:16" x14ac:dyDescent="0.25">
      <c r="B26" s="164">
        <v>43483</v>
      </c>
      <c r="C26" s="10">
        <v>0</v>
      </c>
      <c r="D26" s="39">
        <v>38.43</v>
      </c>
      <c r="E26" s="39">
        <v>41.9</v>
      </c>
      <c r="F26" s="39"/>
      <c r="G26" s="39"/>
      <c r="H26" s="179"/>
      <c r="I26" s="39"/>
      <c r="J26" s="39">
        <v>347.43</v>
      </c>
      <c r="K26" s="39"/>
      <c r="L26" s="39"/>
      <c r="O26" s="81">
        <v>1.01</v>
      </c>
      <c r="P26" s="81">
        <f t="shared" si="0"/>
        <v>43.0563</v>
      </c>
    </row>
    <row r="27" spans="1:16" x14ac:dyDescent="0.25">
      <c r="B27" s="164"/>
      <c r="C27" s="10"/>
      <c r="D27" s="39"/>
      <c r="E27" s="39"/>
      <c r="F27" s="39"/>
      <c r="G27" s="39"/>
      <c r="H27" s="179"/>
      <c r="I27" s="39"/>
      <c r="J27" s="39"/>
      <c r="K27" s="39"/>
      <c r="L27" s="39"/>
      <c r="O27" s="81">
        <v>1</v>
      </c>
      <c r="P27" s="81">
        <f t="shared" si="0"/>
        <v>42.63</v>
      </c>
    </row>
    <row r="28" spans="1:16" x14ac:dyDescent="0.25">
      <c r="B28" s="164"/>
      <c r="C28" s="10"/>
      <c r="D28" s="39"/>
      <c r="E28" s="39"/>
      <c r="F28" s="39"/>
      <c r="G28" s="39"/>
      <c r="H28" s="179"/>
      <c r="I28" s="39"/>
      <c r="J28" s="39"/>
      <c r="K28" s="39"/>
      <c r="L28" s="39"/>
      <c r="O28" s="81">
        <v>0.99</v>
      </c>
      <c r="P28" s="81">
        <f t="shared" si="0"/>
        <v>42.203700000000005</v>
      </c>
    </row>
    <row r="29" spans="1:16" x14ac:dyDescent="0.25">
      <c r="B29" s="164"/>
      <c r="C29" s="10"/>
      <c r="D29" s="39"/>
      <c r="E29" s="39"/>
      <c r="F29" s="39"/>
      <c r="G29" s="39"/>
      <c r="H29" s="179"/>
      <c r="I29" s="39"/>
      <c r="J29" s="39"/>
      <c r="K29" s="39"/>
      <c r="L29" s="39"/>
      <c r="O29" s="81">
        <v>0.98</v>
      </c>
      <c r="P29" s="81">
        <f t="shared" si="0"/>
        <v>41.7774</v>
      </c>
    </row>
    <row r="30" spans="1:16" x14ac:dyDescent="0.25">
      <c r="B30" s="164"/>
      <c r="C30" s="10"/>
      <c r="D30" s="39"/>
      <c r="E30" s="39"/>
      <c r="F30" s="39"/>
      <c r="G30" s="39"/>
      <c r="H30" s="179"/>
      <c r="I30" s="39"/>
      <c r="J30" s="39"/>
      <c r="K30" s="39"/>
      <c r="L30" s="39"/>
      <c r="O30" s="81">
        <v>0.97</v>
      </c>
      <c r="P30" s="81">
        <f t="shared" si="0"/>
        <v>41.351100000000002</v>
      </c>
    </row>
    <row r="31" spans="1:16" x14ac:dyDescent="0.25">
      <c r="B31" s="164"/>
      <c r="C31" s="10"/>
      <c r="D31" s="39"/>
      <c r="E31" s="39"/>
      <c r="F31" s="39"/>
      <c r="G31" s="39"/>
      <c r="H31" s="179"/>
      <c r="I31" s="39"/>
      <c r="J31" s="39"/>
      <c r="K31" s="39"/>
      <c r="L31" s="39"/>
      <c r="O31" s="81">
        <v>0.96</v>
      </c>
      <c r="P31" s="81">
        <f t="shared" si="0"/>
        <v>40.924799999999998</v>
      </c>
    </row>
    <row r="32" spans="1:16" x14ac:dyDescent="0.25">
      <c r="B32" s="164"/>
      <c r="C32" s="10"/>
      <c r="D32" s="39"/>
      <c r="E32" s="39"/>
      <c r="F32" s="39"/>
      <c r="G32" s="39"/>
      <c r="H32" s="179"/>
      <c r="I32" s="39"/>
      <c r="J32" s="39"/>
      <c r="K32" s="39"/>
      <c r="L32" s="39"/>
      <c r="O32" s="81">
        <v>0.95</v>
      </c>
      <c r="P32" s="81">
        <f t="shared" si="0"/>
        <v>40.4985</v>
      </c>
    </row>
    <row r="33" spans="2:17" x14ac:dyDescent="0.25">
      <c r="B33" s="164"/>
      <c r="C33" s="10"/>
      <c r="D33" s="39"/>
      <c r="E33" s="39"/>
      <c r="F33" s="39"/>
      <c r="G33" s="39"/>
      <c r="H33" s="179"/>
      <c r="I33" s="39"/>
      <c r="J33" s="39"/>
      <c r="K33" s="39"/>
      <c r="L33" s="39"/>
      <c r="O33" s="81">
        <v>0.94</v>
      </c>
      <c r="P33" s="81">
        <f t="shared" si="0"/>
        <v>40.072200000000002</v>
      </c>
    </row>
    <row r="34" spans="2:17" x14ac:dyDescent="0.25">
      <c r="B34" s="164"/>
      <c r="C34" s="10"/>
      <c r="D34" s="39"/>
      <c r="E34" s="39"/>
      <c r="F34" s="39"/>
      <c r="G34" s="39"/>
      <c r="H34" s="179"/>
      <c r="I34" s="39"/>
      <c r="J34" s="39"/>
      <c r="K34" s="39"/>
      <c r="L34" s="39"/>
      <c r="O34" s="81">
        <v>0.93</v>
      </c>
      <c r="P34" s="81">
        <f t="shared" si="0"/>
        <v>39.645900000000005</v>
      </c>
    </row>
    <row r="35" spans="2:17" x14ac:dyDescent="0.25">
      <c r="B35" s="164"/>
      <c r="C35" s="10"/>
      <c r="D35" s="39"/>
      <c r="E35" s="39"/>
      <c r="F35" s="39"/>
      <c r="G35" s="39"/>
      <c r="H35" s="179"/>
      <c r="I35" s="39"/>
      <c r="J35" s="39"/>
      <c r="K35" s="39"/>
      <c r="L35" s="39"/>
      <c r="O35" s="81">
        <v>0.92</v>
      </c>
      <c r="P35" s="81">
        <f t="shared" si="0"/>
        <v>39.219600000000007</v>
      </c>
    </row>
    <row r="36" spans="2:17" x14ac:dyDescent="0.25">
      <c r="B36" s="164"/>
      <c r="C36" s="10"/>
      <c r="D36" s="39"/>
      <c r="E36" s="39"/>
      <c r="F36" s="39"/>
      <c r="G36" s="39"/>
      <c r="H36" s="179"/>
      <c r="I36" s="39"/>
      <c r="J36" s="39"/>
      <c r="K36" s="39"/>
      <c r="L36" s="39"/>
      <c r="O36" s="81">
        <v>0.91</v>
      </c>
      <c r="P36" s="81">
        <f t="shared" si="0"/>
        <v>38.793300000000002</v>
      </c>
    </row>
    <row r="37" spans="2:17" x14ac:dyDescent="0.25">
      <c r="B37" s="164"/>
      <c r="C37" s="10"/>
      <c r="D37" s="39"/>
      <c r="E37" s="39"/>
      <c r="F37" s="39"/>
      <c r="G37" s="39"/>
      <c r="H37" s="179"/>
      <c r="I37" s="39"/>
      <c r="J37" s="39"/>
      <c r="K37" s="39"/>
      <c r="L37" s="39"/>
      <c r="O37" s="81">
        <v>0.9</v>
      </c>
      <c r="P37" s="81">
        <f t="shared" si="0"/>
        <v>38.367000000000004</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774" priority="35">
      <formula>F47&gt;0</formula>
    </cfRule>
    <cfRule type="expression" dxfId="2773" priority="36">
      <formula>F47&lt;0</formula>
    </cfRule>
  </conditionalFormatting>
  <conditionalFormatting sqref="Q7">
    <cfRule type="expression" dxfId="2772" priority="33">
      <formula>Q7&gt;0</formula>
    </cfRule>
    <cfRule type="expression" dxfId="2771" priority="34">
      <formula>Q7&lt;0</formula>
    </cfRule>
  </conditionalFormatting>
  <conditionalFormatting sqref="Q8">
    <cfRule type="expression" dxfId="2770" priority="31">
      <formula>Q8&gt;0</formula>
    </cfRule>
    <cfRule type="expression" dxfId="2769" priority="32">
      <formula>Q8&lt;0</formula>
    </cfRule>
  </conditionalFormatting>
  <conditionalFormatting sqref="F30:F46">
    <cfRule type="expression" dxfId="2768" priority="29">
      <formula>F30&gt;0</formula>
    </cfRule>
    <cfRule type="expression" dxfId="2767" priority="30">
      <formula>F30&lt;0</formula>
    </cfRule>
  </conditionalFormatting>
  <conditionalFormatting sqref="H30:H46">
    <cfRule type="expression" dxfId="2766" priority="27">
      <formula>H30&gt;0</formula>
    </cfRule>
    <cfRule type="expression" dxfId="2765" priority="28">
      <formula>H30&lt;0</formula>
    </cfRule>
  </conditionalFormatting>
  <conditionalFormatting sqref="Q10">
    <cfRule type="expression" dxfId="2764" priority="25">
      <formula>Q10&gt;0</formula>
    </cfRule>
    <cfRule type="expression" dxfId="2763" priority="26">
      <formula>Q10&lt;0</formula>
    </cfRule>
  </conditionalFormatting>
  <conditionalFormatting sqref="J25:J38">
    <cfRule type="expression" dxfId="2762" priority="23">
      <formula>J25&gt;0</formula>
    </cfRule>
    <cfRule type="expression" dxfId="2761" priority="24">
      <formula>J25&lt;0</formula>
    </cfRule>
  </conditionalFormatting>
  <conditionalFormatting sqref="K25:K38">
    <cfRule type="expression" dxfId="2760" priority="21">
      <formula>K25&gt;0</formula>
    </cfRule>
    <cfRule type="expression" dxfId="2759" priority="22">
      <formula>K25&lt;0</formula>
    </cfRule>
  </conditionalFormatting>
  <conditionalFormatting sqref="L25 L38">
    <cfRule type="expression" dxfId="2758" priority="19">
      <formula>L25&gt;0</formula>
    </cfRule>
    <cfRule type="expression" dxfId="2757" priority="20">
      <formula>L25&lt;0</formula>
    </cfRule>
  </conditionalFormatting>
  <conditionalFormatting sqref="F89:F110">
    <cfRule type="expression" dxfId="2756" priority="17">
      <formula>F89&gt;0</formula>
    </cfRule>
    <cfRule type="expression" dxfId="2755" priority="18">
      <formula>F89&lt;0</formula>
    </cfRule>
  </conditionalFormatting>
  <conditionalFormatting sqref="H89:H110">
    <cfRule type="expression" dxfId="2754" priority="15">
      <formula>H89&gt;0</formula>
    </cfRule>
    <cfRule type="expression" dxfId="2753" priority="16">
      <formula>H89&lt;0</formula>
    </cfRule>
  </conditionalFormatting>
  <conditionalFormatting sqref="J89:J102">
    <cfRule type="expression" dxfId="2752" priority="13">
      <formula>J89&gt;0</formula>
    </cfRule>
    <cfRule type="expression" dxfId="2751" priority="14">
      <formula>J89&lt;0</formula>
    </cfRule>
  </conditionalFormatting>
  <conditionalFormatting sqref="K89:K102">
    <cfRule type="expression" dxfId="2750" priority="11">
      <formula>K89&gt;0</formula>
    </cfRule>
    <cfRule type="expression" dxfId="2749" priority="12">
      <formula>K89&lt;0</formula>
    </cfRule>
  </conditionalFormatting>
  <conditionalFormatting sqref="L89:L102">
    <cfRule type="expression" dxfId="2748" priority="9">
      <formula>L89&gt;0</formula>
    </cfRule>
    <cfRule type="expression" dxfId="2747" priority="10">
      <formula>L89&lt;0</formula>
    </cfRule>
  </conditionalFormatting>
  <conditionalFormatting sqref="F29 F25:F26">
    <cfRule type="expression" dxfId="2746" priority="7">
      <formula>F25&gt;0</formula>
    </cfRule>
    <cfRule type="expression" dxfId="2745" priority="8">
      <formula>F25&lt;0</formula>
    </cfRule>
  </conditionalFormatting>
  <conditionalFormatting sqref="H29 H25:H27">
    <cfRule type="expression" dxfId="2744" priority="5">
      <formula>H25&gt;0</formula>
    </cfRule>
    <cfRule type="expression" dxfId="2743" priority="6">
      <formula>H25&lt;0</formula>
    </cfRule>
  </conditionalFormatting>
  <conditionalFormatting sqref="F27:F28">
    <cfRule type="expression" dxfId="2742" priority="3">
      <formula>F27&gt;0</formula>
    </cfRule>
    <cfRule type="expression" dxfId="2741" priority="4">
      <formula>F27&lt;0</formula>
    </cfRule>
  </conditionalFormatting>
  <conditionalFormatting sqref="H28">
    <cfRule type="expression" dxfId="2740" priority="1">
      <formula>H28&gt;0</formula>
    </cfRule>
    <cfRule type="expression" dxfId="2739" priority="2">
      <formula>H28&lt;0</formula>
    </cfRule>
  </conditionalFormatting>
  <hyperlinks>
    <hyperlink ref="A3" location="ACTIVE!A1" display="Back"/>
  </hyperlinks>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893"/>
  <sheetViews>
    <sheetView tabSelected="1" zoomScaleNormal="100" workbookViewId="0">
      <pane ySplit="1" topLeftCell="A48" activePane="bottomLeft" state="frozen"/>
      <selection pane="bottomLeft" activeCell="I116" sqref="I116"/>
    </sheetView>
  </sheetViews>
  <sheetFormatPr defaultRowHeight="15" x14ac:dyDescent="0.25"/>
  <cols>
    <col min="1" max="1" width="11.140625" customWidth="1"/>
    <col min="2" max="2" width="10.7109375" style="29" bestFit="1" customWidth="1"/>
    <col min="3" max="3" width="9.140625" customWidth="1"/>
    <col min="4" max="4" width="9.140625" style="78"/>
    <col min="5" max="5" width="9.140625" style="2"/>
    <col min="6" max="6" width="14.85546875" style="2" bestFit="1" customWidth="1"/>
    <col min="7" max="7" width="10.7109375" bestFit="1" customWidth="1"/>
    <col min="8" max="8" width="10.5703125" style="70" bestFit="1" customWidth="1"/>
    <col min="9" max="9" width="15.28515625" style="78"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21" customWidth="1"/>
    <col min="22" max="22" width="141.7109375" style="661"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6" t="s">
        <v>5</v>
      </c>
      <c r="E1" s="20" t="s">
        <v>90</v>
      </c>
      <c r="F1" s="20" t="s">
        <v>60</v>
      </c>
      <c r="G1" s="34" t="s">
        <v>3</v>
      </c>
      <c r="H1" s="74" t="s">
        <v>6</v>
      </c>
      <c r="I1" s="76" t="s">
        <v>7</v>
      </c>
      <c r="J1" s="20" t="s">
        <v>89</v>
      </c>
      <c r="K1" s="20" t="s">
        <v>61</v>
      </c>
      <c r="L1" s="11" t="s">
        <v>37</v>
      </c>
      <c r="M1" s="20" t="s">
        <v>38</v>
      </c>
      <c r="U1" s="742" t="s">
        <v>70</v>
      </c>
      <c r="V1" s="82"/>
    </row>
    <row r="2" spans="1:39" x14ac:dyDescent="0.25">
      <c r="A2" s="6" t="s">
        <v>50</v>
      </c>
      <c r="B2" s="406">
        <v>42761</v>
      </c>
      <c r="C2" s="7">
        <v>500</v>
      </c>
      <c r="D2" s="77">
        <v>17.79</v>
      </c>
      <c r="E2" s="43">
        <v>0</v>
      </c>
      <c r="F2" s="43">
        <f t="shared" ref="F2:F62" si="0">C2*D2+E2</f>
        <v>8895</v>
      </c>
      <c r="G2" s="406">
        <v>42795</v>
      </c>
      <c r="H2" s="80">
        <v>500</v>
      </c>
      <c r="I2" s="77">
        <v>16.63</v>
      </c>
      <c r="J2" s="43">
        <v>0.18</v>
      </c>
      <c r="K2" s="43">
        <f>H2*I2-J2</f>
        <v>8314.82</v>
      </c>
      <c r="L2" s="72">
        <v>42805</v>
      </c>
      <c r="M2" s="43">
        <v>330</v>
      </c>
      <c r="O2" s="11" t="s">
        <v>57</v>
      </c>
      <c r="Q2" s="80">
        <f>C127-H127</f>
        <v>1700</v>
      </c>
      <c r="U2"/>
      <c r="V2" t="s">
        <v>1343</v>
      </c>
      <c r="W2" s="755"/>
      <c r="X2" s="660"/>
      <c r="AA2" s="2"/>
      <c r="AD2" s="2"/>
      <c r="AG2" s="2"/>
      <c r="AI2" s="2"/>
      <c r="AM2" s="2"/>
    </row>
    <row r="3" spans="1:39" x14ac:dyDescent="0.25">
      <c r="A3" s="22" t="s">
        <v>71</v>
      </c>
      <c r="B3" s="406">
        <v>42761</v>
      </c>
      <c r="C3" s="7">
        <v>500</v>
      </c>
      <c r="D3" s="77">
        <v>17.78</v>
      </c>
      <c r="E3" s="43">
        <v>-2.5</v>
      </c>
      <c r="F3" s="43">
        <f t="shared" si="0"/>
        <v>8887.5</v>
      </c>
      <c r="G3" s="406">
        <v>42803</v>
      </c>
      <c r="H3" s="80">
        <v>200</v>
      </c>
      <c r="I3" s="77">
        <v>15.6</v>
      </c>
      <c r="J3" s="43">
        <v>7.0000000000000007E-2</v>
      </c>
      <c r="K3" s="43">
        <f t="shared" ref="K3:K100" si="1">H3*I3-J3</f>
        <v>3119.93</v>
      </c>
      <c r="L3" s="72">
        <v>42846</v>
      </c>
      <c r="M3" s="43">
        <v>3.25</v>
      </c>
      <c r="O3" s="11" t="s">
        <v>58</v>
      </c>
      <c r="Q3" s="411">
        <f>IF(Q2=0, Q4, (F127-K127-M127)/Q2)</f>
        <v>2.7204000000000303</v>
      </c>
      <c r="U3"/>
      <c r="V3"/>
      <c r="W3" s="755"/>
      <c r="AA3" s="2"/>
      <c r="AD3" s="2"/>
      <c r="AG3" s="2"/>
      <c r="AI3" s="2"/>
    </row>
    <row r="4" spans="1:39" ht="15" customHeight="1" x14ac:dyDescent="0.25">
      <c r="B4" s="406">
        <v>42762</v>
      </c>
      <c r="C4" s="7">
        <v>100</v>
      </c>
      <c r="D4" s="77">
        <v>17.28</v>
      </c>
      <c r="E4" s="43">
        <v>0</v>
      </c>
      <c r="F4" s="43">
        <f t="shared" si="0"/>
        <v>1728</v>
      </c>
      <c r="G4" s="406">
        <v>42803</v>
      </c>
      <c r="H4" s="80">
        <v>500</v>
      </c>
      <c r="I4" s="77">
        <v>15.85</v>
      </c>
      <c r="J4" s="43">
        <v>0.17</v>
      </c>
      <c r="K4" s="43">
        <f t="shared" si="1"/>
        <v>7924.83</v>
      </c>
      <c r="L4" s="72">
        <v>42899</v>
      </c>
      <c r="M4" s="43">
        <v>320</v>
      </c>
      <c r="O4" s="11" t="s">
        <v>66</v>
      </c>
      <c r="Q4" s="54">
        <v>17.7</v>
      </c>
      <c r="R4" s="424">
        <v>3.27E-2</v>
      </c>
      <c r="U4"/>
      <c r="V4"/>
      <c r="AA4" s="2"/>
      <c r="AD4" s="2"/>
      <c r="AG4" s="2"/>
      <c r="AI4" s="2"/>
    </row>
    <row r="5" spans="1:39" x14ac:dyDescent="0.25">
      <c r="B5" s="406">
        <v>42765</v>
      </c>
      <c r="C5" s="7">
        <v>100</v>
      </c>
      <c r="D5" s="77">
        <v>16.8</v>
      </c>
      <c r="E5" s="43">
        <v>0</v>
      </c>
      <c r="F5" s="43">
        <f t="shared" si="0"/>
        <v>1680</v>
      </c>
      <c r="G5" s="406">
        <v>42808</v>
      </c>
      <c r="H5" s="80">
        <v>500</v>
      </c>
      <c r="I5" s="77">
        <v>15.18</v>
      </c>
      <c r="J5" s="43">
        <v>0.17</v>
      </c>
      <c r="K5" s="43">
        <f t="shared" si="1"/>
        <v>7589.83</v>
      </c>
      <c r="L5" s="1">
        <v>42989</v>
      </c>
      <c r="M5" s="43">
        <v>400</v>
      </c>
      <c r="N5" s="1"/>
      <c r="O5" s="11" t="s">
        <v>67</v>
      </c>
      <c r="Q5" s="3">
        <f>Q4*Q2</f>
        <v>30090</v>
      </c>
      <c r="U5"/>
      <c r="V5"/>
      <c r="AA5" s="2"/>
      <c r="AD5" s="2"/>
      <c r="AG5" s="2"/>
      <c r="AI5" s="2"/>
    </row>
    <row r="6" spans="1:39" x14ac:dyDescent="0.25">
      <c r="B6" s="406">
        <v>42765</v>
      </c>
      <c r="C6" s="7">
        <v>500</v>
      </c>
      <c r="D6" s="77">
        <v>16.649999999999999</v>
      </c>
      <c r="E6" s="43">
        <v>0</v>
      </c>
      <c r="F6" s="43">
        <f t="shared" si="0"/>
        <v>8325</v>
      </c>
      <c r="G6" s="406">
        <v>42823</v>
      </c>
      <c r="H6" s="80">
        <v>400</v>
      </c>
      <c r="I6" s="77">
        <v>15.48</v>
      </c>
      <c r="J6" s="43">
        <v>0.13</v>
      </c>
      <c r="K6" s="43">
        <f t="shared" si="1"/>
        <v>6191.87</v>
      </c>
      <c r="L6" s="1">
        <v>43081</v>
      </c>
      <c r="M6" s="43">
        <v>285</v>
      </c>
      <c r="O6" s="11" t="s">
        <v>64</v>
      </c>
      <c r="Q6" s="2">
        <f>Q3*Q2</f>
        <v>4624.6800000000512</v>
      </c>
      <c r="U6" s="121">
        <v>42804</v>
      </c>
      <c r="V6" s="755" t="s">
        <v>653</v>
      </c>
      <c r="AA6" s="2"/>
      <c r="AD6" s="2"/>
      <c r="AG6" s="2"/>
      <c r="AI6" s="2"/>
    </row>
    <row r="7" spans="1:39" x14ac:dyDescent="0.25">
      <c r="B7" s="406">
        <v>42765</v>
      </c>
      <c r="C7" s="7">
        <v>200</v>
      </c>
      <c r="D7" s="77">
        <v>16.48</v>
      </c>
      <c r="E7" s="43">
        <v>0</v>
      </c>
      <c r="F7" s="43">
        <f t="shared" si="0"/>
        <v>3296</v>
      </c>
      <c r="G7" s="406">
        <v>42830</v>
      </c>
      <c r="H7" s="80">
        <v>300</v>
      </c>
      <c r="I7" s="77">
        <v>16.62</v>
      </c>
      <c r="J7" s="43">
        <v>0.11</v>
      </c>
      <c r="K7" s="43">
        <f t="shared" si="1"/>
        <v>4985.8900000000003</v>
      </c>
      <c r="L7" s="1">
        <v>43172</v>
      </c>
      <c r="M7" s="43">
        <v>275</v>
      </c>
      <c r="O7" s="11" t="s">
        <v>177</v>
      </c>
      <c r="Q7" s="2">
        <f>Q10+Q8</f>
        <v>40080.891000001575</v>
      </c>
      <c r="R7">
        <v>1100</v>
      </c>
      <c r="U7" s="121">
        <v>42866</v>
      </c>
      <c r="V7" s="755" t="s">
        <v>654</v>
      </c>
      <c r="AA7" s="2"/>
      <c r="AD7" s="2"/>
      <c r="AG7" s="2"/>
      <c r="AI7" s="2"/>
    </row>
    <row r="8" spans="1:39" x14ac:dyDescent="0.25">
      <c r="A8" s="533"/>
      <c r="B8" s="406">
        <v>42766</v>
      </c>
      <c r="C8" s="7">
        <v>100</v>
      </c>
      <c r="D8" s="77">
        <v>16.59</v>
      </c>
      <c r="E8" s="43">
        <v>0</v>
      </c>
      <c r="F8" s="43">
        <f t="shared" si="0"/>
        <v>1659</v>
      </c>
      <c r="G8" s="406">
        <v>42863</v>
      </c>
      <c r="H8" s="80">
        <v>300</v>
      </c>
      <c r="I8" s="77">
        <v>14.275</v>
      </c>
      <c r="J8" s="43">
        <v>0.19</v>
      </c>
      <c r="K8" s="43">
        <f t="shared" si="1"/>
        <v>4282.3100000000004</v>
      </c>
      <c r="L8" s="1">
        <v>43262</v>
      </c>
      <c r="M8" s="43">
        <v>100</v>
      </c>
      <c r="O8" s="11" t="s">
        <v>179</v>
      </c>
      <c r="P8" s="33"/>
      <c r="Q8" s="2">
        <f>K127+M127-F127+Q2*Q4</f>
        <v>25465.319999999949</v>
      </c>
      <c r="U8" s="121">
        <v>43088</v>
      </c>
      <c r="V8" s="661" t="s">
        <v>754</v>
      </c>
      <c r="AA8" s="2"/>
      <c r="AD8" s="2"/>
      <c r="AG8" s="2"/>
      <c r="AI8" s="2"/>
    </row>
    <row r="9" spans="1:39" x14ac:dyDescent="0.25">
      <c r="A9" s="533"/>
      <c r="B9" s="406">
        <v>42766</v>
      </c>
      <c r="C9" s="7">
        <v>200</v>
      </c>
      <c r="D9" s="77">
        <v>16.32</v>
      </c>
      <c r="E9" s="43">
        <v>0</v>
      </c>
      <c r="F9" s="43">
        <f t="shared" si="0"/>
        <v>3264</v>
      </c>
      <c r="G9" s="406">
        <v>42873</v>
      </c>
      <c r="H9" s="80">
        <v>300</v>
      </c>
      <c r="I9" s="77">
        <v>14.38</v>
      </c>
      <c r="J9" s="43">
        <v>0.09</v>
      </c>
      <c r="K9" s="43">
        <f t="shared" si="1"/>
        <v>4313.91</v>
      </c>
      <c r="L9" s="1">
        <v>43353</v>
      </c>
      <c r="M9" s="43">
        <v>115</v>
      </c>
      <c r="O9" s="11" t="s">
        <v>204</v>
      </c>
      <c r="Q9" s="134">
        <f>IF(Q2=0, 0, Q8/Q6)</f>
        <v>5.5063961182178369</v>
      </c>
      <c r="AA9" s="2"/>
      <c r="AD9" s="2"/>
      <c r="AG9" s="2"/>
      <c r="AI9" s="2"/>
    </row>
    <row r="10" spans="1:39" ht="15" customHeight="1" x14ac:dyDescent="0.25">
      <c r="A10" s="533"/>
      <c r="B10" s="406">
        <v>42767</v>
      </c>
      <c r="C10" s="7">
        <v>500</v>
      </c>
      <c r="D10" s="77">
        <v>16.559999999999999</v>
      </c>
      <c r="E10" s="43">
        <v>-0.5</v>
      </c>
      <c r="F10" s="43">
        <f t="shared" si="0"/>
        <v>8279.5</v>
      </c>
      <c r="G10" s="406">
        <v>42874</v>
      </c>
      <c r="H10" s="80">
        <v>300</v>
      </c>
      <c r="I10" s="77">
        <v>14.58</v>
      </c>
      <c r="J10" s="43">
        <v>0.1</v>
      </c>
      <c r="K10" s="43">
        <f t="shared" si="1"/>
        <v>4373.8999999999996</v>
      </c>
      <c r="L10" s="1">
        <v>43444</v>
      </c>
      <c r="M10" s="43">
        <v>110</v>
      </c>
      <c r="O10" s="11" t="s">
        <v>203</v>
      </c>
      <c r="P10" s="33"/>
      <c r="Q10" s="2">
        <f>M628</f>
        <v>14615.571000001626</v>
      </c>
      <c r="U10" s="121">
        <v>43103</v>
      </c>
      <c r="V10" s="661" t="s">
        <v>808</v>
      </c>
      <c r="AA10" s="2"/>
      <c r="AD10" s="2"/>
      <c r="AG10" s="2"/>
      <c r="AI10" s="2"/>
    </row>
    <row r="11" spans="1:39" x14ac:dyDescent="0.25">
      <c r="A11" s="533"/>
      <c r="B11" s="406">
        <v>42767</v>
      </c>
      <c r="C11" s="7">
        <v>500</v>
      </c>
      <c r="D11" s="77">
        <v>16.29</v>
      </c>
      <c r="E11" s="43">
        <v>0</v>
      </c>
      <c r="F11" s="43">
        <f t="shared" si="0"/>
        <v>8145</v>
      </c>
      <c r="G11" s="406">
        <v>42944</v>
      </c>
      <c r="H11" s="80">
        <v>200</v>
      </c>
      <c r="I11" s="77">
        <v>12.58</v>
      </c>
      <c r="J11" s="43">
        <v>1.06</v>
      </c>
      <c r="K11" s="43">
        <f t="shared" si="1"/>
        <v>2514.94</v>
      </c>
      <c r="L11" s="1">
        <v>43535</v>
      </c>
      <c r="M11" s="43">
        <v>90</v>
      </c>
      <c r="O11" s="11" t="s">
        <v>175</v>
      </c>
      <c r="P11" s="33"/>
      <c r="Q11" s="134">
        <f>R11*4/Q4</f>
        <v>1.1299435028248589E-2</v>
      </c>
      <c r="R11">
        <f>0.05</f>
        <v>0.05</v>
      </c>
      <c r="V11" s="661" t="s">
        <v>809</v>
      </c>
      <c r="AA11" s="2"/>
      <c r="AD11" s="2"/>
      <c r="AG11" s="2"/>
      <c r="AI11" s="2"/>
    </row>
    <row r="12" spans="1:39" x14ac:dyDescent="0.25">
      <c r="A12" s="533"/>
      <c r="B12" s="406">
        <v>42767</v>
      </c>
      <c r="C12" s="7">
        <v>200</v>
      </c>
      <c r="D12" s="77">
        <v>16.399999999999999</v>
      </c>
      <c r="E12" s="43">
        <v>0</v>
      </c>
      <c r="F12" s="43">
        <f t="shared" si="0"/>
        <v>3279.9999999999995</v>
      </c>
      <c r="G12" s="406">
        <v>42950</v>
      </c>
      <c r="H12" s="80">
        <v>600</v>
      </c>
      <c r="I12" s="77">
        <v>13.1</v>
      </c>
      <c r="J12" s="43">
        <v>0.18</v>
      </c>
      <c r="K12" s="43">
        <f t="shared" si="1"/>
        <v>7859.82</v>
      </c>
      <c r="O12" s="11" t="s">
        <v>921</v>
      </c>
      <c r="Q12" s="1" t="s">
        <v>1378</v>
      </c>
      <c r="AA12" s="2"/>
      <c r="AD12" s="2"/>
      <c r="AG12" s="2"/>
      <c r="AI12" s="2"/>
    </row>
    <row r="13" spans="1:39" x14ac:dyDescent="0.25">
      <c r="A13" s="533"/>
      <c r="B13" s="406">
        <v>42768</v>
      </c>
      <c r="C13" s="7">
        <v>200</v>
      </c>
      <c r="D13" s="77">
        <v>16.54</v>
      </c>
      <c r="E13" s="43">
        <v>0.4</v>
      </c>
      <c r="F13" s="43">
        <f t="shared" si="0"/>
        <v>3308.4</v>
      </c>
      <c r="G13" s="406">
        <v>42978</v>
      </c>
      <c r="H13" s="80">
        <v>300</v>
      </c>
      <c r="I13" s="77">
        <v>11.2</v>
      </c>
      <c r="J13" s="43">
        <v>0.08</v>
      </c>
      <c r="K13" s="43">
        <f t="shared" si="1"/>
        <v>3359.92</v>
      </c>
      <c r="O13" s="11" t="s">
        <v>947</v>
      </c>
      <c r="Q13" s="2">
        <f>Q4/0.63</f>
        <v>28.095238095238095</v>
      </c>
      <c r="U13" s="121">
        <v>43106</v>
      </c>
      <c r="V13" s="672" t="s">
        <v>829</v>
      </c>
      <c r="AA13" s="2"/>
      <c r="AD13" s="2"/>
      <c r="AG13" s="2"/>
      <c r="AI13" s="2"/>
    </row>
    <row r="14" spans="1:39" x14ac:dyDescent="0.25">
      <c r="A14" s="533"/>
      <c r="B14" s="406">
        <v>42768</v>
      </c>
      <c r="C14" s="7">
        <v>500</v>
      </c>
      <c r="D14" s="77">
        <v>16.32</v>
      </c>
      <c r="E14" s="43">
        <v>0</v>
      </c>
      <c r="F14" s="43">
        <f t="shared" si="0"/>
        <v>8160</v>
      </c>
      <c r="G14" s="406">
        <v>42984</v>
      </c>
      <c r="H14" s="80">
        <v>400</v>
      </c>
      <c r="I14" s="77">
        <v>11.62</v>
      </c>
      <c r="J14" s="43">
        <v>0.11</v>
      </c>
      <c r="K14" s="43">
        <f t="shared" si="1"/>
        <v>4647.8900000000003</v>
      </c>
      <c r="O14" s="11" t="s">
        <v>1012</v>
      </c>
      <c r="Q14" s="29">
        <v>43471</v>
      </c>
      <c r="AA14" s="2"/>
      <c r="AD14" s="2"/>
      <c r="AG14" s="2"/>
      <c r="AI14" s="2"/>
    </row>
    <row r="15" spans="1:39" x14ac:dyDescent="0.25">
      <c r="B15" s="406">
        <v>42772</v>
      </c>
      <c r="C15" s="7">
        <v>400</v>
      </c>
      <c r="D15" s="77">
        <v>16.72</v>
      </c>
      <c r="E15" s="43">
        <v>0</v>
      </c>
      <c r="F15" s="43">
        <f t="shared" si="0"/>
        <v>6688</v>
      </c>
      <c r="G15" s="406">
        <v>42986</v>
      </c>
      <c r="H15" s="80">
        <v>400</v>
      </c>
      <c r="I15" s="77">
        <v>11.3</v>
      </c>
      <c r="J15" s="43">
        <v>0.1</v>
      </c>
      <c r="K15" s="43">
        <f t="shared" si="1"/>
        <v>4519.8999999999996</v>
      </c>
      <c r="U15" s="121">
        <v>43117</v>
      </c>
      <c r="V15" s="661" t="s">
        <v>865</v>
      </c>
      <c r="AA15" s="2"/>
      <c r="AD15" s="2"/>
      <c r="AG15" s="2"/>
      <c r="AI15" s="2"/>
    </row>
    <row r="16" spans="1:39" x14ac:dyDescent="0.25">
      <c r="B16" s="406">
        <v>42772</v>
      </c>
      <c r="C16" s="7">
        <v>300</v>
      </c>
      <c r="D16" s="77">
        <v>16.48</v>
      </c>
      <c r="E16" s="43">
        <v>0</v>
      </c>
      <c r="F16" s="43">
        <f t="shared" si="0"/>
        <v>4944</v>
      </c>
      <c r="G16" s="406">
        <v>42996</v>
      </c>
      <c r="H16" s="80">
        <v>200</v>
      </c>
      <c r="I16" s="77">
        <v>12.08</v>
      </c>
      <c r="J16" s="43">
        <v>0.06</v>
      </c>
      <c r="K16" s="43">
        <f t="shared" si="1"/>
        <v>2415.94</v>
      </c>
      <c r="AA16" s="2"/>
      <c r="AD16" s="2"/>
      <c r="AG16" s="2"/>
      <c r="AI16" s="2"/>
    </row>
    <row r="17" spans="2:39" x14ac:dyDescent="0.25">
      <c r="B17" s="406">
        <v>42773</v>
      </c>
      <c r="C17" s="7">
        <v>300</v>
      </c>
      <c r="D17" s="77">
        <v>16.079999999999998</v>
      </c>
      <c r="E17" s="43">
        <v>0</v>
      </c>
      <c r="F17" s="43">
        <f t="shared" si="0"/>
        <v>4823.9999999999991</v>
      </c>
      <c r="G17" s="406">
        <v>43000</v>
      </c>
      <c r="H17" s="80">
        <v>500</v>
      </c>
      <c r="I17" s="77">
        <v>12.83</v>
      </c>
      <c r="J17" s="43">
        <v>0.15</v>
      </c>
      <c r="K17" s="43">
        <f t="shared" si="1"/>
        <v>6414.85</v>
      </c>
      <c r="U17" s="121">
        <v>43120</v>
      </c>
      <c r="V17" s="661" t="s">
        <v>871</v>
      </c>
      <c r="AA17" s="2"/>
      <c r="AD17" s="2"/>
      <c r="AG17" s="2"/>
      <c r="AI17" s="2"/>
      <c r="AM17" s="2"/>
    </row>
    <row r="18" spans="2:39" x14ac:dyDescent="0.25">
      <c r="B18" s="406">
        <v>42773</v>
      </c>
      <c r="C18" s="7">
        <v>300</v>
      </c>
      <c r="D18" s="77">
        <v>15.85</v>
      </c>
      <c r="E18" s="43">
        <v>0</v>
      </c>
      <c r="F18" s="43">
        <f t="shared" si="0"/>
        <v>4755</v>
      </c>
      <c r="G18" s="406">
        <v>43000</v>
      </c>
      <c r="H18" s="80">
        <v>500</v>
      </c>
      <c r="I18" s="77">
        <v>12.96</v>
      </c>
      <c r="J18" s="43">
        <v>0.15</v>
      </c>
      <c r="K18" s="43">
        <f t="shared" si="1"/>
        <v>6479.85</v>
      </c>
      <c r="V18" s="661" t="s">
        <v>874</v>
      </c>
      <c r="Y18" s="29"/>
      <c r="AA18" s="2"/>
      <c r="AD18" s="2"/>
      <c r="AG18" s="2"/>
      <c r="AI18" s="2"/>
    </row>
    <row r="19" spans="2:39" x14ac:dyDescent="0.25">
      <c r="B19" s="406">
        <v>42782</v>
      </c>
      <c r="C19" s="7">
        <v>300</v>
      </c>
      <c r="D19" s="77">
        <v>16.28</v>
      </c>
      <c r="E19" s="43">
        <v>0</v>
      </c>
      <c r="F19" s="43">
        <f t="shared" si="0"/>
        <v>4884</v>
      </c>
      <c r="G19" s="406">
        <v>43004</v>
      </c>
      <c r="H19" s="80">
        <v>300</v>
      </c>
      <c r="I19" s="77">
        <v>13.22</v>
      </c>
      <c r="J19" s="43">
        <v>0.09</v>
      </c>
      <c r="K19" s="43">
        <f t="shared" si="1"/>
        <v>3965.91</v>
      </c>
      <c r="Y19" s="29"/>
      <c r="AA19" s="2"/>
      <c r="AD19" s="2"/>
      <c r="AG19" s="2"/>
      <c r="AI19" s="2"/>
    </row>
    <row r="20" spans="2:39" x14ac:dyDescent="0.25">
      <c r="B20" s="406">
        <v>42788</v>
      </c>
      <c r="C20" s="7">
        <v>300</v>
      </c>
      <c r="D20" s="77">
        <v>15.74</v>
      </c>
      <c r="E20" s="43">
        <v>0</v>
      </c>
      <c r="F20" s="43">
        <f t="shared" si="0"/>
        <v>4722</v>
      </c>
      <c r="G20" s="406">
        <v>43005</v>
      </c>
      <c r="H20" s="80">
        <v>300</v>
      </c>
      <c r="I20" s="77">
        <v>13.78</v>
      </c>
      <c r="J20" s="43">
        <v>0.1</v>
      </c>
      <c r="K20" s="43">
        <f t="shared" si="1"/>
        <v>4133.8999999999996</v>
      </c>
      <c r="U20" s="121">
        <v>43131</v>
      </c>
      <c r="V20" s="661" t="s">
        <v>873</v>
      </c>
      <c r="Y20" s="29"/>
      <c r="AA20" s="2"/>
      <c r="AD20" s="2"/>
      <c r="AG20" s="2"/>
      <c r="AI20" s="2"/>
    </row>
    <row r="21" spans="2:39" x14ac:dyDescent="0.25">
      <c r="B21" s="406">
        <v>42796</v>
      </c>
      <c r="C21" s="7">
        <v>500</v>
      </c>
      <c r="D21" s="77">
        <v>16.25</v>
      </c>
      <c r="E21" s="43">
        <v>0</v>
      </c>
      <c r="F21" s="43">
        <f t="shared" si="0"/>
        <v>8125</v>
      </c>
      <c r="G21" s="406">
        <v>43011</v>
      </c>
      <c r="H21" s="80">
        <v>300</v>
      </c>
      <c r="I21" s="77">
        <v>13.72</v>
      </c>
      <c r="J21" s="43">
        <v>0.1</v>
      </c>
      <c r="K21" s="43">
        <f t="shared" si="1"/>
        <v>4115.8999999999996</v>
      </c>
      <c r="U21" s="743">
        <v>43136</v>
      </c>
      <c r="V21" s="661" t="s">
        <v>872</v>
      </c>
      <c r="Y21" s="29"/>
      <c r="AA21" s="2"/>
      <c r="AD21" s="2"/>
      <c r="AG21" s="2"/>
      <c r="AI21" s="2"/>
    </row>
    <row r="22" spans="2:39" x14ac:dyDescent="0.25">
      <c r="B22" s="406">
        <v>42802</v>
      </c>
      <c r="C22" s="7">
        <v>200</v>
      </c>
      <c r="D22" s="77">
        <v>15.38</v>
      </c>
      <c r="E22" s="43">
        <v>0</v>
      </c>
      <c r="F22" s="43">
        <f t="shared" si="0"/>
        <v>3076</v>
      </c>
      <c r="G22" s="406">
        <v>43040</v>
      </c>
      <c r="H22" s="80">
        <v>400</v>
      </c>
      <c r="I22" s="77">
        <v>14.48</v>
      </c>
      <c r="J22" s="43">
        <v>0.13</v>
      </c>
      <c r="K22" s="43">
        <f t="shared" si="1"/>
        <v>5791.87</v>
      </c>
      <c r="U22" s="743"/>
      <c r="Y22" s="29"/>
      <c r="AA22" s="2"/>
      <c r="AD22" s="2"/>
      <c r="AG22" s="2"/>
      <c r="AI22" s="2"/>
    </row>
    <row r="23" spans="2:39" ht="20.25" thickBot="1" x14ac:dyDescent="0.35">
      <c r="B23" s="406">
        <v>42802</v>
      </c>
      <c r="C23" s="7">
        <v>500</v>
      </c>
      <c r="D23" s="77">
        <v>14.9</v>
      </c>
      <c r="E23" s="43">
        <v>0</v>
      </c>
      <c r="F23" s="43">
        <f t="shared" si="0"/>
        <v>7450</v>
      </c>
      <c r="G23" s="406">
        <v>43042</v>
      </c>
      <c r="H23" s="80">
        <v>300</v>
      </c>
      <c r="I23" s="77">
        <v>15.58</v>
      </c>
      <c r="J23" s="43">
        <v>0.11</v>
      </c>
      <c r="K23" s="43">
        <f t="shared" si="1"/>
        <v>4673.8900000000003</v>
      </c>
      <c r="O23" s="884" t="s">
        <v>78</v>
      </c>
      <c r="P23" s="884"/>
      <c r="U23" s="743">
        <v>43139</v>
      </c>
      <c r="V23" s="661" t="s">
        <v>899</v>
      </c>
      <c r="Y23" s="29"/>
      <c r="AA23" s="2"/>
      <c r="AD23" s="2"/>
      <c r="AG23" s="2"/>
      <c r="AI23" s="2"/>
    </row>
    <row r="24" spans="2:39" ht="15.75" thickTop="1" x14ac:dyDescent="0.25">
      <c r="B24" s="406">
        <v>42808</v>
      </c>
      <c r="C24" s="7">
        <v>500</v>
      </c>
      <c r="D24" s="77">
        <v>14.88</v>
      </c>
      <c r="E24" s="43">
        <v>0</v>
      </c>
      <c r="F24" s="43">
        <f t="shared" si="0"/>
        <v>7440</v>
      </c>
      <c r="G24" s="406">
        <v>43045</v>
      </c>
      <c r="H24" s="80">
        <v>100</v>
      </c>
      <c r="I24" s="77">
        <v>16.329999999999998</v>
      </c>
      <c r="J24" s="43">
        <v>0.04</v>
      </c>
      <c r="K24" s="43">
        <f t="shared" si="1"/>
        <v>1632.9599999999998</v>
      </c>
      <c r="O24" s="81">
        <v>1.22</v>
      </c>
      <c r="P24" s="81">
        <f>O24*$Q$4</f>
        <v>21.593999999999998</v>
      </c>
      <c r="U24" s="743"/>
      <c r="Y24" s="29"/>
      <c r="AA24" s="2"/>
      <c r="AD24" s="2"/>
      <c r="AG24" s="2"/>
      <c r="AI24" s="2"/>
    </row>
    <row r="25" spans="2:39" x14ac:dyDescent="0.25">
      <c r="B25" s="406">
        <v>42815</v>
      </c>
      <c r="C25" s="7">
        <v>400</v>
      </c>
      <c r="D25" s="77">
        <v>15.25</v>
      </c>
      <c r="E25" s="43">
        <v>0</v>
      </c>
      <c r="F25" s="43">
        <f t="shared" si="0"/>
        <v>6100</v>
      </c>
      <c r="G25" s="406">
        <v>43063</v>
      </c>
      <c r="H25" s="80">
        <v>400</v>
      </c>
      <c r="I25" s="77">
        <v>15.2</v>
      </c>
      <c r="J25" s="43">
        <v>0.14000000000000001</v>
      </c>
      <c r="K25" s="43">
        <f t="shared" si="1"/>
        <v>6079.86</v>
      </c>
      <c r="O25" s="81">
        <v>1.21</v>
      </c>
      <c r="P25" s="81">
        <f>O25*$Q$4</f>
        <v>21.416999999999998</v>
      </c>
      <c r="U25" s="743"/>
      <c r="Y25" s="29"/>
      <c r="AA25" s="2"/>
      <c r="AD25" s="2"/>
      <c r="AG25" s="2"/>
      <c r="AI25" s="2"/>
    </row>
    <row r="26" spans="2:39" ht="15" customHeight="1" x14ac:dyDescent="0.25">
      <c r="B26" s="406">
        <v>42830</v>
      </c>
      <c r="C26" s="7">
        <v>300</v>
      </c>
      <c r="D26" s="77">
        <v>16.260000000000002</v>
      </c>
      <c r="E26" s="43">
        <v>0</v>
      </c>
      <c r="F26" s="43">
        <f t="shared" si="0"/>
        <v>4878.0000000000009</v>
      </c>
      <c r="G26" s="406">
        <v>43070</v>
      </c>
      <c r="H26" s="80">
        <v>100</v>
      </c>
      <c r="I26" s="77">
        <v>15.18</v>
      </c>
      <c r="J26" s="43">
        <v>0.04</v>
      </c>
      <c r="K26" s="43">
        <f t="shared" si="1"/>
        <v>1517.96</v>
      </c>
      <c r="O26" s="81">
        <v>1.2</v>
      </c>
      <c r="P26" s="81">
        <f>O26*$Q$4</f>
        <v>21.24</v>
      </c>
      <c r="U26" s="743">
        <v>43145</v>
      </c>
      <c r="V26" s="661" t="s">
        <v>82</v>
      </c>
      <c r="Y26" s="29"/>
      <c r="AA26" s="2"/>
      <c r="AD26" s="2"/>
      <c r="AG26" s="2"/>
      <c r="AI26" s="2"/>
    </row>
    <row r="27" spans="2:39" ht="15" customHeight="1" x14ac:dyDescent="0.25">
      <c r="B27" s="406">
        <v>42837</v>
      </c>
      <c r="C27" s="7">
        <v>200</v>
      </c>
      <c r="D27" s="77">
        <v>15.95</v>
      </c>
      <c r="E27" s="43">
        <v>0</v>
      </c>
      <c r="F27" s="43">
        <f t="shared" si="0"/>
        <v>3190</v>
      </c>
      <c r="G27" s="406">
        <v>43087</v>
      </c>
      <c r="H27" s="80">
        <v>200</v>
      </c>
      <c r="I27" s="77">
        <v>15.33</v>
      </c>
      <c r="J27" s="43">
        <v>7.0000000000000007E-2</v>
      </c>
      <c r="K27" s="43">
        <f t="shared" si="1"/>
        <v>3065.93</v>
      </c>
      <c r="O27" s="81">
        <v>1.19</v>
      </c>
      <c r="P27" s="81">
        <f>O27*$Q$4</f>
        <v>21.062999999999999</v>
      </c>
      <c r="V27" s="661" t="s">
        <v>922</v>
      </c>
      <c r="Y27" s="29"/>
      <c r="AA27" s="2"/>
      <c r="AD27" s="2"/>
      <c r="AG27" s="2"/>
      <c r="AI27" s="2"/>
    </row>
    <row r="28" spans="2:39" x14ac:dyDescent="0.25">
      <c r="B28" s="406">
        <v>42844</v>
      </c>
      <c r="C28" s="7">
        <v>200</v>
      </c>
      <c r="D28" s="77">
        <v>15.08</v>
      </c>
      <c r="E28" s="43">
        <v>0</v>
      </c>
      <c r="F28" s="43">
        <f t="shared" si="0"/>
        <v>3016</v>
      </c>
      <c r="G28" s="406">
        <v>43087</v>
      </c>
      <c r="H28" s="80">
        <v>100</v>
      </c>
      <c r="I28" s="77">
        <v>15.44</v>
      </c>
      <c r="J28" s="43">
        <v>0.04</v>
      </c>
      <c r="K28" s="43">
        <f t="shared" si="1"/>
        <v>1543.96</v>
      </c>
      <c r="O28" s="81">
        <v>1.18</v>
      </c>
      <c r="P28" s="81">
        <f>O28*$Q$4</f>
        <v>20.885999999999999</v>
      </c>
      <c r="Y28" s="29"/>
      <c r="AA28" s="2"/>
      <c r="AD28" s="2"/>
      <c r="AG28" s="2"/>
      <c r="AI28" s="2"/>
    </row>
    <row r="29" spans="2:39" x14ac:dyDescent="0.25">
      <c r="B29" s="406">
        <v>42860</v>
      </c>
      <c r="C29" s="7">
        <v>100</v>
      </c>
      <c r="D29" s="77">
        <v>14.16</v>
      </c>
      <c r="E29" s="43">
        <v>0</v>
      </c>
      <c r="F29" s="43">
        <f t="shared" si="0"/>
        <v>1416</v>
      </c>
      <c r="G29" s="406">
        <v>43088</v>
      </c>
      <c r="H29" s="80">
        <v>100</v>
      </c>
      <c r="I29" s="77">
        <v>15.98</v>
      </c>
      <c r="J29" s="43">
        <v>0.04</v>
      </c>
      <c r="K29" s="43">
        <f t="shared" si="1"/>
        <v>1597.96</v>
      </c>
      <c r="O29" s="81">
        <v>1.17</v>
      </c>
      <c r="P29" s="81">
        <f t="shared" ref="P29:P35" si="2">O29*$Q$4</f>
        <v>20.709</v>
      </c>
      <c r="U29" s="121">
        <v>43161</v>
      </c>
      <c r="V29" s="661" t="s">
        <v>923</v>
      </c>
      <c r="Y29" s="29"/>
      <c r="AA29" s="2"/>
      <c r="AD29" s="2"/>
      <c r="AG29" s="2"/>
      <c r="AI29" s="2"/>
    </row>
    <row r="30" spans="2:39" x14ac:dyDescent="0.25">
      <c r="B30" s="406">
        <v>42860</v>
      </c>
      <c r="C30" s="7">
        <v>200</v>
      </c>
      <c r="D30" s="77">
        <v>13.8</v>
      </c>
      <c r="E30" s="43">
        <v>0</v>
      </c>
      <c r="F30" s="43">
        <f t="shared" si="0"/>
        <v>2760</v>
      </c>
      <c r="G30" s="406">
        <v>43089</v>
      </c>
      <c r="H30" s="80">
        <v>100</v>
      </c>
      <c r="I30" s="77">
        <v>16.27</v>
      </c>
      <c r="J30" s="43">
        <v>0.04</v>
      </c>
      <c r="K30" s="43">
        <f t="shared" si="1"/>
        <v>1626.96</v>
      </c>
      <c r="O30" s="81">
        <v>1.1599999999999999</v>
      </c>
      <c r="P30" s="81">
        <f t="shared" si="2"/>
        <v>20.531999999999996</v>
      </c>
      <c r="Y30" s="29"/>
      <c r="AA30" s="2"/>
      <c r="AD30" s="2"/>
      <c r="AG30" s="2"/>
      <c r="AI30" s="2"/>
    </row>
    <row r="31" spans="2:39" x14ac:dyDescent="0.25">
      <c r="B31" s="406">
        <v>42872</v>
      </c>
      <c r="C31" s="7">
        <v>131</v>
      </c>
      <c r="D31" s="77">
        <v>14.19</v>
      </c>
      <c r="E31" s="43">
        <v>0</v>
      </c>
      <c r="F31" s="43">
        <f t="shared" si="0"/>
        <v>1858.8899999999999</v>
      </c>
      <c r="G31" s="406">
        <v>43090</v>
      </c>
      <c r="H31" s="80">
        <v>200</v>
      </c>
      <c r="I31" s="77">
        <v>16.45</v>
      </c>
      <c r="J31" s="43">
        <v>0.08</v>
      </c>
      <c r="K31" s="43">
        <f t="shared" si="1"/>
        <v>3289.92</v>
      </c>
      <c r="O31" s="81">
        <v>1.1499999999999999</v>
      </c>
      <c r="P31" s="81">
        <f t="shared" si="2"/>
        <v>20.354999999999997</v>
      </c>
      <c r="Y31" s="29"/>
      <c r="AA31" s="2"/>
      <c r="AD31" s="2"/>
      <c r="AG31" s="2"/>
      <c r="AI31" s="2"/>
    </row>
    <row r="32" spans="2:39" x14ac:dyDescent="0.25">
      <c r="B32" s="406">
        <v>42873</v>
      </c>
      <c r="C32" s="7">
        <v>169</v>
      </c>
      <c r="D32" s="77">
        <v>14.08</v>
      </c>
      <c r="E32" s="43">
        <v>0</v>
      </c>
      <c r="F32" s="43">
        <f t="shared" si="0"/>
        <v>2379.52</v>
      </c>
      <c r="G32" s="406">
        <v>43090</v>
      </c>
      <c r="H32" s="80">
        <v>300</v>
      </c>
      <c r="I32" s="77">
        <v>16.72</v>
      </c>
      <c r="J32" s="43">
        <v>0.12</v>
      </c>
      <c r="K32" s="43">
        <f t="shared" si="1"/>
        <v>5015.88</v>
      </c>
      <c r="O32" s="81">
        <v>1.1399999999999999</v>
      </c>
      <c r="P32" s="81">
        <f t="shared" si="2"/>
        <v>20.177999999999997</v>
      </c>
      <c r="U32" s="743">
        <v>43222</v>
      </c>
      <c r="V32" s="661" t="s">
        <v>82</v>
      </c>
      <c r="Y32" s="29"/>
      <c r="AA32" s="2"/>
      <c r="AD32" s="2"/>
      <c r="AG32" s="2"/>
      <c r="AI32" s="2"/>
      <c r="AM32" s="2"/>
    </row>
    <row r="33" spans="1:39" x14ac:dyDescent="0.25">
      <c r="B33" s="406">
        <v>42873</v>
      </c>
      <c r="C33" s="7">
        <v>300</v>
      </c>
      <c r="D33" s="77">
        <v>14.16</v>
      </c>
      <c r="E33" s="43">
        <v>0</v>
      </c>
      <c r="F33" s="43">
        <f t="shared" si="0"/>
        <v>4248</v>
      </c>
      <c r="G33" s="406">
        <v>43090</v>
      </c>
      <c r="H33" s="80">
        <v>200</v>
      </c>
      <c r="I33" s="77">
        <v>16.899999999999999</v>
      </c>
      <c r="J33" s="43">
        <v>0.08</v>
      </c>
      <c r="K33" s="43">
        <f t="shared" si="1"/>
        <v>3379.9199999999996</v>
      </c>
      <c r="O33" s="81">
        <v>1.1299999999999999</v>
      </c>
      <c r="P33" s="81">
        <f t="shared" si="2"/>
        <v>20.000999999999998</v>
      </c>
      <c r="V33" s="661" t="s">
        <v>1011</v>
      </c>
      <c r="Y33" s="29"/>
      <c r="AA33" s="2"/>
      <c r="AD33" s="2"/>
      <c r="AG33" s="2"/>
      <c r="AI33" s="2"/>
    </row>
    <row r="34" spans="1:39" x14ac:dyDescent="0.25">
      <c r="B34" s="406">
        <v>42880</v>
      </c>
      <c r="C34" s="7">
        <v>300</v>
      </c>
      <c r="D34" s="77">
        <v>13.59</v>
      </c>
      <c r="E34" s="43">
        <v>-1.2</v>
      </c>
      <c r="F34" s="43">
        <f t="shared" si="0"/>
        <v>4075.8</v>
      </c>
      <c r="G34" s="406">
        <v>43102</v>
      </c>
      <c r="H34" s="80">
        <v>100</v>
      </c>
      <c r="I34" s="77">
        <v>17.37</v>
      </c>
      <c r="J34" s="43">
        <v>0.04</v>
      </c>
      <c r="K34" s="43">
        <f t="shared" si="1"/>
        <v>1736.96</v>
      </c>
      <c r="O34" s="81">
        <v>1.1200000000000001</v>
      </c>
      <c r="P34" s="81">
        <f t="shared" si="2"/>
        <v>19.824000000000002</v>
      </c>
      <c r="V34" s="661" t="s">
        <v>1019</v>
      </c>
      <c r="Y34" s="29"/>
      <c r="AA34" s="2"/>
      <c r="AD34" s="2"/>
      <c r="AG34" s="2"/>
      <c r="AI34" s="2"/>
    </row>
    <row r="35" spans="1:39" x14ac:dyDescent="0.25">
      <c r="B35" s="406">
        <v>42880</v>
      </c>
      <c r="C35" s="7">
        <v>300</v>
      </c>
      <c r="D35" s="77">
        <v>13.45</v>
      </c>
      <c r="E35" s="43">
        <v>0</v>
      </c>
      <c r="F35" s="43">
        <f t="shared" si="0"/>
        <v>4035</v>
      </c>
      <c r="G35" s="406">
        <v>43104</v>
      </c>
      <c r="H35" s="80">
        <v>100</v>
      </c>
      <c r="I35" s="77">
        <v>17.899999999999999</v>
      </c>
      <c r="J35" s="43">
        <v>0.04</v>
      </c>
      <c r="K35" s="43">
        <f t="shared" si="1"/>
        <v>1789.9599999999998</v>
      </c>
      <c r="O35" s="81">
        <v>1.1100000000000001</v>
      </c>
      <c r="P35" s="81">
        <f t="shared" si="2"/>
        <v>19.647000000000002</v>
      </c>
      <c r="V35" s="661" t="s">
        <v>1022</v>
      </c>
      <c r="Y35" s="29"/>
      <c r="AA35" s="2"/>
      <c r="AD35" s="2"/>
      <c r="AG35" s="2"/>
      <c r="AI35" s="2"/>
    </row>
    <row r="36" spans="1:39" x14ac:dyDescent="0.25">
      <c r="B36" s="406">
        <v>42888</v>
      </c>
      <c r="C36" s="7">
        <v>500</v>
      </c>
      <c r="D36" s="77">
        <v>12.72</v>
      </c>
      <c r="E36" s="43">
        <v>0</v>
      </c>
      <c r="F36" s="43">
        <f t="shared" si="0"/>
        <v>6360</v>
      </c>
      <c r="G36" s="406">
        <v>43111</v>
      </c>
      <c r="H36" s="80">
        <v>300</v>
      </c>
      <c r="I36" s="77">
        <v>18.48</v>
      </c>
      <c r="J36" s="43">
        <v>0.13</v>
      </c>
      <c r="K36" s="43">
        <f t="shared" si="1"/>
        <v>5543.87</v>
      </c>
      <c r="O36" s="81">
        <v>1.1000000000000001</v>
      </c>
      <c r="P36" s="81">
        <f>O36*$Q$4</f>
        <v>19.470000000000002</v>
      </c>
      <c r="Y36" s="29"/>
      <c r="AA36" s="2"/>
      <c r="AD36" s="2"/>
      <c r="AG36" s="2"/>
      <c r="AI36" s="2"/>
    </row>
    <row r="37" spans="1:39" x14ac:dyDescent="0.25">
      <c r="B37" s="406">
        <v>42888</v>
      </c>
      <c r="C37" s="7">
        <v>500</v>
      </c>
      <c r="D37" s="77">
        <v>12.58</v>
      </c>
      <c r="E37" s="43">
        <v>0</v>
      </c>
      <c r="F37" s="43">
        <f t="shared" si="0"/>
        <v>6290</v>
      </c>
      <c r="G37" s="406">
        <v>43111</v>
      </c>
      <c r="H37" s="80">
        <v>67</v>
      </c>
      <c r="I37" s="77">
        <v>18.75</v>
      </c>
      <c r="J37" s="43">
        <v>0.03</v>
      </c>
      <c r="K37" s="43">
        <f t="shared" si="1"/>
        <v>1256.22</v>
      </c>
      <c r="O37" s="81">
        <v>1.0900000000000001</v>
      </c>
      <c r="P37" s="81">
        <f t="shared" ref="P37:P56" si="3">O37*$Q$4</f>
        <v>19.292999999999999</v>
      </c>
      <c r="U37" s="121">
        <v>43238</v>
      </c>
      <c r="V37" s="672" t="s">
        <v>1063</v>
      </c>
      <c r="Y37" s="29"/>
      <c r="AA37" s="2"/>
      <c r="AD37" s="2"/>
      <c r="AG37" s="2"/>
      <c r="AI37" s="2"/>
    </row>
    <row r="38" spans="1:39" x14ac:dyDescent="0.25">
      <c r="B38" s="406">
        <v>42943</v>
      </c>
      <c r="C38" s="7">
        <v>200</v>
      </c>
      <c r="D38" s="77">
        <v>12.15</v>
      </c>
      <c r="E38" s="43">
        <v>0</v>
      </c>
      <c r="F38" s="43">
        <f t="shared" si="0"/>
        <v>2430</v>
      </c>
      <c r="G38" s="406">
        <v>43112</v>
      </c>
      <c r="H38" s="80">
        <v>133</v>
      </c>
      <c r="I38" s="77">
        <v>18.93</v>
      </c>
      <c r="J38" s="43">
        <v>0.05</v>
      </c>
      <c r="K38" s="43">
        <f t="shared" si="1"/>
        <v>2517.64</v>
      </c>
      <c r="O38" s="81">
        <v>1.08</v>
      </c>
      <c r="P38" s="81">
        <f t="shared" si="3"/>
        <v>19.116</v>
      </c>
      <c r="V38" s="661" t="s">
        <v>1064</v>
      </c>
      <c r="Y38" s="29"/>
      <c r="AA38" s="2"/>
      <c r="AD38" s="2"/>
      <c r="AG38" s="2"/>
      <c r="AI38" s="2"/>
    </row>
    <row r="39" spans="1:39" x14ac:dyDescent="0.25">
      <c r="B39" s="406">
        <v>42949</v>
      </c>
      <c r="C39" s="7">
        <v>600</v>
      </c>
      <c r="D39" s="77">
        <v>12.35</v>
      </c>
      <c r="E39" s="43">
        <v>0</v>
      </c>
      <c r="F39" s="43">
        <f t="shared" si="0"/>
        <v>7410</v>
      </c>
      <c r="G39" s="406">
        <v>43117</v>
      </c>
      <c r="H39" s="80">
        <v>500</v>
      </c>
      <c r="I39" s="77">
        <v>18.62</v>
      </c>
      <c r="J39" s="43">
        <v>0.22</v>
      </c>
      <c r="K39" s="43">
        <f t="shared" si="1"/>
        <v>9309.7800000000007</v>
      </c>
      <c r="O39" s="81">
        <v>1.07</v>
      </c>
      <c r="P39" s="81">
        <f t="shared" si="3"/>
        <v>18.939</v>
      </c>
      <c r="V39" s="661" t="s">
        <v>1065</v>
      </c>
      <c r="Y39" s="29"/>
      <c r="AA39" s="2"/>
      <c r="AD39" s="2"/>
      <c r="AG39" s="2"/>
      <c r="AI39" s="2"/>
    </row>
    <row r="40" spans="1:39" x14ac:dyDescent="0.25">
      <c r="B40" s="406">
        <v>42961</v>
      </c>
      <c r="C40" s="7">
        <v>200</v>
      </c>
      <c r="D40" s="77">
        <v>12</v>
      </c>
      <c r="E40" s="43">
        <v>0</v>
      </c>
      <c r="F40" s="43">
        <f t="shared" si="0"/>
        <v>2400</v>
      </c>
      <c r="G40" s="406">
        <v>43117</v>
      </c>
      <c r="H40" s="80">
        <v>100</v>
      </c>
      <c r="I40" s="77">
        <v>18.989999999999998</v>
      </c>
      <c r="J40" s="43">
        <v>0.04</v>
      </c>
      <c r="K40" s="43">
        <f t="shared" si="1"/>
        <v>1898.9599999999998</v>
      </c>
      <c r="O40" s="81">
        <v>1.06</v>
      </c>
      <c r="P40" s="81">
        <f t="shared" si="3"/>
        <v>18.762</v>
      </c>
      <c r="Y40" s="29"/>
      <c r="AA40" s="2"/>
      <c r="AD40" s="2"/>
      <c r="AG40" s="2"/>
      <c r="AI40" s="2"/>
    </row>
    <row r="41" spans="1:39" x14ac:dyDescent="0.25">
      <c r="B41" s="406">
        <v>42961</v>
      </c>
      <c r="C41" s="7">
        <v>200</v>
      </c>
      <c r="D41" s="77">
        <v>11.7</v>
      </c>
      <c r="E41" s="43">
        <v>0</v>
      </c>
      <c r="F41" s="43">
        <f t="shared" si="0"/>
        <v>2340</v>
      </c>
      <c r="G41" s="406">
        <v>43123</v>
      </c>
      <c r="H41" s="80">
        <v>200</v>
      </c>
      <c r="I41" s="77">
        <v>19.48</v>
      </c>
      <c r="J41" s="43">
        <v>0.09</v>
      </c>
      <c r="K41" s="43">
        <f t="shared" si="1"/>
        <v>3895.91</v>
      </c>
      <c r="O41" s="81">
        <v>1.05</v>
      </c>
      <c r="P41" s="81">
        <f t="shared" si="3"/>
        <v>18.585000000000001</v>
      </c>
      <c r="U41" s="121">
        <v>43285</v>
      </c>
      <c r="V41" s="661" t="s">
        <v>1123</v>
      </c>
      <c r="Y41" s="29"/>
      <c r="AA41" s="2"/>
      <c r="AD41" s="2"/>
      <c r="AG41" s="2"/>
      <c r="AI41" s="2"/>
    </row>
    <row r="42" spans="1:39" x14ac:dyDescent="0.25">
      <c r="B42" s="406">
        <v>42963</v>
      </c>
      <c r="C42" s="7">
        <v>200</v>
      </c>
      <c r="D42" s="77">
        <v>11.27</v>
      </c>
      <c r="E42" s="43">
        <v>-0.76</v>
      </c>
      <c r="F42" s="43">
        <f t="shared" si="0"/>
        <v>2253.2399999999998</v>
      </c>
      <c r="G42" s="406">
        <v>43140</v>
      </c>
      <c r="H42" s="80">
        <v>500</v>
      </c>
      <c r="I42" s="77">
        <v>15.52</v>
      </c>
      <c r="J42" s="43">
        <v>0.18</v>
      </c>
      <c r="K42" s="43">
        <f t="shared" si="1"/>
        <v>7759.82</v>
      </c>
      <c r="O42" s="81">
        <v>1.04</v>
      </c>
      <c r="P42" s="81">
        <f t="shared" si="3"/>
        <v>18.408000000000001</v>
      </c>
      <c r="Y42" s="29"/>
      <c r="AA42" s="2"/>
      <c r="AD42" s="2"/>
      <c r="AG42" s="2"/>
      <c r="AI42" s="2"/>
    </row>
    <row r="43" spans="1:39" x14ac:dyDescent="0.25">
      <c r="A43" s="2"/>
      <c r="B43" s="406">
        <v>42967</v>
      </c>
      <c r="C43" s="7">
        <v>300</v>
      </c>
      <c r="D43" s="77">
        <v>10.6</v>
      </c>
      <c r="E43" s="43">
        <v>0</v>
      </c>
      <c r="F43" s="43">
        <f t="shared" si="0"/>
        <v>3180</v>
      </c>
      <c r="G43" s="406">
        <v>43140</v>
      </c>
      <c r="H43" s="80">
        <v>500</v>
      </c>
      <c r="I43" s="77">
        <v>15.48</v>
      </c>
      <c r="J43" s="43">
        <v>0.18</v>
      </c>
      <c r="K43" s="43">
        <f t="shared" si="1"/>
        <v>7739.82</v>
      </c>
      <c r="O43" s="81">
        <v>1.03</v>
      </c>
      <c r="P43" s="81">
        <f t="shared" si="3"/>
        <v>18.230999999999998</v>
      </c>
      <c r="U43" s="121">
        <v>43297</v>
      </c>
      <c r="V43" s="661" t="s">
        <v>1173</v>
      </c>
      <c r="Y43" s="29"/>
      <c r="AA43" s="2"/>
      <c r="AD43" s="2"/>
      <c r="AG43" s="2"/>
      <c r="AI43" s="2"/>
    </row>
    <row r="44" spans="1:39" x14ac:dyDescent="0.25">
      <c r="B44" s="406">
        <v>42986</v>
      </c>
      <c r="C44" s="7">
        <v>400</v>
      </c>
      <c r="D44" s="77">
        <v>11.11</v>
      </c>
      <c r="E44" s="43">
        <v>0</v>
      </c>
      <c r="F44" s="43">
        <f t="shared" si="0"/>
        <v>4444</v>
      </c>
      <c r="G44" s="406">
        <v>43143</v>
      </c>
      <c r="H44" s="80">
        <v>500</v>
      </c>
      <c r="I44" s="77">
        <v>16.38</v>
      </c>
      <c r="J44" s="43">
        <v>0.19</v>
      </c>
      <c r="K44" s="43">
        <f t="shared" si="1"/>
        <v>8189.8099999999995</v>
      </c>
      <c r="O44" s="81">
        <v>1.02</v>
      </c>
      <c r="P44" s="81">
        <f t="shared" si="3"/>
        <v>18.053999999999998</v>
      </c>
      <c r="U44" s="121">
        <v>43299</v>
      </c>
      <c r="V44" s="661" t="s">
        <v>1178</v>
      </c>
      <c r="Y44" s="29"/>
      <c r="AA44" s="2"/>
      <c r="AD44" s="2"/>
      <c r="AG44" s="2"/>
      <c r="AI44" s="2"/>
    </row>
    <row r="45" spans="1:39" x14ac:dyDescent="0.25">
      <c r="B45" s="406">
        <v>43006</v>
      </c>
      <c r="C45" s="7">
        <v>300</v>
      </c>
      <c r="D45" s="77">
        <v>13.46</v>
      </c>
      <c r="E45" s="43">
        <v>0</v>
      </c>
      <c r="F45" s="43">
        <f t="shared" si="0"/>
        <v>4038.0000000000005</v>
      </c>
      <c r="G45" s="406">
        <v>43146</v>
      </c>
      <c r="H45" s="80">
        <v>500</v>
      </c>
      <c r="I45" s="77">
        <v>15.94</v>
      </c>
      <c r="J45" s="43">
        <v>0.18</v>
      </c>
      <c r="K45" s="43">
        <f t="shared" si="1"/>
        <v>7969.82</v>
      </c>
      <c r="O45" s="81">
        <v>1.01</v>
      </c>
      <c r="P45" s="81">
        <f t="shared" si="3"/>
        <v>17.876999999999999</v>
      </c>
      <c r="Y45" s="29"/>
      <c r="AA45" s="2"/>
      <c r="AD45" s="2"/>
      <c r="AG45" s="2"/>
      <c r="AI45" s="2"/>
    </row>
    <row r="46" spans="1:39" x14ac:dyDescent="0.25">
      <c r="B46" s="406">
        <v>43047</v>
      </c>
      <c r="C46" s="7">
        <v>100</v>
      </c>
      <c r="D46" s="77">
        <v>15.78</v>
      </c>
      <c r="E46" s="43">
        <v>0</v>
      </c>
      <c r="F46" s="43">
        <f t="shared" si="0"/>
        <v>1578</v>
      </c>
      <c r="G46" s="406">
        <v>43146</v>
      </c>
      <c r="H46" s="80">
        <v>500</v>
      </c>
      <c r="I46" s="77">
        <v>16.28</v>
      </c>
      <c r="J46" s="43">
        <v>0.19</v>
      </c>
      <c r="K46" s="43">
        <f t="shared" si="1"/>
        <v>8139.8100000000013</v>
      </c>
      <c r="O46" s="81">
        <v>1</v>
      </c>
      <c r="P46" s="81">
        <f t="shared" si="3"/>
        <v>17.7</v>
      </c>
      <c r="U46" s="743">
        <v>43306</v>
      </c>
      <c r="V46" s="661" t="s">
        <v>872</v>
      </c>
      <c r="Y46" s="29"/>
      <c r="AA46" s="2"/>
      <c r="AD46" s="2"/>
      <c r="AG46" s="2"/>
      <c r="AI46" s="2"/>
    </row>
    <row r="47" spans="1:39" x14ac:dyDescent="0.25">
      <c r="B47" s="406">
        <v>43053</v>
      </c>
      <c r="C47" s="7">
        <v>300</v>
      </c>
      <c r="D47" s="77">
        <v>15.1</v>
      </c>
      <c r="E47" s="43">
        <v>0</v>
      </c>
      <c r="F47" s="43">
        <f t="shared" si="0"/>
        <v>4530</v>
      </c>
      <c r="G47" s="406">
        <v>43151</v>
      </c>
      <c r="H47" s="80">
        <v>500</v>
      </c>
      <c r="I47" s="77">
        <v>16.18</v>
      </c>
      <c r="J47" s="43">
        <v>0.19</v>
      </c>
      <c r="K47" s="43">
        <f t="shared" si="1"/>
        <v>8089.81</v>
      </c>
      <c r="O47" s="81">
        <v>0.99</v>
      </c>
      <c r="P47" s="81">
        <f t="shared" si="3"/>
        <v>17.523</v>
      </c>
      <c r="U47" s="743">
        <v>43313</v>
      </c>
      <c r="V47" s="661" t="s">
        <v>1199</v>
      </c>
      <c r="Y47" s="29"/>
      <c r="AA47" s="2"/>
      <c r="AD47" s="2"/>
      <c r="AG47" s="2"/>
      <c r="AI47" s="2"/>
      <c r="AM47" s="2"/>
    </row>
    <row r="48" spans="1:39" x14ac:dyDescent="0.25">
      <c r="B48" s="406">
        <v>43059</v>
      </c>
      <c r="C48" s="7">
        <v>200</v>
      </c>
      <c r="D48" s="77">
        <v>14.47</v>
      </c>
      <c r="E48" s="43">
        <v>0</v>
      </c>
      <c r="F48" s="43">
        <f t="shared" si="0"/>
        <v>2894</v>
      </c>
      <c r="G48" s="406">
        <v>43180</v>
      </c>
      <c r="H48" s="80">
        <v>1400</v>
      </c>
      <c r="I48" s="77">
        <v>15.98</v>
      </c>
      <c r="J48" s="43">
        <v>0.52</v>
      </c>
      <c r="K48" s="43">
        <f t="shared" si="1"/>
        <v>22371.48</v>
      </c>
      <c r="O48" s="81">
        <v>0.98</v>
      </c>
      <c r="P48" s="81">
        <f t="shared" si="3"/>
        <v>17.346</v>
      </c>
      <c r="U48" s="765"/>
      <c r="Y48" s="29"/>
      <c r="AA48" s="2"/>
      <c r="AD48" s="2"/>
      <c r="AG48" s="2"/>
      <c r="AI48" s="2"/>
    </row>
    <row r="49" spans="2:35" x14ac:dyDescent="0.25">
      <c r="B49" s="406">
        <v>43060</v>
      </c>
      <c r="C49" s="7">
        <v>200</v>
      </c>
      <c r="D49" s="77">
        <v>14.52</v>
      </c>
      <c r="E49" s="43">
        <v>0</v>
      </c>
      <c r="F49" s="43">
        <f t="shared" si="0"/>
        <v>2904</v>
      </c>
      <c r="G49" s="406">
        <v>43180</v>
      </c>
      <c r="H49" s="80">
        <v>200</v>
      </c>
      <c r="I49" s="77">
        <v>16.38</v>
      </c>
      <c r="J49" s="43">
        <v>0.08</v>
      </c>
      <c r="K49" s="43">
        <f t="shared" si="1"/>
        <v>3275.92</v>
      </c>
      <c r="O49" s="81">
        <v>0.97</v>
      </c>
      <c r="P49" s="81">
        <f t="shared" si="3"/>
        <v>17.169</v>
      </c>
      <c r="U49" s="775">
        <v>43319</v>
      </c>
      <c r="V49" s="661" t="s">
        <v>1150</v>
      </c>
      <c r="Y49" s="29"/>
      <c r="AA49" s="2"/>
      <c r="AD49" s="2"/>
      <c r="AG49" s="2"/>
      <c r="AI49" s="2"/>
    </row>
    <row r="50" spans="2:35" x14ac:dyDescent="0.25">
      <c r="B50" s="406">
        <v>43069</v>
      </c>
      <c r="C50" s="7">
        <v>100</v>
      </c>
      <c r="D50" s="77">
        <v>14.69</v>
      </c>
      <c r="E50" s="43">
        <v>0</v>
      </c>
      <c r="F50" s="43">
        <f t="shared" si="0"/>
        <v>1469</v>
      </c>
      <c r="G50" s="406">
        <v>43181</v>
      </c>
      <c r="H50" s="80">
        <v>400</v>
      </c>
      <c r="I50" s="77">
        <v>16.03</v>
      </c>
      <c r="J50" s="43">
        <v>0.15</v>
      </c>
      <c r="K50" s="43">
        <f t="shared" si="1"/>
        <v>6411.85</v>
      </c>
      <c r="L50" s="29"/>
      <c r="O50" s="81">
        <v>0.96</v>
      </c>
      <c r="P50" s="81">
        <f t="shared" si="3"/>
        <v>16.991999999999997</v>
      </c>
      <c r="Y50" s="29"/>
      <c r="AA50" s="2"/>
      <c r="AD50" s="2"/>
      <c r="AG50" s="2"/>
      <c r="AI50" s="2"/>
    </row>
    <row r="51" spans="2:35" x14ac:dyDescent="0.25">
      <c r="B51" s="406">
        <v>43116</v>
      </c>
      <c r="C51" s="7">
        <v>200</v>
      </c>
      <c r="D51" s="77">
        <v>18.350000000000001</v>
      </c>
      <c r="E51" s="43">
        <v>0</v>
      </c>
      <c r="F51" s="43">
        <f t="shared" si="0"/>
        <v>3670.0000000000005</v>
      </c>
      <c r="G51" s="406">
        <v>43188</v>
      </c>
      <c r="H51" s="80">
        <v>200</v>
      </c>
      <c r="I51" s="77">
        <v>15.96</v>
      </c>
      <c r="J51" s="43">
        <v>7.0000000000000007E-2</v>
      </c>
      <c r="K51" s="43">
        <f t="shared" si="1"/>
        <v>3191.93</v>
      </c>
      <c r="O51" s="81">
        <v>0.95</v>
      </c>
      <c r="P51" s="81">
        <f t="shared" si="3"/>
        <v>16.814999999999998</v>
      </c>
      <c r="Y51" s="29"/>
      <c r="AA51" s="2"/>
      <c r="AD51" s="2"/>
      <c r="AG51" s="2"/>
      <c r="AI51" s="2"/>
    </row>
    <row r="52" spans="2:35" x14ac:dyDescent="0.25">
      <c r="B52" s="406">
        <v>43116</v>
      </c>
      <c r="C52" s="7">
        <v>200</v>
      </c>
      <c r="D52" s="77">
        <v>18.239999999999998</v>
      </c>
      <c r="E52" s="43">
        <v>0</v>
      </c>
      <c r="F52" s="43">
        <f t="shared" si="0"/>
        <v>3647.9999999999995</v>
      </c>
      <c r="G52" s="406">
        <v>43188</v>
      </c>
      <c r="H52" s="80">
        <v>200</v>
      </c>
      <c r="I52" s="77">
        <v>16.13</v>
      </c>
      <c r="J52" s="43">
        <v>7.0000000000000007E-2</v>
      </c>
      <c r="K52" s="43">
        <f t="shared" si="1"/>
        <v>3225.93</v>
      </c>
      <c r="O52" s="81">
        <v>0.94</v>
      </c>
      <c r="P52" s="81">
        <f t="shared" si="3"/>
        <v>16.637999999999998</v>
      </c>
      <c r="Y52" s="29"/>
      <c r="AA52" s="2"/>
      <c r="AD52" s="2"/>
      <c r="AG52" s="2"/>
      <c r="AI52" s="2"/>
    </row>
    <row r="53" spans="2:35" ht="15" customHeight="1" x14ac:dyDescent="0.25">
      <c r="B53" s="406">
        <v>43117</v>
      </c>
      <c r="C53" s="7">
        <v>100</v>
      </c>
      <c r="D53" s="77">
        <v>18.079999999999998</v>
      </c>
      <c r="E53" s="43">
        <v>0</v>
      </c>
      <c r="F53" s="43">
        <f t="shared" si="0"/>
        <v>1807.9999999999998</v>
      </c>
      <c r="G53" s="406">
        <v>43193</v>
      </c>
      <c r="H53" s="80">
        <v>400</v>
      </c>
      <c r="I53" s="77">
        <v>15.88</v>
      </c>
      <c r="J53" s="43">
        <v>0.15</v>
      </c>
      <c r="K53" s="43">
        <f t="shared" si="1"/>
        <v>6351.85</v>
      </c>
      <c r="O53" s="81">
        <v>0.93</v>
      </c>
      <c r="P53" s="81">
        <f t="shared" si="3"/>
        <v>16.460999999999999</v>
      </c>
      <c r="Y53" s="29"/>
      <c r="AA53" s="2"/>
      <c r="AD53" s="2"/>
      <c r="AG53" s="2"/>
      <c r="AI53" s="2"/>
    </row>
    <row r="54" spans="2:35" x14ac:dyDescent="0.25">
      <c r="B54" s="406">
        <v>43123</v>
      </c>
      <c r="C54" s="7">
        <v>200</v>
      </c>
      <c r="D54" s="77">
        <v>19.11</v>
      </c>
      <c r="E54" s="43">
        <v>0</v>
      </c>
      <c r="F54" s="43">
        <f t="shared" si="0"/>
        <v>3822</v>
      </c>
      <c r="G54" s="406">
        <v>43195</v>
      </c>
      <c r="H54" s="80">
        <v>800</v>
      </c>
      <c r="I54" s="77">
        <v>16.8</v>
      </c>
      <c r="J54" s="43">
        <v>0.31</v>
      </c>
      <c r="K54" s="43">
        <f t="shared" si="1"/>
        <v>13439.69</v>
      </c>
      <c r="O54" s="81">
        <v>0.92</v>
      </c>
      <c r="P54" s="81">
        <f t="shared" si="3"/>
        <v>16.283999999999999</v>
      </c>
      <c r="Y54" s="29"/>
      <c r="AA54" s="2"/>
      <c r="AD54" s="2"/>
      <c r="AG54" s="2"/>
      <c r="AI54" s="2"/>
    </row>
    <row r="55" spans="2:35" x14ac:dyDescent="0.25">
      <c r="B55" s="406">
        <v>43125</v>
      </c>
      <c r="C55" s="7">
        <v>100</v>
      </c>
      <c r="D55" s="77">
        <v>18.88</v>
      </c>
      <c r="E55" s="43">
        <v>0</v>
      </c>
      <c r="F55" s="43">
        <f t="shared" si="0"/>
        <v>1888</v>
      </c>
      <c r="G55" s="406">
        <v>43200</v>
      </c>
      <c r="H55" s="80">
        <v>800</v>
      </c>
      <c r="I55" s="77">
        <v>16.98</v>
      </c>
      <c r="J55" s="43">
        <v>0.31</v>
      </c>
      <c r="K55" s="43">
        <f t="shared" si="1"/>
        <v>13583.69</v>
      </c>
      <c r="O55" s="81">
        <v>0.91</v>
      </c>
      <c r="P55" s="81">
        <f t="shared" si="3"/>
        <v>16.106999999999999</v>
      </c>
      <c r="Y55" s="29"/>
      <c r="AA55" s="2"/>
      <c r="AD55" s="2"/>
      <c r="AG55" s="2"/>
      <c r="AI55" s="2"/>
    </row>
    <row r="56" spans="2:35" x14ac:dyDescent="0.25">
      <c r="B56" s="406">
        <v>43130</v>
      </c>
      <c r="C56" s="7">
        <v>500</v>
      </c>
      <c r="D56" s="77">
        <v>18.38</v>
      </c>
      <c r="E56" s="43">
        <v>0</v>
      </c>
      <c r="F56" s="43">
        <f t="shared" si="0"/>
        <v>9190</v>
      </c>
      <c r="G56" s="406">
        <v>43220</v>
      </c>
      <c r="H56" s="80">
        <v>300</v>
      </c>
      <c r="I56" s="77">
        <v>18.41</v>
      </c>
      <c r="J56" s="43">
        <v>0.13</v>
      </c>
      <c r="K56" s="43">
        <f t="shared" si="1"/>
        <v>5522.87</v>
      </c>
      <c r="O56" s="81">
        <v>0.9</v>
      </c>
      <c r="P56" s="81">
        <f t="shared" si="3"/>
        <v>15.93</v>
      </c>
      <c r="Y56" s="29"/>
      <c r="AA56" s="2"/>
      <c r="AD56" s="2"/>
      <c r="AG56" s="2"/>
      <c r="AI56" s="2"/>
    </row>
    <row r="57" spans="2:35" x14ac:dyDescent="0.25">
      <c r="B57" s="406">
        <v>43130</v>
      </c>
      <c r="C57" s="7">
        <v>200</v>
      </c>
      <c r="D57" s="77">
        <v>17.82</v>
      </c>
      <c r="E57" s="43">
        <v>0</v>
      </c>
      <c r="F57" s="43">
        <f t="shared" si="0"/>
        <v>3564</v>
      </c>
      <c r="G57" s="406">
        <v>43223</v>
      </c>
      <c r="H57" s="80">
        <v>500</v>
      </c>
      <c r="I57" s="77">
        <v>19.29</v>
      </c>
      <c r="J57" s="43">
        <v>0.22</v>
      </c>
      <c r="K57" s="43">
        <f t="shared" si="1"/>
        <v>9644.7800000000007</v>
      </c>
      <c r="O57" s="81">
        <v>0.89</v>
      </c>
      <c r="P57" s="81">
        <f>O57*$Q$4</f>
        <v>15.753</v>
      </c>
      <c r="AA57" s="2"/>
      <c r="AD57" s="2"/>
      <c r="AG57" s="2"/>
      <c r="AI57" s="2"/>
    </row>
    <row r="58" spans="2:35" x14ac:dyDescent="0.25">
      <c r="B58" s="406">
        <v>43133</v>
      </c>
      <c r="C58" s="7">
        <v>200</v>
      </c>
      <c r="D58" s="77">
        <v>17.579999999999998</v>
      </c>
      <c r="E58" s="43">
        <v>0</v>
      </c>
      <c r="F58" s="43">
        <f t="shared" si="0"/>
        <v>3515.9999999999995</v>
      </c>
      <c r="G58" s="406">
        <v>43224</v>
      </c>
      <c r="H58" s="80">
        <v>500</v>
      </c>
      <c r="I58" s="77">
        <v>19.88</v>
      </c>
      <c r="J58" s="43">
        <v>0.23</v>
      </c>
      <c r="K58" s="43">
        <f t="shared" si="1"/>
        <v>9939.77</v>
      </c>
      <c r="O58" s="81">
        <v>0.88</v>
      </c>
      <c r="P58" s="81">
        <f>O58*$Q$4</f>
        <v>15.575999999999999</v>
      </c>
      <c r="AA58" s="2"/>
      <c r="AD58" s="2"/>
      <c r="AG58" s="2"/>
      <c r="AI58" s="2"/>
    </row>
    <row r="59" spans="2:35" x14ac:dyDescent="0.25">
      <c r="B59" s="406">
        <v>43139</v>
      </c>
      <c r="C59" s="7">
        <v>500</v>
      </c>
      <c r="D59" s="77">
        <v>15.88</v>
      </c>
      <c r="E59" s="43">
        <v>0</v>
      </c>
      <c r="F59" s="43">
        <f t="shared" si="0"/>
        <v>7940</v>
      </c>
      <c r="G59" s="406">
        <v>43227</v>
      </c>
      <c r="H59" s="80">
        <v>300</v>
      </c>
      <c r="I59" s="77">
        <v>20.55</v>
      </c>
      <c r="J59" s="43">
        <v>0.14000000000000001</v>
      </c>
      <c r="K59" s="43">
        <f t="shared" si="1"/>
        <v>6164.86</v>
      </c>
      <c r="O59" s="81">
        <v>0.87</v>
      </c>
      <c r="P59" s="81">
        <f>O59*$Q$4</f>
        <v>15.398999999999999</v>
      </c>
      <c r="AA59" s="2"/>
      <c r="AD59" s="2"/>
      <c r="AG59" s="2"/>
      <c r="AI59" s="2"/>
    </row>
    <row r="60" spans="2:35" x14ac:dyDescent="0.25">
      <c r="B60" s="406">
        <v>43140</v>
      </c>
      <c r="C60" s="7">
        <v>500</v>
      </c>
      <c r="D60" s="77">
        <v>15.28</v>
      </c>
      <c r="E60" s="43">
        <v>0</v>
      </c>
      <c r="F60" s="43">
        <f t="shared" si="0"/>
        <v>7640</v>
      </c>
      <c r="G60" s="406">
        <v>43229</v>
      </c>
      <c r="H60" s="80">
        <v>300</v>
      </c>
      <c r="I60" s="77">
        <v>20.98</v>
      </c>
      <c r="J60" s="43">
        <v>0.15</v>
      </c>
      <c r="K60" s="43">
        <f t="shared" si="1"/>
        <v>6293.85</v>
      </c>
      <c r="O60" s="81">
        <v>0.86</v>
      </c>
      <c r="P60" s="81">
        <f>O60*$Q$4</f>
        <v>15.222</v>
      </c>
      <c r="AA60" s="2"/>
      <c r="AD60" s="2"/>
      <c r="AG60" s="2"/>
      <c r="AI60" s="2"/>
    </row>
    <row r="61" spans="2:35" x14ac:dyDescent="0.25">
      <c r="B61" s="406">
        <v>43140</v>
      </c>
      <c r="C61" s="7">
        <v>500</v>
      </c>
      <c r="D61" s="77">
        <v>15.18</v>
      </c>
      <c r="E61" s="43">
        <v>0</v>
      </c>
      <c r="F61" s="43">
        <f t="shared" si="0"/>
        <v>7590</v>
      </c>
      <c r="G61" s="406">
        <v>43234</v>
      </c>
      <c r="H61" s="80">
        <v>700</v>
      </c>
      <c r="I61" s="77">
        <v>21.48</v>
      </c>
      <c r="J61" s="43">
        <v>0.35</v>
      </c>
      <c r="K61" s="43">
        <f t="shared" si="1"/>
        <v>15035.65</v>
      </c>
      <c r="O61" s="81">
        <v>0.85</v>
      </c>
      <c r="P61" s="81">
        <f>O61*$Q$4</f>
        <v>15.044999999999998</v>
      </c>
      <c r="AA61" s="2"/>
      <c r="AD61" s="2"/>
      <c r="AG61" s="2"/>
      <c r="AI61" s="2"/>
    </row>
    <row r="62" spans="2:35" x14ac:dyDescent="0.25">
      <c r="B62" s="406">
        <v>43146</v>
      </c>
      <c r="C62" s="7">
        <v>100</v>
      </c>
      <c r="D62" s="77">
        <v>15.82</v>
      </c>
      <c r="E62" s="43">
        <v>0</v>
      </c>
      <c r="F62" s="43">
        <f t="shared" si="0"/>
        <v>1582</v>
      </c>
      <c r="G62" s="406">
        <v>43241</v>
      </c>
      <c r="H62" s="80">
        <v>1000</v>
      </c>
      <c r="I62" s="77">
        <v>21.88</v>
      </c>
      <c r="J62" s="43">
        <v>0.28000000000000003</v>
      </c>
      <c r="K62" s="43">
        <f t="shared" si="1"/>
        <v>21879.72</v>
      </c>
      <c r="AA62" s="2"/>
      <c r="AD62" s="2"/>
      <c r="AG62" s="2"/>
      <c r="AI62" s="2"/>
    </row>
    <row r="63" spans="2:35" x14ac:dyDescent="0.25">
      <c r="B63" s="406">
        <v>43146</v>
      </c>
      <c r="C63" s="7">
        <v>400</v>
      </c>
      <c r="D63" s="77">
        <v>15.82</v>
      </c>
      <c r="E63" s="43">
        <v>0</v>
      </c>
      <c r="F63" s="43">
        <f>C63*D63+E63</f>
        <v>6328</v>
      </c>
      <c r="G63" s="406">
        <v>43262</v>
      </c>
      <c r="H63" s="80">
        <v>300</v>
      </c>
      <c r="I63" s="77">
        <v>21.08</v>
      </c>
      <c r="J63" s="43">
        <v>0.08</v>
      </c>
      <c r="K63" s="43">
        <f t="shared" si="1"/>
        <v>6323.9199999999992</v>
      </c>
      <c r="AA63" s="2"/>
      <c r="AD63" s="2"/>
      <c r="AG63" s="2"/>
      <c r="AI63" s="2"/>
    </row>
    <row r="64" spans="2:35" x14ac:dyDescent="0.25">
      <c r="B64" s="406">
        <v>43146</v>
      </c>
      <c r="C64" s="7">
        <v>500</v>
      </c>
      <c r="D64" s="77">
        <v>15.52</v>
      </c>
      <c r="E64" s="43">
        <v>0</v>
      </c>
      <c r="F64" s="43">
        <f t="shared" ref="F64:F87" si="4">C64*D64+E64</f>
        <v>7760</v>
      </c>
      <c r="G64" s="406">
        <v>43269</v>
      </c>
      <c r="H64" s="80">
        <v>500</v>
      </c>
      <c r="I64" s="77">
        <v>20.54</v>
      </c>
      <c r="J64" s="43">
        <v>0.13</v>
      </c>
      <c r="K64" s="43">
        <f t="shared" si="1"/>
        <v>10269.870000000001</v>
      </c>
      <c r="AA64" s="2"/>
      <c r="AD64" s="2"/>
      <c r="AG64" s="2"/>
      <c r="AI64" s="2"/>
    </row>
    <row r="65" spans="1:35" x14ac:dyDescent="0.25">
      <c r="B65" s="406">
        <v>43147</v>
      </c>
      <c r="C65" s="7">
        <v>500</v>
      </c>
      <c r="D65" s="77">
        <v>15.75</v>
      </c>
      <c r="E65" s="43">
        <v>0</v>
      </c>
      <c r="F65" s="43">
        <f t="shared" si="4"/>
        <v>7875</v>
      </c>
      <c r="G65" s="406">
        <v>43271</v>
      </c>
      <c r="H65" s="80">
        <v>200</v>
      </c>
      <c r="I65" s="77">
        <v>20.88</v>
      </c>
      <c r="J65" s="43">
        <v>0.05</v>
      </c>
      <c r="K65" s="43">
        <f t="shared" si="1"/>
        <v>4175.95</v>
      </c>
      <c r="AA65" s="2"/>
      <c r="AD65" s="2"/>
      <c r="AG65" s="2"/>
      <c r="AI65" s="2"/>
    </row>
    <row r="66" spans="1:35" x14ac:dyDescent="0.25">
      <c r="B66" s="406">
        <v>43151</v>
      </c>
      <c r="C66" s="7">
        <v>500</v>
      </c>
      <c r="D66" s="77">
        <v>15.82</v>
      </c>
      <c r="E66" s="43">
        <v>0</v>
      </c>
      <c r="F66" s="43">
        <f t="shared" si="4"/>
        <v>7910</v>
      </c>
      <c r="G66" s="406">
        <v>43284</v>
      </c>
      <c r="H66" s="80">
        <v>200</v>
      </c>
      <c r="I66" s="77">
        <v>21.58</v>
      </c>
      <c r="J66" s="43">
        <v>0.06</v>
      </c>
      <c r="K66" s="43">
        <f t="shared" si="1"/>
        <v>4315.9399999999996</v>
      </c>
      <c r="AA66" s="2"/>
      <c r="AD66" s="2"/>
      <c r="AG66" s="2"/>
      <c r="AI66" s="2"/>
    </row>
    <row r="67" spans="1:35" x14ac:dyDescent="0.25">
      <c r="B67" s="406">
        <v>43152</v>
      </c>
      <c r="C67" s="7">
        <v>500</v>
      </c>
      <c r="D67" s="77">
        <v>15.44</v>
      </c>
      <c r="E67" s="43">
        <v>0</v>
      </c>
      <c r="F67" s="43">
        <f t="shared" si="4"/>
        <v>7720</v>
      </c>
      <c r="G67" s="406">
        <v>43287</v>
      </c>
      <c r="H67" s="80">
        <v>500</v>
      </c>
      <c r="I67" s="77">
        <v>21.07</v>
      </c>
      <c r="J67" s="43">
        <v>1.1399999999999999</v>
      </c>
      <c r="K67" s="43">
        <f t="shared" si="1"/>
        <v>10533.86</v>
      </c>
      <c r="AA67" s="2"/>
      <c r="AD67" s="2"/>
      <c r="AG67" s="2"/>
      <c r="AI67" s="2"/>
    </row>
    <row r="68" spans="1:35" x14ac:dyDescent="0.25">
      <c r="B68" s="406">
        <v>43159</v>
      </c>
      <c r="C68" s="7">
        <v>400</v>
      </c>
      <c r="D68" s="77">
        <v>14.75</v>
      </c>
      <c r="E68" s="43">
        <v>0</v>
      </c>
      <c r="F68" s="43">
        <f t="shared" si="4"/>
        <v>5900</v>
      </c>
      <c r="G68" s="406">
        <v>43290</v>
      </c>
      <c r="H68" s="80">
        <v>300</v>
      </c>
      <c r="I68" s="77">
        <v>21.59</v>
      </c>
      <c r="J68" s="43">
        <v>0.08</v>
      </c>
      <c r="K68" s="43">
        <f t="shared" si="1"/>
        <v>6476.92</v>
      </c>
      <c r="AA68" s="2"/>
      <c r="AD68" s="2"/>
      <c r="AG68" s="2"/>
      <c r="AI68" s="2"/>
    </row>
    <row r="69" spans="1:35" x14ac:dyDescent="0.25">
      <c r="B69" s="406">
        <v>43181</v>
      </c>
      <c r="C69" s="7">
        <v>400</v>
      </c>
      <c r="D69" s="77">
        <v>15.9</v>
      </c>
      <c r="E69" s="43">
        <v>0</v>
      </c>
      <c r="F69" s="43">
        <f t="shared" si="4"/>
        <v>6360</v>
      </c>
      <c r="G69" s="406">
        <v>43299</v>
      </c>
      <c r="H69" s="80">
        <v>500</v>
      </c>
      <c r="I69" s="77">
        <v>20.420000000000002</v>
      </c>
      <c r="J69" s="43">
        <v>0.13</v>
      </c>
      <c r="K69" s="43">
        <f t="shared" si="1"/>
        <v>10209.870000000001</v>
      </c>
      <c r="AA69" s="2"/>
      <c r="AD69" s="2"/>
      <c r="AG69" s="2"/>
      <c r="AI69" s="2"/>
    </row>
    <row r="70" spans="1:35" x14ac:dyDescent="0.25">
      <c r="B70" s="406">
        <v>43182</v>
      </c>
      <c r="C70" s="7">
        <v>200</v>
      </c>
      <c r="D70" s="77">
        <v>15.7</v>
      </c>
      <c r="E70" s="43">
        <v>0</v>
      </c>
      <c r="F70" s="43">
        <f t="shared" si="4"/>
        <v>3140</v>
      </c>
      <c r="G70" s="406">
        <v>43300</v>
      </c>
      <c r="H70" s="80">
        <v>300</v>
      </c>
      <c r="I70" s="77">
        <v>20.58</v>
      </c>
      <c r="J70" s="43">
        <v>0.08</v>
      </c>
      <c r="K70" s="43">
        <f t="shared" si="1"/>
        <v>6173.9199999999992</v>
      </c>
      <c r="AA70" s="2"/>
      <c r="AD70" s="2"/>
      <c r="AG70" s="2"/>
      <c r="AI70" s="2"/>
    </row>
    <row r="71" spans="1:35" x14ac:dyDescent="0.25">
      <c r="B71" s="406">
        <v>43187</v>
      </c>
      <c r="C71" s="7">
        <v>200</v>
      </c>
      <c r="D71" s="77">
        <v>15.45</v>
      </c>
      <c r="E71" s="43">
        <v>0</v>
      </c>
      <c r="F71" s="43">
        <f t="shared" si="4"/>
        <v>3090</v>
      </c>
      <c r="G71" s="406">
        <v>43305</v>
      </c>
      <c r="H71" s="80">
        <v>200</v>
      </c>
      <c r="I71" s="77">
        <v>20.92</v>
      </c>
      <c r="J71" s="43">
        <v>0.05</v>
      </c>
      <c r="K71" s="43">
        <f t="shared" si="1"/>
        <v>4183.95</v>
      </c>
      <c r="AA71" s="2"/>
      <c r="AD71" s="2"/>
      <c r="AG71" s="2"/>
      <c r="AI71" s="2"/>
    </row>
    <row r="72" spans="1:35" x14ac:dyDescent="0.25">
      <c r="B72" s="406">
        <v>43192</v>
      </c>
      <c r="C72" s="7">
        <v>200</v>
      </c>
      <c r="D72" s="77">
        <v>15.68</v>
      </c>
      <c r="E72" s="43">
        <v>0</v>
      </c>
      <c r="F72" s="43">
        <f t="shared" si="4"/>
        <v>3136</v>
      </c>
      <c r="G72" s="406">
        <v>43311</v>
      </c>
      <c r="H72" s="80">
        <v>200</v>
      </c>
      <c r="I72" s="77">
        <v>21.32</v>
      </c>
      <c r="J72" s="43">
        <v>0.06</v>
      </c>
      <c r="K72" s="43">
        <f t="shared" si="1"/>
        <v>4263.9399999999996</v>
      </c>
      <c r="AA72" s="2"/>
      <c r="AD72" s="2"/>
      <c r="AG72" s="2"/>
      <c r="AI72" s="2"/>
    </row>
    <row r="73" spans="1:35" x14ac:dyDescent="0.25">
      <c r="B73" s="406">
        <v>43192</v>
      </c>
      <c r="C73" s="7">
        <v>200</v>
      </c>
      <c r="D73" s="77">
        <v>15.25</v>
      </c>
      <c r="E73" s="43">
        <v>0</v>
      </c>
      <c r="F73" s="43">
        <f t="shared" si="4"/>
        <v>3050</v>
      </c>
      <c r="G73" s="406">
        <v>43314</v>
      </c>
      <c r="H73" s="80">
        <v>200</v>
      </c>
      <c r="I73" s="77">
        <v>20.87</v>
      </c>
      <c r="J73" s="43">
        <v>0.03</v>
      </c>
      <c r="K73" s="43">
        <f t="shared" si="1"/>
        <v>4173.97</v>
      </c>
      <c r="AA73" s="2"/>
      <c r="AD73" s="2"/>
      <c r="AG73" s="2"/>
      <c r="AI73" s="2"/>
    </row>
    <row r="74" spans="1:35" ht="15" customHeight="1" x14ac:dyDescent="0.25">
      <c r="B74" s="406">
        <v>43196</v>
      </c>
      <c r="C74" s="7">
        <v>400</v>
      </c>
      <c r="D74" s="77">
        <v>16.420000000000002</v>
      </c>
      <c r="E74" s="43">
        <v>0</v>
      </c>
      <c r="F74" s="43">
        <f t="shared" si="4"/>
        <v>6568.0000000000009</v>
      </c>
      <c r="G74" s="406">
        <v>43329</v>
      </c>
      <c r="H74" s="80">
        <v>500</v>
      </c>
      <c r="I74" s="77">
        <v>19.73</v>
      </c>
      <c r="J74" s="43">
        <v>0.13</v>
      </c>
      <c r="K74" s="43">
        <f t="shared" si="1"/>
        <v>9864.8700000000008</v>
      </c>
      <c r="AA74" s="2"/>
      <c r="AD74" s="2"/>
      <c r="AG74" s="2"/>
      <c r="AI74" s="2"/>
    </row>
    <row r="75" spans="1:35" x14ac:dyDescent="0.25">
      <c r="B75" s="406">
        <v>43196</v>
      </c>
      <c r="C75" s="7">
        <v>400</v>
      </c>
      <c r="D75" s="77">
        <v>16.100000000000001</v>
      </c>
      <c r="E75" s="43">
        <v>0</v>
      </c>
      <c r="F75" s="43">
        <f t="shared" si="4"/>
        <v>6440.0000000000009</v>
      </c>
      <c r="G75" s="406">
        <v>43334</v>
      </c>
      <c r="H75" s="80">
        <v>700</v>
      </c>
      <c r="I75" s="77">
        <v>20.68</v>
      </c>
      <c r="J75" s="43">
        <v>0.19</v>
      </c>
      <c r="K75" s="43">
        <f t="shared" si="1"/>
        <v>14475.81</v>
      </c>
      <c r="AA75" s="2"/>
      <c r="AD75" s="2"/>
      <c r="AG75" s="2"/>
      <c r="AI75" s="2"/>
    </row>
    <row r="76" spans="1:35" x14ac:dyDescent="0.25">
      <c r="B76" s="406">
        <v>43217</v>
      </c>
      <c r="C76" s="7">
        <v>300</v>
      </c>
      <c r="D76" s="77">
        <v>18.190000000000001</v>
      </c>
      <c r="E76" s="43">
        <v>-0.3</v>
      </c>
      <c r="F76" s="43">
        <f t="shared" si="4"/>
        <v>5456.7</v>
      </c>
      <c r="G76" s="406">
        <v>43334</v>
      </c>
      <c r="H76" s="80">
        <v>100</v>
      </c>
      <c r="I76" s="77">
        <v>21.1</v>
      </c>
      <c r="J76" s="43">
        <v>0.03</v>
      </c>
      <c r="K76" s="43">
        <f t="shared" si="1"/>
        <v>2109.9699999999998</v>
      </c>
      <c r="AA76" s="2"/>
      <c r="AD76" s="2"/>
      <c r="AG76" s="2"/>
      <c r="AI76" s="2"/>
    </row>
    <row r="77" spans="1:35" x14ac:dyDescent="0.25">
      <c r="B77" s="406">
        <v>43227</v>
      </c>
      <c r="C77" s="7">
        <v>300</v>
      </c>
      <c r="D77" s="77">
        <v>19.82</v>
      </c>
      <c r="E77" s="43">
        <v>0</v>
      </c>
      <c r="F77" s="43">
        <f t="shared" si="4"/>
        <v>5946</v>
      </c>
      <c r="G77" s="406">
        <v>43335</v>
      </c>
      <c r="H77" s="80">
        <v>1</v>
      </c>
      <c r="I77" s="77">
        <v>20.78</v>
      </c>
      <c r="J77" s="43">
        <v>0.01</v>
      </c>
      <c r="K77" s="43">
        <f t="shared" si="1"/>
        <v>20.77</v>
      </c>
      <c r="AA77" s="2"/>
      <c r="AD77" s="2"/>
      <c r="AG77" s="2"/>
      <c r="AI77" s="2"/>
    </row>
    <row r="78" spans="1:35" x14ac:dyDescent="0.25">
      <c r="B78" s="406">
        <v>43245</v>
      </c>
      <c r="C78" s="7">
        <v>500</v>
      </c>
      <c r="D78" s="77">
        <v>20.68</v>
      </c>
      <c r="E78" s="43">
        <v>0</v>
      </c>
      <c r="F78" s="43">
        <f t="shared" si="4"/>
        <v>10340</v>
      </c>
      <c r="G78" s="406">
        <v>43339</v>
      </c>
      <c r="H78" s="80">
        <v>100</v>
      </c>
      <c r="I78" s="77">
        <v>20.94</v>
      </c>
      <c r="J78" s="43">
        <v>0.03</v>
      </c>
      <c r="K78" s="43">
        <f t="shared" si="1"/>
        <v>2093.9699999999998</v>
      </c>
      <c r="AA78" s="2"/>
      <c r="AD78" s="2"/>
      <c r="AG78" s="2"/>
      <c r="AI78" s="2"/>
    </row>
    <row r="79" spans="1:35" x14ac:dyDescent="0.25">
      <c r="B79" s="406">
        <v>43245</v>
      </c>
      <c r="C79" s="7">
        <v>500</v>
      </c>
      <c r="D79" s="77">
        <v>20.48</v>
      </c>
      <c r="E79" s="43">
        <v>0</v>
      </c>
      <c r="F79" s="43">
        <f t="shared" si="4"/>
        <v>10240</v>
      </c>
      <c r="G79" s="406">
        <v>43341</v>
      </c>
      <c r="H79" s="80">
        <v>199</v>
      </c>
      <c r="I79" s="77">
        <v>21.59</v>
      </c>
      <c r="J79" s="43">
        <v>0.06</v>
      </c>
      <c r="K79" s="43">
        <f t="shared" si="1"/>
        <v>4296.3499999999995</v>
      </c>
      <c r="AA79" s="2"/>
      <c r="AD79" s="2"/>
      <c r="AG79" s="2"/>
      <c r="AI79" s="2"/>
    </row>
    <row r="80" spans="1:35" x14ac:dyDescent="0.25">
      <c r="A80" s="886" t="s">
        <v>1102</v>
      </c>
      <c r="B80" s="406">
        <v>43266</v>
      </c>
      <c r="C80" s="7">
        <v>200</v>
      </c>
      <c r="D80" s="77">
        <v>20.65</v>
      </c>
      <c r="E80" s="43">
        <v>0</v>
      </c>
      <c r="F80" s="43">
        <f t="shared" si="4"/>
        <v>4130</v>
      </c>
      <c r="G80" s="406">
        <v>43361</v>
      </c>
      <c r="H80" s="80">
        <v>300</v>
      </c>
      <c r="I80" s="77">
        <v>21.38</v>
      </c>
      <c r="J80" s="43">
        <v>0.08</v>
      </c>
      <c r="K80" s="43">
        <f t="shared" si="1"/>
        <v>6413.92</v>
      </c>
      <c r="AA80" s="2"/>
      <c r="AD80" s="2"/>
      <c r="AG80" s="2"/>
      <c r="AI80" s="2"/>
    </row>
    <row r="81" spans="1:35" x14ac:dyDescent="0.25">
      <c r="A81" s="886"/>
      <c r="B81" s="406">
        <v>43266</v>
      </c>
      <c r="C81" s="7">
        <v>100</v>
      </c>
      <c r="D81" s="77">
        <v>20.350000000000001</v>
      </c>
      <c r="E81" s="43">
        <v>0</v>
      </c>
      <c r="F81" s="43">
        <f t="shared" si="4"/>
        <v>2035.0000000000002</v>
      </c>
      <c r="G81" s="406">
        <v>43367</v>
      </c>
      <c r="H81" s="80">
        <v>1000</v>
      </c>
      <c r="I81" s="77">
        <v>22.65</v>
      </c>
      <c r="J81" s="43">
        <v>0.28999999999999998</v>
      </c>
      <c r="K81" s="43">
        <f t="shared" si="1"/>
        <v>22649.71</v>
      </c>
      <c r="AA81" s="2"/>
      <c r="AD81" s="2"/>
      <c r="AG81" s="2"/>
      <c r="AI81" s="2"/>
    </row>
    <row r="82" spans="1:35" x14ac:dyDescent="0.25">
      <c r="A82" s="886"/>
      <c r="B82" s="406">
        <v>43266</v>
      </c>
      <c r="C82" s="7">
        <v>500</v>
      </c>
      <c r="D82" s="77">
        <v>19.98</v>
      </c>
      <c r="E82" s="43">
        <v>-0.5</v>
      </c>
      <c r="F82" s="43">
        <f t="shared" si="4"/>
        <v>9989.5</v>
      </c>
      <c r="G82" s="406">
        <v>43371</v>
      </c>
      <c r="H82" s="80">
        <v>200</v>
      </c>
      <c r="I82" s="77">
        <v>23.38</v>
      </c>
      <c r="J82" s="43">
        <v>0.06</v>
      </c>
      <c r="K82" s="43">
        <f t="shared" si="1"/>
        <v>4675.9399999999996</v>
      </c>
      <c r="AA82" s="2"/>
      <c r="AD82" s="2"/>
      <c r="AG82" s="2"/>
      <c r="AI82" s="2"/>
    </row>
    <row r="83" spans="1:35" x14ac:dyDescent="0.25">
      <c r="B83" s="406">
        <v>43272</v>
      </c>
      <c r="C83" s="7">
        <v>200</v>
      </c>
      <c r="D83" s="77">
        <v>20.05</v>
      </c>
      <c r="E83" s="43">
        <v>0</v>
      </c>
      <c r="F83" s="43">
        <f t="shared" si="4"/>
        <v>4010</v>
      </c>
      <c r="G83" s="406">
        <v>43397</v>
      </c>
      <c r="H83" s="80">
        <v>500</v>
      </c>
      <c r="I83" s="77">
        <v>19.72</v>
      </c>
      <c r="J83" s="43">
        <v>0.13</v>
      </c>
      <c r="K83" s="43">
        <f t="shared" si="1"/>
        <v>9859.8700000000008</v>
      </c>
      <c r="AA83" s="2"/>
      <c r="AD83" s="2"/>
      <c r="AG83" s="2"/>
      <c r="AI83" s="2"/>
    </row>
    <row r="84" spans="1:35" x14ac:dyDescent="0.25">
      <c r="B84" s="406">
        <v>43276</v>
      </c>
      <c r="C84" s="7">
        <v>200</v>
      </c>
      <c r="D84" s="77">
        <v>20.48</v>
      </c>
      <c r="E84" s="43">
        <v>0</v>
      </c>
      <c r="F84" s="43">
        <f t="shared" si="4"/>
        <v>4096</v>
      </c>
      <c r="G84" s="406">
        <v>43404</v>
      </c>
      <c r="H84" s="80">
        <v>300</v>
      </c>
      <c r="I84" s="77">
        <v>19.68</v>
      </c>
      <c r="J84" s="43">
        <v>0.08</v>
      </c>
      <c r="K84" s="43">
        <f t="shared" si="1"/>
        <v>5903.92</v>
      </c>
      <c r="AA84" s="2"/>
      <c r="AD84" s="2"/>
      <c r="AG84" s="2"/>
      <c r="AI84" s="2"/>
    </row>
    <row r="85" spans="1:35" x14ac:dyDescent="0.25">
      <c r="A85" t="s">
        <v>1198</v>
      </c>
      <c r="B85" s="406">
        <v>43286</v>
      </c>
      <c r="C85" s="7">
        <v>200</v>
      </c>
      <c r="D85" s="77">
        <v>20.88</v>
      </c>
      <c r="E85" s="43">
        <v>0</v>
      </c>
      <c r="F85" s="43">
        <f t="shared" si="4"/>
        <v>4176</v>
      </c>
      <c r="G85" s="406">
        <v>43427</v>
      </c>
      <c r="H85" s="80">
        <v>200</v>
      </c>
      <c r="I85" s="77">
        <v>15.52</v>
      </c>
      <c r="J85" s="43">
        <v>0.04</v>
      </c>
      <c r="K85" s="43">
        <f t="shared" si="1"/>
        <v>3103.96</v>
      </c>
      <c r="AA85" s="2"/>
      <c r="AD85" s="2"/>
      <c r="AG85" s="2"/>
      <c r="AI85" s="2"/>
    </row>
    <row r="86" spans="1:35" x14ac:dyDescent="0.25">
      <c r="B86" s="406">
        <v>43286</v>
      </c>
      <c r="C86" s="7">
        <v>300</v>
      </c>
      <c r="D86" s="77">
        <v>20.68</v>
      </c>
      <c r="E86" s="43">
        <v>0</v>
      </c>
      <c r="F86" s="43">
        <f t="shared" si="4"/>
        <v>6204</v>
      </c>
      <c r="G86" s="406">
        <v>43430</v>
      </c>
      <c r="H86" s="80">
        <v>400</v>
      </c>
      <c r="I86" s="77">
        <v>16.18</v>
      </c>
      <c r="J86" s="43">
        <v>0.08</v>
      </c>
      <c r="K86" s="43">
        <f t="shared" si="1"/>
        <v>6471.92</v>
      </c>
      <c r="U86" s="121">
        <v>43341</v>
      </c>
      <c r="V86" s="661" t="s">
        <v>1256</v>
      </c>
      <c r="AA86" s="2"/>
      <c r="AD86" s="2"/>
      <c r="AG86" s="2"/>
      <c r="AI86" s="2"/>
    </row>
    <row r="87" spans="1:35" ht="15" customHeight="1" x14ac:dyDescent="0.25">
      <c r="A87" s="887" t="s">
        <v>1172</v>
      </c>
      <c r="B87" s="406">
        <v>43292</v>
      </c>
      <c r="C87" s="7">
        <v>101</v>
      </c>
      <c r="D87" s="77">
        <v>21.3</v>
      </c>
      <c r="E87" s="43">
        <v>0</v>
      </c>
      <c r="F87" s="43">
        <f t="shared" si="4"/>
        <v>2151.3000000000002</v>
      </c>
      <c r="G87" s="406">
        <v>43434</v>
      </c>
      <c r="H87" s="80">
        <v>200</v>
      </c>
      <c r="I87" s="77">
        <v>16.68</v>
      </c>
      <c r="J87" s="43">
        <v>0.04</v>
      </c>
      <c r="K87" s="43">
        <f t="shared" si="1"/>
        <v>3335.96</v>
      </c>
      <c r="AA87" s="2"/>
      <c r="AD87" s="2"/>
      <c r="AG87" s="2"/>
      <c r="AI87" s="2"/>
    </row>
    <row r="88" spans="1:35" x14ac:dyDescent="0.25">
      <c r="A88" s="887"/>
      <c r="B88" s="406">
        <v>43292</v>
      </c>
      <c r="C88" s="7">
        <v>199</v>
      </c>
      <c r="D88" s="77">
        <v>21.3</v>
      </c>
      <c r="E88" s="43">
        <v>0</v>
      </c>
      <c r="F88" s="43">
        <f>C88*D88+E88</f>
        <v>4238.7</v>
      </c>
      <c r="G88" s="406">
        <v>43441</v>
      </c>
      <c r="H88" s="80">
        <v>200</v>
      </c>
      <c r="I88" s="77">
        <v>16.82</v>
      </c>
      <c r="J88" s="43">
        <v>0.04</v>
      </c>
      <c r="K88" s="43">
        <f t="shared" si="1"/>
        <v>3363.96</v>
      </c>
      <c r="U88" s="121">
        <v>43349</v>
      </c>
      <c r="V88" s="661" t="s">
        <v>1264</v>
      </c>
      <c r="AA88" s="2"/>
      <c r="AD88" s="2"/>
      <c r="AG88" s="2"/>
      <c r="AI88" s="2"/>
    </row>
    <row r="89" spans="1:35" x14ac:dyDescent="0.25">
      <c r="A89" s="887"/>
      <c r="B89" s="406">
        <v>43297</v>
      </c>
      <c r="C89" s="7">
        <v>500</v>
      </c>
      <c r="D89" s="77">
        <v>20.38</v>
      </c>
      <c r="E89" s="43">
        <v>0</v>
      </c>
      <c r="F89" s="43">
        <f t="shared" ref="F89:F96" si="5">C89*D89+E89</f>
        <v>10190</v>
      </c>
      <c r="G89" s="406">
        <v>43460</v>
      </c>
      <c r="H89" s="80">
        <v>200</v>
      </c>
      <c r="I89" s="77">
        <v>13.18</v>
      </c>
      <c r="J89" s="43">
        <v>0.03</v>
      </c>
      <c r="K89" s="43">
        <f t="shared" si="1"/>
        <v>2635.97</v>
      </c>
      <c r="U89" s="121">
        <v>43352</v>
      </c>
      <c r="V89" s="661" t="s">
        <v>1263</v>
      </c>
    </row>
    <row r="90" spans="1:35" x14ac:dyDescent="0.25">
      <c r="A90" s="887"/>
      <c r="B90" s="406">
        <v>43297</v>
      </c>
      <c r="C90" s="7">
        <v>500</v>
      </c>
      <c r="D90" s="77">
        <v>19.95</v>
      </c>
      <c r="E90" s="43">
        <v>0</v>
      </c>
      <c r="F90" s="43">
        <f t="shared" si="5"/>
        <v>9975</v>
      </c>
      <c r="G90" s="406">
        <v>43467</v>
      </c>
      <c r="H90" s="80">
        <v>400</v>
      </c>
      <c r="I90" s="77">
        <v>14.75</v>
      </c>
      <c r="J90" s="43">
        <v>0.08</v>
      </c>
      <c r="K90" s="43">
        <f t="shared" si="1"/>
        <v>5899.92</v>
      </c>
    </row>
    <row r="91" spans="1:35" x14ac:dyDescent="0.25">
      <c r="B91" s="406">
        <v>43312</v>
      </c>
      <c r="C91" s="7">
        <v>200</v>
      </c>
      <c r="D91" s="77">
        <v>20.65</v>
      </c>
      <c r="E91" s="43">
        <v>0</v>
      </c>
      <c r="F91" s="43">
        <f t="shared" si="5"/>
        <v>4130</v>
      </c>
      <c r="G91" s="406">
        <v>43469</v>
      </c>
      <c r="H91" s="80">
        <v>400</v>
      </c>
      <c r="I91" s="77">
        <v>14.88</v>
      </c>
      <c r="J91" s="43">
        <v>0.08</v>
      </c>
      <c r="K91" s="43">
        <f t="shared" si="1"/>
        <v>5951.92</v>
      </c>
    </row>
    <row r="92" spans="1:35" x14ac:dyDescent="0.25">
      <c r="B92" s="406">
        <v>43314</v>
      </c>
      <c r="C92" s="7">
        <v>200</v>
      </c>
      <c r="D92" s="77">
        <v>19.7</v>
      </c>
      <c r="E92" s="43">
        <v>0</v>
      </c>
      <c r="F92" s="43">
        <f t="shared" si="5"/>
        <v>3940</v>
      </c>
      <c r="G92" s="406">
        <v>43475</v>
      </c>
      <c r="H92" s="80">
        <v>200</v>
      </c>
      <c r="I92" s="77">
        <v>16.32</v>
      </c>
      <c r="J92" s="43">
        <v>0.04</v>
      </c>
      <c r="K92" s="43">
        <f t="shared" si="1"/>
        <v>3263.96</v>
      </c>
      <c r="U92" s="121">
        <v>43407</v>
      </c>
      <c r="V92" s="661" t="s">
        <v>1290</v>
      </c>
    </row>
    <row r="93" spans="1:35" x14ac:dyDescent="0.25">
      <c r="B93" s="406">
        <v>43320</v>
      </c>
      <c r="C93" s="7">
        <v>300</v>
      </c>
      <c r="D93" s="77">
        <v>20.010000000000002</v>
      </c>
      <c r="E93" s="43">
        <v>0</v>
      </c>
      <c r="F93" s="43">
        <f t="shared" si="5"/>
        <v>6003.0000000000009</v>
      </c>
      <c r="G93" s="406">
        <v>43483</v>
      </c>
      <c r="H93" s="80">
        <v>200</v>
      </c>
      <c r="I93" s="77">
        <v>16.010000000000002</v>
      </c>
      <c r="J93" s="43">
        <v>0.04</v>
      </c>
      <c r="K93" s="43">
        <f t="shared" si="1"/>
        <v>3201.9600000000005</v>
      </c>
    </row>
    <row r="94" spans="1:35" x14ac:dyDescent="0.25">
      <c r="B94" s="406">
        <v>43327</v>
      </c>
      <c r="C94" s="7">
        <v>700</v>
      </c>
      <c r="D94" s="77">
        <v>19.579999999999998</v>
      </c>
      <c r="E94" s="43">
        <v>0</v>
      </c>
      <c r="F94" s="43">
        <f t="shared" si="5"/>
        <v>13705.999999999998</v>
      </c>
      <c r="G94" s="406">
        <v>43490</v>
      </c>
      <c r="H94" s="80">
        <v>200</v>
      </c>
      <c r="I94" s="77">
        <v>16.079999999999998</v>
      </c>
      <c r="J94" s="43">
        <v>0.04</v>
      </c>
      <c r="K94" s="43">
        <f t="shared" si="1"/>
        <v>3215.9599999999996</v>
      </c>
      <c r="U94" s="121">
        <v>43417</v>
      </c>
      <c r="V94" s="661" t="s">
        <v>1299</v>
      </c>
    </row>
    <row r="95" spans="1:35" x14ac:dyDescent="0.25">
      <c r="B95" s="406">
        <v>43327</v>
      </c>
      <c r="C95" s="7">
        <v>500</v>
      </c>
      <c r="D95" s="77">
        <v>19.079999999999998</v>
      </c>
      <c r="E95" s="43">
        <v>0</v>
      </c>
      <c r="F95" s="43">
        <f t="shared" si="5"/>
        <v>9540</v>
      </c>
      <c r="G95" s="406">
        <v>43510</v>
      </c>
      <c r="H95" s="80">
        <v>400</v>
      </c>
      <c r="I95" s="77">
        <v>16.38</v>
      </c>
      <c r="J95" s="43">
        <v>0.09</v>
      </c>
      <c r="K95" s="43">
        <f t="shared" si="1"/>
        <v>6551.91</v>
      </c>
      <c r="V95" s="661" t="s">
        <v>1300</v>
      </c>
    </row>
    <row r="96" spans="1:35" x14ac:dyDescent="0.25">
      <c r="A96" s="888" t="s">
        <v>1270</v>
      </c>
      <c r="B96" s="406">
        <v>43339</v>
      </c>
      <c r="C96" s="7">
        <v>1</v>
      </c>
      <c r="D96" s="77">
        <v>20.68</v>
      </c>
      <c r="E96" s="43">
        <v>0</v>
      </c>
      <c r="F96" s="43">
        <f t="shared" si="5"/>
        <v>20.68</v>
      </c>
      <c r="G96" s="406">
        <v>43510</v>
      </c>
      <c r="H96" s="80">
        <v>200</v>
      </c>
      <c r="I96" s="77">
        <v>16.98</v>
      </c>
      <c r="J96" s="43">
        <v>0.04</v>
      </c>
      <c r="K96" s="43">
        <f t="shared" si="1"/>
        <v>3395.96</v>
      </c>
    </row>
    <row r="97" spans="1:22" x14ac:dyDescent="0.25">
      <c r="A97" s="888"/>
      <c r="B97" s="406">
        <v>43339</v>
      </c>
      <c r="C97" s="7">
        <v>100</v>
      </c>
      <c r="D97" s="77">
        <v>20.68</v>
      </c>
      <c r="E97" s="43">
        <v>0</v>
      </c>
      <c r="F97" s="43">
        <f t="shared" ref="F97:F124" si="6">C97*D97+E97</f>
        <v>2068</v>
      </c>
      <c r="G97" s="406">
        <v>43544</v>
      </c>
      <c r="H97" s="80">
        <v>100</v>
      </c>
      <c r="I97" s="77">
        <v>17.68</v>
      </c>
      <c r="J97" s="43">
        <v>0.02</v>
      </c>
      <c r="K97" s="43">
        <f t="shared" si="1"/>
        <v>1767.98</v>
      </c>
    </row>
    <row r="98" spans="1:22" x14ac:dyDescent="0.25">
      <c r="A98" s="888"/>
      <c r="B98" s="406">
        <v>43347</v>
      </c>
      <c r="C98" s="7">
        <v>199</v>
      </c>
      <c r="D98" s="77">
        <v>21.18</v>
      </c>
      <c r="E98" s="43">
        <v>0</v>
      </c>
      <c r="F98" s="43">
        <f t="shared" si="6"/>
        <v>4214.82</v>
      </c>
      <c r="G98" s="406">
        <v>43556</v>
      </c>
      <c r="H98" s="80">
        <v>300</v>
      </c>
      <c r="I98" s="77">
        <v>17.34</v>
      </c>
      <c r="J98" s="43">
        <v>7.0000000000000007E-2</v>
      </c>
      <c r="K98" s="43">
        <f t="shared" si="1"/>
        <v>5201.93</v>
      </c>
      <c r="U98" s="121">
        <v>43421</v>
      </c>
      <c r="V98" s="661" t="s">
        <v>1305</v>
      </c>
    </row>
    <row r="99" spans="1:22" x14ac:dyDescent="0.25">
      <c r="A99" s="888"/>
      <c r="B99" s="406">
        <v>43349</v>
      </c>
      <c r="C99" s="7">
        <v>100</v>
      </c>
      <c r="D99" s="77">
        <v>20.48</v>
      </c>
      <c r="E99" s="43">
        <v>0</v>
      </c>
      <c r="F99" s="43">
        <f t="shared" si="6"/>
        <v>2048</v>
      </c>
      <c r="G99" s="406">
        <v>43560</v>
      </c>
      <c r="H99" s="80">
        <v>300</v>
      </c>
      <c r="I99" s="77">
        <v>17.66</v>
      </c>
      <c r="J99" s="43">
        <v>7.0000000000000007E-2</v>
      </c>
      <c r="K99" s="43">
        <f t="shared" si="1"/>
        <v>5297.93</v>
      </c>
      <c r="V99" s="661" t="s">
        <v>1306</v>
      </c>
    </row>
    <row r="100" spans="1:22" ht="15" customHeight="1" x14ac:dyDescent="0.25">
      <c r="A100" s="889" t="s">
        <v>1280</v>
      </c>
      <c r="B100" s="406">
        <v>43381</v>
      </c>
      <c r="C100" s="4">
        <v>200</v>
      </c>
      <c r="D100" s="78">
        <v>22.84</v>
      </c>
      <c r="E100" s="2">
        <v>0</v>
      </c>
      <c r="F100" s="2">
        <f t="shared" si="6"/>
        <v>4568</v>
      </c>
      <c r="G100" s="29"/>
    </row>
    <row r="101" spans="1:22" x14ac:dyDescent="0.25">
      <c r="A101" s="889"/>
      <c r="B101" s="406">
        <v>43383</v>
      </c>
      <c r="C101" s="4">
        <v>200</v>
      </c>
      <c r="D101" s="188">
        <v>22.1</v>
      </c>
      <c r="E101" s="3">
        <v>0</v>
      </c>
      <c r="F101" s="3">
        <f t="shared" si="6"/>
        <v>4420</v>
      </c>
      <c r="G101" s="29"/>
      <c r="U101" s="121">
        <v>43435</v>
      </c>
    </row>
    <row r="102" spans="1:22" x14ac:dyDescent="0.25">
      <c r="A102" s="889"/>
      <c r="B102" s="406">
        <v>43383</v>
      </c>
      <c r="C102" s="4">
        <v>200</v>
      </c>
      <c r="D102" s="78">
        <v>21.8</v>
      </c>
      <c r="E102" s="2">
        <v>0</v>
      </c>
      <c r="F102" s="2">
        <f t="shared" si="6"/>
        <v>4360</v>
      </c>
      <c r="G102" s="29"/>
    </row>
    <row r="103" spans="1:22" x14ac:dyDescent="0.25">
      <c r="A103" s="889"/>
      <c r="B103" s="406">
        <v>43383</v>
      </c>
      <c r="C103">
        <v>300</v>
      </c>
      <c r="D103" s="78">
        <v>21.28</v>
      </c>
      <c r="E103" s="2">
        <v>0</v>
      </c>
      <c r="F103" s="2">
        <f t="shared" si="6"/>
        <v>6384</v>
      </c>
      <c r="G103" s="29"/>
    </row>
    <row r="104" spans="1:22" x14ac:dyDescent="0.25">
      <c r="A104" s="889"/>
      <c r="B104" s="406">
        <v>43384</v>
      </c>
      <c r="C104" s="4">
        <v>300</v>
      </c>
      <c r="D104" s="188">
        <v>20.32</v>
      </c>
      <c r="E104" s="3">
        <v>0</v>
      </c>
      <c r="F104" s="3">
        <f t="shared" si="6"/>
        <v>6096</v>
      </c>
      <c r="G104" s="29"/>
    </row>
    <row r="105" spans="1:22" x14ac:dyDescent="0.25">
      <c r="B105" s="406">
        <v>43396</v>
      </c>
      <c r="C105" s="4">
        <v>500</v>
      </c>
      <c r="D105" s="188">
        <v>19.2</v>
      </c>
      <c r="E105" s="3">
        <v>0</v>
      </c>
      <c r="F105" s="3">
        <f t="shared" si="6"/>
        <v>9600</v>
      </c>
      <c r="G105" s="29"/>
    </row>
    <row r="106" spans="1:22" x14ac:dyDescent="0.25">
      <c r="B106" s="407">
        <v>43397</v>
      </c>
      <c r="C106" s="7">
        <v>300</v>
      </c>
      <c r="D106" s="77">
        <v>19.079999999999998</v>
      </c>
      <c r="E106" s="43">
        <v>0</v>
      </c>
      <c r="F106" s="43">
        <f t="shared" si="6"/>
        <v>5723.9999999999991</v>
      </c>
      <c r="G106" s="29"/>
    </row>
    <row r="107" spans="1:22" x14ac:dyDescent="0.25">
      <c r="B107" s="406">
        <v>43416</v>
      </c>
      <c r="C107" s="7">
        <v>200</v>
      </c>
      <c r="D107" s="77">
        <v>17.48</v>
      </c>
      <c r="E107" s="43">
        <v>0</v>
      </c>
      <c r="F107" s="43">
        <f t="shared" si="6"/>
        <v>3496</v>
      </c>
      <c r="G107" s="29"/>
    </row>
    <row r="108" spans="1:22" x14ac:dyDescent="0.25">
      <c r="B108" s="406">
        <v>43424</v>
      </c>
      <c r="C108" s="7">
        <v>200</v>
      </c>
      <c r="D108" s="77">
        <v>16.18</v>
      </c>
      <c r="E108" s="43">
        <v>0</v>
      </c>
      <c r="F108" s="43">
        <f t="shared" si="6"/>
        <v>3236</v>
      </c>
      <c r="G108" s="29"/>
    </row>
    <row r="109" spans="1:22" x14ac:dyDescent="0.25">
      <c r="B109" s="406">
        <v>43427</v>
      </c>
      <c r="C109" s="7">
        <v>200</v>
      </c>
      <c r="D109" s="77">
        <v>15.18</v>
      </c>
      <c r="E109" s="43">
        <v>0</v>
      </c>
      <c r="F109" s="43">
        <f t="shared" si="6"/>
        <v>3036</v>
      </c>
      <c r="G109" s="29"/>
    </row>
    <row r="110" spans="1:22" x14ac:dyDescent="0.25">
      <c r="B110" s="406">
        <v>43440</v>
      </c>
      <c r="C110" s="7">
        <v>200</v>
      </c>
      <c r="D110" s="77">
        <v>15.75</v>
      </c>
      <c r="E110" s="43">
        <v>0</v>
      </c>
      <c r="F110" s="43">
        <f t="shared" si="6"/>
        <v>3150</v>
      </c>
      <c r="G110" s="29"/>
    </row>
    <row r="111" spans="1:22" x14ac:dyDescent="0.25">
      <c r="B111" s="406">
        <v>43441</v>
      </c>
      <c r="C111" s="7">
        <v>200</v>
      </c>
      <c r="D111" s="77">
        <v>16.25</v>
      </c>
      <c r="E111" s="43">
        <v>0</v>
      </c>
      <c r="F111" s="43">
        <f t="shared" si="6"/>
        <v>3250</v>
      </c>
      <c r="G111" s="29"/>
    </row>
    <row r="112" spans="1:22" x14ac:dyDescent="0.25">
      <c r="B112" s="406">
        <v>43448</v>
      </c>
      <c r="C112" s="7">
        <v>200</v>
      </c>
      <c r="D112" s="77">
        <v>15.01</v>
      </c>
      <c r="E112" s="43">
        <v>0</v>
      </c>
      <c r="F112" s="43">
        <f t="shared" si="6"/>
        <v>3002</v>
      </c>
      <c r="G112" s="29"/>
    </row>
    <row r="113" spans="1:13" x14ac:dyDescent="0.25">
      <c r="B113" s="406">
        <v>43452</v>
      </c>
      <c r="C113" s="7">
        <v>200</v>
      </c>
      <c r="D113" s="77">
        <v>14.3</v>
      </c>
      <c r="E113" s="43">
        <v>0</v>
      </c>
      <c r="F113" s="43">
        <f t="shared" si="6"/>
        <v>2860</v>
      </c>
      <c r="G113" s="29"/>
    </row>
    <row r="114" spans="1:13" x14ac:dyDescent="0.25">
      <c r="B114" s="406">
        <v>43459</v>
      </c>
      <c r="C114" s="7">
        <v>200</v>
      </c>
      <c r="D114" s="77">
        <v>12.78</v>
      </c>
      <c r="E114" s="43">
        <v>0</v>
      </c>
      <c r="F114" s="43">
        <f t="shared" si="6"/>
        <v>2556</v>
      </c>
      <c r="G114" s="29"/>
    </row>
    <row r="115" spans="1:13" x14ac:dyDescent="0.25">
      <c r="B115" s="406">
        <v>43468</v>
      </c>
      <c r="C115" s="7">
        <v>400</v>
      </c>
      <c r="D115" s="77">
        <v>14.45</v>
      </c>
      <c r="E115" s="43">
        <v>0</v>
      </c>
      <c r="F115" s="43">
        <f t="shared" si="6"/>
        <v>5780</v>
      </c>
      <c r="G115" s="29"/>
    </row>
    <row r="116" spans="1:13" x14ac:dyDescent="0.25">
      <c r="B116" s="406">
        <v>43479</v>
      </c>
      <c r="C116" s="7">
        <v>200</v>
      </c>
      <c r="D116" s="77">
        <v>15.8</v>
      </c>
      <c r="E116" s="43">
        <v>0</v>
      </c>
      <c r="F116" s="43">
        <f t="shared" si="6"/>
        <v>3160</v>
      </c>
      <c r="G116" s="29"/>
    </row>
    <row r="117" spans="1:13" x14ac:dyDescent="0.25">
      <c r="B117" s="407">
        <v>43487</v>
      </c>
      <c r="C117" s="7">
        <v>200</v>
      </c>
      <c r="D117" s="77">
        <v>15.68</v>
      </c>
      <c r="E117" s="43">
        <v>0</v>
      </c>
      <c r="F117" s="43">
        <f t="shared" si="6"/>
        <v>3136</v>
      </c>
      <c r="G117" s="29"/>
    </row>
    <row r="118" spans="1:13" x14ac:dyDescent="0.25">
      <c r="B118" s="407">
        <v>43496</v>
      </c>
      <c r="C118" s="7">
        <v>200</v>
      </c>
      <c r="D118" s="77">
        <v>15.8</v>
      </c>
      <c r="E118" s="43">
        <v>0</v>
      </c>
      <c r="F118" s="43">
        <f t="shared" si="6"/>
        <v>3160</v>
      </c>
      <c r="G118" s="29"/>
    </row>
    <row r="119" spans="1:13" x14ac:dyDescent="0.25">
      <c r="B119" s="407">
        <v>43498</v>
      </c>
      <c r="C119" s="7">
        <v>200</v>
      </c>
      <c r="D119" s="77">
        <v>16.204999999999998</v>
      </c>
      <c r="E119" s="43">
        <v>0</v>
      </c>
      <c r="F119" s="43">
        <f t="shared" si="6"/>
        <v>3240.9999999999995</v>
      </c>
      <c r="G119" s="29"/>
    </row>
    <row r="120" spans="1:13" x14ac:dyDescent="0.25">
      <c r="B120" s="407">
        <v>43503</v>
      </c>
      <c r="C120" s="7">
        <v>200</v>
      </c>
      <c r="D120" s="77">
        <v>15.22</v>
      </c>
      <c r="E120" s="43">
        <v>0</v>
      </c>
      <c r="F120" s="43">
        <f t="shared" si="6"/>
        <v>3044</v>
      </c>
      <c r="G120" s="29"/>
    </row>
    <row r="121" spans="1:13" x14ac:dyDescent="0.25">
      <c r="B121" s="659">
        <v>43546</v>
      </c>
      <c r="C121" s="7">
        <v>100</v>
      </c>
      <c r="D121" s="77">
        <v>17.18</v>
      </c>
      <c r="E121" s="43">
        <v>0</v>
      </c>
      <c r="F121" s="43">
        <f t="shared" si="6"/>
        <v>1718</v>
      </c>
      <c r="G121" s="29"/>
    </row>
    <row r="122" spans="1:13" x14ac:dyDescent="0.25">
      <c r="B122" s="659">
        <v>43546</v>
      </c>
      <c r="C122" s="7">
        <v>200</v>
      </c>
      <c r="D122" s="77">
        <v>16.75</v>
      </c>
      <c r="E122" s="43">
        <v>-1</v>
      </c>
      <c r="F122" s="43">
        <f t="shared" si="6"/>
        <v>3349</v>
      </c>
      <c r="G122" s="29"/>
    </row>
    <row r="123" spans="1:13" x14ac:dyDescent="0.25">
      <c r="B123" s="659">
        <v>43558</v>
      </c>
      <c r="C123" s="7">
        <v>300</v>
      </c>
      <c r="D123" s="77">
        <v>16.98</v>
      </c>
      <c r="E123" s="43">
        <v>0</v>
      </c>
      <c r="F123" s="43">
        <f t="shared" si="6"/>
        <v>5094</v>
      </c>
      <c r="G123" s="29"/>
    </row>
    <row r="124" spans="1:13" x14ac:dyDescent="0.25">
      <c r="C124" s="4"/>
      <c r="D124" s="188"/>
      <c r="E124" s="3"/>
      <c r="F124" s="3"/>
      <c r="G124" s="29"/>
    </row>
    <row r="125" spans="1:13" x14ac:dyDescent="0.25">
      <c r="C125" s="4"/>
      <c r="G125" s="29"/>
    </row>
    <row r="126" spans="1:13" x14ac:dyDescent="0.25">
      <c r="G126" s="29"/>
    </row>
    <row r="127" spans="1:13" x14ac:dyDescent="0.25">
      <c r="A127" s="31" t="s">
        <v>81</v>
      </c>
      <c r="B127" s="408"/>
      <c r="C127" s="71">
        <f>SUM(C2:C126)</f>
        <v>35200</v>
      </c>
      <c r="D127" s="18"/>
      <c r="E127" s="18"/>
      <c r="F127" s="18">
        <f>SUM(F2:F126)</f>
        <v>585696.54999999993</v>
      </c>
      <c r="G127" s="14"/>
      <c r="H127" s="71">
        <f>SUM(H2:H126)</f>
        <v>33500</v>
      </c>
      <c r="I127" s="79"/>
      <c r="J127" s="18"/>
      <c r="K127" s="18">
        <f>SUM(K2:K126)</f>
        <v>579043.61999999988</v>
      </c>
      <c r="L127" s="14"/>
      <c r="M127" s="18">
        <f>SUM(M2:M126)</f>
        <v>2028.25</v>
      </c>
    </row>
    <row r="128" spans="1:13" ht="15.75" thickBot="1" x14ac:dyDescent="0.3">
      <c r="A128" s="277" t="s">
        <v>191</v>
      </c>
      <c r="B128" s="409"/>
      <c r="C128" s="279">
        <f>SumByColor($A$128, C2:C126)</f>
        <v>33500</v>
      </c>
      <c r="D128" s="279"/>
      <c r="E128" s="279"/>
      <c r="F128" s="280">
        <f>SumByColor($A$128, F2:F126)</f>
        <v>550270</v>
      </c>
      <c r="G128" s="279"/>
      <c r="H128" s="279">
        <f>SumByColor($A$128, H2:H126)</f>
        <v>33500</v>
      </c>
      <c r="I128" s="279"/>
      <c r="J128" s="280"/>
      <c r="K128" s="280">
        <f>SumByColor($A$128, K2:K126)</f>
        <v>579053</v>
      </c>
      <c r="L128" s="279"/>
      <c r="M128" s="280">
        <f>SumByColor($A$128, M2:M126)</f>
        <v>2028</v>
      </c>
    </row>
    <row r="131" spans="1:12" x14ac:dyDescent="0.25">
      <c r="B131" s="410" t="s">
        <v>113</v>
      </c>
      <c r="C131" s="162" t="s">
        <v>145</v>
      </c>
      <c r="D131" s="170" t="s">
        <v>144</v>
      </c>
      <c r="E131" s="165" t="s">
        <v>146</v>
      </c>
      <c r="F131" s="166" t="s">
        <v>65</v>
      </c>
      <c r="G131" s="177" t="s">
        <v>150</v>
      </c>
      <c r="H131" s="166" t="s">
        <v>88</v>
      </c>
      <c r="I131" s="177" t="s">
        <v>153</v>
      </c>
      <c r="J131" s="177" t="s">
        <v>487</v>
      </c>
      <c r="K131" s="177" t="s">
        <v>149</v>
      </c>
      <c r="L131" s="177" t="s">
        <v>898</v>
      </c>
    </row>
    <row r="132" spans="1:12" x14ac:dyDescent="0.25">
      <c r="A132" t="s">
        <v>421</v>
      </c>
      <c r="B132" s="150">
        <v>42787</v>
      </c>
      <c r="C132" s="10">
        <v>5700</v>
      </c>
      <c r="D132" s="190">
        <v>16.667088</v>
      </c>
      <c r="E132" s="39">
        <v>16.38</v>
      </c>
      <c r="F132" s="39">
        <f t="shared" ref="F132:F148" si="7">C132*(E132-D132)</f>
        <v>-1636.4016000000038</v>
      </c>
      <c r="G132" s="39">
        <f t="shared" ref="G132:G148" si="8">D132*C132</f>
        <v>95002.401599999997</v>
      </c>
      <c r="H132" s="179">
        <f t="shared" ref="H132:H148" si="9">(E132-D132)/D132</f>
        <v>-1.7224844555929666E-2</v>
      </c>
      <c r="I132" s="39"/>
      <c r="J132" s="39"/>
      <c r="K132" s="39">
        <f t="shared" ref="K132:K195" si="10">F132+$Q$10</f>
        <v>12979.169400001621</v>
      </c>
      <c r="L132" s="39"/>
    </row>
    <row r="133" spans="1:12" x14ac:dyDescent="0.25">
      <c r="A133" t="s">
        <v>433</v>
      </c>
      <c r="B133" s="150">
        <v>42788</v>
      </c>
      <c r="C133" s="359">
        <v>6000</v>
      </c>
      <c r="D133" s="567">
        <v>16.620999999999999</v>
      </c>
      <c r="E133" s="39">
        <v>15.76</v>
      </c>
      <c r="F133" s="39">
        <f t="shared" si="7"/>
        <v>-5165.9999999999936</v>
      </c>
      <c r="G133" s="39">
        <f t="shared" si="8"/>
        <v>99725.999999999985</v>
      </c>
      <c r="H133" s="179">
        <f t="shared" si="9"/>
        <v>-5.1801937308224473E-2</v>
      </c>
      <c r="I133" s="39"/>
      <c r="J133" s="39"/>
      <c r="K133" s="39">
        <f t="shared" si="10"/>
        <v>9449.5710000016334</v>
      </c>
      <c r="L133" s="39"/>
    </row>
    <row r="134" spans="1:12" x14ac:dyDescent="0.25">
      <c r="A134">
        <v>600</v>
      </c>
      <c r="B134" s="150">
        <v>42795</v>
      </c>
      <c r="C134" s="10">
        <v>5500</v>
      </c>
      <c r="D134" s="190">
        <v>16.619900000000001</v>
      </c>
      <c r="E134" s="39">
        <v>16.45</v>
      </c>
      <c r="F134" s="39">
        <f t="shared" si="7"/>
        <v>-934.45000000001062</v>
      </c>
      <c r="G134" s="39">
        <f t="shared" si="8"/>
        <v>91409.450000000012</v>
      </c>
      <c r="H134" s="179">
        <f t="shared" si="9"/>
        <v>-1.0222684853699596E-2</v>
      </c>
      <c r="I134" s="39">
        <v>16.399999999999999</v>
      </c>
      <c r="J134" s="39"/>
      <c r="K134" s="39">
        <f t="shared" si="10"/>
        <v>13681.121000001616</v>
      </c>
      <c r="L134" s="39"/>
    </row>
    <row r="135" spans="1:12" x14ac:dyDescent="0.25">
      <c r="A135">
        <v>1400</v>
      </c>
      <c r="B135" s="150">
        <v>42796</v>
      </c>
      <c r="C135" s="10">
        <v>6000</v>
      </c>
      <c r="D135" s="190">
        <v>16.589099999999998</v>
      </c>
      <c r="E135" s="39">
        <v>16.14</v>
      </c>
      <c r="F135" s="39">
        <f t="shared" si="7"/>
        <v>-2694.5999999999872</v>
      </c>
      <c r="G135" s="39">
        <f t="shared" si="8"/>
        <v>99534.599999999991</v>
      </c>
      <c r="H135" s="179">
        <f t="shared" si="9"/>
        <v>-2.7071993055681011E-2</v>
      </c>
      <c r="I135" s="39">
        <v>16.25</v>
      </c>
      <c r="J135" s="39"/>
      <c r="K135" s="39">
        <f t="shared" si="10"/>
        <v>11920.971000001638</v>
      </c>
      <c r="L135" s="39"/>
    </row>
    <row r="136" spans="1:12" x14ac:dyDescent="0.25">
      <c r="A136">
        <v>3600</v>
      </c>
      <c r="B136" s="150">
        <v>42798</v>
      </c>
      <c r="C136" s="10">
        <v>6000</v>
      </c>
      <c r="D136" s="190">
        <v>16.589099999999998</v>
      </c>
      <c r="E136" s="39">
        <v>16.14</v>
      </c>
      <c r="F136" s="39">
        <f t="shared" si="7"/>
        <v>-2694.5999999999872</v>
      </c>
      <c r="G136" s="39">
        <f t="shared" si="8"/>
        <v>99534.599999999991</v>
      </c>
      <c r="H136" s="179">
        <f t="shared" si="9"/>
        <v>-2.7071993055681011E-2</v>
      </c>
      <c r="I136" s="39">
        <v>16.25</v>
      </c>
      <c r="J136" s="39"/>
      <c r="K136" s="39">
        <f t="shared" si="10"/>
        <v>11920.971000001638</v>
      </c>
      <c r="L136" s="39"/>
    </row>
    <row r="137" spans="1:12" x14ac:dyDescent="0.25">
      <c r="A137">
        <v>3600</v>
      </c>
      <c r="B137" s="150">
        <v>42800</v>
      </c>
      <c r="C137" s="10">
        <v>6000</v>
      </c>
      <c r="D137" s="190">
        <v>16.589099999999998</v>
      </c>
      <c r="E137" s="39">
        <v>16.47</v>
      </c>
      <c r="F137" s="39">
        <f t="shared" si="7"/>
        <v>-714.59999999999718</v>
      </c>
      <c r="G137" s="39">
        <f t="shared" si="8"/>
        <v>99534.599999999991</v>
      </c>
      <c r="H137" s="179">
        <f t="shared" si="9"/>
        <v>-7.1794129880463405E-3</v>
      </c>
      <c r="I137" s="39">
        <v>16.25</v>
      </c>
      <c r="J137" s="39"/>
      <c r="K137" s="39">
        <f t="shared" si="10"/>
        <v>13900.971000001629</v>
      </c>
      <c r="L137" s="39"/>
    </row>
    <row r="138" spans="1:12" x14ac:dyDescent="0.25">
      <c r="A138">
        <v>3600</v>
      </c>
      <c r="B138" s="150">
        <v>42802</v>
      </c>
      <c r="C138" s="10">
        <v>6700</v>
      </c>
      <c r="D138" s="190">
        <v>16.427</v>
      </c>
      <c r="E138" s="39">
        <v>14.87</v>
      </c>
      <c r="F138" s="39">
        <f t="shared" si="7"/>
        <v>-10431.900000000003</v>
      </c>
      <c r="G138" s="39">
        <f t="shared" si="8"/>
        <v>110060.9</v>
      </c>
      <c r="H138" s="180">
        <f t="shared" si="9"/>
        <v>-9.478297924149269E-2</v>
      </c>
      <c r="I138" s="39"/>
      <c r="J138" s="39"/>
      <c r="K138" s="39">
        <f t="shared" si="10"/>
        <v>4183.6710000016228</v>
      </c>
      <c r="L138" s="39"/>
    </row>
    <row r="139" spans="1:12" x14ac:dyDescent="0.25">
      <c r="A139">
        <v>3600</v>
      </c>
      <c r="B139" s="150">
        <v>42803</v>
      </c>
      <c r="C139" s="10">
        <v>6000</v>
      </c>
      <c r="D139" s="190">
        <v>16.50263</v>
      </c>
      <c r="E139" s="39">
        <v>16.07</v>
      </c>
      <c r="F139" s="39">
        <f t="shared" si="7"/>
        <v>-2595.7799999999979</v>
      </c>
      <c r="G139" s="39">
        <f t="shared" si="8"/>
        <v>99015.78</v>
      </c>
      <c r="H139" s="180">
        <f t="shared" si="9"/>
        <v>-2.6215821356959445E-2</v>
      </c>
      <c r="I139" s="39">
        <v>16.25</v>
      </c>
      <c r="J139" s="39"/>
      <c r="K139" s="39">
        <f t="shared" si="10"/>
        <v>12019.791000001627</v>
      </c>
      <c r="L139" s="39"/>
    </row>
    <row r="140" spans="1:12" ht="15" customHeight="1" x14ac:dyDescent="0.25">
      <c r="A140">
        <v>4200</v>
      </c>
      <c r="B140" s="150">
        <v>42805</v>
      </c>
      <c r="C140" s="359">
        <v>6000</v>
      </c>
      <c r="D140" s="567">
        <v>16.447600000000001</v>
      </c>
      <c r="E140" s="39">
        <v>16.16</v>
      </c>
      <c r="F140" s="39">
        <f t="shared" si="7"/>
        <v>-1725.6000000000072</v>
      </c>
      <c r="G140" s="39">
        <f t="shared" si="8"/>
        <v>98685.6</v>
      </c>
      <c r="H140" s="180">
        <f t="shared" si="9"/>
        <v>-1.7485833799460174E-2</v>
      </c>
      <c r="I140" s="39" t="s">
        <v>184</v>
      </c>
      <c r="J140" s="39"/>
      <c r="K140" s="39">
        <f t="shared" si="10"/>
        <v>12889.971000001618</v>
      </c>
      <c r="L140" s="39"/>
    </row>
    <row r="141" spans="1:12" x14ac:dyDescent="0.25">
      <c r="A141">
        <v>4200</v>
      </c>
      <c r="B141" s="150">
        <v>42807</v>
      </c>
      <c r="C141" s="10">
        <v>6000</v>
      </c>
      <c r="D141" s="190">
        <v>16.447600000000001</v>
      </c>
      <c r="E141" s="39">
        <v>15.84</v>
      </c>
      <c r="F141" s="39">
        <f t="shared" si="7"/>
        <v>-3645.600000000009</v>
      </c>
      <c r="G141" s="39">
        <f t="shared" si="8"/>
        <v>98685.6</v>
      </c>
      <c r="H141" s="180">
        <f t="shared" si="9"/>
        <v>-3.6941559862837217E-2</v>
      </c>
      <c r="I141" s="39"/>
      <c r="J141" s="39"/>
      <c r="K141" s="39">
        <f t="shared" si="10"/>
        <v>10969.971000001617</v>
      </c>
      <c r="L141" s="39"/>
    </row>
    <row r="142" spans="1:12" x14ac:dyDescent="0.25">
      <c r="A142">
        <v>3700</v>
      </c>
      <c r="B142" s="150">
        <v>42808</v>
      </c>
      <c r="C142" s="359">
        <v>6000</v>
      </c>
      <c r="D142" s="567">
        <v>16.422999999999998</v>
      </c>
      <c r="E142" s="39">
        <v>15.32</v>
      </c>
      <c r="F142" s="39">
        <f t="shared" si="7"/>
        <v>-6617.9999999999882</v>
      </c>
      <c r="G142" s="39">
        <f t="shared" si="8"/>
        <v>98537.999999999985</v>
      </c>
      <c r="H142" s="180">
        <f t="shared" si="9"/>
        <v>-6.7161907081531885E-2</v>
      </c>
      <c r="I142" s="39">
        <v>16.25</v>
      </c>
      <c r="J142" s="39">
        <v>41.23</v>
      </c>
      <c r="K142" s="39">
        <f t="shared" si="10"/>
        <v>7997.5710000016379</v>
      </c>
      <c r="L142" s="39"/>
    </row>
    <row r="143" spans="1:12" x14ac:dyDescent="0.25">
      <c r="A143">
        <v>3700</v>
      </c>
      <c r="B143" s="150">
        <v>42809</v>
      </c>
      <c r="C143" s="10">
        <v>6000</v>
      </c>
      <c r="D143" s="190">
        <v>16.422999999999998</v>
      </c>
      <c r="E143" s="39">
        <v>15.56</v>
      </c>
      <c r="F143" s="39">
        <f t="shared" si="7"/>
        <v>-5177.9999999999864</v>
      </c>
      <c r="G143" s="39">
        <f t="shared" si="8"/>
        <v>98537.999999999985</v>
      </c>
      <c r="H143" s="180">
        <f t="shared" si="9"/>
        <v>-5.254825549534177E-2</v>
      </c>
      <c r="I143" s="39">
        <v>16.25</v>
      </c>
      <c r="J143" s="39">
        <v>44</v>
      </c>
      <c r="K143" s="39">
        <f t="shared" si="10"/>
        <v>9437.5710000016406</v>
      </c>
      <c r="L143" s="39"/>
    </row>
    <row r="144" spans="1:12" x14ac:dyDescent="0.25">
      <c r="A144">
        <v>4000</v>
      </c>
      <c r="B144" s="150">
        <v>42815</v>
      </c>
      <c r="C144" s="10">
        <v>6400</v>
      </c>
      <c r="D144" s="190">
        <v>16.349399999999999</v>
      </c>
      <c r="E144" s="39">
        <v>15.05</v>
      </c>
      <c r="F144" s="39">
        <f t="shared" si="7"/>
        <v>-8316.1599999999908</v>
      </c>
      <c r="G144" s="39">
        <f t="shared" si="8"/>
        <v>104636.15999999999</v>
      </c>
      <c r="H144" s="180">
        <f t="shared" si="9"/>
        <v>-7.9476922700527156E-2</v>
      </c>
      <c r="I144" s="39"/>
      <c r="J144" s="39"/>
      <c r="K144" s="39">
        <f t="shared" si="10"/>
        <v>6299.4110000016353</v>
      </c>
      <c r="L144" s="39"/>
    </row>
    <row r="145" spans="1:12" x14ac:dyDescent="0.25">
      <c r="A145">
        <v>4300</v>
      </c>
      <c r="B145" s="150">
        <v>42819</v>
      </c>
      <c r="C145" s="10">
        <v>6400</v>
      </c>
      <c r="D145" s="190">
        <v>16.349399999999999</v>
      </c>
      <c r="E145" s="39">
        <v>14.61</v>
      </c>
      <c r="F145" s="39">
        <f t="shared" si="7"/>
        <v>-11132.16</v>
      </c>
      <c r="G145" s="39">
        <f t="shared" si="8"/>
        <v>104636.15999999999</v>
      </c>
      <c r="H145" s="180">
        <f t="shared" si="9"/>
        <v>-0.10638922529267128</v>
      </c>
      <c r="I145" s="39"/>
      <c r="J145" s="39"/>
      <c r="K145" s="39">
        <f t="shared" si="10"/>
        <v>3483.4110000016262</v>
      </c>
      <c r="L145" s="39"/>
    </row>
    <row r="146" spans="1:12" x14ac:dyDescent="0.25">
      <c r="A146">
        <v>4300</v>
      </c>
      <c r="B146" s="150">
        <v>42821</v>
      </c>
      <c r="C146" s="10">
        <v>6400</v>
      </c>
      <c r="D146" s="190">
        <v>16.349399999999999</v>
      </c>
      <c r="E146" s="39">
        <v>14.75</v>
      </c>
      <c r="F146" s="39">
        <f t="shared" si="7"/>
        <v>-10236.159999999996</v>
      </c>
      <c r="G146" s="39">
        <f t="shared" si="8"/>
        <v>104636.15999999999</v>
      </c>
      <c r="H146" s="180">
        <f t="shared" si="9"/>
        <v>-9.78262199224436E-2</v>
      </c>
      <c r="I146" s="39"/>
      <c r="J146" s="39"/>
      <c r="K146" s="39">
        <f t="shared" si="10"/>
        <v>4379.4110000016299</v>
      </c>
      <c r="L146" s="39"/>
    </row>
    <row r="147" spans="1:12" x14ac:dyDescent="0.25">
      <c r="A147">
        <v>4300</v>
      </c>
      <c r="B147" s="150">
        <v>42822</v>
      </c>
      <c r="C147" s="10">
        <v>6400</v>
      </c>
      <c r="D147" s="190">
        <v>16.349399999999999</v>
      </c>
      <c r="E147" s="39">
        <v>15.23</v>
      </c>
      <c r="F147" s="39">
        <f t="shared" si="7"/>
        <v>-7164.1599999999926</v>
      </c>
      <c r="G147" s="39">
        <f t="shared" si="8"/>
        <v>104636.15999999999</v>
      </c>
      <c r="H147" s="180">
        <f t="shared" si="9"/>
        <v>-6.8467344367377322E-2</v>
      </c>
      <c r="I147" s="39"/>
      <c r="J147" s="39"/>
      <c r="K147" s="39">
        <f t="shared" si="10"/>
        <v>7451.4110000016335</v>
      </c>
      <c r="L147" s="39"/>
    </row>
    <row r="148" spans="1:12" x14ac:dyDescent="0.25">
      <c r="A148">
        <v>3900</v>
      </c>
      <c r="B148" s="150">
        <v>42823</v>
      </c>
      <c r="C148" s="359">
        <v>6000</v>
      </c>
      <c r="D148" s="567">
        <v>16.407399999999999</v>
      </c>
      <c r="E148" s="39">
        <v>15.48</v>
      </c>
      <c r="F148" s="39">
        <f t="shared" si="7"/>
        <v>-5564.3999999999924</v>
      </c>
      <c r="G148" s="39">
        <f t="shared" si="8"/>
        <v>98444.4</v>
      </c>
      <c r="H148" s="180">
        <f t="shared" si="9"/>
        <v>-5.6523276082743074E-2</v>
      </c>
      <c r="I148" s="39">
        <v>16.25</v>
      </c>
      <c r="J148" s="39"/>
      <c r="K148" s="39">
        <f t="shared" si="10"/>
        <v>9051.1710000016337</v>
      </c>
      <c r="L148" s="39"/>
    </row>
    <row r="149" spans="1:12" x14ac:dyDescent="0.25">
      <c r="A149">
        <v>4100</v>
      </c>
      <c r="B149" s="150">
        <v>42830</v>
      </c>
      <c r="C149" s="359">
        <v>6000</v>
      </c>
      <c r="D149" s="567">
        <v>16.388999999999999</v>
      </c>
      <c r="E149" s="39">
        <v>15.98</v>
      </c>
      <c r="F149" s="39">
        <f t="shared" ref="F149:F162" si="11">C149*(E149-D149)</f>
        <v>-2453.9999999999936</v>
      </c>
      <c r="G149" s="39">
        <f t="shared" ref="G149:G162" si="12">D149*C149</f>
        <v>98334</v>
      </c>
      <c r="H149" s="180">
        <f t="shared" ref="H149:H162" si="13">(E149-D149)/D149</f>
        <v>-2.4955763011776128E-2</v>
      </c>
      <c r="I149" s="39">
        <v>16.25</v>
      </c>
      <c r="J149" s="39"/>
      <c r="K149" s="39">
        <f t="shared" si="10"/>
        <v>12161.571000001633</v>
      </c>
      <c r="L149" s="39"/>
    </row>
    <row r="150" spans="1:12" x14ac:dyDescent="0.25">
      <c r="A150">
        <v>4800</v>
      </c>
      <c r="B150" s="150">
        <v>42838</v>
      </c>
      <c r="C150" s="10">
        <v>6200</v>
      </c>
      <c r="D150" s="190">
        <v>16.375</v>
      </c>
      <c r="E150" s="39">
        <v>15.9</v>
      </c>
      <c r="F150" s="39">
        <f t="shared" si="11"/>
        <v>-2944.9999999999977</v>
      </c>
      <c r="G150" s="39">
        <f t="shared" si="12"/>
        <v>101525</v>
      </c>
      <c r="H150" s="179">
        <f t="shared" si="13"/>
        <v>-2.9007633587786238E-2</v>
      </c>
      <c r="I150" s="39"/>
      <c r="J150" s="39"/>
      <c r="K150" s="39">
        <f t="shared" si="10"/>
        <v>11670.571000001628</v>
      </c>
      <c r="L150" s="39"/>
    </row>
    <row r="151" spans="1:12" x14ac:dyDescent="0.25">
      <c r="A151">
        <v>5300</v>
      </c>
      <c r="B151" s="150">
        <v>42844</v>
      </c>
      <c r="C151" s="10">
        <v>6400</v>
      </c>
      <c r="D151" s="190">
        <v>16.335000000000001</v>
      </c>
      <c r="E151" s="39">
        <v>15.06</v>
      </c>
      <c r="F151" s="39">
        <f t="shared" si="11"/>
        <v>-8160.0000000000018</v>
      </c>
      <c r="G151" s="39">
        <f t="shared" si="12"/>
        <v>104544</v>
      </c>
      <c r="H151" s="179">
        <f t="shared" si="13"/>
        <v>-7.805325987144171E-2</v>
      </c>
      <c r="I151" s="39"/>
      <c r="J151" s="39"/>
      <c r="K151" s="39">
        <f t="shared" si="10"/>
        <v>6455.5710000016243</v>
      </c>
      <c r="L151" s="39"/>
    </row>
    <row r="152" spans="1:12" x14ac:dyDescent="0.25">
      <c r="A152">
        <v>5700</v>
      </c>
      <c r="B152" s="150">
        <v>42854</v>
      </c>
      <c r="C152" s="10">
        <v>6400</v>
      </c>
      <c r="D152" s="190">
        <v>16.334199999999999</v>
      </c>
      <c r="E152" s="39">
        <v>14.87</v>
      </c>
      <c r="F152" s="39">
        <f t="shared" si="11"/>
        <v>-9370.8799999999992</v>
      </c>
      <c r="G152" s="39">
        <f t="shared" si="12"/>
        <v>104538.87999999999</v>
      </c>
      <c r="H152" s="179">
        <f t="shared" si="13"/>
        <v>-8.9640141543509938E-2</v>
      </c>
      <c r="I152" s="39"/>
      <c r="J152" s="39"/>
      <c r="K152" s="39">
        <f t="shared" si="10"/>
        <v>5244.6910000016269</v>
      </c>
      <c r="L152" s="39"/>
    </row>
    <row r="153" spans="1:12" x14ac:dyDescent="0.25">
      <c r="A153">
        <v>5700</v>
      </c>
      <c r="B153" s="150">
        <v>42860</v>
      </c>
      <c r="C153" s="10">
        <v>6700</v>
      </c>
      <c r="D153" s="190">
        <v>16.225999999999999</v>
      </c>
      <c r="E153" s="39">
        <v>14.29</v>
      </c>
      <c r="F153" s="39">
        <f t="shared" si="11"/>
        <v>-12971.199999999999</v>
      </c>
      <c r="G153" s="39">
        <f t="shared" si="12"/>
        <v>108714.2</v>
      </c>
      <c r="H153" s="179">
        <f t="shared" si="13"/>
        <v>-0.11931468014298041</v>
      </c>
      <c r="I153" s="39"/>
      <c r="J153" s="39"/>
      <c r="K153" s="39">
        <f t="shared" si="10"/>
        <v>1644.3710000016272</v>
      </c>
      <c r="L153" s="39"/>
    </row>
    <row r="154" spans="1:12" ht="15" customHeight="1" x14ac:dyDescent="0.25">
      <c r="A154">
        <v>6000</v>
      </c>
      <c r="B154" s="150">
        <v>42862</v>
      </c>
      <c r="C154" s="10">
        <v>6700</v>
      </c>
      <c r="D154" s="190">
        <v>16.225999999999999</v>
      </c>
      <c r="E154" s="39">
        <v>14.29</v>
      </c>
      <c r="F154" s="39">
        <f t="shared" si="11"/>
        <v>-12971.199999999999</v>
      </c>
      <c r="G154" s="39">
        <f t="shared" si="12"/>
        <v>108714.2</v>
      </c>
      <c r="H154" s="179">
        <f t="shared" si="13"/>
        <v>-0.11931468014298041</v>
      </c>
      <c r="I154" s="39"/>
      <c r="J154" s="39"/>
      <c r="K154" s="39">
        <f t="shared" si="10"/>
        <v>1644.3710000016272</v>
      </c>
      <c r="L154" s="39"/>
    </row>
    <row r="155" spans="1:12" x14ac:dyDescent="0.25">
      <c r="A155">
        <v>5700</v>
      </c>
      <c r="B155" s="150">
        <v>42863</v>
      </c>
      <c r="C155" s="10">
        <v>6400</v>
      </c>
      <c r="D155" s="190">
        <v>16.318000000000001</v>
      </c>
      <c r="E155" s="39">
        <v>14.59</v>
      </c>
      <c r="F155" s="39">
        <f t="shared" si="11"/>
        <v>-11059.20000000001</v>
      </c>
      <c r="G155" s="39">
        <f t="shared" si="12"/>
        <v>104435.20000000001</v>
      </c>
      <c r="H155" s="179">
        <f t="shared" si="13"/>
        <v>-0.1058953303100871</v>
      </c>
      <c r="I155" s="39"/>
      <c r="J155" s="39"/>
      <c r="K155" s="39">
        <f t="shared" si="10"/>
        <v>3556.3710000016163</v>
      </c>
      <c r="L155" s="39"/>
    </row>
    <row r="156" spans="1:12" x14ac:dyDescent="0.25">
      <c r="A156">
        <v>5700</v>
      </c>
      <c r="B156" s="150">
        <v>42866</v>
      </c>
      <c r="C156" s="10">
        <v>6400</v>
      </c>
      <c r="D156" s="190">
        <v>16.318000000000001</v>
      </c>
      <c r="E156" s="39">
        <v>14.48</v>
      </c>
      <c r="F156" s="39">
        <f t="shared" si="11"/>
        <v>-11763.200000000006</v>
      </c>
      <c r="G156" s="39">
        <f t="shared" si="12"/>
        <v>104435.20000000001</v>
      </c>
      <c r="H156" s="179">
        <f t="shared" si="13"/>
        <v>-0.11263635249417826</v>
      </c>
      <c r="I156" s="39"/>
      <c r="J156" s="39"/>
      <c r="K156" s="39">
        <f t="shared" si="10"/>
        <v>2852.3710000016199</v>
      </c>
      <c r="L156" s="39"/>
    </row>
    <row r="157" spans="1:12" x14ac:dyDescent="0.25">
      <c r="A157">
        <v>5900</v>
      </c>
      <c r="B157" s="150">
        <v>42872</v>
      </c>
      <c r="C157" s="10">
        <v>6531</v>
      </c>
      <c r="D157" s="190">
        <v>16.274999999999999</v>
      </c>
      <c r="E157" s="39">
        <v>14.35</v>
      </c>
      <c r="F157" s="39">
        <f t="shared" si="11"/>
        <v>-12572.174999999994</v>
      </c>
      <c r="G157" s="39">
        <f t="shared" si="12"/>
        <v>106292.02499999999</v>
      </c>
      <c r="H157" s="179">
        <f t="shared" si="13"/>
        <v>-0.11827956989247307</v>
      </c>
      <c r="I157" s="39"/>
      <c r="J157" s="39"/>
      <c r="K157" s="39">
        <f t="shared" si="10"/>
        <v>2043.3960000016323</v>
      </c>
      <c r="L157" s="39"/>
    </row>
    <row r="158" spans="1:12" x14ac:dyDescent="0.25">
      <c r="B158" s="150">
        <v>42873</v>
      </c>
      <c r="C158" s="10">
        <v>6400</v>
      </c>
      <c r="D158" s="190">
        <v>16.306000000000001</v>
      </c>
      <c r="E158" s="39">
        <v>14.35</v>
      </c>
      <c r="F158" s="39">
        <f t="shared" si="11"/>
        <v>-12518.400000000009</v>
      </c>
      <c r="G158" s="39">
        <f t="shared" si="12"/>
        <v>104358.40000000001</v>
      </c>
      <c r="H158" s="179">
        <f t="shared" si="13"/>
        <v>-0.11995584447442667</v>
      </c>
      <c r="I158" s="39"/>
      <c r="J158" s="39"/>
      <c r="K158" s="39">
        <f t="shared" si="10"/>
        <v>2097.1710000016174</v>
      </c>
      <c r="L158" s="39"/>
    </row>
    <row r="159" spans="1:12" x14ac:dyDescent="0.25">
      <c r="A159">
        <v>5600</v>
      </c>
      <c r="B159" s="150">
        <v>42873</v>
      </c>
      <c r="C159" s="10">
        <v>6700</v>
      </c>
      <c r="D159" s="190">
        <v>16.21</v>
      </c>
      <c r="E159" s="39">
        <v>14.16</v>
      </c>
      <c r="F159" s="39">
        <f t="shared" si="11"/>
        <v>-13735.000000000005</v>
      </c>
      <c r="G159" s="39">
        <f t="shared" si="12"/>
        <v>108607</v>
      </c>
      <c r="H159" s="179">
        <f t="shared" si="13"/>
        <v>-0.1264651449722394</v>
      </c>
      <c r="I159" s="39"/>
      <c r="J159" s="39"/>
      <c r="K159" s="39">
        <f t="shared" si="10"/>
        <v>880.57100000162063</v>
      </c>
      <c r="L159" s="39"/>
    </row>
    <row r="160" spans="1:12" x14ac:dyDescent="0.25">
      <c r="A160">
        <v>5300</v>
      </c>
      <c r="B160" s="150">
        <v>42874</v>
      </c>
      <c r="C160" s="10">
        <v>6400</v>
      </c>
      <c r="D160" s="190">
        <v>16.286000000000001</v>
      </c>
      <c r="E160" s="39">
        <v>14.58</v>
      </c>
      <c r="F160" s="39">
        <f t="shared" si="11"/>
        <v>-10918.400000000009</v>
      </c>
      <c r="G160" s="39">
        <f t="shared" si="12"/>
        <v>104230.40000000001</v>
      </c>
      <c r="H160" s="179">
        <f t="shared" si="13"/>
        <v>-0.10475254820090883</v>
      </c>
      <c r="I160" s="39"/>
      <c r="J160" s="39"/>
      <c r="K160" s="39">
        <f t="shared" si="10"/>
        <v>3697.1710000016174</v>
      </c>
      <c r="L160" s="39"/>
    </row>
    <row r="161" spans="1:22" x14ac:dyDescent="0.25">
      <c r="B161" s="150">
        <v>42880</v>
      </c>
      <c r="C161" s="10">
        <v>7000</v>
      </c>
      <c r="D161" s="190">
        <v>16.05</v>
      </c>
      <c r="E161" s="39">
        <v>13.5</v>
      </c>
      <c r="F161" s="39">
        <f t="shared" si="11"/>
        <v>-17850.000000000004</v>
      </c>
      <c r="G161" s="39">
        <f t="shared" si="12"/>
        <v>112350</v>
      </c>
      <c r="H161" s="179">
        <f t="shared" si="13"/>
        <v>-0.15887850467289724</v>
      </c>
      <c r="I161" s="39"/>
      <c r="J161" s="39"/>
      <c r="K161" s="39">
        <f t="shared" si="10"/>
        <v>-3234.4289999983775</v>
      </c>
      <c r="L161" s="39"/>
    </row>
    <row r="162" spans="1:22" x14ac:dyDescent="0.25">
      <c r="A162">
        <v>5800</v>
      </c>
      <c r="B162" s="150">
        <v>42899</v>
      </c>
      <c r="C162" s="10">
        <v>8000</v>
      </c>
      <c r="D162" s="190">
        <v>15.624000000000001</v>
      </c>
      <c r="E162" s="39">
        <v>13.01</v>
      </c>
      <c r="F162" s="39">
        <f t="shared" si="11"/>
        <v>-20912.000000000007</v>
      </c>
      <c r="G162" s="39">
        <f t="shared" si="12"/>
        <v>124992</v>
      </c>
      <c r="H162" s="179">
        <f t="shared" si="13"/>
        <v>-0.16730670762928831</v>
      </c>
      <c r="I162" s="39"/>
      <c r="J162" s="39"/>
      <c r="K162" s="39">
        <f t="shared" si="10"/>
        <v>-6296.4289999983812</v>
      </c>
      <c r="L162" s="39"/>
    </row>
    <row r="163" spans="1:22" x14ac:dyDescent="0.25">
      <c r="A163">
        <v>8000</v>
      </c>
      <c r="B163" s="150">
        <v>42939</v>
      </c>
      <c r="C163" s="10">
        <v>8000</v>
      </c>
      <c r="D163" s="190">
        <v>15.584</v>
      </c>
      <c r="E163" s="39">
        <v>11.85</v>
      </c>
      <c r="F163" s="39">
        <f t="shared" ref="F163:F173" si="14">C163*(E163-D163)</f>
        <v>-29872</v>
      </c>
      <c r="G163" s="39">
        <f t="shared" ref="G163:G173" si="15">D163*C163</f>
        <v>124672</v>
      </c>
      <c r="H163" s="179">
        <f t="shared" ref="H163:H173" si="16">(E163-D163)/D163</f>
        <v>-0.2396047227926078</v>
      </c>
      <c r="I163" s="39"/>
      <c r="J163" s="39"/>
      <c r="K163" s="39">
        <f t="shared" si="10"/>
        <v>-15256.428999998374</v>
      </c>
      <c r="L163" s="39"/>
    </row>
    <row r="164" spans="1:22" x14ac:dyDescent="0.25">
      <c r="A164">
        <v>8000</v>
      </c>
      <c r="B164" s="150">
        <v>42943</v>
      </c>
      <c r="C164" s="10">
        <v>8200</v>
      </c>
      <c r="D164" s="190">
        <v>15.5</v>
      </c>
      <c r="E164" s="39">
        <v>12.23</v>
      </c>
      <c r="F164" s="39">
        <f t="shared" si="14"/>
        <v>-26813.999999999996</v>
      </c>
      <c r="G164" s="39">
        <f t="shared" si="15"/>
        <v>127100</v>
      </c>
      <c r="H164" s="179">
        <f t="shared" si="16"/>
        <v>-0.21096774193548384</v>
      </c>
      <c r="I164" s="39"/>
      <c r="J164" s="39"/>
      <c r="K164" s="39">
        <f t="shared" si="10"/>
        <v>-12198.42899999837</v>
      </c>
      <c r="L164" s="39"/>
    </row>
    <row r="165" spans="1:22" x14ac:dyDescent="0.25">
      <c r="B165" s="150">
        <v>42944</v>
      </c>
      <c r="C165" s="10">
        <v>8000</v>
      </c>
      <c r="D165" s="190">
        <v>15.5733</v>
      </c>
      <c r="E165" s="39">
        <v>12.36</v>
      </c>
      <c r="F165" s="39">
        <f t="shared" si="14"/>
        <v>-25706.400000000001</v>
      </c>
      <c r="G165" s="39">
        <f t="shared" si="15"/>
        <v>124586.4</v>
      </c>
      <c r="H165" s="179">
        <f t="shared" si="16"/>
        <v>-0.20633391766677586</v>
      </c>
      <c r="I165" s="39"/>
      <c r="J165" s="39"/>
      <c r="K165" s="39">
        <f t="shared" si="10"/>
        <v>-11090.828999998375</v>
      </c>
      <c r="L165" s="39"/>
    </row>
    <row r="166" spans="1:22" x14ac:dyDescent="0.25">
      <c r="A166">
        <v>7400</v>
      </c>
      <c r="B166" s="150">
        <v>42950</v>
      </c>
      <c r="C166" s="10">
        <v>8000</v>
      </c>
      <c r="D166" s="190">
        <v>15.516999999999999</v>
      </c>
      <c r="E166" s="39">
        <v>12.51</v>
      </c>
      <c r="F166" s="39">
        <f t="shared" si="14"/>
        <v>-24055.999999999996</v>
      </c>
      <c r="G166" s="39">
        <f t="shared" si="15"/>
        <v>124136</v>
      </c>
      <c r="H166" s="179">
        <f t="shared" si="16"/>
        <v>-0.19378745891602756</v>
      </c>
      <c r="I166" s="39"/>
      <c r="J166" s="39"/>
      <c r="K166" s="39">
        <f t="shared" si="10"/>
        <v>-9440.4289999983703</v>
      </c>
      <c r="L166" s="39"/>
    </row>
    <row r="167" spans="1:22" x14ac:dyDescent="0.25">
      <c r="A167">
        <v>7200</v>
      </c>
      <c r="B167" s="150">
        <v>42953</v>
      </c>
      <c r="C167" s="10">
        <v>8000</v>
      </c>
      <c r="D167" s="190">
        <v>15.516999999999999</v>
      </c>
      <c r="E167" s="39">
        <v>12.9</v>
      </c>
      <c r="F167" s="39">
        <f t="shared" si="14"/>
        <v>-20935.999999999993</v>
      </c>
      <c r="G167" s="39">
        <f t="shared" si="15"/>
        <v>124136</v>
      </c>
      <c r="H167" s="179">
        <f t="shared" si="16"/>
        <v>-0.16865373461364949</v>
      </c>
      <c r="I167" s="39"/>
      <c r="J167" s="39"/>
      <c r="K167" s="39">
        <f t="shared" si="10"/>
        <v>-6320.4289999983666</v>
      </c>
      <c r="L167" s="39"/>
    </row>
    <row r="168" spans="1:22" x14ac:dyDescent="0.25">
      <c r="A168">
        <v>7200</v>
      </c>
      <c r="B168" s="150">
        <v>42967</v>
      </c>
      <c r="C168" s="10">
        <v>8900</v>
      </c>
      <c r="D168" s="190">
        <v>15.09</v>
      </c>
      <c r="E168" s="39">
        <v>10.87</v>
      </c>
      <c r="F168" s="39">
        <f t="shared" si="14"/>
        <v>-37558.000000000007</v>
      </c>
      <c r="G168" s="39">
        <f t="shared" si="15"/>
        <v>134301</v>
      </c>
      <c r="H168" s="179">
        <f t="shared" si="16"/>
        <v>-0.27965540092776675</v>
      </c>
      <c r="I168" s="39"/>
      <c r="J168" s="39"/>
      <c r="K168" s="39">
        <f t="shared" si="10"/>
        <v>-22942.428999998381</v>
      </c>
      <c r="L168" s="39"/>
    </row>
    <row r="169" spans="1:22" x14ac:dyDescent="0.25">
      <c r="A169">
        <v>7100</v>
      </c>
      <c r="B169" s="150">
        <v>42978</v>
      </c>
      <c r="C169" s="10">
        <v>8600</v>
      </c>
      <c r="D169" s="190">
        <v>15.226800000000001</v>
      </c>
      <c r="E169" s="39">
        <v>11.27</v>
      </c>
      <c r="F169" s="39">
        <f t="shared" si="14"/>
        <v>-34028.48000000001</v>
      </c>
      <c r="G169" s="39">
        <f t="shared" si="15"/>
        <v>130950.48000000001</v>
      </c>
      <c r="H169" s="179">
        <f t="shared" si="16"/>
        <v>-0.25985761946042513</v>
      </c>
      <c r="I169" s="39"/>
      <c r="J169" s="39"/>
      <c r="K169" s="39">
        <f t="shared" si="10"/>
        <v>-19412.908999998384</v>
      </c>
      <c r="L169" s="39"/>
    </row>
    <row r="170" spans="1:22" x14ac:dyDescent="0.25">
      <c r="A170">
        <v>7300</v>
      </c>
      <c r="B170" s="150">
        <v>42984</v>
      </c>
      <c r="C170" s="10">
        <v>8200</v>
      </c>
      <c r="D170" s="190">
        <v>15.403</v>
      </c>
      <c r="E170" s="39">
        <v>11.6</v>
      </c>
      <c r="F170" s="39">
        <f t="shared" si="14"/>
        <v>-31184.600000000006</v>
      </c>
      <c r="G170" s="39">
        <f t="shared" si="15"/>
        <v>126304.6</v>
      </c>
      <c r="H170" s="179">
        <f t="shared" si="16"/>
        <v>-0.24689995455430766</v>
      </c>
      <c r="I170" s="39"/>
      <c r="J170" s="39"/>
      <c r="K170" s="39">
        <f t="shared" si="10"/>
        <v>-16569.02899999838</v>
      </c>
      <c r="L170" s="39"/>
    </row>
    <row r="171" spans="1:22" x14ac:dyDescent="0.25">
      <c r="A171">
        <v>7300</v>
      </c>
      <c r="B171" s="150">
        <v>42986</v>
      </c>
      <c r="C171" s="10">
        <v>8600</v>
      </c>
      <c r="D171" s="190">
        <v>15.202999999999999</v>
      </c>
      <c r="E171" s="39">
        <v>11.11</v>
      </c>
      <c r="F171" s="39">
        <f t="shared" si="14"/>
        <v>-35199.800000000003</v>
      </c>
      <c r="G171" s="39">
        <f t="shared" si="15"/>
        <v>130745.79999999999</v>
      </c>
      <c r="H171" s="179">
        <f t="shared" si="16"/>
        <v>-0.26922317963559822</v>
      </c>
      <c r="I171" s="39"/>
      <c r="J171" s="39"/>
      <c r="K171" s="39">
        <f t="shared" si="10"/>
        <v>-20584.228999998377</v>
      </c>
      <c r="L171" s="39"/>
    </row>
    <row r="172" spans="1:22" x14ac:dyDescent="0.25">
      <c r="A172">
        <v>6900</v>
      </c>
      <c r="B172" s="150">
        <v>42987</v>
      </c>
      <c r="C172" s="10">
        <v>8200</v>
      </c>
      <c r="D172" s="190">
        <v>15.3935</v>
      </c>
      <c r="E172" s="39">
        <v>11.3</v>
      </c>
      <c r="F172" s="39">
        <f t="shared" si="14"/>
        <v>-33566.69999999999</v>
      </c>
      <c r="G172" s="39">
        <f t="shared" si="15"/>
        <v>126226.7</v>
      </c>
      <c r="H172" s="179">
        <f t="shared" si="16"/>
        <v>-0.26592392893104227</v>
      </c>
      <c r="I172" s="39"/>
      <c r="J172" s="39"/>
      <c r="K172" s="39">
        <f t="shared" si="10"/>
        <v>-18951.128999998364</v>
      </c>
      <c r="L172" s="39"/>
    </row>
    <row r="173" spans="1:22" x14ac:dyDescent="0.25">
      <c r="A173">
        <v>7500</v>
      </c>
      <c r="B173" s="150">
        <v>42996</v>
      </c>
      <c r="C173" s="10">
        <v>8000</v>
      </c>
      <c r="D173" s="190">
        <v>15.43</v>
      </c>
      <c r="E173" s="39">
        <v>12.02</v>
      </c>
      <c r="F173" s="39">
        <f t="shared" si="14"/>
        <v>-27280</v>
      </c>
      <c r="G173" s="39">
        <f t="shared" si="15"/>
        <v>123440</v>
      </c>
      <c r="H173" s="179">
        <f t="shared" si="16"/>
        <v>-0.22099805573558004</v>
      </c>
      <c r="I173" s="39">
        <v>15</v>
      </c>
      <c r="J173" s="39"/>
      <c r="K173" s="39">
        <f t="shared" si="10"/>
        <v>-12664.428999998374</v>
      </c>
      <c r="L173" s="39"/>
      <c r="V173" s="705"/>
    </row>
    <row r="174" spans="1:22" x14ac:dyDescent="0.25">
      <c r="A174">
        <v>7600</v>
      </c>
      <c r="B174" s="150">
        <v>42999</v>
      </c>
      <c r="C174" s="355">
        <v>8000</v>
      </c>
      <c r="D174" s="704">
        <v>15.43</v>
      </c>
      <c r="E174" s="39">
        <v>12.73</v>
      </c>
      <c r="F174" s="39">
        <f t="shared" ref="F174:F180" si="17">C174*(E174-D174)</f>
        <v>-21599.999999999993</v>
      </c>
      <c r="G174" s="39">
        <f t="shared" ref="G174:G180" si="18">D174*C174</f>
        <v>123440</v>
      </c>
      <c r="H174" s="179">
        <f t="shared" ref="H174:H180" si="19">(E174-D174)/D174</f>
        <v>-0.17498379779650028</v>
      </c>
      <c r="I174" s="39">
        <v>15</v>
      </c>
      <c r="J174" s="39"/>
      <c r="K174" s="39">
        <f t="shared" si="10"/>
        <v>-6984.4289999983666</v>
      </c>
      <c r="L174" s="39"/>
      <c r="V174" s="705"/>
    </row>
    <row r="175" spans="1:22" x14ac:dyDescent="0.25">
      <c r="A175">
        <v>7100</v>
      </c>
      <c r="B175" s="150">
        <v>43000</v>
      </c>
      <c r="C175" s="10">
        <v>7500</v>
      </c>
      <c r="D175" s="190">
        <v>15.6</v>
      </c>
      <c r="E175" s="39">
        <v>12.83</v>
      </c>
      <c r="F175" s="39">
        <f t="shared" si="17"/>
        <v>-20774.999999999996</v>
      </c>
      <c r="G175" s="39">
        <f t="shared" si="18"/>
        <v>117000</v>
      </c>
      <c r="H175" s="179">
        <f t="shared" si="19"/>
        <v>-0.17756410256410254</v>
      </c>
      <c r="I175" s="39"/>
      <c r="J175" s="39"/>
      <c r="K175" s="39">
        <f t="shared" si="10"/>
        <v>-6159.4289999983703</v>
      </c>
      <c r="L175" s="39"/>
      <c r="V175" s="705"/>
    </row>
    <row r="176" spans="1:22" x14ac:dyDescent="0.25">
      <c r="A176">
        <v>6600</v>
      </c>
      <c r="B176" s="150">
        <v>43000</v>
      </c>
      <c r="C176" s="10">
        <v>7000</v>
      </c>
      <c r="D176" s="190">
        <v>15.788</v>
      </c>
      <c r="E176" s="39">
        <v>12.79</v>
      </c>
      <c r="F176" s="39">
        <f t="shared" si="17"/>
        <v>-20986.000000000007</v>
      </c>
      <c r="G176" s="39">
        <f t="shared" si="18"/>
        <v>110516</v>
      </c>
      <c r="H176" s="179">
        <f t="shared" si="19"/>
        <v>-0.1898910564986066</v>
      </c>
      <c r="I176" s="39">
        <v>15.5</v>
      </c>
      <c r="J176" s="39"/>
      <c r="K176" s="39">
        <f t="shared" si="10"/>
        <v>-6370.4289999983812</v>
      </c>
      <c r="L176" s="39"/>
      <c r="V176" s="706"/>
    </row>
    <row r="177" spans="1:22" x14ac:dyDescent="0.25">
      <c r="A177">
        <v>6300</v>
      </c>
      <c r="B177" s="150">
        <v>43004</v>
      </c>
      <c r="C177" s="10">
        <v>6700</v>
      </c>
      <c r="D177" s="190">
        <v>15.903</v>
      </c>
      <c r="E177" s="39">
        <v>13.4</v>
      </c>
      <c r="F177" s="39">
        <f t="shared" si="17"/>
        <v>-16770.100000000002</v>
      </c>
      <c r="G177" s="39">
        <f t="shared" si="18"/>
        <v>106550.1</v>
      </c>
      <c r="H177" s="179">
        <f t="shared" si="19"/>
        <v>-0.15739168710306231</v>
      </c>
      <c r="I177" s="39">
        <v>15.5</v>
      </c>
      <c r="J177" s="39"/>
      <c r="K177" s="39">
        <f t="shared" si="10"/>
        <v>-2154.5289999983761</v>
      </c>
      <c r="L177" s="39"/>
      <c r="V177" s="706"/>
    </row>
    <row r="178" spans="1:22" x14ac:dyDescent="0.25">
      <c r="A178">
        <v>6000</v>
      </c>
      <c r="B178" s="150">
        <v>43005</v>
      </c>
      <c r="C178" s="10">
        <v>6400</v>
      </c>
      <c r="D178" s="190">
        <v>16.003</v>
      </c>
      <c r="E178" s="39">
        <v>13.73</v>
      </c>
      <c r="F178" s="39">
        <f t="shared" si="17"/>
        <v>-14547.199999999997</v>
      </c>
      <c r="G178" s="39">
        <f t="shared" si="18"/>
        <v>102419.2</v>
      </c>
      <c r="H178" s="179">
        <f t="shared" si="19"/>
        <v>-0.14203586827469847</v>
      </c>
      <c r="I178" s="39"/>
      <c r="J178" s="39"/>
      <c r="K178" s="39">
        <f t="shared" si="10"/>
        <v>68.371000001629</v>
      </c>
      <c r="L178" s="39"/>
      <c r="V178" s="706"/>
    </row>
    <row r="179" spans="1:22" x14ac:dyDescent="0.25">
      <c r="A179">
        <v>6000</v>
      </c>
      <c r="B179" s="150">
        <v>43006</v>
      </c>
      <c r="C179" s="10">
        <v>6700</v>
      </c>
      <c r="D179" s="190">
        <v>15.8888</v>
      </c>
      <c r="E179" s="39">
        <v>13.53</v>
      </c>
      <c r="F179" s="39">
        <f t="shared" si="17"/>
        <v>-15803.960000000003</v>
      </c>
      <c r="G179" s="39">
        <f t="shared" si="18"/>
        <v>106454.95999999999</v>
      </c>
      <c r="H179" s="179">
        <f t="shared" si="19"/>
        <v>-0.14845677458335435</v>
      </c>
      <c r="I179" s="39">
        <v>15.5</v>
      </c>
      <c r="J179" s="39"/>
      <c r="K179" s="39">
        <f t="shared" si="10"/>
        <v>-1188.3889999983767</v>
      </c>
      <c r="L179" s="39"/>
    </row>
    <row r="180" spans="1:22" x14ac:dyDescent="0.25">
      <c r="A180">
        <v>5700</v>
      </c>
      <c r="B180" s="150">
        <v>43011</v>
      </c>
      <c r="C180" s="10">
        <v>6400</v>
      </c>
      <c r="D180" s="190">
        <v>15.99</v>
      </c>
      <c r="E180" s="39">
        <v>13.76</v>
      </c>
      <c r="F180" s="39">
        <f t="shared" si="17"/>
        <v>-14272.000000000004</v>
      </c>
      <c r="G180" s="39">
        <f t="shared" si="18"/>
        <v>102336</v>
      </c>
      <c r="H180" s="179">
        <f t="shared" si="19"/>
        <v>-0.13946216385240778</v>
      </c>
      <c r="I180" s="39"/>
      <c r="J180" s="39"/>
      <c r="K180" s="39">
        <f t="shared" si="10"/>
        <v>343.57100000162245</v>
      </c>
      <c r="L180" s="39"/>
    </row>
    <row r="181" spans="1:22" x14ac:dyDescent="0.25">
      <c r="A181">
        <v>6100</v>
      </c>
      <c r="B181" s="150">
        <v>43023</v>
      </c>
      <c r="C181" s="10">
        <v>6400</v>
      </c>
      <c r="D181" s="190">
        <v>15.99</v>
      </c>
      <c r="E181" s="39">
        <v>13.75</v>
      </c>
      <c r="F181" s="39">
        <f>C181*(E181-D181)</f>
        <v>-14336.000000000002</v>
      </c>
      <c r="G181" s="39">
        <f>D181*C181</f>
        <v>102336</v>
      </c>
      <c r="H181" s="179">
        <f>(E181-D181)/D181</f>
        <v>-0.14008755472170106</v>
      </c>
      <c r="I181" s="39">
        <v>15.5</v>
      </c>
      <c r="J181" s="39">
        <v>69.28</v>
      </c>
      <c r="K181" s="39">
        <f t="shared" si="10"/>
        <v>279.57100000162427</v>
      </c>
      <c r="L181" s="39"/>
      <c r="V181" s="709"/>
    </row>
    <row r="182" spans="1:22" x14ac:dyDescent="0.25">
      <c r="B182" s="150">
        <v>43028</v>
      </c>
      <c r="C182" s="10">
        <v>6400</v>
      </c>
      <c r="D182" s="190">
        <v>15.99</v>
      </c>
      <c r="E182" s="39">
        <v>13.93</v>
      </c>
      <c r="F182" s="39">
        <f>C182*(E182-D182)</f>
        <v>-13184.000000000004</v>
      </c>
      <c r="G182" s="39">
        <f>D182*C182</f>
        <v>102336</v>
      </c>
      <c r="H182" s="179">
        <f>(E182-D182)/D182</f>
        <v>-0.12883051907442156</v>
      </c>
      <c r="I182" s="39"/>
      <c r="J182" s="39"/>
      <c r="K182" s="39">
        <f t="shared" si="10"/>
        <v>1431.5710000016225</v>
      </c>
      <c r="L182" s="39"/>
      <c r="V182" s="709"/>
    </row>
    <row r="183" spans="1:22" x14ac:dyDescent="0.25">
      <c r="A183">
        <v>6100</v>
      </c>
      <c r="B183" s="150">
        <v>43031</v>
      </c>
      <c r="C183" s="10">
        <v>6400</v>
      </c>
      <c r="D183" s="190">
        <v>15.99</v>
      </c>
      <c r="E183" s="39">
        <v>13.63</v>
      </c>
      <c r="F183" s="39">
        <f t="shared" ref="F183:F195" si="20">C183*(E183-D183)</f>
        <v>-15103.999999999996</v>
      </c>
      <c r="G183" s="39">
        <f t="shared" ref="G183:G195" si="21">D183*C183</f>
        <v>102336</v>
      </c>
      <c r="H183" s="179">
        <f t="shared" ref="H183:H195" si="22">(E183-D183)/D183</f>
        <v>-0.14759224515322072</v>
      </c>
      <c r="I183" s="39"/>
      <c r="J183" s="39"/>
      <c r="K183" s="39">
        <f t="shared" si="10"/>
        <v>-488.42899999837027</v>
      </c>
      <c r="L183" s="39"/>
      <c r="O183" s="2"/>
      <c r="V183" s="718"/>
    </row>
    <row r="184" spans="1:22" x14ac:dyDescent="0.25">
      <c r="A184">
        <v>6000</v>
      </c>
      <c r="B184" s="150">
        <v>43040</v>
      </c>
      <c r="C184" s="359">
        <v>6000</v>
      </c>
      <c r="D184" s="567">
        <v>16.091100000000001</v>
      </c>
      <c r="E184" s="39">
        <v>14.87</v>
      </c>
      <c r="F184" s="39">
        <f t="shared" si="20"/>
        <v>-7326.6000000000095</v>
      </c>
      <c r="G184" s="39">
        <f t="shared" si="21"/>
        <v>96546.6</v>
      </c>
      <c r="H184" s="179">
        <f t="shared" si="22"/>
        <v>-7.5886670271143777E-2</v>
      </c>
      <c r="I184" s="173" t="s">
        <v>741</v>
      </c>
      <c r="J184" s="39"/>
      <c r="K184" s="39">
        <f t="shared" si="10"/>
        <v>7288.9710000016166</v>
      </c>
      <c r="L184" s="39"/>
      <c r="V184" s="718"/>
    </row>
    <row r="185" spans="1:22" x14ac:dyDescent="0.25">
      <c r="A185">
        <v>5700</v>
      </c>
      <c r="B185" s="150">
        <v>43042</v>
      </c>
      <c r="C185" s="10">
        <v>5700</v>
      </c>
      <c r="D185" s="190">
        <v>16.117999999999999</v>
      </c>
      <c r="E185" s="39">
        <v>15.58</v>
      </c>
      <c r="F185" s="39">
        <f t="shared" si="20"/>
        <v>-3066.5999999999913</v>
      </c>
      <c r="G185" s="39">
        <f t="shared" si="21"/>
        <v>91872.599999999991</v>
      </c>
      <c r="H185" s="179">
        <f t="shared" si="22"/>
        <v>-3.337883112048632E-2</v>
      </c>
      <c r="I185" s="39"/>
      <c r="J185" s="39"/>
      <c r="K185" s="39">
        <f t="shared" si="10"/>
        <v>11548.971000001635</v>
      </c>
      <c r="L185" s="39"/>
      <c r="V185" s="720"/>
    </row>
    <row r="186" spans="1:22" x14ac:dyDescent="0.25">
      <c r="A186">
        <v>5600</v>
      </c>
      <c r="B186" s="150">
        <v>43045</v>
      </c>
      <c r="C186" s="10">
        <v>5600</v>
      </c>
      <c r="D186" s="190">
        <v>16.114000000000001</v>
      </c>
      <c r="E186" s="39">
        <v>16.329999999999998</v>
      </c>
      <c r="F186" s="39">
        <f t="shared" si="20"/>
        <v>1209.5999999999863</v>
      </c>
      <c r="G186" s="39">
        <f t="shared" si="21"/>
        <v>90238.400000000009</v>
      </c>
      <c r="H186" s="179">
        <f t="shared" si="22"/>
        <v>1.3404492987464163E-2</v>
      </c>
      <c r="I186" s="39"/>
      <c r="J186" s="39"/>
      <c r="K186" s="39">
        <f t="shared" si="10"/>
        <v>15825.171000001612</v>
      </c>
      <c r="L186" s="39"/>
      <c r="V186" s="720"/>
    </row>
    <row r="187" spans="1:22" x14ac:dyDescent="0.25">
      <c r="A187">
        <v>5600</v>
      </c>
      <c r="B187" s="150">
        <v>43047</v>
      </c>
      <c r="C187" s="10">
        <v>5700</v>
      </c>
      <c r="D187" s="190">
        <v>16.1084</v>
      </c>
      <c r="E187" s="39">
        <v>15.8</v>
      </c>
      <c r="F187" s="39">
        <f t="shared" si="20"/>
        <v>-1757.8799999999937</v>
      </c>
      <c r="G187" s="39">
        <f t="shared" si="21"/>
        <v>91817.88</v>
      </c>
      <c r="H187" s="179">
        <f t="shared" si="22"/>
        <v>-1.9145290655806842E-2</v>
      </c>
      <c r="I187" s="39"/>
      <c r="J187" s="39"/>
      <c r="K187" s="39">
        <f t="shared" si="10"/>
        <v>12857.691000001632</v>
      </c>
      <c r="L187" s="39"/>
      <c r="V187" s="720"/>
    </row>
    <row r="188" spans="1:22" x14ac:dyDescent="0.25">
      <c r="A188">
        <v>5600</v>
      </c>
      <c r="B188" s="150">
        <v>43053</v>
      </c>
      <c r="C188" s="359">
        <v>6000</v>
      </c>
      <c r="D188" s="567">
        <v>16.059999999999999</v>
      </c>
      <c r="E188" s="39">
        <v>14.84</v>
      </c>
      <c r="F188" s="39">
        <f t="shared" si="20"/>
        <v>-7319.9999999999927</v>
      </c>
      <c r="G188" s="39">
        <f t="shared" si="21"/>
        <v>96359.999999999985</v>
      </c>
      <c r="H188" s="179">
        <f t="shared" si="22"/>
        <v>-7.5965130759651237E-2</v>
      </c>
      <c r="I188" s="39">
        <v>15.75</v>
      </c>
      <c r="J188" s="39">
        <v>52.87</v>
      </c>
      <c r="K188" s="39">
        <f t="shared" si="10"/>
        <v>7295.5710000016334</v>
      </c>
      <c r="L188" s="39"/>
      <c r="V188" s="709"/>
    </row>
    <row r="189" spans="1:22" x14ac:dyDescent="0.25">
      <c r="A189">
        <v>5600</v>
      </c>
      <c r="B189" s="150">
        <v>43060</v>
      </c>
      <c r="C189" s="10">
        <v>6400</v>
      </c>
      <c r="D189" s="190">
        <v>15.96</v>
      </c>
      <c r="E189" s="39">
        <v>14.52</v>
      </c>
      <c r="F189" s="39">
        <f t="shared" si="20"/>
        <v>-9216.0000000000073</v>
      </c>
      <c r="G189" s="39">
        <f t="shared" si="21"/>
        <v>102144</v>
      </c>
      <c r="H189" s="179">
        <f t="shared" si="22"/>
        <v>-9.0225563909774514E-2</v>
      </c>
      <c r="I189" s="39"/>
      <c r="J189" s="39"/>
      <c r="K189" s="39">
        <f t="shared" si="10"/>
        <v>5399.5710000016188</v>
      </c>
      <c r="L189" s="39"/>
    </row>
    <row r="190" spans="1:22" x14ac:dyDescent="0.25">
      <c r="B190" s="150">
        <v>43068</v>
      </c>
      <c r="C190" s="10">
        <v>6000</v>
      </c>
      <c r="D190" s="190">
        <v>16.010999999999999</v>
      </c>
      <c r="E190" s="39">
        <v>14.78</v>
      </c>
      <c r="F190" s="39">
        <f t="shared" si="20"/>
        <v>-7385.9999999999991</v>
      </c>
      <c r="G190" s="39">
        <f t="shared" si="21"/>
        <v>96066</v>
      </c>
      <c r="H190" s="179">
        <f t="shared" si="22"/>
        <v>-7.6884641808756482E-2</v>
      </c>
      <c r="I190" s="39"/>
      <c r="J190" s="39"/>
      <c r="K190" s="39">
        <f t="shared" si="10"/>
        <v>7229.571000001627</v>
      </c>
      <c r="L190" s="39"/>
    </row>
    <row r="191" spans="1:22" x14ac:dyDescent="0.25">
      <c r="B191" s="150">
        <v>43069</v>
      </c>
      <c r="C191" s="10">
        <v>6100</v>
      </c>
      <c r="D191" s="190">
        <v>15.989000000000001</v>
      </c>
      <c r="E191" s="39">
        <v>14.69</v>
      </c>
      <c r="F191" s="39">
        <f t="shared" si="20"/>
        <v>-7923.9000000000078</v>
      </c>
      <c r="G191" s="39">
        <f t="shared" si="21"/>
        <v>97532.900000000009</v>
      </c>
      <c r="H191" s="179">
        <f t="shared" si="22"/>
        <v>-8.1243354806429496E-2</v>
      </c>
      <c r="I191" s="39"/>
      <c r="J191" s="39"/>
      <c r="K191" s="39">
        <f t="shared" si="10"/>
        <v>6691.6710000016183</v>
      </c>
      <c r="L191" s="39"/>
    </row>
    <row r="192" spans="1:22" x14ac:dyDescent="0.25">
      <c r="A192">
        <v>5100</v>
      </c>
      <c r="B192" s="150">
        <v>43070</v>
      </c>
      <c r="C192" s="359">
        <v>6000</v>
      </c>
      <c r="D192" s="567">
        <v>16.002800000000001</v>
      </c>
      <c r="E192" s="39">
        <v>15.08</v>
      </c>
      <c r="F192" s="39">
        <f t="shared" si="20"/>
        <v>-5536.8000000000029</v>
      </c>
      <c r="G192" s="39">
        <f t="shared" si="21"/>
        <v>96016.8</v>
      </c>
      <c r="H192" s="179">
        <f t="shared" si="22"/>
        <v>-5.7664908640987854E-2</v>
      </c>
      <c r="I192" s="39"/>
      <c r="J192" s="39"/>
      <c r="K192" s="39">
        <f t="shared" si="10"/>
        <v>9078.7710000016232</v>
      </c>
      <c r="L192" s="39"/>
    </row>
    <row r="193" spans="1:12" x14ac:dyDescent="0.25">
      <c r="A193">
        <v>5200</v>
      </c>
      <c r="B193" s="150">
        <v>43081</v>
      </c>
      <c r="C193" s="359">
        <v>6000</v>
      </c>
      <c r="D193" s="567">
        <v>15.955</v>
      </c>
      <c r="E193" s="39">
        <v>15.18</v>
      </c>
      <c r="F193" s="39">
        <f t="shared" si="20"/>
        <v>-4650.0000000000018</v>
      </c>
      <c r="G193" s="39">
        <f t="shared" si="21"/>
        <v>95730</v>
      </c>
      <c r="H193" s="179">
        <f t="shared" si="22"/>
        <v>-4.8574114697586983E-2</v>
      </c>
      <c r="I193" s="173" t="s">
        <v>748</v>
      </c>
      <c r="J193" s="39">
        <v>56.3</v>
      </c>
      <c r="K193" s="39">
        <f t="shared" si="10"/>
        <v>9965.5710000016243</v>
      </c>
      <c r="L193" s="39"/>
    </row>
    <row r="194" spans="1:12" x14ac:dyDescent="0.25">
      <c r="B194" s="150">
        <v>43087</v>
      </c>
      <c r="C194" s="10">
        <v>5800</v>
      </c>
      <c r="D194" s="190">
        <v>15.977</v>
      </c>
      <c r="E194" s="39">
        <v>15.33</v>
      </c>
      <c r="F194" s="39">
        <f t="shared" si="20"/>
        <v>-3752.6000000000013</v>
      </c>
      <c r="G194" s="39">
        <f t="shared" si="21"/>
        <v>92666.6</v>
      </c>
      <c r="H194" s="179">
        <f t="shared" si="22"/>
        <v>-4.0495712586843605E-2</v>
      </c>
      <c r="I194" s="39"/>
      <c r="J194" s="39"/>
      <c r="K194" s="39">
        <f t="shared" si="10"/>
        <v>10862.971000001624</v>
      </c>
      <c r="L194" s="39"/>
    </row>
    <row r="195" spans="1:12" x14ac:dyDescent="0.25">
      <c r="A195">
        <v>5200</v>
      </c>
      <c r="B195" s="150">
        <v>43087</v>
      </c>
      <c r="C195" s="10">
        <v>5700</v>
      </c>
      <c r="D195" s="190">
        <v>15.986000000000001</v>
      </c>
      <c r="E195" s="39">
        <v>15.44</v>
      </c>
      <c r="F195" s="39">
        <f t="shared" si="20"/>
        <v>-3112.2000000000066</v>
      </c>
      <c r="G195" s="39">
        <f t="shared" si="21"/>
        <v>91120.2</v>
      </c>
      <c r="H195" s="179">
        <f t="shared" si="22"/>
        <v>-3.4154885524834304E-2</v>
      </c>
      <c r="I195" s="39"/>
      <c r="J195" s="39"/>
      <c r="K195" s="39">
        <f t="shared" si="10"/>
        <v>11503.37100000162</v>
      </c>
      <c r="L195" s="39"/>
    </row>
    <row r="196" spans="1:12" x14ac:dyDescent="0.25">
      <c r="A196">
        <v>5100</v>
      </c>
      <c r="B196" s="150">
        <v>43088</v>
      </c>
      <c r="C196" s="10">
        <v>5600</v>
      </c>
      <c r="D196" s="190">
        <v>15.986000000000001</v>
      </c>
      <c r="E196" s="39">
        <v>16.02</v>
      </c>
      <c r="F196" s="39">
        <f t="shared" ref="F196:F204" si="23">C196*(E196-D196)</f>
        <v>190.39999999999395</v>
      </c>
      <c r="G196" s="39">
        <f t="shared" ref="G196:G204" si="24">D196*C196</f>
        <v>89521.600000000006</v>
      </c>
      <c r="H196" s="179">
        <f t="shared" ref="H196:H204" si="25">(E196-D196)/D196</f>
        <v>2.1268610033778881E-3</v>
      </c>
      <c r="I196" s="39"/>
      <c r="J196" s="39">
        <v>66</v>
      </c>
      <c r="K196" s="39">
        <f t="shared" ref="K196:K259" si="26">F196+$Q$10</f>
        <v>14805.97100000162</v>
      </c>
      <c r="L196" s="39"/>
    </row>
    <row r="197" spans="1:12" ht="15" customHeight="1" x14ac:dyDescent="0.25">
      <c r="B197" s="150">
        <v>43089</v>
      </c>
      <c r="C197" s="10">
        <v>5500</v>
      </c>
      <c r="D197" s="190">
        <v>15.981</v>
      </c>
      <c r="E197" s="39">
        <v>16.32</v>
      </c>
      <c r="F197" s="39">
        <f t="shared" si="23"/>
        <v>1864.5000000000023</v>
      </c>
      <c r="G197" s="39">
        <f t="shared" si="24"/>
        <v>87895.5</v>
      </c>
      <c r="H197" s="179">
        <f t="shared" si="25"/>
        <v>2.1212690069457505E-2</v>
      </c>
      <c r="I197" s="39"/>
      <c r="J197" s="39"/>
      <c r="K197" s="39">
        <f t="shared" si="26"/>
        <v>16480.07100000163</v>
      </c>
      <c r="L197" s="39"/>
    </row>
    <row r="198" spans="1:12" x14ac:dyDescent="0.25">
      <c r="B198" s="150">
        <v>43090</v>
      </c>
      <c r="C198" s="10">
        <v>5000</v>
      </c>
      <c r="D198" s="190">
        <v>15.917999999999999</v>
      </c>
      <c r="E198" s="39">
        <v>16.8</v>
      </c>
      <c r="F198" s="39">
        <f t="shared" si="23"/>
        <v>4410.0000000000073</v>
      </c>
      <c r="G198" s="39">
        <f t="shared" si="24"/>
        <v>79590</v>
      </c>
      <c r="H198" s="179">
        <f t="shared" si="25"/>
        <v>5.5408970976253392E-2</v>
      </c>
      <c r="I198" s="39"/>
      <c r="J198" s="39"/>
      <c r="K198" s="39">
        <f t="shared" si="26"/>
        <v>19025.571000001633</v>
      </c>
      <c r="L198" s="39"/>
    </row>
    <row r="199" spans="1:12" x14ac:dyDescent="0.25">
      <c r="A199">
        <v>4500</v>
      </c>
      <c r="B199" s="150">
        <v>43090</v>
      </c>
      <c r="C199" s="10">
        <v>4800</v>
      </c>
      <c r="D199" s="190">
        <v>15.877000000000001</v>
      </c>
      <c r="E199" s="39">
        <v>17.05</v>
      </c>
      <c r="F199" s="39">
        <f t="shared" si="23"/>
        <v>5630.4000000000005</v>
      </c>
      <c r="G199" s="39">
        <f t="shared" si="24"/>
        <v>76209.600000000006</v>
      </c>
      <c r="H199" s="179">
        <f t="shared" si="25"/>
        <v>7.3880456005542605E-2</v>
      </c>
      <c r="I199" s="39"/>
      <c r="J199" s="39"/>
      <c r="K199" s="39">
        <f t="shared" si="26"/>
        <v>20245.971000001628</v>
      </c>
      <c r="L199" s="39"/>
    </row>
    <row r="200" spans="1:12" x14ac:dyDescent="0.25">
      <c r="A200">
        <v>4700</v>
      </c>
      <c r="B200" s="150">
        <v>43096</v>
      </c>
      <c r="C200" s="10">
        <v>4800</v>
      </c>
      <c r="D200" s="190">
        <v>15.877000000000001</v>
      </c>
      <c r="E200" s="39">
        <v>17.010000000000002</v>
      </c>
      <c r="F200" s="39">
        <f t="shared" si="23"/>
        <v>5438.4000000000042</v>
      </c>
      <c r="G200" s="39">
        <f t="shared" si="24"/>
        <v>76209.600000000006</v>
      </c>
      <c r="H200" s="179">
        <f t="shared" si="25"/>
        <v>7.136108836681998E-2</v>
      </c>
      <c r="I200" s="39"/>
      <c r="J200" s="39">
        <v>69.88</v>
      </c>
      <c r="K200" s="39">
        <f t="shared" si="26"/>
        <v>20053.971000001631</v>
      </c>
      <c r="L200" s="39"/>
    </row>
    <row r="201" spans="1:12" x14ac:dyDescent="0.25">
      <c r="A201">
        <v>4700</v>
      </c>
      <c r="B201" s="150">
        <v>43102</v>
      </c>
      <c r="C201" s="10">
        <v>4700</v>
      </c>
      <c r="D201" s="190">
        <v>15.84563</v>
      </c>
      <c r="E201" s="39">
        <v>17.38</v>
      </c>
      <c r="F201" s="39">
        <f t="shared" si="23"/>
        <v>7211.5389999999961</v>
      </c>
      <c r="G201" s="39">
        <f t="shared" si="24"/>
        <v>74474.460999999996</v>
      </c>
      <c r="H201" s="179">
        <f t="shared" si="25"/>
        <v>9.6832375866406015E-2</v>
      </c>
      <c r="I201" s="39"/>
      <c r="J201" s="39"/>
      <c r="K201" s="39">
        <f t="shared" si="26"/>
        <v>21827.110000001623</v>
      </c>
      <c r="L201" s="39"/>
    </row>
    <row r="202" spans="1:12" x14ac:dyDescent="0.25">
      <c r="A202">
        <v>4700</v>
      </c>
      <c r="B202" s="150">
        <v>43103</v>
      </c>
      <c r="C202" s="10">
        <v>4700</v>
      </c>
      <c r="D202" s="190">
        <v>15.84563</v>
      </c>
      <c r="E202" s="39">
        <v>17.670000000000002</v>
      </c>
      <c r="F202" s="39">
        <f t="shared" si="23"/>
        <v>8574.5390000000079</v>
      </c>
      <c r="G202" s="39">
        <f t="shared" si="24"/>
        <v>74474.460999999996</v>
      </c>
      <c r="H202" s="179">
        <f t="shared" si="25"/>
        <v>0.11513395175830825</v>
      </c>
      <c r="I202" s="39"/>
      <c r="J202" s="39">
        <v>73</v>
      </c>
      <c r="K202" s="39">
        <f t="shared" si="26"/>
        <v>23190.110000001634</v>
      </c>
      <c r="L202" s="39"/>
    </row>
    <row r="203" spans="1:12" x14ac:dyDescent="0.25">
      <c r="A203">
        <v>4600</v>
      </c>
      <c r="B203" s="150">
        <v>43104</v>
      </c>
      <c r="C203" s="10">
        <v>4600</v>
      </c>
      <c r="D203" s="190">
        <v>15.8</v>
      </c>
      <c r="E203" s="39">
        <v>18.12</v>
      </c>
      <c r="F203" s="39">
        <f t="shared" si="23"/>
        <v>10672.000000000002</v>
      </c>
      <c r="G203" s="39">
        <f t="shared" si="24"/>
        <v>72680</v>
      </c>
      <c r="H203" s="179">
        <f t="shared" si="25"/>
        <v>0.14683544303797469</v>
      </c>
      <c r="I203" s="39"/>
      <c r="J203" s="39"/>
      <c r="K203" s="39">
        <f t="shared" si="26"/>
        <v>25287.571000001626</v>
      </c>
      <c r="L203" s="39"/>
    </row>
    <row r="204" spans="1:12" x14ac:dyDescent="0.25">
      <c r="A204">
        <v>4600</v>
      </c>
      <c r="B204" s="150">
        <v>43105</v>
      </c>
      <c r="C204" s="10">
        <v>4600</v>
      </c>
      <c r="D204" s="190">
        <v>15.8</v>
      </c>
      <c r="E204" s="39">
        <v>17.89</v>
      </c>
      <c r="F204" s="39">
        <f t="shared" si="23"/>
        <v>9614</v>
      </c>
      <c r="G204" s="39">
        <f t="shared" si="24"/>
        <v>72680</v>
      </c>
      <c r="H204" s="179">
        <f t="shared" si="25"/>
        <v>0.13227848101265821</v>
      </c>
      <c r="I204" s="39"/>
      <c r="J204" s="39">
        <v>59.81</v>
      </c>
      <c r="K204" s="39">
        <f t="shared" si="26"/>
        <v>24229.571000001626</v>
      </c>
      <c r="L204" s="39"/>
    </row>
    <row r="205" spans="1:12" x14ac:dyDescent="0.25">
      <c r="A205">
        <v>4600</v>
      </c>
      <c r="B205" s="150">
        <v>43109</v>
      </c>
      <c r="C205" s="10">
        <v>4600</v>
      </c>
      <c r="D205" s="190">
        <v>15.8</v>
      </c>
      <c r="E205" s="39">
        <v>18.05</v>
      </c>
      <c r="F205" s="39">
        <f t="shared" ref="F205:F212" si="27">C205*(E205-D205)</f>
        <v>10350</v>
      </c>
      <c r="G205" s="39">
        <f t="shared" ref="G205:G212" si="28">D205*C205</f>
        <v>72680</v>
      </c>
      <c r="H205" s="179">
        <f t="shared" ref="H205:H212" si="29">(E205-D205)/D205</f>
        <v>0.14240506329113922</v>
      </c>
      <c r="I205" s="39"/>
      <c r="J205" s="39">
        <v>73.349999999999994</v>
      </c>
      <c r="K205" s="39">
        <f t="shared" si="26"/>
        <v>24965.571000001626</v>
      </c>
      <c r="L205" s="39"/>
    </row>
    <row r="206" spans="1:12" x14ac:dyDescent="0.25">
      <c r="A206">
        <v>4233</v>
      </c>
      <c r="B206" s="150">
        <v>43111</v>
      </c>
      <c r="C206" s="10">
        <v>4233</v>
      </c>
      <c r="D206" s="190">
        <v>15.564</v>
      </c>
      <c r="E206" s="39">
        <v>18.600000000000001</v>
      </c>
      <c r="F206" s="39">
        <f t="shared" si="27"/>
        <v>12851.388000000006</v>
      </c>
      <c r="G206" s="39">
        <f t="shared" si="28"/>
        <v>65882.411999999997</v>
      </c>
      <c r="H206" s="179">
        <f t="shared" si="29"/>
        <v>0.19506553585196615</v>
      </c>
      <c r="I206" s="39"/>
      <c r="J206" s="39"/>
      <c r="K206" s="39">
        <f t="shared" si="26"/>
        <v>27466.959000001632</v>
      </c>
      <c r="L206" s="39"/>
    </row>
    <row r="207" spans="1:12" x14ac:dyDescent="0.25">
      <c r="A207">
        <v>4100</v>
      </c>
      <c r="B207" s="150">
        <v>43112</v>
      </c>
      <c r="C207" s="10">
        <v>4100</v>
      </c>
      <c r="D207" s="190">
        <v>15.455299999999999</v>
      </c>
      <c r="E207" s="39">
        <v>18.82</v>
      </c>
      <c r="F207" s="39">
        <f t="shared" si="27"/>
        <v>13795.270000000004</v>
      </c>
      <c r="G207" s="39">
        <f t="shared" si="28"/>
        <v>63366.729999999996</v>
      </c>
      <c r="H207" s="179">
        <f t="shared" si="29"/>
        <v>0.21770525321410786</v>
      </c>
      <c r="I207" s="39"/>
      <c r="J207" s="39">
        <v>76.94</v>
      </c>
      <c r="K207" s="39">
        <f t="shared" si="26"/>
        <v>28410.84100000163</v>
      </c>
      <c r="L207" s="39"/>
    </row>
    <row r="208" spans="1:12" x14ac:dyDescent="0.25">
      <c r="A208">
        <v>4100</v>
      </c>
      <c r="B208" s="150">
        <v>43116</v>
      </c>
      <c r="C208" s="10">
        <v>4300</v>
      </c>
      <c r="D208" s="190">
        <v>15.59</v>
      </c>
      <c r="E208" s="39">
        <v>18.239999999999998</v>
      </c>
      <c r="F208" s="39">
        <f t="shared" si="27"/>
        <v>11394.999999999995</v>
      </c>
      <c r="G208" s="39">
        <f t="shared" si="28"/>
        <v>67037</v>
      </c>
      <c r="H208" s="179">
        <f t="shared" si="29"/>
        <v>0.1699807568954457</v>
      </c>
      <c r="I208" s="39"/>
      <c r="J208" s="39"/>
      <c r="K208" s="39">
        <f t="shared" si="26"/>
        <v>26010.571000001619</v>
      </c>
      <c r="L208" s="39"/>
    </row>
    <row r="209" spans="1:16" x14ac:dyDescent="0.25">
      <c r="A209">
        <v>4100</v>
      </c>
      <c r="B209" s="150">
        <v>43116</v>
      </c>
      <c r="C209" s="10">
        <v>4500</v>
      </c>
      <c r="D209" s="190">
        <v>15.708</v>
      </c>
      <c r="E209" s="39">
        <v>18.239999999999998</v>
      </c>
      <c r="F209" s="39">
        <f t="shared" si="27"/>
        <v>11393.999999999993</v>
      </c>
      <c r="G209" s="39">
        <f t="shared" si="28"/>
        <v>70686</v>
      </c>
      <c r="H209" s="179">
        <f t="shared" si="29"/>
        <v>0.16119174942704342</v>
      </c>
      <c r="I209" s="39"/>
      <c r="J209" s="39"/>
      <c r="K209" s="39">
        <f t="shared" si="26"/>
        <v>26009.571000001619</v>
      </c>
      <c r="L209" s="39"/>
    </row>
    <row r="210" spans="1:16" x14ac:dyDescent="0.25">
      <c r="B210" s="150">
        <v>43117</v>
      </c>
      <c r="C210" s="10">
        <v>4100</v>
      </c>
      <c r="D210" s="190">
        <v>15.41</v>
      </c>
      <c r="E210" s="39">
        <v>18.600000000000001</v>
      </c>
      <c r="F210" s="39">
        <f t="shared" si="27"/>
        <v>13079.000000000005</v>
      </c>
      <c r="G210" s="39">
        <f t="shared" si="28"/>
        <v>63181</v>
      </c>
      <c r="H210" s="179">
        <f t="shared" si="29"/>
        <v>0.20700843608046732</v>
      </c>
      <c r="I210" s="39"/>
      <c r="J210" s="39"/>
      <c r="K210" s="39">
        <f t="shared" si="26"/>
        <v>27694.571000001633</v>
      </c>
      <c r="L210" s="39"/>
    </row>
    <row r="211" spans="1:16" x14ac:dyDescent="0.25">
      <c r="A211">
        <v>3500</v>
      </c>
      <c r="B211" s="150">
        <v>43117</v>
      </c>
      <c r="C211" s="10">
        <v>4000</v>
      </c>
      <c r="D211" s="190">
        <v>15.321</v>
      </c>
      <c r="E211" s="39">
        <v>18.989999999999998</v>
      </c>
      <c r="F211" s="39">
        <f t="shared" si="27"/>
        <v>14675.999999999995</v>
      </c>
      <c r="G211" s="39">
        <f t="shared" si="28"/>
        <v>61284</v>
      </c>
      <c r="H211" s="179">
        <f t="shared" si="29"/>
        <v>0.2394752300763657</v>
      </c>
      <c r="I211" s="39"/>
      <c r="J211" s="39">
        <v>66.36</v>
      </c>
      <c r="K211" s="39">
        <f t="shared" si="26"/>
        <v>29291.571000001619</v>
      </c>
      <c r="L211" s="39"/>
    </row>
    <row r="212" spans="1:16" x14ac:dyDescent="0.25">
      <c r="A212">
        <v>3300</v>
      </c>
      <c r="B212" s="150">
        <v>43123</v>
      </c>
      <c r="C212" s="7">
        <v>4000</v>
      </c>
      <c r="D212" s="356">
        <v>15.303000000000001</v>
      </c>
      <c r="E212" s="39">
        <v>19.22</v>
      </c>
      <c r="F212" s="39">
        <f t="shared" si="27"/>
        <v>15667.999999999993</v>
      </c>
      <c r="G212" s="39">
        <f t="shared" si="28"/>
        <v>61212</v>
      </c>
      <c r="H212" s="179">
        <f t="shared" si="29"/>
        <v>0.25596288309481785</v>
      </c>
      <c r="I212" s="39"/>
      <c r="J212" s="39">
        <v>70.61</v>
      </c>
      <c r="K212" s="39">
        <f t="shared" si="26"/>
        <v>30283.571000001619</v>
      </c>
      <c r="L212" s="39"/>
    </row>
    <row r="213" spans="1:16" x14ac:dyDescent="0.25">
      <c r="A213">
        <v>3300</v>
      </c>
      <c r="B213" s="150">
        <v>43125</v>
      </c>
      <c r="C213" s="10">
        <v>4100</v>
      </c>
      <c r="D213" s="190">
        <v>15.39</v>
      </c>
      <c r="E213" s="39">
        <v>18.68</v>
      </c>
      <c r="F213" s="39">
        <f>C213*(E213-D213)</f>
        <v>13488.999999999996</v>
      </c>
      <c r="G213" s="39">
        <f>D213*C213</f>
        <v>63099</v>
      </c>
      <c r="H213" s="179">
        <f>(E213-D213)/D213</f>
        <v>0.21377517868745932</v>
      </c>
      <c r="I213" s="39"/>
      <c r="J213" s="39"/>
      <c r="K213" s="39">
        <f t="shared" si="26"/>
        <v>28104.571000001622</v>
      </c>
      <c r="L213" s="39"/>
    </row>
    <row r="214" spans="1:16" x14ac:dyDescent="0.25">
      <c r="A214">
        <v>3300</v>
      </c>
      <c r="B214" s="150">
        <v>43126</v>
      </c>
      <c r="C214" s="10">
        <v>4100</v>
      </c>
      <c r="D214" s="190">
        <v>15.39</v>
      </c>
      <c r="E214" s="39">
        <v>18.84</v>
      </c>
      <c r="F214" s="39">
        <f t="shared" ref="F214:F227" si="30">C214*(E214-D214)</f>
        <v>14144.999999999996</v>
      </c>
      <c r="G214" s="39">
        <f t="shared" ref="G214:G227" si="31">D214*C214</f>
        <v>63099</v>
      </c>
      <c r="H214" s="179">
        <f t="shared" ref="H214:H227" si="32">(E214-D214)/D214</f>
        <v>0.22417153996101358</v>
      </c>
      <c r="I214" s="39"/>
      <c r="J214" s="39">
        <v>62.61</v>
      </c>
      <c r="K214" s="39">
        <f t="shared" si="26"/>
        <v>28760.571000001622</v>
      </c>
      <c r="L214" s="39"/>
    </row>
    <row r="215" spans="1:16" x14ac:dyDescent="0.25">
      <c r="A215">
        <v>3300</v>
      </c>
      <c r="B215" s="150">
        <v>43130</v>
      </c>
      <c r="C215" s="10">
        <v>4800</v>
      </c>
      <c r="D215" s="190">
        <v>15.803000000000001</v>
      </c>
      <c r="E215" s="39">
        <v>18.059999999999999</v>
      </c>
      <c r="F215" s="39">
        <f t="shared" si="30"/>
        <v>10833.599999999989</v>
      </c>
      <c r="G215" s="39">
        <f t="shared" si="31"/>
        <v>75854.400000000009</v>
      </c>
      <c r="H215" s="179">
        <f t="shared" si="32"/>
        <v>0.14282098335759019</v>
      </c>
      <c r="I215" s="39"/>
      <c r="J215" s="39"/>
      <c r="K215" s="39">
        <f t="shared" si="26"/>
        <v>25449.171000001617</v>
      </c>
      <c r="L215" s="39"/>
    </row>
    <row r="216" spans="1:16" x14ac:dyDescent="0.25">
      <c r="A216">
        <v>3300</v>
      </c>
      <c r="B216" s="150">
        <v>43133</v>
      </c>
      <c r="C216" s="10">
        <v>5000</v>
      </c>
      <c r="D216" s="190">
        <v>15.874000000000001</v>
      </c>
      <c r="E216" s="39">
        <v>17.52</v>
      </c>
      <c r="F216" s="39">
        <f t="shared" si="30"/>
        <v>8229.9999999999945</v>
      </c>
      <c r="G216" s="39">
        <f t="shared" si="31"/>
        <v>79370</v>
      </c>
      <c r="H216" s="179">
        <f t="shared" si="32"/>
        <v>0.10369157112259034</v>
      </c>
      <c r="I216" s="39"/>
      <c r="J216" s="39"/>
      <c r="K216" s="39">
        <f t="shared" si="26"/>
        <v>22845.571000001619</v>
      </c>
      <c r="L216" s="39"/>
    </row>
    <row r="217" spans="1:16" x14ac:dyDescent="0.25">
      <c r="A217">
        <v>3300</v>
      </c>
      <c r="B217" s="150">
        <v>43139</v>
      </c>
      <c r="C217" s="10">
        <v>5500</v>
      </c>
      <c r="D217" s="190">
        <v>15.87</v>
      </c>
      <c r="E217" s="39">
        <v>15.68</v>
      </c>
      <c r="F217" s="39">
        <f t="shared" si="30"/>
        <v>-1044.9999999999973</v>
      </c>
      <c r="G217" s="39">
        <f t="shared" si="31"/>
        <v>87285</v>
      </c>
      <c r="H217" s="179">
        <f t="shared" si="32"/>
        <v>-1.1972274732199088E-2</v>
      </c>
      <c r="I217" s="39"/>
      <c r="J217" s="39">
        <v>32.950000000000003</v>
      </c>
      <c r="K217" s="39">
        <f t="shared" si="26"/>
        <v>13570.57100000163</v>
      </c>
      <c r="L217" s="39">
        <v>60.44</v>
      </c>
      <c r="P217" s="70"/>
    </row>
    <row r="218" spans="1:16" ht="15" customHeight="1" x14ac:dyDescent="0.25">
      <c r="B218" s="150">
        <v>43140</v>
      </c>
      <c r="C218" s="10">
        <v>6000</v>
      </c>
      <c r="D218" s="190">
        <v>15.8246</v>
      </c>
      <c r="E218" s="39">
        <v>15.51</v>
      </c>
      <c r="F218" s="39">
        <f t="shared" si="30"/>
        <v>-1887.6000000000026</v>
      </c>
      <c r="G218" s="39">
        <f t="shared" si="31"/>
        <v>94947.6</v>
      </c>
      <c r="H218" s="179">
        <f t="shared" si="32"/>
        <v>-1.9880439316001697E-2</v>
      </c>
      <c r="I218" s="39"/>
      <c r="J218" s="39"/>
      <c r="K218" s="39">
        <f t="shared" si="26"/>
        <v>12727.971000001624</v>
      </c>
      <c r="L218" s="39"/>
      <c r="P218" s="70"/>
    </row>
    <row r="219" spans="1:16" x14ac:dyDescent="0.25">
      <c r="B219" s="150">
        <v>43140</v>
      </c>
      <c r="C219" s="10">
        <v>5500</v>
      </c>
      <c r="D219" s="190">
        <v>15.85</v>
      </c>
      <c r="E219" s="39">
        <v>15.51</v>
      </c>
      <c r="F219" s="39">
        <f t="shared" si="30"/>
        <v>-1869.9999999999993</v>
      </c>
      <c r="G219" s="39">
        <f t="shared" si="31"/>
        <v>87175</v>
      </c>
      <c r="H219" s="179">
        <f t="shared" si="32"/>
        <v>-2.1451104100946364E-2</v>
      </c>
      <c r="I219" s="39"/>
      <c r="J219" s="39"/>
      <c r="K219" s="39">
        <f t="shared" si="26"/>
        <v>12745.571000001626</v>
      </c>
      <c r="L219" s="39"/>
    </row>
    <row r="220" spans="1:16" x14ac:dyDescent="0.25">
      <c r="B220" s="150">
        <v>43140</v>
      </c>
      <c r="C220" s="359">
        <v>6000</v>
      </c>
      <c r="D220" s="567">
        <v>15.795999999999999</v>
      </c>
      <c r="E220" s="39">
        <v>15.51</v>
      </c>
      <c r="F220" s="39">
        <f t="shared" si="30"/>
        <v>-1715.9999999999975</v>
      </c>
      <c r="G220" s="39">
        <f t="shared" si="31"/>
        <v>94776</v>
      </c>
      <c r="H220" s="179">
        <f t="shared" si="32"/>
        <v>-1.8105849582172675E-2</v>
      </c>
      <c r="I220" s="39">
        <v>15.75</v>
      </c>
      <c r="J220" s="39"/>
      <c r="K220" s="39">
        <f t="shared" si="26"/>
        <v>12899.571000001628</v>
      </c>
      <c r="L220" s="39"/>
    </row>
    <row r="221" spans="1:16" x14ac:dyDescent="0.25">
      <c r="A221">
        <v>2300</v>
      </c>
      <c r="B221" s="150">
        <v>43140</v>
      </c>
      <c r="C221" s="10">
        <v>5500</v>
      </c>
      <c r="D221" s="190">
        <v>15.824999999999999</v>
      </c>
      <c r="E221" s="39">
        <v>15.51</v>
      </c>
      <c r="F221" s="39">
        <f t="shared" si="30"/>
        <v>-1732.4999999999973</v>
      </c>
      <c r="G221" s="39">
        <f t="shared" si="31"/>
        <v>87037.5</v>
      </c>
      <c r="H221" s="179">
        <f t="shared" si="32"/>
        <v>-1.990521327014215E-2</v>
      </c>
      <c r="I221" s="39"/>
      <c r="J221" s="39"/>
      <c r="K221" s="39">
        <f t="shared" si="26"/>
        <v>12883.07100000163</v>
      </c>
      <c r="L221" s="39">
        <v>59.18</v>
      </c>
    </row>
    <row r="222" spans="1:16" x14ac:dyDescent="0.25">
      <c r="A222">
        <v>1800</v>
      </c>
      <c r="B222" s="150">
        <v>43143</v>
      </c>
      <c r="C222" s="10">
        <v>5000</v>
      </c>
      <c r="D222" s="190">
        <v>15.77</v>
      </c>
      <c r="E222" s="39">
        <v>16.27</v>
      </c>
      <c r="F222" s="39">
        <f t="shared" si="30"/>
        <v>2500</v>
      </c>
      <c r="G222" s="39">
        <f t="shared" si="31"/>
        <v>78850</v>
      </c>
      <c r="H222" s="179">
        <f t="shared" si="32"/>
        <v>3.1705770450221944E-2</v>
      </c>
      <c r="I222" s="39"/>
      <c r="J222" s="39"/>
      <c r="K222" s="39">
        <f t="shared" si="26"/>
        <v>17115.571000001626</v>
      </c>
      <c r="L222" s="39"/>
    </row>
    <row r="223" spans="1:16" x14ac:dyDescent="0.25">
      <c r="A223">
        <v>800</v>
      </c>
      <c r="B223" s="150">
        <v>43146</v>
      </c>
      <c r="C223" s="10">
        <v>5000</v>
      </c>
      <c r="D223" s="190">
        <v>15.682</v>
      </c>
      <c r="E223" s="39">
        <v>16.32</v>
      </c>
      <c r="F223" s="39">
        <f t="shared" si="30"/>
        <v>3189.9999999999995</v>
      </c>
      <c r="G223" s="39">
        <f t="shared" si="31"/>
        <v>78410</v>
      </c>
      <c r="H223" s="179">
        <f t="shared" si="32"/>
        <v>4.0683586277260549E-2</v>
      </c>
      <c r="I223" s="39"/>
      <c r="J223" s="39"/>
      <c r="K223" s="39">
        <f t="shared" si="26"/>
        <v>17805.571000001626</v>
      </c>
      <c r="L223" s="39"/>
    </row>
    <row r="224" spans="1:16" x14ac:dyDescent="0.25">
      <c r="A224">
        <v>1200</v>
      </c>
      <c r="B224" s="150">
        <v>43147</v>
      </c>
      <c r="C224" s="10">
        <v>5500</v>
      </c>
      <c r="D224" s="190">
        <v>15.688000000000001</v>
      </c>
      <c r="E224" s="39">
        <v>15.69</v>
      </c>
      <c r="F224" s="39">
        <f t="shared" si="30"/>
        <v>10.999999999993904</v>
      </c>
      <c r="G224" s="39">
        <f t="shared" si="31"/>
        <v>86284</v>
      </c>
      <c r="H224" s="179">
        <f t="shared" si="32"/>
        <v>1.2748597654250966E-4</v>
      </c>
      <c r="I224" s="39"/>
      <c r="J224" s="39"/>
      <c r="K224" s="39">
        <f t="shared" si="26"/>
        <v>14626.571000001621</v>
      </c>
      <c r="L224" s="39"/>
    </row>
    <row r="225" spans="1:17" x14ac:dyDescent="0.25">
      <c r="A225">
        <v>800</v>
      </c>
      <c r="B225" s="150">
        <v>43151</v>
      </c>
      <c r="C225" s="10">
        <v>5000</v>
      </c>
      <c r="D225" s="190">
        <v>15.6388</v>
      </c>
      <c r="E225" s="39">
        <v>16.18</v>
      </c>
      <c r="F225" s="39">
        <f t="shared" si="30"/>
        <v>2705.9999999999995</v>
      </c>
      <c r="G225" s="39">
        <f t="shared" si="31"/>
        <v>78194</v>
      </c>
      <c r="H225" s="179">
        <f t="shared" si="32"/>
        <v>3.4606235772565663E-2</v>
      </c>
      <c r="I225" s="39"/>
      <c r="J225" s="39"/>
      <c r="K225" s="39">
        <f t="shared" si="26"/>
        <v>17321.571000001626</v>
      </c>
      <c r="L225" s="39"/>
    </row>
    <row r="226" spans="1:17" x14ac:dyDescent="0.25">
      <c r="A226">
        <v>800</v>
      </c>
      <c r="B226" s="150">
        <v>43151</v>
      </c>
      <c r="C226" s="10">
        <v>5500</v>
      </c>
      <c r="D226" s="190">
        <v>15.654999999999999</v>
      </c>
      <c r="E226" s="39">
        <v>15.8</v>
      </c>
      <c r="F226" s="39">
        <f t="shared" si="30"/>
        <v>797.50000000000739</v>
      </c>
      <c r="G226" s="39">
        <f t="shared" si="31"/>
        <v>86102.5</v>
      </c>
      <c r="H226" s="179">
        <f t="shared" si="32"/>
        <v>9.2622165442351554E-3</v>
      </c>
      <c r="I226" s="39"/>
      <c r="J226" s="39"/>
      <c r="K226" s="39">
        <f t="shared" si="26"/>
        <v>15413.071000001633</v>
      </c>
      <c r="L226" s="39"/>
    </row>
    <row r="227" spans="1:17" ht="15" customHeight="1" x14ac:dyDescent="0.25">
      <c r="A227">
        <v>800</v>
      </c>
      <c r="B227" s="150">
        <v>43152</v>
      </c>
      <c r="C227" s="359">
        <v>6000</v>
      </c>
      <c r="D227" s="567">
        <v>15.637</v>
      </c>
      <c r="E227" s="39">
        <v>15.3</v>
      </c>
      <c r="F227" s="39">
        <f t="shared" si="30"/>
        <v>-2021.9999999999984</v>
      </c>
      <c r="G227" s="39">
        <f t="shared" si="31"/>
        <v>93822</v>
      </c>
      <c r="H227" s="179">
        <f t="shared" si="32"/>
        <v>-2.1551448487561537E-2</v>
      </c>
      <c r="I227" s="173" t="s">
        <v>917</v>
      </c>
      <c r="J227" s="39"/>
      <c r="K227" s="39">
        <f t="shared" si="26"/>
        <v>12593.571000001628</v>
      </c>
      <c r="L227" s="39"/>
    </row>
    <row r="228" spans="1:17" ht="15" customHeight="1" x14ac:dyDescent="0.25">
      <c r="A228">
        <v>1100</v>
      </c>
      <c r="B228" s="150">
        <v>43156</v>
      </c>
      <c r="C228" s="10">
        <v>6000</v>
      </c>
      <c r="D228" s="190">
        <v>15.637</v>
      </c>
      <c r="E228" s="39">
        <v>15.54</v>
      </c>
      <c r="F228" s="39">
        <f>C228*(E228-D228)</f>
        <v>-582.00000000000784</v>
      </c>
      <c r="G228" s="39">
        <f>D228*C228</f>
        <v>93822</v>
      </c>
      <c r="H228" s="179">
        <f>(E228-D228)/D228</f>
        <v>-6.2032359148175035E-3</v>
      </c>
      <c r="I228" s="173"/>
      <c r="J228" s="39"/>
      <c r="K228" s="39">
        <f t="shared" si="26"/>
        <v>14033.571000001619</v>
      </c>
      <c r="L228" s="39">
        <v>63.55</v>
      </c>
    </row>
    <row r="229" spans="1:17" x14ac:dyDescent="0.25">
      <c r="A229">
        <v>1100</v>
      </c>
      <c r="B229" s="150">
        <v>43159</v>
      </c>
      <c r="C229" s="10">
        <v>6400</v>
      </c>
      <c r="D229" s="190">
        <v>15.582000000000001</v>
      </c>
      <c r="E229" s="39">
        <v>14.52</v>
      </c>
      <c r="F229" s="39">
        <f>C229*(E229-D229)</f>
        <v>-6796.8000000000075</v>
      </c>
      <c r="G229" s="39">
        <f>D229*C229</f>
        <v>99724.800000000003</v>
      </c>
      <c r="H229" s="179">
        <f>(E229-D229)/D229</f>
        <v>-6.8155564112437506E-2</v>
      </c>
      <c r="I229" s="39">
        <v>15.5</v>
      </c>
      <c r="J229" s="39"/>
      <c r="K229" s="39">
        <f t="shared" si="26"/>
        <v>7818.7710000016186</v>
      </c>
      <c r="L229" s="39"/>
      <c r="P229" s="1"/>
    </row>
    <row r="230" spans="1:17" x14ac:dyDescent="0.25">
      <c r="A230">
        <v>2000</v>
      </c>
      <c r="B230" s="150">
        <v>43165</v>
      </c>
      <c r="C230" s="10">
        <v>6400</v>
      </c>
      <c r="D230" s="190">
        <v>15.582000000000001</v>
      </c>
      <c r="E230" s="39">
        <v>15.03</v>
      </c>
      <c r="F230" s="39">
        <f>C230*(E230-D230)</f>
        <v>-3532.8000000000088</v>
      </c>
      <c r="G230" s="39">
        <f>D230*C230</f>
        <v>99724.800000000003</v>
      </c>
      <c r="H230" s="179">
        <f>(E230-D230)/D230</f>
        <v>-3.542549095109751E-2</v>
      </c>
      <c r="I230" s="39"/>
      <c r="J230" s="39"/>
      <c r="K230" s="39">
        <f t="shared" si="26"/>
        <v>11082.771000001618</v>
      </c>
      <c r="L230" s="39"/>
      <c r="Q230" s="70"/>
    </row>
    <row r="231" spans="1:17" x14ac:dyDescent="0.25">
      <c r="A231">
        <v>2000</v>
      </c>
      <c r="B231" s="150">
        <v>43168</v>
      </c>
      <c r="C231" s="10">
        <v>6400</v>
      </c>
      <c r="D231" s="190">
        <v>15.582000000000001</v>
      </c>
      <c r="E231" s="39">
        <v>15.22</v>
      </c>
      <c r="F231" s="39">
        <f t="shared" ref="F231:F237" si="33">C231*(E231-D231)</f>
        <v>-2316.8000000000006</v>
      </c>
      <c r="G231" s="39">
        <f t="shared" ref="G231:G237" si="34">D231*C231</f>
        <v>99724.800000000003</v>
      </c>
      <c r="H231" s="179">
        <f t="shared" ref="H231:H237" si="35">(E231-D231)/D231</f>
        <v>-2.3231934283147227E-2</v>
      </c>
      <c r="I231" s="39"/>
      <c r="J231" s="39"/>
      <c r="K231" s="39">
        <f t="shared" si="26"/>
        <v>12298.771000001625</v>
      </c>
      <c r="L231" s="39"/>
      <c r="P231" s="1"/>
    </row>
    <row r="232" spans="1:17" x14ac:dyDescent="0.25">
      <c r="A232">
        <v>3500</v>
      </c>
      <c r="B232" s="150">
        <v>43172</v>
      </c>
      <c r="C232" s="10">
        <v>6400</v>
      </c>
      <c r="D232" s="190">
        <v>15.54</v>
      </c>
      <c r="E232" s="39">
        <v>14.82</v>
      </c>
      <c r="F232" s="39">
        <f t="shared" si="33"/>
        <v>-4607.9999999999927</v>
      </c>
      <c r="G232" s="39">
        <f t="shared" si="34"/>
        <v>99456</v>
      </c>
      <c r="H232" s="179">
        <f t="shared" si="35"/>
        <v>-4.633204633204626E-2</v>
      </c>
      <c r="I232" s="39"/>
      <c r="J232" s="39"/>
      <c r="K232" s="39">
        <f t="shared" si="26"/>
        <v>10007.571000001633</v>
      </c>
      <c r="L232" s="39" t="s">
        <v>184</v>
      </c>
      <c r="P232" s="1"/>
      <c r="Q232" s="70"/>
    </row>
    <row r="233" spans="1:17" x14ac:dyDescent="0.25">
      <c r="A233">
        <v>3600</v>
      </c>
      <c r="B233" s="150">
        <v>43180</v>
      </c>
      <c r="C233" s="730">
        <v>5000</v>
      </c>
      <c r="D233" s="731">
        <v>15.416</v>
      </c>
      <c r="E233" s="39">
        <v>15.98</v>
      </c>
      <c r="F233" s="39">
        <f t="shared" si="33"/>
        <v>2820.0000000000005</v>
      </c>
      <c r="G233" s="39">
        <f t="shared" si="34"/>
        <v>77080</v>
      </c>
      <c r="H233" s="179">
        <f t="shared" si="35"/>
        <v>3.6585365853658541E-2</v>
      </c>
      <c r="I233" s="39"/>
      <c r="J233" s="39"/>
      <c r="K233" s="39">
        <f t="shared" si="26"/>
        <v>17435.571000001626</v>
      </c>
      <c r="L233" s="39"/>
      <c r="P233" s="1"/>
    </row>
    <row r="234" spans="1:17" x14ac:dyDescent="0.25">
      <c r="A234">
        <v>3400</v>
      </c>
      <c r="B234" s="150">
        <v>43180</v>
      </c>
      <c r="C234" s="10">
        <v>4800</v>
      </c>
      <c r="D234" s="190">
        <v>15.375</v>
      </c>
      <c r="E234" s="39">
        <v>16.38</v>
      </c>
      <c r="F234" s="39">
        <f t="shared" si="33"/>
        <v>4823.9999999999955</v>
      </c>
      <c r="G234" s="39">
        <f t="shared" si="34"/>
        <v>73800</v>
      </c>
      <c r="H234" s="179">
        <f t="shared" si="35"/>
        <v>6.5365853658536519E-2</v>
      </c>
      <c r="I234" s="39"/>
      <c r="J234" s="39"/>
      <c r="K234" s="39">
        <f t="shared" si="26"/>
        <v>19439.571000001622</v>
      </c>
      <c r="L234" s="39"/>
      <c r="P234" s="1"/>
      <c r="Q234" s="70"/>
    </row>
    <row r="235" spans="1:17" x14ac:dyDescent="0.25">
      <c r="B235" s="150">
        <v>43181</v>
      </c>
      <c r="C235" s="10">
        <v>5200</v>
      </c>
      <c r="D235" s="190">
        <v>15.416</v>
      </c>
      <c r="E235" s="39">
        <v>15.9</v>
      </c>
      <c r="F235" s="39">
        <f t="shared" si="33"/>
        <v>2516.7999999999997</v>
      </c>
      <c r="G235" s="39">
        <f t="shared" si="34"/>
        <v>80163.199999999997</v>
      </c>
      <c r="H235" s="179">
        <f t="shared" si="35"/>
        <v>3.1395952257394916E-2</v>
      </c>
      <c r="I235" s="39"/>
      <c r="J235" s="39"/>
      <c r="K235" s="39">
        <f t="shared" si="26"/>
        <v>17132.371000001625</v>
      </c>
      <c r="L235" s="39"/>
      <c r="Q235" s="70"/>
    </row>
    <row r="236" spans="1:17" x14ac:dyDescent="0.25">
      <c r="A236">
        <v>3000</v>
      </c>
      <c r="B236" s="150">
        <v>43181</v>
      </c>
      <c r="C236" s="10">
        <v>4800</v>
      </c>
      <c r="D236" s="190">
        <v>15.3645</v>
      </c>
      <c r="E236" s="39">
        <v>16.02</v>
      </c>
      <c r="F236" s="39">
        <f t="shared" si="33"/>
        <v>3146.3999999999996</v>
      </c>
      <c r="G236" s="39">
        <f t="shared" si="34"/>
        <v>73749.599999999991</v>
      </c>
      <c r="H236" s="179">
        <f t="shared" si="35"/>
        <v>4.2663282241530799E-2</v>
      </c>
      <c r="I236" s="39"/>
      <c r="J236" s="39"/>
      <c r="K236" s="39">
        <f t="shared" si="26"/>
        <v>17761.971000001628</v>
      </c>
      <c r="L236" s="39"/>
      <c r="P236" s="1"/>
    </row>
    <row r="237" spans="1:17" x14ac:dyDescent="0.25">
      <c r="A237">
        <v>3500</v>
      </c>
      <c r="B237" s="150">
        <v>43182</v>
      </c>
      <c r="C237" s="10">
        <v>5000</v>
      </c>
      <c r="D237" s="190">
        <v>15.378</v>
      </c>
      <c r="E237" s="39">
        <v>15.76</v>
      </c>
      <c r="F237" s="39">
        <f t="shared" si="33"/>
        <v>1909.9999999999984</v>
      </c>
      <c r="G237" s="39">
        <f t="shared" si="34"/>
        <v>76890</v>
      </c>
      <c r="H237" s="179">
        <f t="shared" si="35"/>
        <v>2.4840681493041986E-2</v>
      </c>
      <c r="I237" s="39"/>
      <c r="J237" s="39"/>
      <c r="K237" s="39">
        <f t="shared" si="26"/>
        <v>16525.571000001626</v>
      </c>
      <c r="L237" s="39"/>
    </row>
    <row r="238" spans="1:17" x14ac:dyDescent="0.25">
      <c r="A238">
        <v>4000</v>
      </c>
      <c r="B238" s="150">
        <v>43185</v>
      </c>
      <c r="C238" s="10">
        <v>5000</v>
      </c>
      <c r="D238" s="190">
        <v>15.378</v>
      </c>
      <c r="E238" s="39">
        <v>16.27</v>
      </c>
      <c r="F238" s="39">
        <f>C238*(E238-D238)</f>
        <v>4459.9999999999973</v>
      </c>
      <c r="G238" s="39">
        <f>D238*C238</f>
        <v>76890</v>
      </c>
      <c r="H238" s="179">
        <f>(E238-D238)/D238</f>
        <v>5.8004942125113763E-2</v>
      </c>
      <c r="I238" s="39"/>
      <c r="J238" s="39"/>
      <c r="K238" s="39">
        <f t="shared" si="26"/>
        <v>19075.571000001622</v>
      </c>
      <c r="L238" s="39"/>
    </row>
    <row r="239" spans="1:17" x14ac:dyDescent="0.25">
      <c r="A239">
        <v>4000</v>
      </c>
      <c r="B239" s="150">
        <v>43186</v>
      </c>
      <c r="C239" s="730">
        <v>5000</v>
      </c>
      <c r="D239" s="731">
        <v>15.378</v>
      </c>
      <c r="E239" s="39">
        <v>15.82</v>
      </c>
      <c r="F239" s="39">
        <f>C239*(E239-D239)</f>
        <v>2210.0000000000009</v>
      </c>
      <c r="G239" s="39">
        <f>D239*C239</f>
        <v>76890</v>
      </c>
      <c r="H239" s="179">
        <f>(E239-D239)/D239</f>
        <v>2.8742359214462231E-2</v>
      </c>
      <c r="I239" s="39"/>
      <c r="J239" s="39"/>
      <c r="K239" s="39">
        <f t="shared" si="26"/>
        <v>16825.571000001626</v>
      </c>
      <c r="L239" s="39"/>
    </row>
    <row r="240" spans="1:17" x14ac:dyDescent="0.25">
      <c r="A240">
        <v>4000</v>
      </c>
      <c r="B240" s="150">
        <v>43187</v>
      </c>
      <c r="C240" s="10">
        <v>5200</v>
      </c>
      <c r="D240" s="190">
        <v>15.38</v>
      </c>
      <c r="E240" s="39">
        <v>15.32</v>
      </c>
      <c r="F240" s="39">
        <f>C240*(E240-D240)</f>
        <v>-312.00000000000261</v>
      </c>
      <c r="G240" s="39">
        <f>D240*C240</f>
        <v>79976</v>
      </c>
      <c r="H240" s="179">
        <f>(E240-D240)/D240</f>
        <v>-3.9011703511053638E-3</v>
      </c>
      <c r="I240" s="39"/>
      <c r="J240" s="39"/>
      <c r="K240" s="39">
        <f t="shared" si="26"/>
        <v>14303.571000001624</v>
      </c>
      <c r="L240" s="39"/>
    </row>
    <row r="241" spans="1:14" x14ac:dyDescent="0.25">
      <c r="A241">
        <v>3800</v>
      </c>
      <c r="B241" s="150">
        <v>43188</v>
      </c>
      <c r="C241" s="10">
        <v>5000</v>
      </c>
      <c r="D241" s="190">
        <v>15.358000000000001</v>
      </c>
      <c r="E241" s="39">
        <v>16.13</v>
      </c>
      <c r="F241" s="39">
        <f t="shared" ref="F241:F246" si="36">C241*(E241-D241)</f>
        <v>3859.9999999999923</v>
      </c>
      <c r="G241" s="39">
        <f t="shared" ref="G241:G246" si="37">D241*C241</f>
        <v>76790</v>
      </c>
      <c r="H241" s="179">
        <f t="shared" ref="H241:H246" si="38">(E241-D241)/D241</f>
        <v>5.0266961843990002E-2</v>
      </c>
      <c r="I241" s="39"/>
      <c r="J241" s="39"/>
      <c r="K241" s="39">
        <f t="shared" si="26"/>
        <v>18475.571000001619</v>
      </c>
      <c r="L241" s="39"/>
    </row>
    <row r="242" spans="1:14" ht="15" customHeight="1" x14ac:dyDescent="0.25">
      <c r="A242">
        <v>3600</v>
      </c>
      <c r="B242" s="150">
        <v>43188</v>
      </c>
      <c r="C242" s="10">
        <v>4800</v>
      </c>
      <c r="D242" s="190">
        <v>15.324999999999999</v>
      </c>
      <c r="E242" s="39">
        <v>16.13</v>
      </c>
      <c r="F242" s="39">
        <f t="shared" si="36"/>
        <v>3863.9999999999986</v>
      </c>
      <c r="G242" s="39">
        <f t="shared" si="37"/>
        <v>73560</v>
      </c>
      <c r="H242" s="179">
        <f t="shared" si="38"/>
        <v>5.2528548123980411E-2</v>
      </c>
      <c r="I242" s="39"/>
      <c r="J242" s="39"/>
      <c r="K242" s="39">
        <f t="shared" si="26"/>
        <v>18479.571000001626</v>
      </c>
      <c r="L242" s="39"/>
    </row>
    <row r="243" spans="1:14" ht="18.75" customHeight="1" x14ac:dyDescent="0.25">
      <c r="B243" s="150">
        <v>43192</v>
      </c>
      <c r="C243" s="730">
        <v>5000</v>
      </c>
      <c r="D243" s="731">
        <v>15.34</v>
      </c>
      <c r="E243" s="39">
        <v>15.57</v>
      </c>
      <c r="F243" s="39">
        <f t="shared" si="36"/>
        <v>1150.000000000002</v>
      </c>
      <c r="G243" s="39">
        <f t="shared" si="37"/>
        <v>76700</v>
      </c>
      <c r="H243" s="179">
        <f t="shared" si="38"/>
        <v>1.4993481095176038E-2</v>
      </c>
      <c r="I243" s="39"/>
      <c r="J243" s="39"/>
      <c r="K243" s="39">
        <f t="shared" si="26"/>
        <v>15765.571000001628</v>
      </c>
      <c r="L243" s="39"/>
    </row>
    <row r="244" spans="1:14" x14ac:dyDescent="0.25">
      <c r="A244">
        <v>4000</v>
      </c>
      <c r="B244" s="150">
        <v>43192</v>
      </c>
      <c r="C244" s="10">
        <v>5200</v>
      </c>
      <c r="D244" s="190">
        <v>15.336</v>
      </c>
      <c r="E244" s="39">
        <v>15.57</v>
      </c>
      <c r="F244" s="39">
        <f t="shared" si="36"/>
        <v>1216.8</v>
      </c>
      <c r="G244" s="39">
        <f t="shared" si="37"/>
        <v>79747.199999999997</v>
      </c>
      <c r="H244" s="179">
        <f t="shared" si="38"/>
        <v>1.5258215962441313E-2</v>
      </c>
      <c r="I244" s="39"/>
      <c r="J244" s="39"/>
      <c r="K244" s="39">
        <f t="shared" si="26"/>
        <v>15832.371000001625</v>
      </c>
      <c r="L244" s="39"/>
      <c r="N244" s="70"/>
    </row>
    <row r="245" spans="1:14" x14ac:dyDescent="0.25">
      <c r="A245">
        <v>3600</v>
      </c>
      <c r="B245" s="150">
        <v>43193</v>
      </c>
      <c r="C245" s="10">
        <v>4800</v>
      </c>
      <c r="D245" s="190">
        <v>15.29</v>
      </c>
      <c r="E245" s="39">
        <v>16</v>
      </c>
      <c r="F245" s="39">
        <f t="shared" si="36"/>
        <v>3408.0000000000041</v>
      </c>
      <c r="G245" s="39">
        <f t="shared" si="37"/>
        <v>73392</v>
      </c>
      <c r="H245" s="179">
        <f t="shared" si="38"/>
        <v>4.6435578809679585E-2</v>
      </c>
      <c r="I245" s="39"/>
      <c r="J245" s="39"/>
      <c r="K245" s="39">
        <f t="shared" si="26"/>
        <v>18023.57100000163</v>
      </c>
      <c r="L245" s="39"/>
    </row>
    <row r="246" spans="1:14" x14ac:dyDescent="0.25">
      <c r="A246">
        <v>2800</v>
      </c>
      <c r="B246" s="150">
        <v>43195</v>
      </c>
      <c r="C246" s="7">
        <v>4000</v>
      </c>
      <c r="D246" s="356">
        <v>14.989000000000001</v>
      </c>
      <c r="E246" s="39">
        <v>16.8</v>
      </c>
      <c r="F246" s="39">
        <f t="shared" si="36"/>
        <v>7244</v>
      </c>
      <c r="G246" s="39">
        <f t="shared" si="37"/>
        <v>59956</v>
      </c>
      <c r="H246" s="179">
        <f t="shared" si="38"/>
        <v>0.1208219360864634</v>
      </c>
      <c r="I246" s="39">
        <v>14.5</v>
      </c>
      <c r="J246" s="39"/>
      <c r="K246" s="39">
        <f t="shared" si="26"/>
        <v>21859.571000001626</v>
      </c>
      <c r="L246" s="39"/>
    </row>
    <row r="247" spans="1:14" x14ac:dyDescent="0.25">
      <c r="A247">
        <v>2800</v>
      </c>
      <c r="B247" s="150">
        <v>43196</v>
      </c>
      <c r="C247" s="10">
        <v>4400</v>
      </c>
      <c r="D247" s="190">
        <v>15.12</v>
      </c>
      <c r="E247" s="39">
        <v>16.420000000000002</v>
      </c>
      <c r="F247" s="39">
        <f t="shared" ref="F247:F277" si="39">C247*(E247-D247)</f>
        <v>5720.0000000000109</v>
      </c>
      <c r="G247" s="39">
        <f t="shared" ref="G247:G277" si="40">D247*C247</f>
        <v>66528</v>
      </c>
      <c r="H247" s="179">
        <f t="shared" ref="H247:H277" si="41">(E247-D247)/D247</f>
        <v>8.5978835978836154E-2</v>
      </c>
      <c r="I247" s="39"/>
      <c r="J247" s="39"/>
      <c r="K247" s="39">
        <f t="shared" si="26"/>
        <v>20335.571000001637</v>
      </c>
      <c r="L247" s="39"/>
    </row>
    <row r="248" spans="1:14" x14ac:dyDescent="0.25">
      <c r="A248">
        <v>2800</v>
      </c>
      <c r="B248" s="150">
        <v>43196</v>
      </c>
      <c r="C248" s="10">
        <v>4800</v>
      </c>
      <c r="D248" s="190">
        <v>15.2</v>
      </c>
      <c r="E248" s="39">
        <v>16.100000000000001</v>
      </c>
      <c r="F248" s="39">
        <f t="shared" si="39"/>
        <v>4320.00000000001</v>
      </c>
      <c r="G248" s="39">
        <f t="shared" si="40"/>
        <v>72960</v>
      </c>
      <c r="H248" s="179">
        <f t="shared" si="41"/>
        <v>5.9210526315789616E-2</v>
      </c>
      <c r="I248" s="39"/>
      <c r="J248" s="39">
        <v>54</v>
      </c>
      <c r="K248" s="39">
        <f t="shared" si="26"/>
        <v>18935.571000001637</v>
      </c>
      <c r="L248" s="39"/>
    </row>
    <row r="249" spans="1:14" x14ac:dyDescent="0.25">
      <c r="A249">
        <v>2000</v>
      </c>
      <c r="B249" s="150">
        <v>43200</v>
      </c>
      <c r="C249" s="7">
        <v>4000</v>
      </c>
      <c r="D249" s="356">
        <v>14.845000000000001</v>
      </c>
      <c r="E249" s="39">
        <v>17.059999999999999</v>
      </c>
      <c r="F249" s="39">
        <f t="shared" si="39"/>
        <v>8859.9999999999927</v>
      </c>
      <c r="G249" s="39">
        <f t="shared" si="40"/>
        <v>59380</v>
      </c>
      <c r="H249" s="179">
        <f t="shared" si="41"/>
        <v>0.14920848770629827</v>
      </c>
      <c r="I249" s="39"/>
      <c r="J249" s="39"/>
      <c r="K249" s="39">
        <f t="shared" si="26"/>
        <v>23475.571000001619</v>
      </c>
      <c r="L249" s="39"/>
    </row>
    <row r="250" spans="1:14" x14ac:dyDescent="0.25">
      <c r="A250">
        <v>2000</v>
      </c>
      <c r="B250" s="150">
        <v>43208</v>
      </c>
      <c r="C250" s="10">
        <v>4000</v>
      </c>
      <c r="D250" s="190">
        <v>14.845000000000001</v>
      </c>
      <c r="E250" s="39">
        <v>18.23</v>
      </c>
      <c r="F250" s="39">
        <f t="shared" si="39"/>
        <v>13540</v>
      </c>
      <c r="G250" s="39">
        <f t="shared" si="40"/>
        <v>59380</v>
      </c>
      <c r="H250" s="179">
        <f t="shared" si="41"/>
        <v>0.22802290333445602</v>
      </c>
      <c r="I250" s="39"/>
      <c r="J250" s="39"/>
      <c r="K250" s="39">
        <f t="shared" si="26"/>
        <v>28155.571000001626</v>
      </c>
      <c r="L250" s="39"/>
    </row>
    <row r="251" spans="1:14" x14ac:dyDescent="0.25">
      <c r="A251">
        <v>2600</v>
      </c>
      <c r="B251" s="150">
        <v>43216</v>
      </c>
      <c r="C251" s="10">
        <v>4000</v>
      </c>
      <c r="D251" s="190">
        <v>14.845000000000001</v>
      </c>
      <c r="E251" s="39">
        <v>18.46</v>
      </c>
      <c r="F251" s="39">
        <f t="shared" si="39"/>
        <v>14460</v>
      </c>
      <c r="G251" s="39">
        <f t="shared" si="40"/>
        <v>59380</v>
      </c>
      <c r="H251" s="179">
        <f t="shared" si="41"/>
        <v>0.24351633546648704</v>
      </c>
      <c r="I251" s="39"/>
      <c r="J251" s="39"/>
      <c r="K251" s="39">
        <f t="shared" si="26"/>
        <v>29075.571000001626</v>
      </c>
      <c r="L251" s="39"/>
    </row>
    <row r="252" spans="1:14" x14ac:dyDescent="0.25">
      <c r="A252">
        <v>2600</v>
      </c>
      <c r="B252" s="150">
        <v>43217</v>
      </c>
      <c r="C252" s="10">
        <v>4300</v>
      </c>
      <c r="D252" s="190">
        <v>15.0785</v>
      </c>
      <c r="E252" s="39">
        <v>18.11</v>
      </c>
      <c r="F252" s="39">
        <f t="shared" si="39"/>
        <v>13035.449999999997</v>
      </c>
      <c r="G252" s="39">
        <f t="shared" si="40"/>
        <v>64837.55</v>
      </c>
      <c r="H252" s="179">
        <f t="shared" si="41"/>
        <v>0.20104784958716049</v>
      </c>
      <c r="I252" s="39"/>
      <c r="J252" s="39"/>
      <c r="K252" s="39">
        <f t="shared" si="26"/>
        <v>27651.021000001623</v>
      </c>
      <c r="L252" s="39"/>
    </row>
    <row r="253" spans="1:14" x14ac:dyDescent="0.25">
      <c r="A253">
        <v>2500</v>
      </c>
      <c r="B253" s="150">
        <v>43220</v>
      </c>
      <c r="C253" s="7">
        <v>4000</v>
      </c>
      <c r="D253" s="356">
        <v>14.829000000000001</v>
      </c>
      <c r="E253" s="39">
        <v>18.25</v>
      </c>
      <c r="F253" s="39">
        <f t="shared" si="39"/>
        <v>13683.999999999998</v>
      </c>
      <c r="G253" s="39">
        <f t="shared" si="40"/>
        <v>59316</v>
      </c>
      <c r="H253" s="179">
        <f t="shared" si="41"/>
        <v>0.230696607997842</v>
      </c>
      <c r="I253" s="39"/>
      <c r="J253" s="39"/>
      <c r="K253" s="39">
        <f t="shared" si="26"/>
        <v>28299.571000001626</v>
      </c>
      <c r="L253" s="39"/>
    </row>
    <row r="254" spans="1:14" x14ac:dyDescent="0.25">
      <c r="A254">
        <v>2400</v>
      </c>
      <c r="B254" s="150">
        <v>43223</v>
      </c>
      <c r="C254" s="10">
        <v>3500</v>
      </c>
      <c r="D254" s="190">
        <v>14.14</v>
      </c>
      <c r="E254" s="39">
        <v>19.440000000000001</v>
      </c>
      <c r="F254" s="39">
        <f t="shared" si="39"/>
        <v>18550.000000000004</v>
      </c>
      <c r="G254" s="39">
        <f t="shared" si="40"/>
        <v>49490</v>
      </c>
      <c r="H254" s="179">
        <f t="shared" si="41"/>
        <v>0.37482319660537483</v>
      </c>
      <c r="I254" s="39"/>
      <c r="J254" s="39"/>
      <c r="K254" s="39">
        <f t="shared" si="26"/>
        <v>33165.571000001626</v>
      </c>
      <c r="L254" s="39"/>
    </row>
    <row r="255" spans="1:14" x14ac:dyDescent="0.25">
      <c r="A255">
        <v>1900</v>
      </c>
      <c r="B255" s="150">
        <v>43224</v>
      </c>
      <c r="C255" s="10">
        <v>3000</v>
      </c>
      <c r="D255" s="190">
        <v>13.243</v>
      </c>
      <c r="E255" s="39">
        <v>19.72</v>
      </c>
      <c r="F255" s="39">
        <f t="shared" si="39"/>
        <v>19430.999999999996</v>
      </c>
      <c r="G255" s="39">
        <f t="shared" si="40"/>
        <v>39729</v>
      </c>
      <c r="H255" s="179">
        <f t="shared" si="41"/>
        <v>0.48908857509627718</v>
      </c>
      <c r="I255" s="39"/>
      <c r="J255" s="39"/>
      <c r="K255" s="39">
        <f t="shared" si="26"/>
        <v>34046.571000001626</v>
      </c>
      <c r="L255" s="39"/>
    </row>
    <row r="256" spans="1:14" x14ac:dyDescent="0.25">
      <c r="A256">
        <v>2400</v>
      </c>
      <c r="B256" s="150">
        <v>43227</v>
      </c>
      <c r="C256" s="185">
        <v>3000</v>
      </c>
      <c r="D256" s="746">
        <v>13.17</v>
      </c>
      <c r="E256" s="39">
        <v>19.77</v>
      </c>
      <c r="F256" s="39">
        <f t="shared" si="39"/>
        <v>19800</v>
      </c>
      <c r="G256" s="39">
        <f t="shared" si="40"/>
        <v>39510</v>
      </c>
      <c r="H256" s="179">
        <f t="shared" si="41"/>
        <v>0.50113895216400905</v>
      </c>
      <c r="I256" s="39"/>
      <c r="J256" s="39"/>
      <c r="K256" s="39">
        <f t="shared" si="26"/>
        <v>34415.571000001626</v>
      </c>
      <c r="L256" s="39"/>
    </row>
    <row r="257" spans="1:12" x14ac:dyDescent="0.25">
      <c r="A257">
        <v>2100</v>
      </c>
      <c r="B257" s="150">
        <v>43229</v>
      </c>
      <c r="C257" s="10">
        <v>2700</v>
      </c>
      <c r="D257" s="190">
        <v>12.3</v>
      </c>
      <c r="E257" s="39">
        <v>21.26</v>
      </c>
      <c r="F257" s="39">
        <f t="shared" si="39"/>
        <v>24192.000000000004</v>
      </c>
      <c r="G257" s="39">
        <f t="shared" si="40"/>
        <v>33210</v>
      </c>
      <c r="H257" s="179">
        <f t="shared" si="41"/>
        <v>0.72845528455284558</v>
      </c>
      <c r="I257" s="39"/>
      <c r="J257" s="39"/>
      <c r="K257" s="39">
        <f t="shared" si="26"/>
        <v>38807.571000001626</v>
      </c>
      <c r="L257" s="39"/>
    </row>
    <row r="258" spans="1:12" x14ac:dyDescent="0.25">
      <c r="A258">
        <v>1400</v>
      </c>
      <c r="B258" s="150">
        <v>43234</v>
      </c>
      <c r="C258" s="354">
        <v>2000</v>
      </c>
      <c r="D258" s="763">
        <v>9.0908999999999995</v>
      </c>
      <c r="E258" s="39">
        <v>21.42</v>
      </c>
      <c r="F258" s="39">
        <f t="shared" si="39"/>
        <v>24658.200000000004</v>
      </c>
      <c r="G258" s="39">
        <f t="shared" si="40"/>
        <v>18181.8</v>
      </c>
      <c r="H258" s="179">
        <f t="shared" si="41"/>
        <v>1.3562023562023564</v>
      </c>
      <c r="I258" s="39"/>
      <c r="J258" s="39"/>
      <c r="K258" s="39">
        <f t="shared" si="26"/>
        <v>39273.77100000163</v>
      </c>
      <c r="L258" s="39"/>
    </row>
    <row r="259" spans="1:12" x14ac:dyDescent="0.25">
      <c r="A259">
        <v>400</v>
      </c>
      <c r="B259" s="150">
        <v>43241</v>
      </c>
      <c r="C259" s="10">
        <v>1000</v>
      </c>
      <c r="D259" s="190">
        <v>-3.7</v>
      </c>
      <c r="E259" s="39">
        <v>21.9</v>
      </c>
      <c r="F259" s="39">
        <f t="shared" si="39"/>
        <v>25599.999999999996</v>
      </c>
      <c r="G259" s="39">
        <f t="shared" si="40"/>
        <v>-3700</v>
      </c>
      <c r="H259" s="179">
        <f t="shared" si="41"/>
        <v>-6.9189189189189184</v>
      </c>
      <c r="I259" s="39"/>
      <c r="J259" s="39"/>
      <c r="K259" s="39">
        <f t="shared" si="26"/>
        <v>40215.571000001626</v>
      </c>
      <c r="L259" s="39"/>
    </row>
    <row r="260" spans="1:12" x14ac:dyDescent="0.25">
      <c r="A260">
        <v>400</v>
      </c>
      <c r="B260" s="150">
        <v>43245</v>
      </c>
      <c r="C260" s="10">
        <v>2000</v>
      </c>
      <c r="D260" s="190">
        <v>8.4410000000000007</v>
      </c>
      <c r="E260" s="39">
        <v>20.329999999999998</v>
      </c>
      <c r="F260" s="39">
        <f t="shared" si="39"/>
        <v>23777.999999999996</v>
      </c>
      <c r="G260" s="39">
        <f t="shared" si="40"/>
        <v>16882</v>
      </c>
      <c r="H260" s="179">
        <f t="shared" si="41"/>
        <v>1.4084824072977131</v>
      </c>
      <c r="I260" s="39"/>
      <c r="J260" s="39"/>
      <c r="K260" s="39">
        <f t="shared" ref="K260:K282" si="42">F260+$Q$10</f>
        <v>38393.571000001626</v>
      </c>
      <c r="L260" s="39"/>
    </row>
    <row r="261" spans="1:12" x14ac:dyDescent="0.25">
      <c r="A261">
        <v>700</v>
      </c>
      <c r="B261" s="150">
        <v>43250</v>
      </c>
      <c r="C261" s="10">
        <v>2000</v>
      </c>
      <c r="D261" s="190">
        <v>8.4410000000000007</v>
      </c>
      <c r="E261" s="39">
        <v>21.53</v>
      </c>
      <c r="F261" s="39">
        <f t="shared" si="39"/>
        <v>26178</v>
      </c>
      <c r="G261" s="39">
        <f t="shared" si="40"/>
        <v>16882</v>
      </c>
      <c r="H261" s="179">
        <f t="shared" si="41"/>
        <v>1.5506456580973818</v>
      </c>
      <c r="I261" s="39"/>
      <c r="J261" s="39"/>
      <c r="K261" s="39">
        <f t="shared" si="42"/>
        <v>40793.571000001626</v>
      </c>
      <c r="L261" s="39"/>
    </row>
    <row r="262" spans="1:12" x14ac:dyDescent="0.25">
      <c r="A262">
        <v>700</v>
      </c>
      <c r="B262" s="150">
        <v>43262</v>
      </c>
      <c r="C262" s="10">
        <v>1700</v>
      </c>
      <c r="D262" s="190">
        <v>6.1519000000000004</v>
      </c>
      <c r="E262" s="39">
        <v>21.47</v>
      </c>
      <c r="F262" s="39">
        <f t="shared" si="39"/>
        <v>26040.769999999997</v>
      </c>
      <c r="G262" s="39">
        <f t="shared" si="40"/>
        <v>10458.230000000001</v>
      </c>
      <c r="H262" s="179">
        <f t="shared" si="41"/>
        <v>2.4899787057656977</v>
      </c>
      <c r="I262" s="39"/>
      <c r="J262" s="39"/>
      <c r="K262" s="39">
        <f t="shared" si="42"/>
        <v>40656.341000001623</v>
      </c>
      <c r="L262" s="39"/>
    </row>
    <row r="263" spans="1:12" x14ac:dyDescent="0.25">
      <c r="A263">
        <v>700</v>
      </c>
      <c r="B263" s="150">
        <v>43266</v>
      </c>
      <c r="C263" s="357">
        <v>2000</v>
      </c>
      <c r="D263" s="764">
        <v>8.3116000000000003</v>
      </c>
      <c r="E263" s="39">
        <v>19.989999999999998</v>
      </c>
      <c r="F263" s="39">
        <f t="shared" si="39"/>
        <v>23356.799999999996</v>
      </c>
      <c r="G263" s="39">
        <f t="shared" si="40"/>
        <v>16623.2</v>
      </c>
      <c r="H263" s="179">
        <f t="shared" si="41"/>
        <v>1.4050724288945566</v>
      </c>
      <c r="I263" s="39"/>
      <c r="J263" s="39"/>
      <c r="K263" s="39">
        <f t="shared" si="42"/>
        <v>37972.371000001622</v>
      </c>
      <c r="L263" s="39">
        <v>64.3</v>
      </c>
    </row>
    <row r="264" spans="1:12" x14ac:dyDescent="0.25">
      <c r="A264">
        <v>700</v>
      </c>
      <c r="B264" s="150">
        <v>43266</v>
      </c>
      <c r="C264" s="10">
        <v>2500</v>
      </c>
      <c r="D264" s="190">
        <v>10.645</v>
      </c>
      <c r="E264" s="39">
        <v>19.989999999999998</v>
      </c>
      <c r="F264" s="39">
        <f t="shared" si="39"/>
        <v>23362.499999999996</v>
      </c>
      <c r="G264" s="39">
        <f t="shared" si="40"/>
        <v>26612.5</v>
      </c>
      <c r="H264" s="179">
        <f t="shared" si="41"/>
        <v>0.87787693752935647</v>
      </c>
      <c r="I264" s="39"/>
      <c r="J264" s="39"/>
      <c r="K264" s="39">
        <f t="shared" si="42"/>
        <v>37978.071000001626</v>
      </c>
      <c r="L264" s="39"/>
    </row>
    <row r="265" spans="1:12" x14ac:dyDescent="0.25">
      <c r="A265">
        <v>200</v>
      </c>
      <c r="B265" s="150">
        <v>43269</v>
      </c>
      <c r="C265" s="10">
        <v>2000</v>
      </c>
      <c r="D265" s="190">
        <v>8.1714000000000002</v>
      </c>
      <c r="E265" s="39">
        <v>20.32</v>
      </c>
      <c r="F265" s="39">
        <f t="shared" si="39"/>
        <v>24297.200000000001</v>
      </c>
      <c r="G265" s="39">
        <f t="shared" si="40"/>
        <v>16342.800000000001</v>
      </c>
      <c r="H265" s="179">
        <f t="shared" si="41"/>
        <v>1.48672198154539</v>
      </c>
      <c r="I265" s="39"/>
      <c r="J265" s="39"/>
      <c r="K265" s="39">
        <f t="shared" si="42"/>
        <v>38912.771000001623</v>
      </c>
      <c r="L265" s="39">
        <v>65.62</v>
      </c>
    </row>
    <row r="266" spans="1:12" x14ac:dyDescent="0.25">
      <c r="A266">
        <v>0</v>
      </c>
      <c r="B266" s="150">
        <v>43271</v>
      </c>
      <c r="C266" s="10">
        <v>1800</v>
      </c>
      <c r="D266" s="190">
        <v>6.7594000000000003</v>
      </c>
      <c r="E266" s="39">
        <v>21.06</v>
      </c>
      <c r="F266" s="39">
        <f t="shared" si="39"/>
        <v>25741.079999999998</v>
      </c>
      <c r="G266" s="39">
        <f t="shared" si="40"/>
        <v>12166.92</v>
      </c>
      <c r="H266" s="179">
        <f t="shared" si="41"/>
        <v>2.1156611533568066</v>
      </c>
      <c r="I266" s="39"/>
      <c r="J266" s="39"/>
      <c r="K266" s="39">
        <f t="shared" si="42"/>
        <v>40356.651000001628</v>
      </c>
      <c r="L266" s="39">
        <v>65.91</v>
      </c>
    </row>
    <row r="267" spans="1:12" x14ac:dyDescent="0.25">
      <c r="A267">
        <v>0</v>
      </c>
      <c r="B267" s="150">
        <v>43272</v>
      </c>
      <c r="C267" s="10">
        <v>2000</v>
      </c>
      <c r="D267" s="190">
        <v>8.0879999999999992</v>
      </c>
      <c r="E267" s="39">
        <v>19.920000000000002</v>
      </c>
      <c r="F267" s="39">
        <f t="shared" si="39"/>
        <v>23664.000000000004</v>
      </c>
      <c r="G267" s="39">
        <f t="shared" si="40"/>
        <v>16175.999999999998</v>
      </c>
      <c r="H267" s="179">
        <f t="shared" si="41"/>
        <v>1.4629080118694366</v>
      </c>
      <c r="I267" s="39"/>
      <c r="J267" s="39"/>
      <c r="K267" s="39">
        <f t="shared" si="42"/>
        <v>38279.571000001626</v>
      </c>
      <c r="L267" s="39">
        <v>69.28</v>
      </c>
    </row>
    <row r="268" spans="1:12" x14ac:dyDescent="0.25">
      <c r="A268">
        <v>1000</v>
      </c>
      <c r="B268" s="150">
        <v>43276</v>
      </c>
      <c r="C268" s="10">
        <v>2200</v>
      </c>
      <c r="D268" s="190">
        <v>9.2149999999999999</v>
      </c>
      <c r="E268" s="39">
        <v>20.3</v>
      </c>
      <c r="F268" s="39">
        <f t="shared" si="39"/>
        <v>24387.000000000004</v>
      </c>
      <c r="G268" s="39">
        <f t="shared" si="40"/>
        <v>20273</v>
      </c>
      <c r="H268" s="179">
        <f t="shared" si="41"/>
        <v>1.202930005425936</v>
      </c>
      <c r="I268" s="39"/>
      <c r="J268" s="39"/>
      <c r="K268" s="39">
        <f t="shared" si="42"/>
        <v>39002.571000001626</v>
      </c>
      <c r="L268" s="39">
        <v>70.53</v>
      </c>
    </row>
    <row r="269" spans="1:12" x14ac:dyDescent="0.25">
      <c r="A269">
        <v>1000</v>
      </c>
      <c r="B269" s="150">
        <v>43278</v>
      </c>
      <c r="C269" s="10">
        <v>2200</v>
      </c>
      <c r="D269" s="190">
        <v>9.2149999999999999</v>
      </c>
      <c r="E269" s="39">
        <v>21.22</v>
      </c>
      <c r="F269" s="39">
        <f t="shared" si="39"/>
        <v>26410.999999999996</v>
      </c>
      <c r="G269" s="39">
        <f t="shared" si="40"/>
        <v>20273</v>
      </c>
      <c r="H269" s="179">
        <f t="shared" si="41"/>
        <v>1.3027672273467172</v>
      </c>
      <c r="I269" s="39"/>
      <c r="J269" s="39"/>
      <c r="K269" s="39">
        <f t="shared" si="42"/>
        <v>41026.571000001626</v>
      </c>
      <c r="L269" s="39"/>
    </row>
    <row r="270" spans="1:12" x14ac:dyDescent="0.25">
      <c r="A270">
        <v>1000</v>
      </c>
      <c r="B270" s="150">
        <v>43283</v>
      </c>
      <c r="C270" s="10">
        <v>2200</v>
      </c>
      <c r="D270" s="190">
        <v>9.2149999999999999</v>
      </c>
      <c r="E270" s="39">
        <v>20.66</v>
      </c>
      <c r="F270" s="39">
        <f t="shared" si="39"/>
        <v>25179</v>
      </c>
      <c r="G270" s="39">
        <f t="shared" si="40"/>
        <v>20273</v>
      </c>
      <c r="H270" s="179">
        <f t="shared" si="41"/>
        <v>1.2419967444384157</v>
      </c>
      <c r="I270" s="39"/>
      <c r="J270" s="39"/>
      <c r="K270" s="39">
        <f t="shared" si="42"/>
        <v>39794.571000001626</v>
      </c>
      <c r="L270" s="39"/>
    </row>
    <row r="271" spans="1:12" x14ac:dyDescent="0.25">
      <c r="A271">
        <v>800</v>
      </c>
      <c r="B271" s="150">
        <v>43284</v>
      </c>
      <c r="C271" s="357">
        <v>2000</v>
      </c>
      <c r="D271" s="764">
        <v>7.9779999999999998</v>
      </c>
      <c r="E271" s="39">
        <v>21</v>
      </c>
      <c r="F271" s="39">
        <f t="shared" si="39"/>
        <v>26044</v>
      </c>
      <c r="G271" s="39">
        <f t="shared" si="40"/>
        <v>15956</v>
      </c>
      <c r="H271" s="179">
        <f t="shared" si="41"/>
        <v>1.6322386563048383</v>
      </c>
      <c r="I271" s="39"/>
      <c r="J271" s="39"/>
      <c r="K271" s="39">
        <f t="shared" si="42"/>
        <v>40659.571000001626</v>
      </c>
      <c r="L271" s="39"/>
    </row>
    <row r="272" spans="1:12" x14ac:dyDescent="0.25">
      <c r="B272" s="150">
        <v>43286</v>
      </c>
      <c r="C272" s="10">
        <v>2200</v>
      </c>
      <c r="D272" s="190">
        <v>9.1513000000000009</v>
      </c>
      <c r="E272" s="39">
        <v>20.88</v>
      </c>
      <c r="F272" s="39">
        <f t="shared" si="39"/>
        <v>25803.139999999996</v>
      </c>
      <c r="G272" s="39">
        <f t="shared" si="40"/>
        <v>20132.86</v>
      </c>
      <c r="H272" s="179">
        <f t="shared" si="41"/>
        <v>1.2816430452504013</v>
      </c>
      <c r="I272" s="39"/>
      <c r="J272" s="39"/>
      <c r="K272" s="39">
        <f t="shared" si="42"/>
        <v>40418.711000001626</v>
      </c>
      <c r="L272" s="39"/>
    </row>
    <row r="273" spans="1:12" x14ac:dyDescent="0.25">
      <c r="A273">
        <v>800</v>
      </c>
      <c r="B273" s="150">
        <v>43286</v>
      </c>
      <c r="C273" s="10">
        <v>2500</v>
      </c>
      <c r="D273" s="190">
        <v>10.535</v>
      </c>
      <c r="E273" s="39">
        <v>20.7</v>
      </c>
      <c r="F273" s="39">
        <f t="shared" si="39"/>
        <v>25412.499999999996</v>
      </c>
      <c r="G273" s="39">
        <f t="shared" si="40"/>
        <v>26337.5</v>
      </c>
      <c r="H273" s="179">
        <f t="shared" si="41"/>
        <v>0.96487897484575214</v>
      </c>
      <c r="I273" s="39"/>
      <c r="J273" s="39"/>
      <c r="K273" s="39">
        <f t="shared" si="42"/>
        <v>40028.071000001626</v>
      </c>
      <c r="L273" s="39"/>
    </row>
    <row r="274" spans="1:12" x14ac:dyDescent="0.25">
      <c r="A274">
        <v>300</v>
      </c>
      <c r="B274" s="150">
        <v>43287</v>
      </c>
      <c r="C274" s="357">
        <v>2000</v>
      </c>
      <c r="D274" s="764">
        <v>7.9015000000000004</v>
      </c>
      <c r="E274" s="39">
        <v>21.07</v>
      </c>
      <c r="F274" s="39">
        <f t="shared" si="39"/>
        <v>26337</v>
      </c>
      <c r="G274" s="39">
        <f t="shared" si="40"/>
        <v>15803</v>
      </c>
      <c r="H274" s="179">
        <f t="shared" si="41"/>
        <v>1.666582294501044</v>
      </c>
      <c r="I274" s="39"/>
      <c r="J274" s="39"/>
      <c r="K274" s="39">
        <f t="shared" si="42"/>
        <v>40952.571000001626</v>
      </c>
      <c r="L274" s="39"/>
    </row>
    <row r="275" spans="1:12" x14ac:dyDescent="0.25">
      <c r="A275">
        <v>0</v>
      </c>
      <c r="B275" s="150">
        <v>43290</v>
      </c>
      <c r="C275" s="10">
        <v>1700</v>
      </c>
      <c r="D275" s="190">
        <v>5.4859999999999998</v>
      </c>
      <c r="E275" s="39">
        <v>21.75</v>
      </c>
      <c r="F275" s="39">
        <f t="shared" si="39"/>
        <v>27648.799999999999</v>
      </c>
      <c r="G275" s="39">
        <f t="shared" si="40"/>
        <v>9326.1999999999989</v>
      </c>
      <c r="H275" s="179">
        <f t="shared" si="41"/>
        <v>2.9646372584761211</v>
      </c>
      <c r="I275" s="39"/>
      <c r="J275" s="39"/>
      <c r="K275" s="39">
        <f t="shared" si="42"/>
        <v>42264.371000001629</v>
      </c>
      <c r="L275" s="39"/>
    </row>
    <row r="276" spans="1:12" x14ac:dyDescent="0.25">
      <c r="A276">
        <v>0</v>
      </c>
      <c r="B276" s="150">
        <v>43292</v>
      </c>
      <c r="C276" s="357">
        <v>2000</v>
      </c>
      <c r="D276" s="764">
        <v>7.8579999999999997</v>
      </c>
      <c r="E276" s="39">
        <v>21.2</v>
      </c>
      <c r="F276" s="39">
        <f t="shared" si="39"/>
        <v>26683.999999999996</v>
      </c>
      <c r="G276" s="39">
        <f t="shared" si="40"/>
        <v>15716</v>
      </c>
      <c r="H276" s="179">
        <f t="shared" si="41"/>
        <v>1.6978875031814711</v>
      </c>
      <c r="I276" s="39"/>
      <c r="J276" s="39"/>
      <c r="K276" s="39">
        <f t="shared" si="42"/>
        <v>41299.571000001626</v>
      </c>
      <c r="L276" s="39"/>
    </row>
    <row r="277" spans="1:12" x14ac:dyDescent="0.25">
      <c r="B277" s="150">
        <v>43297</v>
      </c>
      <c r="C277" s="10">
        <v>2500</v>
      </c>
      <c r="D277" s="190">
        <v>10.362</v>
      </c>
      <c r="E277" s="39">
        <v>19.850000000000001</v>
      </c>
      <c r="F277" s="39">
        <f t="shared" si="39"/>
        <v>23720.000000000004</v>
      </c>
      <c r="G277" s="39">
        <f t="shared" si="40"/>
        <v>25905</v>
      </c>
      <c r="H277" s="179">
        <f t="shared" si="41"/>
        <v>0.91565334877436799</v>
      </c>
      <c r="I277" s="39"/>
      <c r="J277" s="39"/>
      <c r="K277" s="39">
        <f t="shared" si="42"/>
        <v>38335.571000001626</v>
      </c>
      <c r="L277" s="39"/>
    </row>
    <row r="278" spans="1:12" x14ac:dyDescent="0.25">
      <c r="A278">
        <v>800</v>
      </c>
      <c r="B278" s="150">
        <v>43297</v>
      </c>
      <c r="C278" s="185">
        <v>3000</v>
      </c>
      <c r="D278" s="746">
        <v>11.96</v>
      </c>
      <c r="E278" s="39">
        <v>19.850000000000001</v>
      </c>
      <c r="F278" s="39">
        <f t="shared" ref="F278:F292" si="43">C278*(E278-D278)</f>
        <v>23670</v>
      </c>
      <c r="G278" s="39">
        <f t="shared" ref="G278:G292" si="44">D278*C278</f>
        <v>35880</v>
      </c>
      <c r="H278" s="179">
        <f t="shared" ref="H278:H292" si="45">(E278-D278)/D278</f>
        <v>0.65969899665551834</v>
      </c>
      <c r="I278" s="39"/>
      <c r="J278" s="39"/>
      <c r="K278" s="39">
        <f t="shared" si="42"/>
        <v>38285.571000001626</v>
      </c>
      <c r="L278" s="39"/>
    </row>
    <row r="279" spans="1:12" x14ac:dyDescent="0.25">
      <c r="A279">
        <v>300</v>
      </c>
      <c r="B279" s="150">
        <v>43299</v>
      </c>
      <c r="C279" s="10">
        <v>2500</v>
      </c>
      <c r="D279" s="190">
        <v>10.27</v>
      </c>
      <c r="E279" s="39">
        <v>20.420000000000002</v>
      </c>
      <c r="F279" s="39">
        <f t="shared" si="43"/>
        <v>25375.000000000004</v>
      </c>
      <c r="G279" s="39">
        <f t="shared" si="44"/>
        <v>25675</v>
      </c>
      <c r="H279" s="179">
        <f t="shared" si="45"/>
        <v>0.98831548198636832</v>
      </c>
      <c r="I279" s="39"/>
      <c r="J279" s="39"/>
      <c r="K279" s="39">
        <f t="shared" si="42"/>
        <v>39990.571000001626</v>
      </c>
      <c r="L279" s="39">
        <v>68.81</v>
      </c>
    </row>
    <row r="280" spans="1:12" x14ac:dyDescent="0.25">
      <c r="A280">
        <v>0</v>
      </c>
      <c r="B280" s="150">
        <v>43300</v>
      </c>
      <c r="C280" s="10">
        <v>2200</v>
      </c>
      <c r="D280" s="190">
        <v>8.8620000000000001</v>
      </c>
      <c r="E280" s="39">
        <v>20.54</v>
      </c>
      <c r="F280" s="39">
        <f t="shared" si="43"/>
        <v>25691.599999999999</v>
      </c>
      <c r="G280" s="39">
        <f t="shared" si="44"/>
        <v>19496.400000000001</v>
      </c>
      <c r="H280" s="179">
        <f t="shared" si="45"/>
        <v>1.3177612277138342</v>
      </c>
      <c r="I280" s="39"/>
      <c r="J280" s="39"/>
      <c r="K280" s="39">
        <f t="shared" si="42"/>
        <v>40307.171000001625</v>
      </c>
      <c r="L280" s="39">
        <v>69.405000000000001</v>
      </c>
    </row>
    <row r="281" spans="1:12" x14ac:dyDescent="0.25">
      <c r="A281">
        <v>0</v>
      </c>
      <c r="B281" s="150">
        <v>43305</v>
      </c>
      <c r="C281" s="357">
        <v>2000</v>
      </c>
      <c r="D281" s="764">
        <v>7.6566000000000001</v>
      </c>
      <c r="E281" s="39">
        <v>20.92</v>
      </c>
      <c r="F281" s="39">
        <f t="shared" si="43"/>
        <v>26526.800000000003</v>
      </c>
      <c r="G281" s="39">
        <f t="shared" si="44"/>
        <v>15313.2</v>
      </c>
      <c r="H281" s="179">
        <f t="shared" si="45"/>
        <v>1.732283258887757</v>
      </c>
      <c r="I281" s="39"/>
      <c r="J281" s="39"/>
      <c r="K281" s="39">
        <f t="shared" si="42"/>
        <v>41142.371000001629</v>
      </c>
      <c r="L281" s="39">
        <v>68.83</v>
      </c>
    </row>
    <row r="282" spans="1:12" x14ac:dyDescent="0.25">
      <c r="A282">
        <v>200</v>
      </c>
      <c r="B282" s="150">
        <v>43307</v>
      </c>
      <c r="C282" s="10">
        <v>2000</v>
      </c>
      <c r="D282" s="190">
        <v>7.657</v>
      </c>
      <c r="E282" s="39">
        <v>21.24</v>
      </c>
      <c r="F282" s="39">
        <f t="shared" si="43"/>
        <v>27165.999999999996</v>
      </c>
      <c r="G282" s="39">
        <f t="shared" si="44"/>
        <v>15314</v>
      </c>
      <c r="H282" s="179">
        <f t="shared" si="45"/>
        <v>1.7739323494841319</v>
      </c>
      <c r="I282" s="39"/>
      <c r="J282" s="39"/>
      <c r="K282" s="39">
        <f t="shared" si="42"/>
        <v>41781.571000001626</v>
      </c>
      <c r="L282" s="39">
        <v>69.52</v>
      </c>
    </row>
    <row r="283" spans="1:12" x14ac:dyDescent="0.25">
      <c r="A283">
        <v>200</v>
      </c>
      <c r="B283" s="150">
        <v>43308</v>
      </c>
      <c r="C283" s="10">
        <v>2000</v>
      </c>
      <c r="D283" s="190">
        <v>7.657</v>
      </c>
      <c r="E283" s="39">
        <v>20.83</v>
      </c>
      <c r="F283" s="39">
        <f t="shared" si="43"/>
        <v>26345.999999999996</v>
      </c>
      <c r="G283" s="39">
        <f t="shared" si="44"/>
        <v>15314</v>
      </c>
      <c r="H283" s="179">
        <f t="shared" si="45"/>
        <v>1.7203865743763873</v>
      </c>
      <c r="I283" s="39"/>
      <c r="J283" s="39"/>
      <c r="K283" s="39">
        <f t="shared" ref="K283:K301" si="46">F283+$Q$10</f>
        <v>40961.571000001626</v>
      </c>
      <c r="L283" s="39">
        <v>68.849999999999994</v>
      </c>
    </row>
    <row r="284" spans="1:12" x14ac:dyDescent="0.25">
      <c r="A284">
        <v>0</v>
      </c>
      <c r="B284" s="150">
        <v>43311</v>
      </c>
      <c r="C284" s="10">
        <v>1800</v>
      </c>
      <c r="D284" s="190">
        <v>6.1390000000000002</v>
      </c>
      <c r="E284" s="39">
        <v>21.11</v>
      </c>
      <c r="F284" s="39">
        <f t="shared" si="43"/>
        <v>26947.8</v>
      </c>
      <c r="G284" s="39">
        <f t="shared" si="44"/>
        <v>11050.2</v>
      </c>
      <c r="H284" s="179">
        <f t="shared" si="45"/>
        <v>2.438670793288809</v>
      </c>
      <c r="I284" s="39"/>
      <c r="J284" s="39"/>
      <c r="K284" s="39">
        <f t="shared" si="46"/>
        <v>41563.371000001629</v>
      </c>
      <c r="L284" s="39">
        <v>69.900000000000006</v>
      </c>
    </row>
    <row r="285" spans="1:12" x14ac:dyDescent="0.25">
      <c r="A285">
        <v>0</v>
      </c>
      <c r="B285" s="150">
        <v>43312</v>
      </c>
      <c r="C285" s="357">
        <v>2000</v>
      </c>
      <c r="D285" s="764">
        <v>7.5896999999999997</v>
      </c>
      <c r="E285" s="39">
        <v>21.12</v>
      </c>
      <c r="F285" s="39">
        <f t="shared" si="43"/>
        <v>27060.600000000002</v>
      </c>
      <c r="G285" s="39">
        <f t="shared" si="44"/>
        <v>15179.4</v>
      </c>
      <c r="H285" s="179">
        <f t="shared" si="45"/>
        <v>1.7827186845329857</v>
      </c>
      <c r="I285" s="39"/>
      <c r="J285" s="39"/>
      <c r="K285" s="39">
        <f t="shared" si="46"/>
        <v>41676.171000001632</v>
      </c>
      <c r="L285" s="39">
        <v>68.41</v>
      </c>
    </row>
    <row r="286" spans="1:12" x14ac:dyDescent="0.25">
      <c r="B286" s="150">
        <v>43314</v>
      </c>
      <c r="C286" s="10">
        <v>2200</v>
      </c>
      <c r="D286" s="190">
        <v>8.2899999999999991</v>
      </c>
      <c r="E286" s="39">
        <v>20.63</v>
      </c>
      <c r="F286" s="39">
        <f t="shared" si="43"/>
        <v>27148</v>
      </c>
      <c r="G286" s="39">
        <f t="shared" si="44"/>
        <v>18237.999999999996</v>
      </c>
      <c r="H286" s="179">
        <f t="shared" si="45"/>
        <v>1.4885404101326902</v>
      </c>
      <c r="I286" s="39"/>
      <c r="J286" s="39"/>
      <c r="K286" s="39">
        <f t="shared" si="46"/>
        <v>41763.571000001626</v>
      </c>
      <c r="L286" s="39">
        <v>68.16</v>
      </c>
    </row>
    <row r="287" spans="1:12" x14ac:dyDescent="0.25">
      <c r="A287">
        <v>0</v>
      </c>
      <c r="B287" s="150">
        <v>43314</v>
      </c>
      <c r="C287" s="357">
        <v>2000</v>
      </c>
      <c r="D287" s="764">
        <v>7.4726999999999997</v>
      </c>
      <c r="E287" s="39">
        <v>20.88</v>
      </c>
      <c r="F287" s="39">
        <f t="shared" si="43"/>
        <v>26814.6</v>
      </c>
      <c r="G287" s="39">
        <f t="shared" si="44"/>
        <v>14945.4</v>
      </c>
      <c r="H287" s="179">
        <f t="shared" si="45"/>
        <v>1.7941707816451884</v>
      </c>
      <c r="I287" s="39"/>
      <c r="J287" s="39"/>
      <c r="K287" s="39">
        <f t="shared" si="46"/>
        <v>41430.171000001625</v>
      </c>
      <c r="L287" s="39">
        <v>69.11</v>
      </c>
    </row>
    <row r="288" spans="1:12" x14ac:dyDescent="0.25">
      <c r="A288">
        <v>300</v>
      </c>
      <c r="B288" s="150">
        <v>43320</v>
      </c>
      <c r="C288" s="10">
        <v>2300</v>
      </c>
      <c r="D288" s="190">
        <v>9.1080000000000005</v>
      </c>
      <c r="E288" s="39">
        <v>20.14</v>
      </c>
      <c r="F288" s="39">
        <f t="shared" si="43"/>
        <v>25373.599999999999</v>
      </c>
      <c r="G288" s="39">
        <f t="shared" si="44"/>
        <v>20948.400000000001</v>
      </c>
      <c r="H288" s="179">
        <f t="shared" si="45"/>
        <v>1.2112428634167764</v>
      </c>
      <c r="I288" s="39"/>
      <c r="J288" s="39"/>
      <c r="K288" s="39">
        <f t="shared" si="46"/>
        <v>39989.171000001625</v>
      </c>
      <c r="L288" s="39">
        <v>66.84</v>
      </c>
    </row>
    <row r="289" spans="1:12" x14ac:dyDescent="0.25">
      <c r="A289">
        <v>300</v>
      </c>
      <c r="B289" s="150">
        <v>43322</v>
      </c>
      <c r="C289" s="10">
        <v>2300</v>
      </c>
      <c r="D289" s="190">
        <v>9.1080000000000005</v>
      </c>
      <c r="E289" s="39">
        <v>20.38</v>
      </c>
      <c r="F289" s="39">
        <f t="shared" si="43"/>
        <v>25925.599999999995</v>
      </c>
      <c r="G289" s="39">
        <f t="shared" si="44"/>
        <v>20948.400000000001</v>
      </c>
      <c r="H289" s="179">
        <f t="shared" si="45"/>
        <v>1.2375933245498461</v>
      </c>
      <c r="I289" s="39"/>
      <c r="J289" s="39"/>
      <c r="K289" s="39">
        <f t="shared" si="46"/>
        <v>40541.171000001617</v>
      </c>
      <c r="L289" s="39">
        <v>67.760000000000005</v>
      </c>
    </row>
    <row r="290" spans="1:12" x14ac:dyDescent="0.25">
      <c r="A290">
        <v>600</v>
      </c>
      <c r="B290" s="150">
        <v>43325</v>
      </c>
      <c r="C290" s="10">
        <v>2300</v>
      </c>
      <c r="D290" s="190">
        <v>9.1080000000000005</v>
      </c>
      <c r="E290" s="39">
        <v>20.079999999999998</v>
      </c>
      <c r="F290" s="39">
        <f t="shared" si="43"/>
        <v>25235.599999999995</v>
      </c>
      <c r="G290" s="39">
        <f t="shared" si="44"/>
        <v>20948.400000000001</v>
      </c>
      <c r="H290" s="179">
        <f t="shared" si="45"/>
        <v>1.2046552481335087</v>
      </c>
      <c r="I290" s="39"/>
      <c r="J290" s="39"/>
      <c r="K290" s="39">
        <f t="shared" si="46"/>
        <v>39851.171000001617</v>
      </c>
      <c r="L290" s="39">
        <v>67.38</v>
      </c>
    </row>
    <row r="291" spans="1:12" x14ac:dyDescent="0.25">
      <c r="B291" s="150">
        <v>43327</v>
      </c>
      <c r="C291" s="185">
        <v>3000</v>
      </c>
      <c r="D291" s="746">
        <v>11.551</v>
      </c>
      <c r="E291" s="39">
        <v>19</v>
      </c>
      <c r="F291" s="39">
        <f t="shared" si="43"/>
        <v>22347</v>
      </c>
      <c r="G291" s="39">
        <f t="shared" si="44"/>
        <v>34653</v>
      </c>
      <c r="H291" s="179">
        <f t="shared" si="45"/>
        <v>0.64487923123539082</v>
      </c>
      <c r="I291" s="39"/>
      <c r="J291" s="39"/>
      <c r="K291" s="39">
        <f t="shared" si="46"/>
        <v>36962.571000001626</v>
      </c>
      <c r="L291" s="39"/>
    </row>
    <row r="292" spans="1:12" x14ac:dyDescent="0.25">
      <c r="A292">
        <v>600</v>
      </c>
      <c r="B292" s="150">
        <v>43327</v>
      </c>
      <c r="C292" s="10">
        <v>3500</v>
      </c>
      <c r="D292" s="190">
        <v>12.627000000000001</v>
      </c>
      <c r="E292" s="39">
        <v>19</v>
      </c>
      <c r="F292" s="39">
        <f t="shared" si="43"/>
        <v>22305.499999999996</v>
      </c>
      <c r="G292" s="39">
        <f t="shared" si="44"/>
        <v>44194.5</v>
      </c>
      <c r="H292" s="179">
        <f t="shared" si="45"/>
        <v>0.50471212481191086</v>
      </c>
      <c r="I292" s="39"/>
      <c r="J292" s="39"/>
      <c r="K292" s="39">
        <f t="shared" si="46"/>
        <v>36921.071000001626</v>
      </c>
      <c r="L292" s="39">
        <v>64.88</v>
      </c>
    </row>
    <row r="293" spans="1:12" x14ac:dyDescent="0.25">
      <c r="A293">
        <v>1600</v>
      </c>
      <c r="B293" s="150">
        <v>43328</v>
      </c>
      <c r="C293" s="10">
        <v>3500</v>
      </c>
      <c r="D293" s="190">
        <v>12.627000000000001</v>
      </c>
      <c r="E293" s="39">
        <v>19.32</v>
      </c>
      <c r="F293" s="39">
        <f t="shared" ref="F293:F314" si="47">C293*(E293-D293)</f>
        <v>23425.5</v>
      </c>
      <c r="G293" s="39">
        <f t="shared" ref="G293:G314" si="48">D293*C293</f>
        <v>44194.5</v>
      </c>
      <c r="H293" s="179">
        <f t="shared" ref="H293:H314" si="49">(E293-D293)/D293</f>
        <v>0.53005464480874309</v>
      </c>
      <c r="I293" s="39"/>
      <c r="J293" s="39"/>
      <c r="K293" s="39">
        <f t="shared" si="46"/>
        <v>38041.071000001626</v>
      </c>
      <c r="L293" s="39">
        <v>65.400000000000006</v>
      </c>
    </row>
    <row r="294" spans="1:12" x14ac:dyDescent="0.25">
      <c r="A294">
        <v>1100</v>
      </c>
      <c r="B294" s="150">
        <v>43329</v>
      </c>
      <c r="C294" s="185">
        <v>3000</v>
      </c>
      <c r="D294" s="746">
        <v>11.443</v>
      </c>
      <c r="E294" s="39">
        <v>19.829999999999998</v>
      </c>
      <c r="F294" s="39">
        <f t="shared" si="47"/>
        <v>25160.999999999996</v>
      </c>
      <c r="G294" s="39">
        <f t="shared" si="48"/>
        <v>34329</v>
      </c>
      <c r="H294" s="776">
        <f t="shared" si="49"/>
        <v>0.73293716682688093</v>
      </c>
      <c r="I294" s="39"/>
      <c r="J294" s="39"/>
      <c r="K294" s="39">
        <f t="shared" si="46"/>
        <v>39776.571000001626</v>
      </c>
      <c r="L294" s="39">
        <v>65.92</v>
      </c>
    </row>
    <row r="295" spans="1:12" x14ac:dyDescent="0.25">
      <c r="A295">
        <v>1100</v>
      </c>
      <c r="B295" s="150">
        <v>43332</v>
      </c>
      <c r="C295" s="10">
        <v>3000</v>
      </c>
      <c r="D295" s="190">
        <v>11.443</v>
      </c>
      <c r="E295" s="39">
        <v>19.98</v>
      </c>
      <c r="F295" s="39">
        <f t="shared" si="47"/>
        <v>25611.000000000004</v>
      </c>
      <c r="G295" s="39">
        <f t="shared" si="48"/>
        <v>34329</v>
      </c>
      <c r="H295" s="179">
        <f t="shared" si="49"/>
        <v>0.74604561740802244</v>
      </c>
      <c r="I295" s="39"/>
      <c r="J295" s="39"/>
      <c r="K295" s="39">
        <f t="shared" si="46"/>
        <v>40226.571000001626</v>
      </c>
      <c r="L295" s="39">
        <v>66.48</v>
      </c>
    </row>
    <row r="296" spans="1:12" x14ac:dyDescent="0.25">
      <c r="A296">
        <v>1100</v>
      </c>
      <c r="B296" s="150">
        <v>43333</v>
      </c>
      <c r="C296" s="10">
        <v>3000</v>
      </c>
      <c r="D296" s="190">
        <v>11.443</v>
      </c>
      <c r="E296" s="39">
        <v>20.21</v>
      </c>
      <c r="F296" s="39">
        <f t="shared" si="47"/>
        <v>26301.000000000004</v>
      </c>
      <c r="G296" s="39">
        <f t="shared" si="48"/>
        <v>34329</v>
      </c>
      <c r="H296" s="179">
        <f t="shared" si="49"/>
        <v>0.76614524163243913</v>
      </c>
      <c r="I296" s="39"/>
      <c r="J296" s="39"/>
      <c r="K296" s="39">
        <f>F296+$Q$10</f>
        <v>40916.571000001626</v>
      </c>
      <c r="L296" s="39">
        <v>66.099999999999994</v>
      </c>
    </row>
    <row r="297" spans="1:12" x14ac:dyDescent="0.25">
      <c r="B297" s="150">
        <v>43334</v>
      </c>
      <c r="C297" s="10">
        <v>2300</v>
      </c>
      <c r="D297" s="190">
        <v>8.6319999999999997</v>
      </c>
      <c r="E297" s="39">
        <v>20.87</v>
      </c>
      <c r="F297" s="39">
        <f t="shared" si="47"/>
        <v>28147.4</v>
      </c>
      <c r="G297" s="39">
        <f t="shared" si="48"/>
        <v>19853.599999999999</v>
      </c>
      <c r="H297" s="179">
        <f t="shared" si="49"/>
        <v>1.4177479147358667</v>
      </c>
      <c r="I297" s="39"/>
      <c r="J297" s="191" t="s">
        <v>487</v>
      </c>
      <c r="K297" s="39">
        <f t="shared" si="46"/>
        <v>42762.971000001628</v>
      </c>
      <c r="L297" s="39"/>
    </row>
    <row r="298" spans="1:12" x14ac:dyDescent="0.25">
      <c r="A298">
        <v>300</v>
      </c>
      <c r="B298" s="150">
        <v>43334</v>
      </c>
      <c r="C298" s="10">
        <v>2200</v>
      </c>
      <c r="D298" s="190">
        <v>8.0649999999999995</v>
      </c>
      <c r="E298" s="39">
        <v>20.87</v>
      </c>
      <c r="F298" s="39">
        <f t="shared" si="47"/>
        <v>28171.000000000004</v>
      </c>
      <c r="G298" s="39">
        <f t="shared" si="48"/>
        <v>17743</v>
      </c>
      <c r="H298" s="179">
        <f t="shared" si="49"/>
        <v>1.5877247365158094</v>
      </c>
      <c r="I298" s="39"/>
      <c r="J298" s="39"/>
      <c r="K298" s="778">
        <f t="shared" si="46"/>
        <v>42786.571000001626</v>
      </c>
      <c r="L298" s="39">
        <v>67.98</v>
      </c>
    </row>
    <row r="299" spans="1:12" x14ac:dyDescent="0.25">
      <c r="A299">
        <v>299</v>
      </c>
      <c r="B299" s="150">
        <v>43336</v>
      </c>
      <c r="C299" s="10">
        <v>2199</v>
      </c>
      <c r="D299" s="190">
        <v>8.06</v>
      </c>
      <c r="E299" s="39">
        <v>20.61</v>
      </c>
      <c r="F299" s="39">
        <f t="shared" si="47"/>
        <v>27597.449999999997</v>
      </c>
      <c r="G299" s="39">
        <f t="shared" si="48"/>
        <v>17723.940000000002</v>
      </c>
      <c r="H299" s="179">
        <f t="shared" si="49"/>
        <v>1.5570719602977665</v>
      </c>
      <c r="I299" s="39"/>
      <c r="J299" s="39">
        <v>51.98</v>
      </c>
      <c r="K299" s="39">
        <f t="shared" si="46"/>
        <v>42213.021000001623</v>
      </c>
      <c r="L299" s="39">
        <v>68.540000000000006</v>
      </c>
    </row>
    <row r="300" spans="1:12" x14ac:dyDescent="0.25">
      <c r="A300">
        <v>299</v>
      </c>
      <c r="B300" s="150">
        <v>43339</v>
      </c>
      <c r="C300" s="10">
        <v>2300</v>
      </c>
      <c r="D300" s="190">
        <v>8.6140000000000008</v>
      </c>
      <c r="E300" s="39">
        <v>20.8</v>
      </c>
      <c r="F300" s="39">
        <f t="shared" si="47"/>
        <v>28027.8</v>
      </c>
      <c r="G300" s="39">
        <f t="shared" si="48"/>
        <v>19812.2</v>
      </c>
      <c r="H300" s="179">
        <f t="shared" si="49"/>
        <v>1.4146737868586021</v>
      </c>
      <c r="I300" s="39"/>
      <c r="J300" s="39"/>
      <c r="K300" s="39">
        <f t="shared" si="46"/>
        <v>42643.371000001629</v>
      </c>
      <c r="L300" s="39"/>
    </row>
    <row r="301" spans="1:12" x14ac:dyDescent="0.25">
      <c r="A301">
        <v>199</v>
      </c>
      <c r="B301" s="150">
        <v>43339</v>
      </c>
      <c r="C301" s="10">
        <v>2200</v>
      </c>
      <c r="D301" s="190">
        <v>8.0540000000000003</v>
      </c>
      <c r="E301" s="39">
        <v>20.94</v>
      </c>
      <c r="F301" s="39">
        <f t="shared" si="47"/>
        <v>28349.200000000001</v>
      </c>
      <c r="G301" s="39">
        <f t="shared" si="48"/>
        <v>17718.8</v>
      </c>
      <c r="H301" s="179">
        <f t="shared" si="49"/>
        <v>1.5999503352371494</v>
      </c>
      <c r="I301" s="39"/>
      <c r="J301" s="39"/>
      <c r="K301" s="778">
        <f t="shared" si="46"/>
        <v>42964.771000001623</v>
      </c>
      <c r="L301" s="39"/>
    </row>
    <row r="302" spans="1:12" x14ac:dyDescent="0.25">
      <c r="A302">
        <v>199</v>
      </c>
      <c r="B302" s="150">
        <v>43340</v>
      </c>
      <c r="C302" s="10">
        <v>2200</v>
      </c>
      <c r="D302" s="190">
        <v>8.0540000000000003</v>
      </c>
      <c r="E302" s="39">
        <v>20.7</v>
      </c>
      <c r="F302" s="39">
        <f t="shared" si="47"/>
        <v>27821.199999999997</v>
      </c>
      <c r="G302" s="39">
        <f t="shared" si="48"/>
        <v>17718.8</v>
      </c>
      <c r="H302" s="179">
        <f t="shared" si="49"/>
        <v>1.5701514775266947</v>
      </c>
      <c r="I302" s="39"/>
      <c r="J302" s="39"/>
      <c r="K302" s="39">
        <f t="shared" ref="K302:K315" si="50">F302+$Q$10</f>
        <v>42436.771000001623</v>
      </c>
      <c r="L302" s="39">
        <v>68.510000000000005</v>
      </c>
    </row>
    <row r="303" spans="1:12" x14ac:dyDescent="0.25">
      <c r="A303">
        <v>0</v>
      </c>
      <c r="B303" s="150">
        <v>43341</v>
      </c>
      <c r="C303" s="357">
        <v>2001</v>
      </c>
      <c r="D303" s="764">
        <v>6.7073999999999998</v>
      </c>
      <c r="E303" s="39">
        <v>21.77</v>
      </c>
      <c r="F303" s="39">
        <f t="shared" si="47"/>
        <v>30140.262599999998</v>
      </c>
      <c r="G303" s="39">
        <f t="shared" si="48"/>
        <v>13421.5074</v>
      </c>
      <c r="H303" s="179">
        <f t="shared" si="49"/>
        <v>2.24566896263828</v>
      </c>
      <c r="I303" s="39"/>
      <c r="J303" s="39">
        <v>61.76</v>
      </c>
      <c r="K303" s="777">
        <f t="shared" si="50"/>
        <v>44755.833600001628</v>
      </c>
      <c r="L303" s="39">
        <v>69.709999999999994</v>
      </c>
    </row>
    <row r="304" spans="1:12" x14ac:dyDescent="0.25">
      <c r="A304">
        <v>400</v>
      </c>
      <c r="B304" s="150">
        <v>43344</v>
      </c>
      <c r="C304" s="10">
        <v>2001</v>
      </c>
      <c r="D304" s="190">
        <v>6.7069999999999999</v>
      </c>
      <c r="E304" s="39">
        <v>21.51</v>
      </c>
      <c r="F304" s="39">
        <f t="shared" si="47"/>
        <v>29620.803</v>
      </c>
      <c r="G304" s="39">
        <f t="shared" si="48"/>
        <v>13420.707</v>
      </c>
      <c r="H304" s="179">
        <f t="shared" si="49"/>
        <v>2.2070970627702402</v>
      </c>
      <c r="I304" s="39"/>
      <c r="J304" s="39">
        <v>58.67</v>
      </c>
      <c r="K304" s="39">
        <f t="shared" si="50"/>
        <v>44236.374000001626</v>
      </c>
      <c r="L304" s="39">
        <v>69.8</v>
      </c>
    </row>
    <row r="305" spans="1:12" x14ac:dyDescent="0.25">
      <c r="A305">
        <v>400</v>
      </c>
      <c r="B305" s="150">
        <v>43347</v>
      </c>
      <c r="C305" s="10">
        <v>2200</v>
      </c>
      <c r="D305" s="190">
        <v>8.0165000000000006</v>
      </c>
      <c r="E305" s="39">
        <v>21.06</v>
      </c>
      <c r="F305" s="39">
        <f t="shared" si="47"/>
        <v>28695.699999999997</v>
      </c>
      <c r="G305" s="39">
        <f t="shared" si="48"/>
        <v>17636.300000000003</v>
      </c>
      <c r="H305" s="179">
        <f t="shared" si="49"/>
        <v>1.6270816441090248</v>
      </c>
      <c r="I305" s="39"/>
      <c r="J305" s="39"/>
      <c r="K305" s="39">
        <f t="shared" si="50"/>
        <v>43311.271000001623</v>
      </c>
      <c r="L305" s="39">
        <v>69.349999999999994</v>
      </c>
    </row>
    <row r="306" spans="1:12" x14ac:dyDescent="0.25">
      <c r="A306">
        <v>400</v>
      </c>
      <c r="B306" s="150">
        <v>43349</v>
      </c>
      <c r="C306" s="10">
        <v>2300</v>
      </c>
      <c r="D306" s="190">
        <v>8.5584000000000007</v>
      </c>
      <c r="E306" s="39">
        <v>20.36</v>
      </c>
      <c r="F306" s="39">
        <f t="shared" si="47"/>
        <v>27143.679999999997</v>
      </c>
      <c r="G306" s="39">
        <f t="shared" si="48"/>
        <v>19684.320000000003</v>
      </c>
      <c r="H306" s="179">
        <f t="shared" si="49"/>
        <v>1.3789493363245464</v>
      </c>
      <c r="I306" s="39"/>
      <c r="J306" s="39">
        <v>47.92</v>
      </c>
      <c r="K306" s="39">
        <f t="shared" si="50"/>
        <v>41759.251000001619</v>
      </c>
      <c r="L306" s="39">
        <v>67.849999999999994</v>
      </c>
    </row>
    <row r="307" spans="1:12" x14ac:dyDescent="0.25">
      <c r="A307">
        <v>700</v>
      </c>
      <c r="B307" s="150">
        <v>43353</v>
      </c>
      <c r="C307" s="10">
        <v>2300</v>
      </c>
      <c r="D307" s="190">
        <v>8.5084</v>
      </c>
      <c r="E307" s="39">
        <v>20.350000000000001</v>
      </c>
      <c r="F307" s="39">
        <f t="shared" si="47"/>
        <v>27235.680000000004</v>
      </c>
      <c r="G307" s="39">
        <f t="shared" si="48"/>
        <v>19569.32</v>
      </c>
      <c r="H307" s="179">
        <f t="shared" si="49"/>
        <v>1.3917540313102348</v>
      </c>
      <c r="I307" s="39" t="s">
        <v>184</v>
      </c>
      <c r="J307" s="39"/>
      <c r="K307" s="39">
        <f t="shared" si="50"/>
        <v>41851.251000001634</v>
      </c>
      <c r="L307" s="39">
        <v>67.58</v>
      </c>
    </row>
    <row r="308" spans="1:12" x14ac:dyDescent="0.25">
      <c r="A308">
        <v>700</v>
      </c>
      <c r="B308" s="150">
        <v>43356</v>
      </c>
      <c r="C308" s="10">
        <v>2300</v>
      </c>
      <c r="D308" s="190">
        <v>8.5084</v>
      </c>
      <c r="E308" s="39">
        <v>20.67</v>
      </c>
      <c r="F308" s="39">
        <f t="shared" si="47"/>
        <v>27971.680000000004</v>
      </c>
      <c r="G308" s="39">
        <f t="shared" si="48"/>
        <v>19569.32</v>
      </c>
      <c r="H308" s="179">
        <f t="shared" si="49"/>
        <v>1.4293639227116735</v>
      </c>
      <c r="I308" s="39"/>
      <c r="J308" s="39"/>
      <c r="K308" s="39">
        <f t="shared" si="50"/>
        <v>42587.251000001634</v>
      </c>
      <c r="L308" s="39">
        <v>68.84</v>
      </c>
    </row>
    <row r="309" spans="1:12" x14ac:dyDescent="0.25">
      <c r="A309">
        <v>1900</v>
      </c>
      <c r="B309" s="150">
        <v>43357</v>
      </c>
      <c r="C309" s="10">
        <v>2300</v>
      </c>
      <c r="D309" s="190">
        <v>8.5084</v>
      </c>
      <c r="E309" s="39">
        <v>20.88</v>
      </c>
      <c r="F309" s="39">
        <f t="shared" si="47"/>
        <v>28454.679999999997</v>
      </c>
      <c r="G309" s="39">
        <f t="shared" si="48"/>
        <v>19569.32</v>
      </c>
      <c r="H309" s="179">
        <f t="shared" si="49"/>
        <v>1.4540454139438672</v>
      </c>
      <c r="I309" s="39"/>
      <c r="J309" s="39"/>
      <c r="K309" s="39">
        <f t="shared" si="50"/>
        <v>43070.251000001619</v>
      </c>
      <c r="L309" s="39">
        <v>68.95</v>
      </c>
    </row>
    <row r="310" spans="1:12" x14ac:dyDescent="0.25">
      <c r="A310">
        <v>1600</v>
      </c>
      <c r="B310" s="150">
        <v>43361</v>
      </c>
      <c r="C310" s="357">
        <v>2000</v>
      </c>
      <c r="D310" s="764">
        <v>6.5777000000000001</v>
      </c>
      <c r="E310" s="39">
        <v>21.5</v>
      </c>
      <c r="F310" s="39">
        <f t="shared" si="47"/>
        <v>29844.6</v>
      </c>
      <c r="G310" s="39">
        <f t="shared" si="48"/>
        <v>13155.4</v>
      </c>
      <c r="H310" s="179">
        <f t="shared" si="49"/>
        <v>2.2686197303008648</v>
      </c>
      <c r="I310" s="39"/>
      <c r="J310" s="39"/>
      <c r="K310" s="39">
        <f t="shared" si="50"/>
        <v>44460.171000001625</v>
      </c>
      <c r="L310" s="39">
        <v>69.63</v>
      </c>
    </row>
    <row r="311" spans="1:12" x14ac:dyDescent="0.25">
      <c r="A311">
        <v>1600</v>
      </c>
      <c r="B311" s="150">
        <v>43362</v>
      </c>
      <c r="C311" s="10">
        <v>2000</v>
      </c>
      <c r="D311" s="190">
        <v>6.5777000000000001</v>
      </c>
      <c r="E311" s="39">
        <v>21.76</v>
      </c>
      <c r="F311" s="39">
        <f t="shared" si="47"/>
        <v>30364.600000000002</v>
      </c>
      <c r="G311" s="39">
        <f t="shared" si="48"/>
        <v>13155.4</v>
      </c>
      <c r="H311" s="179">
        <f t="shared" si="49"/>
        <v>2.3081472247138057</v>
      </c>
      <c r="I311" s="39"/>
      <c r="J311" s="39"/>
      <c r="K311" s="778">
        <f t="shared" si="50"/>
        <v>44980.171000001632</v>
      </c>
      <c r="L311" s="39">
        <v>70.97</v>
      </c>
    </row>
    <row r="312" spans="1:12" x14ac:dyDescent="0.25">
      <c r="A312">
        <v>1600</v>
      </c>
      <c r="B312" s="150">
        <v>43364</v>
      </c>
      <c r="C312" s="10">
        <v>2000</v>
      </c>
      <c r="D312" s="190">
        <v>6.5777000000000001</v>
      </c>
      <c r="E312" s="39">
        <v>21.86</v>
      </c>
      <c r="F312" s="39">
        <f t="shared" si="47"/>
        <v>30564.6</v>
      </c>
      <c r="G312" s="39">
        <f t="shared" si="48"/>
        <v>13155.4</v>
      </c>
      <c r="H312" s="179">
        <f t="shared" si="49"/>
        <v>2.3233501071803211</v>
      </c>
      <c r="I312" s="39"/>
      <c r="J312" s="39">
        <v>61.88</v>
      </c>
      <c r="K312" s="778">
        <f t="shared" si="50"/>
        <v>45180.171000001625</v>
      </c>
      <c r="L312" s="39">
        <v>70.8</v>
      </c>
    </row>
    <row r="313" spans="1:12" x14ac:dyDescent="0.25">
      <c r="A313">
        <v>600</v>
      </c>
      <c r="B313" s="150">
        <v>43367</v>
      </c>
      <c r="C313" s="10">
        <v>1000</v>
      </c>
      <c r="D313" s="190">
        <v>-9.4944000000000006</v>
      </c>
      <c r="E313" s="39">
        <v>22.34</v>
      </c>
      <c r="F313" s="39">
        <f t="shared" si="47"/>
        <v>31834.400000000001</v>
      </c>
      <c r="G313" s="39">
        <f t="shared" si="48"/>
        <v>-9494.4000000000015</v>
      </c>
      <c r="H313" s="179">
        <f t="shared" si="49"/>
        <v>-3.3529659588810246</v>
      </c>
      <c r="I313" s="39"/>
      <c r="J313" s="39"/>
      <c r="K313" s="778">
        <f t="shared" si="50"/>
        <v>46449.971000001628</v>
      </c>
      <c r="L313" s="39">
        <v>72.11</v>
      </c>
    </row>
    <row r="314" spans="1:12" x14ac:dyDescent="0.25">
      <c r="A314">
        <v>501</v>
      </c>
      <c r="B314" s="150">
        <v>43371</v>
      </c>
      <c r="C314" s="10">
        <v>800</v>
      </c>
      <c r="D314" s="190">
        <v>-17.713000000000001</v>
      </c>
      <c r="E314" s="39">
        <v>23.28</v>
      </c>
      <c r="F314" s="39">
        <f t="shared" si="47"/>
        <v>32794.400000000001</v>
      </c>
      <c r="G314" s="39">
        <f t="shared" si="48"/>
        <v>-14170.400000000001</v>
      </c>
      <c r="H314" s="179">
        <f t="shared" si="49"/>
        <v>-2.314288940326314</v>
      </c>
      <c r="I314" s="39"/>
      <c r="J314" s="39"/>
      <c r="K314" s="778">
        <f t="shared" si="50"/>
        <v>47409.971000001628</v>
      </c>
      <c r="L314" s="39">
        <v>73.510000000000005</v>
      </c>
    </row>
    <row r="315" spans="1:12" x14ac:dyDescent="0.25">
      <c r="A315">
        <v>501</v>
      </c>
      <c r="B315" s="150">
        <v>43374</v>
      </c>
      <c r="C315" s="10">
        <v>800</v>
      </c>
      <c r="D315" s="190">
        <v>-17.713000000000001</v>
      </c>
      <c r="E315" s="39">
        <v>23.86</v>
      </c>
      <c r="F315" s="39">
        <f t="shared" ref="F315:F327" si="51">C315*(E315-D315)</f>
        <v>33258.400000000001</v>
      </c>
      <c r="G315" s="39">
        <f t="shared" ref="G315:G327" si="52">D315*C315</f>
        <v>-14170.400000000001</v>
      </c>
      <c r="H315" s="179">
        <f t="shared" ref="H315:H327" si="53">(E315-D315)/D315</f>
        <v>-2.3470332524134814</v>
      </c>
      <c r="I315" s="39"/>
      <c r="J315" s="39"/>
      <c r="K315" s="778">
        <f t="shared" si="50"/>
        <v>47873.971000001628</v>
      </c>
      <c r="L315" s="39">
        <v>75.400000000000006</v>
      </c>
    </row>
    <row r="316" spans="1:12" x14ac:dyDescent="0.25">
      <c r="A316">
        <v>700</v>
      </c>
      <c r="B316" s="150">
        <v>43377</v>
      </c>
      <c r="C316" s="10">
        <v>800</v>
      </c>
      <c r="D316" s="190">
        <v>-17.713000000000001</v>
      </c>
      <c r="E316" s="39">
        <v>23.99</v>
      </c>
      <c r="F316" s="39">
        <f t="shared" si="51"/>
        <v>33362.400000000001</v>
      </c>
      <c r="G316" s="39">
        <f t="shared" si="52"/>
        <v>-14170.400000000001</v>
      </c>
      <c r="H316" s="179">
        <f t="shared" si="53"/>
        <v>-2.3543724947778468</v>
      </c>
      <c r="I316" s="39"/>
      <c r="J316" s="39"/>
      <c r="K316" s="778">
        <f t="shared" ref="K316:K331" si="54">F316+$Q$10</f>
        <v>47977.971000001628</v>
      </c>
      <c r="L316" s="39">
        <v>75.92</v>
      </c>
    </row>
    <row r="317" spans="1:12" x14ac:dyDescent="0.25">
      <c r="A317">
        <v>800</v>
      </c>
      <c r="B317" s="150">
        <v>43381</v>
      </c>
      <c r="C317" s="10">
        <v>1000</v>
      </c>
      <c r="D317" s="190">
        <v>-9.6020000000000003</v>
      </c>
      <c r="E317" s="39">
        <v>22.88</v>
      </c>
      <c r="F317" s="39">
        <f t="shared" si="51"/>
        <v>32482</v>
      </c>
      <c r="G317" s="39">
        <f t="shared" si="52"/>
        <v>-9602</v>
      </c>
      <c r="H317" s="179">
        <f t="shared" si="53"/>
        <v>-3.3828369089772963</v>
      </c>
      <c r="I317" s="39"/>
      <c r="J317" s="39"/>
      <c r="K317" s="39">
        <f t="shared" si="54"/>
        <v>47097.571000001626</v>
      </c>
      <c r="L317" s="39">
        <v>74.25</v>
      </c>
    </row>
    <row r="318" spans="1:12" x14ac:dyDescent="0.25">
      <c r="A318">
        <v>800</v>
      </c>
      <c r="B318" s="150">
        <v>43383</v>
      </c>
      <c r="C318" s="10">
        <v>1700</v>
      </c>
      <c r="D318" s="190">
        <v>3.2715999999999998</v>
      </c>
      <c r="E318" s="39">
        <v>21.16</v>
      </c>
      <c r="F318" s="39">
        <f t="shared" si="51"/>
        <v>30410.280000000002</v>
      </c>
      <c r="G318" s="39">
        <f t="shared" si="52"/>
        <v>5561.7199999999993</v>
      </c>
      <c r="H318" s="179">
        <f t="shared" si="53"/>
        <v>5.4677833475975062</v>
      </c>
      <c r="I318" s="39"/>
      <c r="J318" s="39"/>
      <c r="K318" s="39">
        <f t="shared" si="54"/>
        <v>45025.851000001625</v>
      </c>
      <c r="L318" s="39">
        <v>72.62</v>
      </c>
    </row>
    <row r="319" spans="1:12" x14ac:dyDescent="0.25">
      <c r="A319">
        <v>800</v>
      </c>
      <c r="B319" s="150">
        <v>43384</v>
      </c>
      <c r="C319" s="357">
        <v>2000</v>
      </c>
      <c r="D319" s="764">
        <v>5.8288000000000002</v>
      </c>
      <c r="E319" s="39">
        <v>19.96</v>
      </c>
      <c r="F319" s="39">
        <f t="shared" si="51"/>
        <v>28262.399999999998</v>
      </c>
      <c r="G319" s="39">
        <f t="shared" si="52"/>
        <v>11657.6</v>
      </c>
      <c r="H319" s="179">
        <f t="shared" si="53"/>
        <v>2.4243755146856985</v>
      </c>
      <c r="I319" s="39"/>
      <c r="J319" s="39"/>
      <c r="K319" s="39">
        <f t="shared" si="54"/>
        <v>42877.97100000162</v>
      </c>
      <c r="L319" s="39">
        <v>70.97</v>
      </c>
    </row>
    <row r="320" spans="1:12" x14ac:dyDescent="0.25">
      <c r="A320">
        <v>800</v>
      </c>
      <c r="B320" s="150">
        <v>43385</v>
      </c>
      <c r="C320" s="10">
        <v>2000</v>
      </c>
      <c r="D320" s="190">
        <v>5.8288000000000002</v>
      </c>
      <c r="E320" s="39">
        <v>20.52</v>
      </c>
      <c r="F320" s="39">
        <f t="shared" si="51"/>
        <v>29382.399999999998</v>
      </c>
      <c r="G320" s="39">
        <f t="shared" si="52"/>
        <v>11657.6</v>
      </c>
      <c r="H320" s="179">
        <f t="shared" si="53"/>
        <v>2.5204501784243751</v>
      </c>
      <c r="I320" s="39"/>
      <c r="J320" s="39"/>
      <c r="K320" s="39">
        <f t="shared" si="54"/>
        <v>43997.97100000162</v>
      </c>
      <c r="L320" s="39">
        <v>71.52</v>
      </c>
    </row>
    <row r="321" spans="1:14" ht="15" customHeight="1" x14ac:dyDescent="0.25">
      <c r="A321">
        <v>800</v>
      </c>
      <c r="B321" s="150">
        <v>43396</v>
      </c>
      <c r="C321" s="10">
        <v>2500</v>
      </c>
      <c r="D321" s="190">
        <v>8.5030000000000001</v>
      </c>
      <c r="E321" s="39">
        <v>19.48</v>
      </c>
      <c r="F321" s="39">
        <f t="shared" si="51"/>
        <v>27442.5</v>
      </c>
      <c r="G321" s="39">
        <f t="shared" si="52"/>
        <v>21257.5</v>
      </c>
      <c r="H321" s="179">
        <f t="shared" si="53"/>
        <v>1.2909561331294837</v>
      </c>
      <c r="I321" s="39"/>
      <c r="J321" s="39"/>
      <c r="K321" s="39">
        <f t="shared" si="54"/>
        <v>42058.071000001626</v>
      </c>
      <c r="L321" s="39">
        <v>66.34</v>
      </c>
    </row>
    <row r="322" spans="1:14" x14ac:dyDescent="0.25">
      <c r="A322">
        <v>300</v>
      </c>
      <c r="B322" s="150">
        <v>43397</v>
      </c>
      <c r="C322" s="357">
        <v>2000</v>
      </c>
      <c r="D322" s="764">
        <v>5.6989000000000001</v>
      </c>
      <c r="E322" s="39">
        <v>18.350000000000001</v>
      </c>
      <c r="F322" s="39">
        <f t="shared" si="51"/>
        <v>25302.200000000004</v>
      </c>
      <c r="G322" s="39">
        <f t="shared" si="52"/>
        <v>11397.8</v>
      </c>
      <c r="H322" s="179">
        <f t="shared" si="53"/>
        <v>2.2199196336135048</v>
      </c>
      <c r="I322" s="39"/>
      <c r="J322" s="39"/>
      <c r="K322" s="39">
        <f t="shared" si="54"/>
        <v>39917.77100000163</v>
      </c>
      <c r="L322" s="39">
        <v>66.42</v>
      </c>
    </row>
    <row r="323" spans="1:14" x14ac:dyDescent="0.25">
      <c r="A323">
        <v>300</v>
      </c>
      <c r="B323" s="150">
        <v>43397</v>
      </c>
      <c r="C323" s="10">
        <v>2300</v>
      </c>
      <c r="D323" s="190">
        <v>7.4443000000000001</v>
      </c>
      <c r="E323" s="39">
        <v>18.350000000000001</v>
      </c>
      <c r="F323" s="39">
        <f t="shared" si="51"/>
        <v>25083.110000000004</v>
      </c>
      <c r="G323" s="39">
        <f t="shared" si="52"/>
        <v>17121.89</v>
      </c>
      <c r="H323" s="179">
        <f t="shared" si="53"/>
        <v>1.4649732009725562</v>
      </c>
      <c r="I323" s="39"/>
      <c r="J323" s="39"/>
      <c r="K323" s="39">
        <f t="shared" si="54"/>
        <v>39698.681000001627</v>
      </c>
      <c r="L323" s="39">
        <v>66.42</v>
      </c>
    </row>
    <row r="324" spans="1:14" x14ac:dyDescent="0.25">
      <c r="A324">
        <v>300</v>
      </c>
      <c r="B324" s="150">
        <v>43402</v>
      </c>
      <c r="C324" s="10">
        <v>2300</v>
      </c>
      <c r="D324" s="190">
        <v>7.4443000000000001</v>
      </c>
      <c r="E324" s="39">
        <v>18.149999999999999</v>
      </c>
      <c r="F324" s="39">
        <f t="shared" si="51"/>
        <v>24623.109999999997</v>
      </c>
      <c r="G324" s="39">
        <f t="shared" si="52"/>
        <v>17121.89</v>
      </c>
      <c r="H324" s="179">
        <f t="shared" si="53"/>
        <v>1.4381070080464244</v>
      </c>
      <c r="I324" s="39"/>
      <c r="J324" s="39"/>
      <c r="K324" s="39">
        <f t="shared" si="54"/>
        <v>39238.681000001627</v>
      </c>
      <c r="L324" s="39">
        <v>66.63</v>
      </c>
      <c r="N324" s="70"/>
    </row>
    <row r="325" spans="1:14" x14ac:dyDescent="0.25">
      <c r="A325">
        <v>0</v>
      </c>
      <c r="B325" s="150">
        <v>43404</v>
      </c>
      <c r="C325" s="357">
        <v>2000</v>
      </c>
      <c r="D325" s="764">
        <v>5.6089000000000002</v>
      </c>
      <c r="E325" s="39">
        <v>18.989999999999998</v>
      </c>
      <c r="F325" s="39">
        <f t="shared" si="51"/>
        <v>26762.199999999997</v>
      </c>
      <c r="G325" s="39">
        <f t="shared" si="52"/>
        <v>11217.800000000001</v>
      </c>
      <c r="H325" s="179">
        <f t="shared" si="53"/>
        <v>2.3856905988696533</v>
      </c>
      <c r="I325" s="39"/>
      <c r="J325" s="39"/>
      <c r="K325" s="39">
        <f t="shared" si="54"/>
        <v>41377.771000001623</v>
      </c>
      <c r="L325" s="39">
        <v>64.95</v>
      </c>
    </row>
    <row r="326" spans="1:14" x14ac:dyDescent="0.25">
      <c r="A326">
        <v>0</v>
      </c>
      <c r="B326" s="150">
        <v>43405</v>
      </c>
      <c r="C326" s="10">
        <v>2000</v>
      </c>
      <c r="D326" s="190">
        <v>5.609</v>
      </c>
      <c r="E326" s="39">
        <v>18.61</v>
      </c>
      <c r="F326" s="39">
        <f t="shared" si="51"/>
        <v>26002</v>
      </c>
      <c r="G326" s="39">
        <f t="shared" si="52"/>
        <v>11218</v>
      </c>
      <c r="H326" s="179">
        <f t="shared" si="53"/>
        <v>2.3178819753966837</v>
      </c>
      <c r="I326" s="39"/>
      <c r="J326" s="39"/>
      <c r="K326" s="39">
        <f t="shared" si="54"/>
        <v>40617.571000001626</v>
      </c>
      <c r="L326" s="39">
        <v>63.55</v>
      </c>
    </row>
    <row r="327" spans="1:14" x14ac:dyDescent="0.25">
      <c r="A327">
        <v>0</v>
      </c>
      <c r="B327" s="150">
        <v>43406</v>
      </c>
      <c r="C327" s="10">
        <v>2000</v>
      </c>
      <c r="D327" s="190">
        <v>5.609</v>
      </c>
      <c r="E327" s="39">
        <v>18.21</v>
      </c>
      <c r="F327" s="39">
        <f t="shared" si="51"/>
        <v>25202</v>
      </c>
      <c r="G327" s="39">
        <f t="shared" si="52"/>
        <v>11218</v>
      </c>
      <c r="H327" s="179">
        <f t="shared" si="53"/>
        <v>2.2465680156890713</v>
      </c>
      <c r="I327" s="39"/>
      <c r="J327" s="39"/>
      <c r="K327" s="39">
        <f t="shared" si="54"/>
        <v>39817.571000001626</v>
      </c>
      <c r="L327" s="39">
        <v>62.85</v>
      </c>
    </row>
    <row r="328" spans="1:14" x14ac:dyDescent="0.25">
      <c r="A328">
        <v>1200</v>
      </c>
      <c r="B328" s="150">
        <v>43416</v>
      </c>
      <c r="C328" s="10">
        <v>2200</v>
      </c>
      <c r="D328" s="190">
        <v>6.6879999999999997</v>
      </c>
      <c r="E328" s="39">
        <v>17.260000000000002</v>
      </c>
      <c r="F328" s="39">
        <f t="shared" ref="F328:F336" si="55">C328*(E328-D328)</f>
        <v>23258.400000000005</v>
      </c>
      <c r="G328" s="39">
        <f t="shared" ref="G328:G336" si="56">D328*C328</f>
        <v>14713.599999999999</v>
      </c>
      <c r="H328" s="179">
        <f t="shared" ref="H328:H336" si="57">(E328-D328)/D328</f>
        <v>1.5807416267942589</v>
      </c>
      <c r="I328" s="39"/>
      <c r="J328" s="39"/>
      <c r="K328" s="39">
        <f t="shared" si="54"/>
        <v>37873.971000001635</v>
      </c>
      <c r="L328" s="39"/>
    </row>
    <row r="329" spans="1:14" x14ac:dyDescent="0.25">
      <c r="A329">
        <v>1200</v>
      </c>
      <c r="B329" s="150">
        <v>43417</v>
      </c>
      <c r="C329" s="10">
        <v>2200</v>
      </c>
      <c r="D329" s="190">
        <v>6.6879999999999997</v>
      </c>
      <c r="E329" s="39">
        <v>16.47</v>
      </c>
      <c r="F329" s="39">
        <f t="shared" si="55"/>
        <v>21520.400000000001</v>
      </c>
      <c r="G329" s="39">
        <f t="shared" si="56"/>
        <v>14713.599999999999</v>
      </c>
      <c r="H329" s="179">
        <f t="shared" si="57"/>
        <v>1.4626196172248804</v>
      </c>
      <c r="I329" s="39"/>
      <c r="J329" s="39"/>
      <c r="K329" s="39">
        <f t="shared" si="54"/>
        <v>36135.971000001628</v>
      </c>
      <c r="L329" s="39">
        <v>55.74</v>
      </c>
    </row>
    <row r="330" spans="1:14" x14ac:dyDescent="0.25">
      <c r="A330">
        <v>1200</v>
      </c>
      <c r="B330" s="150">
        <v>43418</v>
      </c>
      <c r="C330" s="10">
        <v>2200</v>
      </c>
      <c r="D330" s="190">
        <v>6.6879999999999997</v>
      </c>
      <c r="E330" s="39">
        <v>16.68</v>
      </c>
      <c r="F330" s="39">
        <f t="shared" si="55"/>
        <v>21982.400000000001</v>
      </c>
      <c r="G330" s="39">
        <f t="shared" si="56"/>
        <v>14713.599999999999</v>
      </c>
      <c r="H330" s="179">
        <f t="shared" si="57"/>
        <v>1.4940191387559811</v>
      </c>
      <c r="I330" s="39"/>
      <c r="J330" s="39"/>
      <c r="K330" s="39">
        <f t="shared" si="54"/>
        <v>36597.971000001628</v>
      </c>
      <c r="L330" s="39">
        <v>55.95</v>
      </c>
    </row>
    <row r="331" spans="1:14" x14ac:dyDescent="0.25">
      <c r="A331">
        <v>1200</v>
      </c>
      <c r="B331" s="150">
        <v>43420</v>
      </c>
      <c r="C331" s="10">
        <v>2200</v>
      </c>
      <c r="D331" s="190">
        <v>6.6879999999999997</v>
      </c>
      <c r="E331" s="39">
        <v>17.190000000000001</v>
      </c>
      <c r="F331" s="39">
        <f t="shared" si="55"/>
        <v>23104.400000000005</v>
      </c>
      <c r="G331" s="39">
        <f t="shared" si="56"/>
        <v>14713.599999999999</v>
      </c>
      <c r="H331" s="179">
        <f t="shared" si="57"/>
        <v>1.5702751196172253</v>
      </c>
      <c r="I331" s="39"/>
      <c r="J331" s="39"/>
      <c r="K331" s="39">
        <f t="shared" si="54"/>
        <v>37719.971000001635</v>
      </c>
      <c r="L331" s="39">
        <v>56.45</v>
      </c>
    </row>
    <row r="332" spans="1:14" x14ac:dyDescent="0.25">
      <c r="A332">
        <v>1200</v>
      </c>
      <c r="B332" s="150">
        <v>43424</v>
      </c>
      <c r="C332" s="10">
        <v>2400</v>
      </c>
      <c r="D332" s="190">
        <v>7.4790999999999999</v>
      </c>
      <c r="E332" s="39">
        <v>15.93</v>
      </c>
      <c r="F332" s="39">
        <f t="shared" si="55"/>
        <v>20282.160000000003</v>
      </c>
      <c r="G332" s="39">
        <f t="shared" si="56"/>
        <v>17949.84</v>
      </c>
      <c r="H332" s="179">
        <f t="shared" si="57"/>
        <v>1.1299354200371703</v>
      </c>
      <c r="I332" s="39"/>
      <c r="J332" s="39"/>
      <c r="K332" s="39">
        <f t="shared" ref="K332:K344" si="58">F332+$Q$10</f>
        <v>34897.73100000163</v>
      </c>
      <c r="L332" s="39">
        <v>53.55</v>
      </c>
    </row>
    <row r="333" spans="1:14" x14ac:dyDescent="0.25">
      <c r="A333">
        <v>1500</v>
      </c>
      <c r="B333" s="150">
        <v>43427</v>
      </c>
      <c r="C333" s="10">
        <v>2400</v>
      </c>
      <c r="D333" s="190">
        <v>7.4508000000000001</v>
      </c>
      <c r="E333" s="39">
        <v>15.48</v>
      </c>
      <c r="F333" s="39">
        <f t="shared" si="55"/>
        <v>19270.079999999998</v>
      </c>
      <c r="G333" s="39">
        <f t="shared" si="56"/>
        <v>17881.920000000002</v>
      </c>
      <c r="H333" s="179">
        <f t="shared" si="57"/>
        <v>1.0776292478660008</v>
      </c>
      <c r="I333" s="39"/>
      <c r="J333" s="39"/>
      <c r="K333" s="39">
        <f t="shared" si="58"/>
        <v>33885.651000001628</v>
      </c>
      <c r="L333" s="39">
        <v>51</v>
      </c>
    </row>
    <row r="334" spans="1:14" x14ac:dyDescent="0.25">
      <c r="A334">
        <v>1400</v>
      </c>
      <c r="B334" s="150">
        <v>43430</v>
      </c>
      <c r="C334" s="357">
        <v>2000</v>
      </c>
      <c r="D334" s="764">
        <v>5.7050000000000001</v>
      </c>
      <c r="E334" s="39">
        <v>16.23</v>
      </c>
      <c r="F334" s="39">
        <f t="shared" si="55"/>
        <v>21050</v>
      </c>
      <c r="G334" s="39">
        <f t="shared" si="56"/>
        <v>11410</v>
      </c>
      <c r="H334" s="179">
        <f t="shared" si="57"/>
        <v>1.8448729184925505</v>
      </c>
      <c r="I334" s="39" t="s">
        <v>1249</v>
      </c>
      <c r="J334" s="39"/>
      <c r="K334" s="39">
        <f t="shared" si="58"/>
        <v>35665.571000001626</v>
      </c>
      <c r="L334" s="39">
        <v>51.57</v>
      </c>
    </row>
    <row r="335" spans="1:14" x14ac:dyDescent="0.25">
      <c r="A335">
        <v>1200</v>
      </c>
      <c r="B335" s="150">
        <v>43434</v>
      </c>
      <c r="C335" s="10">
        <v>1800</v>
      </c>
      <c r="D335" s="190">
        <v>4.4855780000000003</v>
      </c>
      <c r="E335" s="39">
        <v>16.690000000000001</v>
      </c>
      <c r="F335" s="39">
        <f t="shared" si="55"/>
        <v>21967.959600000002</v>
      </c>
      <c r="G335" s="39">
        <f t="shared" si="56"/>
        <v>8074.0404000000008</v>
      </c>
      <c r="H335" s="179">
        <f t="shared" si="57"/>
        <v>2.7208136833201877</v>
      </c>
      <c r="I335" s="39"/>
      <c r="J335" s="39"/>
      <c r="K335" s="39">
        <f t="shared" si="58"/>
        <v>36583.530600001628</v>
      </c>
      <c r="L335" s="39">
        <v>50.55</v>
      </c>
    </row>
    <row r="336" spans="1:14" x14ac:dyDescent="0.25">
      <c r="A336">
        <v>1200</v>
      </c>
      <c r="B336" s="150">
        <v>43440</v>
      </c>
      <c r="C336" s="357">
        <v>2000</v>
      </c>
      <c r="D336" s="764">
        <v>5.6120000000000001</v>
      </c>
      <c r="E336" s="39">
        <v>16.22</v>
      </c>
      <c r="F336" s="39">
        <f t="shared" si="55"/>
        <v>21215.999999999996</v>
      </c>
      <c r="G336" s="39">
        <f t="shared" si="56"/>
        <v>11224</v>
      </c>
      <c r="H336" s="179">
        <f t="shared" si="57"/>
        <v>1.8902352102637203</v>
      </c>
      <c r="I336" s="39"/>
      <c r="J336" s="39"/>
      <c r="K336" s="39">
        <f t="shared" si="58"/>
        <v>35831.571000001626</v>
      </c>
      <c r="L336" s="39">
        <v>51.17</v>
      </c>
    </row>
    <row r="337" spans="1:12" x14ac:dyDescent="0.25">
      <c r="A337">
        <v>1000</v>
      </c>
      <c r="B337" s="150">
        <v>43441</v>
      </c>
      <c r="C337" s="357">
        <v>2000</v>
      </c>
      <c r="D337" s="764">
        <v>5.5549999999999997</v>
      </c>
      <c r="E337" s="39">
        <v>16.05</v>
      </c>
      <c r="F337" s="39">
        <f t="shared" ref="F337:F356" si="59">C337*(E337-D337)</f>
        <v>20990.000000000004</v>
      </c>
      <c r="G337" s="39">
        <f t="shared" ref="G337:G356" si="60">D337*C337</f>
        <v>11110</v>
      </c>
      <c r="H337" s="179">
        <f t="shared" ref="H337:H356" si="61">(E337-D337)/D337</f>
        <v>1.8892889288928896</v>
      </c>
      <c r="I337" s="39"/>
      <c r="J337" s="39"/>
      <c r="K337" s="39">
        <f t="shared" si="58"/>
        <v>35605.571000001626</v>
      </c>
      <c r="L337" s="39">
        <v>52.2</v>
      </c>
    </row>
    <row r="338" spans="1:12" x14ac:dyDescent="0.25">
      <c r="A338">
        <v>1000</v>
      </c>
      <c r="B338" s="150">
        <v>43444</v>
      </c>
      <c r="C338" s="357">
        <v>2000</v>
      </c>
      <c r="D338" s="764">
        <v>5.5</v>
      </c>
      <c r="E338" s="39">
        <v>15.3</v>
      </c>
      <c r="F338" s="39">
        <f t="shared" si="59"/>
        <v>19600</v>
      </c>
      <c r="G338" s="39">
        <f t="shared" si="60"/>
        <v>11000</v>
      </c>
      <c r="H338" s="179">
        <f t="shared" si="61"/>
        <v>1.781818181818182</v>
      </c>
      <c r="I338" s="39"/>
      <c r="J338" s="39"/>
      <c r="K338" s="39">
        <f t="shared" si="58"/>
        <v>34215.571000001626</v>
      </c>
      <c r="L338" s="39">
        <v>50.88</v>
      </c>
    </row>
    <row r="339" spans="1:12" x14ac:dyDescent="0.25">
      <c r="A339">
        <v>1200</v>
      </c>
      <c r="B339" s="150">
        <v>43448</v>
      </c>
      <c r="C339" s="10">
        <v>2200</v>
      </c>
      <c r="D339" s="190">
        <v>6.3646000000000003</v>
      </c>
      <c r="E339" s="39">
        <v>15.04</v>
      </c>
      <c r="F339" s="39">
        <f t="shared" si="59"/>
        <v>19085.88</v>
      </c>
      <c r="G339" s="39">
        <f t="shared" si="60"/>
        <v>14002.12</v>
      </c>
      <c r="H339" s="179">
        <f t="shared" si="61"/>
        <v>1.3630707350029851</v>
      </c>
      <c r="I339" s="39"/>
      <c r="J339" s="39"/>
      <c r="K339" s="39">
        <f t="shared" si="58"/>
        <v>33701.451000001631</v>
      </c>
      <c r="L339" s="39"/>
    </row>
    <row r="340" spans="1:12" x14ac:dyDescent="0.25">
      <c r="A340">
        <v>1200</v>
      </c>
      <c r="B340" s="150">
        <v>43452</v>
      </c>
      <c r="C340" s="10">
        <v>2400</v>
      </c>
      <c r="D340" s="190">
        <v>7.0259999999999998</v>
      </c>
      <c r="E340" s="39">
        <v>14.24</v>
      </c>
      <c r="F340" s="39">
        <f t="shared" si="59"/>
        <v>17313.600000000002</v>
      </c>
      <c r="G340" s="39">
        <f t="shared" si="60"/>
        <v>16862.399999999998</v>
      </c>
      <c r="H340" s="179">
        <f t="shared" si="61"/>
        <v>1.026757756902932</v>
      </c>
      <c r="I340" s="39"/>
      <c r="J340" s="39"/>
      <c r="K340" s="39">
        <f t="shared" si="58"/>
        <v>31929.171000001628</v>
      </c>
      <c r="L340" s="39">
        <v>46.65</v>
      </c>
    </row>
    <row r="341" spans="1:12" x14ac:dyDescent="0.25">
      <c r="A341">
        <v>1600</v>
      </c>
      <c r="B341" s="150">
        <v>43458</v>
      </c>
      <c r="C341" s="10">
        <v>2600</v>
      </c>
      <c r="D341" s="190">
        <v>7.4684999999999997</v>
      </c>
      <c r="E341" s="39">
        <v>12.66</v>
      </c>
      <c r="F341" s="39">
        <f t="shared" si="59"/>
        <v>13497.900000000001</v>
      </c>
      <c r="G341" s="39">
        <f t="shared" si="60"/>
        <v>19418.099999999999</v>
      </c>
      <c r="H341" s="179">
        <f t="shared" si="61"/>
        <v>0.69511950190801375</v>
      </c>
      <c r="I341" s="39"/>
      <c r="J341" s="39"/>
      <c r="K341" s="39">
        <f t="shared" si="58"/>
        <v>28113.471000001628</v>
      </c>
      <c r="L341" s="39">
        <v>42.81</v>
      </c>
    </row>
    <row r="342" spans="1:12" x14ac:dyDescent="0.25">
      <c r="A342">
        <v>1400</v>
      </c>
      <c r="B342" s="150">
        <v>43460</v>
      </c>
      <c r="C342" s="10">
        <v>2400</v>
      </c>
      <c r="D342" s="190">
        <v>6.9924999999999997</v>
      </c>
      <c r="E342" s="39">
        <v>14.17</v>
      </c>
      <c r="F342" s="39">
        <f t="shared" si="59"/>
        <v>17226</v>
      </c>
      <c r="G342" s="39">
        <f t="shared" si="60"/>
        <v>16782</v>
      </c>
      <c r="H342" s="179">
        <f t="shared" si="61"/>
        <v>1.0264569181265641</v>
      </c>
      <c r="I342" s="39"/>
      <c r="J342" s="39"/>
      <c r="K342" s="39">
        <f t="shared" si="58"/>
        <v>31841.571000001626</v>
      </c>
      <c r="L342" s="39">
        <v>46.07</v>
      </c>
    </row>
    <row r="343" spans="1:12" x14ac:dyDescent="0.25">
      <c r="A343">
        <v>1000</v>
      </c>
      <c r="B343" s="150">
        <v>43467</v>
      </c>
      <c r="C343" s="357">
        <v>2000</v>
      </c>
      <c r="D343" s="764">
        <v>5.4410999999999996</v>
      </c>
      <c r="E343" s="39">
        <v>14.72</v>
      </c>
      <c r="F343" s="39">
        <f t="shared" si="59"/>
        <v>18557.8</v>
      </c>
      <c r="G343" s="39">
        <f t="shared" si="60"/>
        <v>10882.199999999999</v>
      </c>
      <c r="H343" s="179">
        <f t="shared" si="61"/>
        <v>1.7053353182260942</v>
      </c>
      <c r="I343" s="39"/>
      <c r="J343" s="39"/>
      <c r="K343" s="39">
        <f t="shared" si="58"/>
        <v>33173.371000001629</v>
      </c>
      <c r="L343" s="39">
        <v>45.99</v>
      </c>
    </row>
    <row r="344" spans="1:12" x14ac:dyDescent="0.25">
      <c r="B344" s="150">
        <v>43468</v>
      </c>
      <c r="C344" s="10">
        <v>2400</v>
      </c>
      <c r="D344" s="190">
        <v>6.9425999999999997</v>
      </c>
      <c r="E344" s="39">
        <v>14.62</v>
      </c>
      <c r="F344" s="39">
        <f t="shared" si="59"/>
        <v>18425.759999999998</v>
      </c>
      <c r="G344" s="39">
        <f t="shared" si="60"/>
        <v>16662.239999999998</v>
      </c>
      <c r="H344" s="179">
        <f t="shared" si="61"/>
        <v>1.1058393109209805</v>
      </c>
      <c r="I344" s="39"/>
      <c r="J344" s="39"/>
      <c r="K344" s="39">
        <f t="shared" si="58"/>
        <v>33041.331000001621</v>
      </c>
      <c r="L344" s="39"/>
    </row>
    <row r="345" spans="1:12" x14ac:dyDescent="0.25">
      <c r="A345">
        <v>600</v>
      </c>
      <c r="B345" s="150">
        <v>43468</v>
      </c>
      <c r="C345" s="357">
        <v>2000</v>
      </c>
      <c r="D345" s="764">
        <v>5.3551000000000002</v>
      </c>
      <c r="E345" s="39">
        <v>14.62</v>
      </c>
      <c r="F345" s="39">
        <f t="shared" si="59"/>
        <v>18529.8</v>
      </c>
      <c r="G345" s="39">
        <f t="shared" si="60"/>
        <v>10710.2</v>
      </c>
      <c r="H345" s="179">
        <f t="shared" si="61"/>
        <v>1.7301077477544768</v>
      </c>
      <c r="I345" s="39"/>
      <c r="J345" s="39"/>
      <c r="K345" s="39">
        <f t="shared" ref="K345:K352" si="62">F345+$Q$10</f>
        <v>33145.371000001629</v>
      </c>
      <c r="L345" s="39">
        <v>47.06</v>
      </c>
    </row>
    <row r="346" spans="1:12" x14ac:dyDescent="0.25">
      <c r="A346">
        <v>1000</v>
      </c>
      <c r="B346" s="150">
        <v>43470</v>
      </c>
      <c r="C346" s="10">
        <v>2000</v>
      </c>
      <c r="D346" s="190">
        <v>5.3550000000000004</v>
      </c>
      <c r="E346" s="39">
        <v>15.41</v>
      </c>
      <c r="F346" s="39">
        <f t="shared" si="59"/>
        <v>20110</v>
      </c>
      <c r="G346" s="39">
        <f t="shared" si="60"/>
        <v>10710</v>
      </c>
      <c r="H346" s="179">
        <f t="shared" si="61"/>
        <v>1.8776844070961716</v>
      </c>
      <c r="I346" s="39"/>
      <c r="J346" s="39"/>
      <c r="K346" s="39">
        <f t="shared" si="62"/>
        <v>34725.571000001626</v>
      </c>
      <c r="L346" s="39"/>
    </row>
    <row r="347" spans="1:12" x14ac:dyDescent="0.25">
      <c r="A347">
        <v>800</v>
      </c>
      <c r="B347" s="150">
        <v>43475</v>
      </c>
      <c r="C347" s="10">
        <v>1800</v>
      </c>
      <c r="D347" s="190">
        <v>4.1368</v>
      </c>
      <c r="E347" s="39">
        <v>16.350000000000001</v>
      </c>
      <c r="F347" s="39">
        <f t="shared" si="59"/>
        <v>21983.760000000002</v>
      </c>
      <c r="G347" s="39">
        <f t="shared" si="60"/>
        <v>7446.24</v>
      </c>
      <c r="H347" s="179">
        <f t="shared" si="61"/>
        <v>2.9523303036163218</v>
      </c>
      <c r="I347" s="39"/>
      <c r="J347" s="39"/>
      <c r="K347" s="39">
        <f t="shared" si="62"/>
        <v>36599.331000001628</v>
      </c>
      <c r="L347" s="39">
        <v>52.2</v>
      </c>
    </row>
    <row r="348" spans="1:12" x14ac:dyDescent="0.25">
      <c r="A348">
        <v>1000</v>
      </c>
      <c r="B348" s="150">
        <v>43479</v>
      </c>
      <c r="C348" s="357">
        <v>2000</v>
      </c>
      <c r="D348" s="764">
        <v>5.3029999999999999</v>
      </c>
      <c r="E348" s="39">
        <v>15.83</v>
      </c>
      <c r="F348" s="39">
        <f t="shared" si="59"/>
        <v>21054.000000000004</v>
      </c>
      <c r="G348" s="39">
        <f t="shared" si="60"/>
        <v>10606</v>
      </c>
      <c r="H348" s="179">
        <f t="shared" si="61"/>
        <v>1.9851027720158403</v>
      </c>
      <c r="I348" s="39"/>
      <c r="J348" s="39"/>
      <c r="K348" s="39">
        <f t="shared" si="62"/>
        <v>35669.571000001626</v>
      </c>
      <c r="L348" s="39">
        <v>51.11</v>
      </c>
    </row>
    <row r="349" spans="1:12" x14ac:dyDescent="0.25">
      <c r="A349">
        <v>1000</v>
      </c>
      <c r="B349" s="150">
        <v>43483</v>
      </c>
      <c r="C349" s="10">
        <v>1800</v>
      </c>
      <c r="D349" s="190">
        <v>4.1135000000000002</v>
      </c>
      <c r="E349" s="39">
        <v>16.010000000000002</v>
      </c>
      <c r="F349" s="39">
        <f t="shared" si="59"/>
        <v>21413.7</v>
      </c>
      <c r="G349" s="39">
        <f t="shared" si="60"/>
        <v>7404.3</v>
      </c>
      <c r="H349" s="179">
        <f t="shared" si="61"/>
        <v>2.8920627203111708</v>
      </c>
      <c r="I349" s="39"/>
      <c r="J349" s="39"/>
      <c r="K349" s="39">
        <f t="shared" si="62"/>
        <v>36029.271000001623</v>
      </c>
      <c r="L349" s="39"/>
    </row>
    <row r="350" spans="1:12" x14ac:dyDescent="0.25">
      <c r="A350">
        <v>1000</v>
      </c>
      <c r="B350" s="150">
        <v>43487</v>
      </c>
      <c r="C350" s="357">
        <v>2000</v>
      </c>
      <c r="D350" s="764">
        <v>5.27</v>
      </c>
      <c r="E350" s="39">
        <v>15.69</v>
      </c>
      <c r="F350" s="39">
        <f t="shared" si="59"/>
        <v>20840</v>
      </c>
      <c r="G350" s="39">
        <f t="shared" si="60"/>
        <v>10540</v>
      </c>
      <c r="H350" s="179">
        <f t="shared" si="61"/>
        <v>1.9772296015180266</v>
      </c>
      <c r="I350" s="39"/>
      <c r="J350" s="39"/>
      <c r="K350" s="39">
        <f t="shared" si="62"/>
        <v>35455.571000001626</v>
      </c>
      <c r="L350" s="39">
        <v>53.01</v>
      </c>
    </row>
    <row r="351" spans="1:12" x14ac:dyDescent="0.25">
      <c r="A351">
        <v>1000</v>
      </c>
      <c r="B351" s="150">
        <v>43490</v>
      </c>
      <c r="C351" s="10">
        <v>1800</v>
      </c>
      <c r="D351" s="190">
        <v>4.0690999999999997</v>
      </c>
      <c r="E351" s="39">
        <v>15.9</v>
      </c>
      <c r="F351" s="39">
        <f t="shared" si="59"/>
        <v>21295.62</v>
      </c>
      <c r="G351" s="39">
        <f t="shared" si="60"/>
        <v>7324.3799999999992</v>
      </c>
      <c r="H351" s="179">
        <f t="shared" si="61"/>
        <v>2.907497972524637</v>
      </c>
      <c r="I351" s="39"/>
      <c r="J351" s="39"/>
      <c r="K351" s="39">
        <f t="shared" si="62"/>
        <v>35911.191000001621</v>
      </c>
      <c r="L351" s="39">
        <v>53.55</v>
      </c>
    </row>
    <row r="352" spans="1:12" x14ac:dyDescent="0.25">
      <c r="A352">
        <v>1000</v>
      </c>
      <c r="B352" s="150">
        <v>43496</v>
      </c>
      <c r="C352" s="357">
        <v>2000</v>
      </c>
      <c r="D352" s="764">
        <v>5.242</v>
      </c>
      <c r="E352" s="39">
        <v>15.8</v>
      </c>
      <c r="F352" s="39">
        <f t="shared" si="59"/>
        <v>21116</v>
      </c>
      <c r="G352" s="39">
        <f t="shared" si="60"/>
        <v>10484</v>
      </c>
      <c r="H352" s="179">
        <f t="shared" si="61"/>
        <v>2.0141167493323158</v>
      </c>
      <c r="I352" s="39"/>
      <c r="J352" s="39"/>
      <c r="K352" s="39">
        <f t="shared" si="62"/>
        <v>35731.571000001626</v>
      </c>
      <c r="L352" s="39"/>
    </row>
    <row r="353" spans="1:12" ht="15" customHeight="1" x14ac:dyDescent="0.25">
      <c r="A353">
        <v>1400</v>
      </c>
      <c r="B353" s="150">
        <v>43498</v>
      </c>
      <c r="C353" s="10">
        <v>2200</v>
      </c>
      <c r="D353" s="190">
        <v>6.2388000000000003</v>
      </c>
      <c r="E353" s="39">
        <v>16</v>
      </c>
      <c r="F353" s="39">
        <f t="shared" si="59"/>
        <v>21474.639999999996</v>
      </c>
      <c r="G353" s="39">
        <f t="shared" si="60"/>
        <v>13725.36</v>
      </c>
      <c r="H353" s="179">
        <f t="shared" si="61"/>
        <v>1.5645957555940242</v>
      </c>
      <c r="I353" s="39"/>
      <c r="J353" s="39"/>
      <c r="K353" s="39">
        <f t="shared" ref="K353:K359" si="63">F353+$Q$10</f>
        <v>36090.211000001626</v>
      </c>
      <c r="L353" s="39">
        <v>55.26</v>
      </c>
    </row>
    <row r="354" spans="1:12" x14ac:dyDescent="0.25">
      <c r="A354">
        <v>1400</v>
      </c>
      <c r="B354" s="150">
        <v>43503</v>
      </c>
      <c r="C354" s="10">
        <v>2400</v>
      </c>
      <c r="D354" s="190">
        <v>6.9870000000000001</v>
      </c>
      <c r="E354" s="39">
        <v>15.27</v>
      </c>
      <c r="F354" s="39">
        <f t="shared" si="59"/>
        <v>19879.199999999997</v>
      </c>
      <c r="G354" s="39">
        <f t="shared" si="60"/>
        <v>16768.8</v>
      </c>
      <c r="H354" s="179">
        <f t="shared" si="61"/>
        <v>1.185487333619579</v>
      </c>
      <c r="I354" s="39" t="s">
        <v>1249</v>
      </c>
      <c r="J354" s="39"/>
      <c r="K354" s="39">
        <f t="shared" si="63"/>
        <v>34494.771000001623</v>
      </c>
      <c r="L354" s="39">
        <v>52.48</v>
      </c>
    </row>
    <row r="355" spans="1:12" x14ac:dyDescent="0.25">
      <c r="A355">
        <v>1000</v>
      </c>
      <c r="B355" s="150">
        <v>43510</v>
      </c>
      <c r="C355" s="357">
        <v>2000</v>
      </c>
      <c r="D355" s="764">
        <v>5.109</v>
      </c>
      <c r="E355" s="39">
        <v>16.91</v>
      </c>
      <c r="F355" s="39">
        <f t="shared" si="59"/>
        <v>23602</v>
      </c>
      <c r="G355" s="39">
        <f t="shared" si="60"/>
        <v>10218</v>
      </c>
      <c r="H355" s="179">
        <f t="shared" si="61"/>
        <v>2.3098453709140734</v>
      </c>
      <c r="I355" s="39"/>
      <c r="J355" s="39"/>
      <c r="K355" s="39">
        <f t="shared" si="63"/>
        <v>38217.571000001626</v>
      </c>
      <c r="L355" s="39">
        <v>54.6</v>
      </c>
    </row>
    <row r="356" spans="1:12" x14ac:dyDescent="0.25">
      <c r="A356">
        <v>1000</v>
      </c>
      <c r="B356" s="150">
        <v>43510</v>
      </c>
      <c r="C356" s="10">
        <v>1800</v>
      </c>
      <c r="D356" s="190">
        <v>3.79</v>
      </c>
      <c r="E356" s="39">
        <v>16.91</v>
      </c>
      <c r="F356" s="39">
        <f t="shared" si="59"/>
        <v>23616</v>
      </c>
      <c r="G356" s="39">
        <f t="shared" si="60"/>
        <v>6822</v>
      </c>
      <c r="H356" s="179">
        <f t="shared" si="61"/>
        <v>3.4617414248021112</v>
      </c>
      <c r="I356" s="39"/>
      <c r="J356" s="39"/>
      <c r="K356" s="39">
        <f t="shared" si="63"/>
        <v>38231.571000001626</v>
      </c>
      <c r="L356" s="39">
        <v>54.6</v>
      </c>
    </row>
    <row r="357" spans="1:12" x14ac:dyDescent="0.25">
      <c r="A357">
        <v>1800</v>
      </c>
      <c r="B357" s="150">
        <v>43535</v>
      </c>
      <c r="C357" s="10">
        <v>1800</v>
      </c>
      <c r="D357" s="190">
        <v>3.74</v>
      </c>
      <c r="E357" s="39">
        <v>16.57</v>
      </c>
      <c r="F357" s="39">
        <f t="shared" ref="F357:F359" si="64">C357*(E357-D357)</f>
        <v>23094</v>
      </c>
      <c r="G357" s="39">
        <f t="shared" ref="G357:G359" si="65">D357*C357</f>
        <v>6732</v>
      </c>
      <c r="H357" s="179">
        <f t="shared" ref="H357:H359" si="66">(E357-D357)/D357</f>
        <v>3.4304812834224596</v>
      </c>
      <c r="I357" s="39"/>
      <c r="J357" s="39"/>
      <c r="K357" s="39">
        <f t="shared" si="63"/>
        <v>37709.571000001626</v>
      </c>
      <c r="L357" s="39"/>
    </row>
    <row r="358" spans="1:12" x14ac:dyDescent="0.25">
      <c r="A358">
        <v>1700</v>
      </c>
      <c r="B358" s="150">
        <v>43544</v>
      </c>
      <c r="C358" s="10">
        <v>1700</v>
      </c>
      <c r="D358" s="190">
        <v>2.92</v>
      </c>
      <c r="E358" s="39">
        <v>17.68</v>
      </c>
      <c r="F358" s="39">
        <f t="shared" si="64"/>
        <v>25092</v>
      </c>
      <c r="G358" s="39">
        <f t="shared" si="65"/>
        <v>4964</v>
      </c>
      <c r="H358" s="179">
        <f t="shared" si="66"/>
        <v>5.0547945205479454</v>
      </c>
      <c r="I358" s="39"/>
      <c r="J358" s="39"/>
      <c r="K358" s="39">
        <f t="shared" si="63"/>
        <v>39707.571000001626</v>
      </c>
      <c r="L358" s="39"/>
    </row>
    <row r="359" spans="1:12" x14ac:dyDescent="0.25">
      <c r="A359">
        <v>1700</v>
      </c>
      <c r="B359" s="150">
        <v>43546</v>
      </c>
      <c r="C359" s="10">
        <v>1800</v>
      </c>
      <c r="D359" s="190">
        <v>3.7111999999999998</v>
      </c>
      <c r="E359" s="39">
        <v>16.68</v>
      </c>
      <c r="F359" s="39">
        <f t="shared" si="64"/>
        <v>23343.84</v>
      </c>
      <c r="G359" s="39">
        <f t="shared" si="65"/>
        <v>6680.16</v>
      </c>
      <c r="H359" s="179">
        <f t="shared" si="66"/>
        <v>3.4945031256736367</v>
      </c>
      <c r="I359" s="39"/>
      <c r="J359" s="39"/>
      <c r="K359" s="39">
        <f t="shared" si="63"/>
        <v>37959.411000001623</v>
      </c>
      <c r="L359" s="39">
        <v>58.84</v>
      </c>
    </row>
    <row r="360" spans="1:12" x14ac:dyDescent="0.25">
      <c r="A360">
        <v>1700</v>
      </c>
      <c r="B360" s="150">
        <v>43546</v>
      </c>
      <c r="C360" s="357">
        <v>2000</v>
      </c>
      <c r="D360" s="764">
        <v>5.0152999999999999</v>
      </c>
      <c r="E360" s="39">
        <v>16.68</v>
      </c>
      <c r="F360" s="39">
        <f t="shared" ref="F360" si="67">C360*(E360-D360)</f>
        <v>23329.4</v>
      </c>
      <c r="G360" s="39">
        <f t="shared" ref="G360" si="68">D360*C360</f>
        <v>10030.6</v>
      </c>
      <c r="H360" s="179">
        <f t="shared" ref="H360" si="69">(E360-D360)/D360</f>
        <v>2.3258229816760712</v>
      </c>
      <c r="I360" s="39"/>
      <c r="J360" s="39"/>
      <c r="K360" s="39">
        <f t="shared" ref="K360" si="70">F360+$Q$10</f>
        <v>37944.971000001628</v>
      </c>
      <c r="L360" s="39">
        <v>58.84</v>
      </c>
    </row>
    <row r="361" spans="1:12" x14ac:dyDescent="0.25">
      <c r="A361">
        <v>1400</v>
      </c>
      <c r="B361" s="150">
        <v>43556</v>
      </c>
      <c r="C361" s="10">
        <v>1700</v>
      </c>
      <c r="D361" s="190">
        <v>2.84</v>
      </c>
      <c r="E361" s="39">
        <v>17.39</v>
      </c>
      <c r="F361" s="39">
        <f t="shared" ref="F361" si="71">C361*(E361-D361)</f>
        <v>24735</v>
      </c>
      <c r="G361" s="39">
        <f t="shared" ref="G361" si="72">D361*C361</f>
        <v>4828</v>
      </c>
      <c r="H361" s="179">
        <f t="shared" ref="H361" si="73">(E361-D361)/D361</f>
        <v>5.1232394366197189</v>
      </c>
      <c r="I361" s="39"/>
      <c r="J361" s="39"/>
      <c r="K361" s="39">
        <f t="shared" ref="K361:K363" si="74">F361+$Q$10</f>
        <v>39350.571000001626</v>
      </c>
      <c r="L361" s="39">
        <v>61.69</v>
      </c>
    </row>
    <row r="362" spans="1:12" x14ac:dyDescent="0.25">
      <c r="A362">
        <v>1400</v>
      </c>
      <c r="B362" s="150">
        <v>43558</v>
      </c>
      <c r="C362" s="357">
        <v>2000</v>
      </c>
      <c r="D362" s="764">
        <v>4.9612999999999996</v>
      </c>
      <c r="E362" s="39">
        <v>16.93</v>
      </c>
      <c r="F362" s="39">
        <f t="shared" ref="F362:F363" si="75">C362*(E362-D362)</f>
        <v>23937.4</v>
      </c>
      <c r="G362" s="39">
        <f t="shared" ref="G362:G363" si="76">D362*C362</f>
        <v>9922.5999999999985</v>
      </c>
      <c r="H362" s="179">
        <f t="shared" ref="H362:H363" si="77">(E362-D362)/D362</f>
        <v>2.4124120694172899</v>
      </c>
      <c r="I362" s="39"/>
      <c r="J362" s="39"/>
      <c r="K362" s="39">
        <f t="shared" si="74"/>
        <v>38552.971000001628</v>
      </c>
      <c r="L362" s="39"/>
    </row>
    <row r="363" spans="1:12" x14ac:dyDescent="0.25">
      <c r="A363">
        <v>1100</v>
      </c>
      <c r="B363" s="150">
        <v>43560</v>
      </c>
      <c r="C363" s="10">
        <v>1700</v>
      </c>
      <c r="D363" s="190">
        <v>2.72</v>
      </c>
      <c r="E363" s="39">
        <v>17.7</v>
      </c>
      <c r="F363" s="39">
        <f t="shared" si="75"/>
        <v>25465.999999999996</v>
      </c>
      <c r="G363" s="39">
        <f t="shared" si="76"/>
        <v>4624</v>
      </c>
      <c r="H363" s="179">
        <f t="shared" si="77"/>
        <v>5.5073529411764701</v>
      </c>
      <c r="I363" s="39"/>
      <c r="J363" s="39"/>
      <c r="K363" s="39">
        <f t="shared" si="74"/>
        <v>40081.571000001626</v>
      </c>
      <c r="L363" s="39">
        <v>63.25</v>
      </c>
    </row>
    <row r="364" spans="1:12" ht="15" customHeight="1" x14ac:dyDescent="0.25">
      <c r="B364" s="150"/>
      <c r="C364" s="10"/>
      <c r="D364" s="190"/>
      <c r="E364" s="39"/>
      <c r="F364" s="39"/>
      <c r="G364" s="39"/>
      <c r="H364" s="179"/>
      <c r="I364" s="39"/>
      <c r="J364" s="39"/>
      <c r="K364" s="39"/>
      <c r="L364" s="39"/>
    </row>
    <row r="365" spans="1:12" x14ac:dyDescent="0.25">
      <c r="B365" s="150"/>
      <c r="C365" s="10"/>
      <c r="D365" s="190"/>
      <c r="E365" s="39"/>
      <c r="F365" s="39"/>
      <c r="G365" s="39"/>
      <c r="H365" s="179"/>
      <c r="I365" s="39"/>
      <c r="J365" s="39"/>
      <c r="K365" s="39"/>
      <c r="L365" s="39"/>
    </row>
    <row r="366" spans="1:12" x14ac:dyDescent="0.25">
      <c r="B366" s="150"/>
      <c r="C366" s="10"/>
      <c r="D366" s="190"/>
      <c r="E366" s="39"/>
      <c r="F366" s="39"/>
      <c r="G366" s="39"/>
      <c r="H366" s="179"/>
      <c r="I366" s="39"/>
      <c r="J366" s="39"/>
      <c r="K366" s="39"/>
      <c r="L366" s="39"/>
    </row>
    <row r="368" spans="1:12" x14ac:dyDescent="0.25">
      <c r="B368" s="544" t="s">
        <v>113</v>
      </c>
      <c r="C368" s="414" t="s">
        <v>145</v>
      </c>
      <c r="D368" s="545" t="s">
        <v>144</v>
      </c>
      <c r="E368" s="416" t="s">
        <v>146</v>
      </c>
      <c r="F368" s="417" t="s">
        <v>65</v>
      </c>
      <c r="G368" s="418" t="s">
        <v>150</v>
      </c>
      <c r="H368" s="417" t="s">
        <v>88</v>
      </c>
      <c r="I368" s="418" t="s">
        <v>153</v>
      </c>
    </row>
    <row r="369" spans="2:14" x14ac:dyDescent="0.25">
      <c r="B369" s="546">
        <v>42305</v>
      </c>
      <c r="C369" s="298">
        <v>2000</v>
      </c>
      <c r="D369" s="547">
        <v>34.06</v>
      </c>
      <c r="E369" s="299">
        <v>17.68</v>
      </c>
      <c r="F369" s="299">
        <v>-32767.45</v>
      </c>
      <c r="G369" s="299">
        <f t="shared" ref="G369:G375" si="78">IF(C369=0, 0,D369*C369)</f>
        <v>68120</v>
      </c>
      <c r="H369" s="301">
        <f t="shared" ref="H369:H375" si="79">IF(C369=0, D369, (E369-D369)/D369)</f>
        <v>-0.48091603053435117</v>
      </c>
      <c r="I369" s="299"/>
    </row>
    <row r="370" spans="2:14" x14ac:dyDescent="0.25">
      <c r="B370" s="546">
        <v>42307</v>
      </c>
      <c r="C370" s="298">
        <v>0</v>
      </c>
      <c r="D370" s="547" t="s">
        <v>128</v>
      </c>
      <c r="E370" s="299">
        <v>17.55</v>
      </c>
      <c r="F370" s="299">
        <v>-30722.2</v>
      </c>
      <c r="G370" s="299">
        <f t="shared" si="78"/>
        <v>0</v>
      </c>
      <c r="H370" s="301" t="str">
        <f t="shared" si="79"/>
        <v>N/A</v>
      </c>
      <c r="I370" s="299"/>
    </row>
    <row r="371" spans="2:14" x14ac:dyDescent="0.25">
      <c r="B371" s="546">
        <v>42310</v>
      </c>
      <c r="C371" s="298">
        <v>0</v>
      </c>
      <c r="D371" s="547" t="s">
        <v>128</v>
      </c>
      <c r="E371" s="299">
        <v>19.010000000000002</v>
      </c>
      <c r="F371" s="299">
        <v>-30693.25</v>
      </c>
      <c r="G371" s="299">
        <f t="shared" si="78"/>
        <v>0</v>
      </c>
      <c r="H371" s="301" t="str">
        <f t="shared" si="79"/>
        <v>N/A</v>
      </c>
      <c r="I371" s="299"/>
    </row>
    <row r="372" spans="2:14" x14ac:dyDescent="0.25">
      <c r="B372" s="546">
        <v>42314</v>
      </c>
      <c r="C372" s="298">
        <v>2500</v>
      </c>
      <c r="D372" s="547">
        <v>30.24</v>
      </c>
      <c r="E372" s="299">
        <v>18.29</v>
      </c>
      <c r="F372" s="299">
        <v>-29878.25</v>
      </c>
      <c r="G372" s="299">
        <f t="shared" si="78"/>
        <v>75600</v>
      </c>
      <c r="H372" s="301">
        <f t="shared" si="79"/>
        <v>-0.39517195767195767</v>
      </c>
      <c r="I372" s="299"/>
    </row>
    <row r="373" spans="2:14" x14ac:dyDescent="0.25">
      <c r="B373" s="546">
        <v>42318</v>
      </c>
      <c r="C373" s="298">
        <v>0</v>
      </c>
      <c r="D373" s="547" t="s">
        <v>128</v>
      </c>
      <c r="E373" s="299">
        <v>18.78</v>
      </c>
      <c r="F373" s="299">
        <v>-28604.09</v>
      </c>
      <c r="G373" s="299">
        <f t="shared" si="78"/>
        <v>0</v>
      </c>
      <c r="H373" s="301" t="str">
        <f t="shared" si="79"/>
        <v>N/A</v>
      </c>
      <c r="I373" s="299"/>
      <c r="N373" s="70"/>
    </row>
    <row r="374" spans="2:14" x14ac:dyDescent="0.25">
      <c r="B374" s="546">
        <v>42328</v>
      </c>
      <c r="C374" s="298">
        <v>3078</v>
      </c>
      <c r="D374" s="547">
        <v>26.76</v>
      </c>
      <c r="E374" s="299">
        <v>17.440000000000001</v>
      </c>
      <c r="F374" s="299">
        <v>-28696.448999999906</v>
      </c>
      <c r="G374" s="299">
        <f t="shared" si="78"/>
        <v>82367.28</v>
      </c>
      <c r="H374" s="301">
        <f t="shared" si="79"/>
        <v>-0.34828101644245141</v>
      </c>
      <c r="I374" s="299"/>
    </row>
    <row r="375" spans="2:14" x14ac:dyDescent="0.25">
      <c r="B375" s="546">
        <v>42331</v>
      </c>
      <c r="C375" s="298">
        <v>0</v>
      </c>
      <c r="D375" s="547" t="s">
        <v>128</v>
      </c>
      <c r="E375" s="299">
        <v>17.53</v>
      </c>
      <c r="F375" s="299">
        <v>-28051.068999999901</v>
      </c>
      <c r="G375" s="299">
        <f t="shared" si="78"/>
        <v>0</v>
      </c>
      <c r="H375" s="301" t="str">
        <f t="shared" si="79"/>
        <v>N/A</v>
      </c>
      <c r="I375" s="299"/>
    </row>
    <row r="376" spans="2:14" x14ac:dyDescent="0.25">
      <c r="B376" s="546">
        <v>42335</v>
      </c>
      <c r="C376" s="298">
        <v>3078</v>
      </c>
      <c r="D376" s="547">
        <v>26.85</v>
      </c>
      <c r="E376" s="299">
        <v>17.73</v>
      </c>
      <c r="F376" s="299">
        <f>C376*(E376-D376)</f>
        <v>-28071.360000000004</v>
      </c>
      <c r="G376" s="299">
        <f>D376*C376</f>
        <v>82644.3</v>
      </c>
      <c r="H376" s="300">
        <f>(E376-D376)/D376</f>
        <v>-0.33966480446927377</v>
      </c>
      <c r="I376" s="299"/>
    </row>
    <row r="377" spans="2:14" x14ac:dyDescent="0.25">
      <c r="B377" s="546">
        <v>42335</v>
      </c>
      <c r="C377" s="298">
        <v>3578</v>
      </c>
      <c r="D377" s="547">
        <v>25.55</v>
      </c>
      <c r="E377" s="299">
        <v>17.440000000000001</v>
      </c>
      <c r="F377" s="299">
        <f t="shared" ref="F377:F408" si="80">C377*(E377-D377)</f>
        <v>-29017.579999999998</v>
      </c>
      <c r="G377" s="299">
        <f t="shared" ref="G377:G406" si="81">D377*C377</f>
        <v>91417.900000000009</v>
      </c>
      <c r="H377" s="300">
        <f t="shared" ref="H377:H406" si="82">(E377-D377)/D377</f>
        <v>-0.31741682974559682</v>
      </c>
      <c r="I377" s="299"/>
    </row>
    <row r="378" spans="2:14" x14ac:dyDescent="0.25">
      <c r="B378" s="546">
        <v>42340</v>
      </c>
      <c r="C378" s="298">
        <v>4178</v>
      </c>
      <c r="D378" s="547">
        <v>24.29</v>
      </c>
      <c r="E378" s="299">
        <v>16.670000000000002</v>
      </c>
      <c r="F378" s="299">
        <f t="shared" si="80"/>
        <v>-31836.35999999999</v>
      </c>
      <c r="G378" s="299">
        <f t="shared" si="81"/>
        <v>101483.62</v>
      </c>
      <c r="H378" s="300">
        <f t="shared" si="82"/>
        <v>-0.31370934540963352</v>
      </c>
      <c r="I378" s="299"/>
    </row>
    <row r="379" spans="2:14" x14ac:dyDescent="0.25">
      <c r="B379" s="546">
        <v>42342</v>
      </c>
      <c r="C379" s="298">
        <v>4678</v>
      </c>
      <c r="D379" s="547">
        <v>23.39</v>
      </c>
      <c r="E379" s="299">
        <v>16.12</v>
      </c>
      <c r="F379" s="299">
        <f t="shared" si="80"/>
        <v>-34009.06</v>
      </c>
      <c r="G379" s="299">
        <f t="shared" si="81"/>
        <v>109418.42</v>
      </c>
      <c r="H379" s="300">
        <f t="shared" si="82"/>
        <v>-0.31081658828559211</v>
      </c>
      <c r="I379" s="299"/>
    </row>
    <row r="380" spans="2:14" x14ac:dyDescent="0.25">
      <c r="B380" s="546">
        <v>42342</v>
      </c>
      <c r="C380" s="298">
        <v>4178</v>
      </c>
      <c r="D380" s="547">
        <v>24.26</v>
      </c>
      <c r="E380" s="299">
        <v>16.12</v>
      </c>
      <c r="F380" s="299">
        <f t="shared" si="80"/>
        <v>-34008.920000000006</v>
      </c>
      <c r="G380" s="299">
        <f t="shared" si="81"/>
        <v>101358.28000000001</v>
      </c>
      <c r="H380" s="300">
        <f t="shared" si="82"/>
        <v>-0.33553173948887055</v>
      </c>
      <c r="I380" s="299"/>
    </row>
    <row r="381" spans="2:14" x14ac:dyDescent="0.25">
      <c r="B381" s="546">
        <v>42345</v>
      </c>
      <c r="C381" s="298">
        <v>4678</v>
      </c>
      <c r="D381" s="547">
        <v>23.24</v>
      </c>
      <c r="E381" s="299">
        <v>14.78</v>
      </c>
      <c r="F381" s="299">
        <f t="shared" si="80"/>
        <v>-39575.879999999997</v>
      </c>
      <c r="G381" s="299">
        <f t="shared" si="81"/>
        <v>108716.71999999999</v>
      </c>
      <c r="H381" s="300">
        <f t="shared" si="82"/>
        <v>-0.36402753872633387</v>
      </c>
      <c r="I381" s="299"/>
    </row>
    <row r="382" spans="2:14" x14ac:dyDescent="0.25">
      <c r="B382" s="546">
        <v>42347</v>
      </c>
      <c r="C382" s="298">
        <v>4778</v>
      </c>
      <c r="D382" s="547">
        <v>23.06</v>
      </c>
      <c r="E382" s="299">
        <v>14.92</v>
      </c>
      <c r="F382" s="299">
        <f t="shared" si="80"/>
        <v>-38892.919999999991</v>
      </c>
      <c r="G382" s="299">
        <f t="shared" si="81"/>
        <v>110180.68</v>
      </c>
      <c r="H382" s="300">
        <f t="shared" si="82"/>
        <v>-0.3529921942758022</v>
      </c>
      <c r="I382" s="299"/>
    </row>
    <row r="383" spans="2:14" x14ac:dyDescent="0.25">
      <c r="B383" s="546">
        <v>42348</v>
      </c>
      <c r="C383" s="298">
        <v>4178</v>
      </c>
      <c r="D383" s="547">
        <v>24.23</v>
      </c>
      <c r="E383" s="299">
        <v>14.74</v>
      </c>
      <c r="F383" s="299">
        <f t="shared" si="80"/>
        <v>-39649.22</v>
      </c>
      <c r="G383" s="299">
        <f t="shared" si="81"/>
        <v>101232.94</v>
      </c>
      <c r="H383" s="300">
        <f t="shared" si="82"/>
        <v>-0.39166322740404458</v>
      </c>
      <c r="I383" s="299"/>
    </row>
    <row r="384" spans="2:14" x14ac:dyDescent="0.25">
      <c r="B384" s="546">
        <v>42349</v>
      </c>
      <c r="C384" s="298">
        <v>3678</v>
      </c>
      <c r="D384" s="547">
        <v>25.57</v>
      </c>
      <c r="E384" s="299">
        <v>14.34</v>
      </c>
      <c r="F384" s="299">
        <f t="shared" si="80"/>
        <v>-41303.94</v>
      </c>
      <c r="G384" s="299">
        <f t="shared" si="81"/>
        <v>94046.46</v>
      </c>
      <c r="H384" s="300">
        <f t="shared" si="82"/>
        <v>-0.43918654673445445</v>
      </c>
      <c r="I384" s="299"/>
    </row>
    <row r="385" spans="2:14" ht="15" customHeight="1" x14ac:dyDescent="0.25">
      <c r="B385" s="546">
        <v>42352</v>
      </c>
      <c r="C385" s="298">
        <v>4178</v>
      </c>
      <c r="D385" s="547">
        <v>24.18</v>
      </c>
      <c r="E385" s="299">
        <v>13.96</v>
      </c>
      <c r="F385" s="299">
        <f t="shared" si="80"/>
        <v>-42699.159999999996</v>
      </c>
      <c r="G385" s="299">
        <f t="shared" si="81"/>
        <v>101024.04</v>
      </c>
      <c r="H385" s="300">
        <f t="shared" si="82"/>
        <v>-0.42266335814722905</v>
      </c>
      <c r="I385" s="299"/>
    </row>
    <row r="386" spans="2:14" x14ac:dyDescent="0.25">
      <c r="B386" s="546">
        <v>42355</v>
      </c>
      <c r="C386" s="298">
        <v>4678</v>
      </c>
      <c r="D386" s="547">
        <v>22.98</v>
      </c>
      <c r="E386" s="299">
        <v>12.78</v>
      </c>
      <c r="F386" s="299">
        <f t="shared" si="80"/>
        <v>-47715.600000000006</v>
      </c>
      <c r="G386" s="299">
        <f t="shared" si="81"/>
        <v>107500.44</v>
      </c>
      <c r="H386" s="300">
        <f t="shared" si="82"/>
        <v>-0.44386422976501311</v>
      </c>
      <c r="I386" s="299"/>
    </row>
    <row r="387" spans="2:14" x14ac:dyDescent="0.25">
      <c r="B387" s="546">
        <v>42356</v>
      </c>
      <c r="C387" s="298">
        <v>5178</v>
      </c>
      <c r="D387" s="547">
        <v>21.99</v>
      </c>
      <c r="E387" s="299">
        <v>12.95</v>
      </c>
      <c r="F387" s="299">
        <f t="shared" si="80"/>
        <v>-46809.119999999995</v>
      </c>
      <c r="G387" s="299">
        <f t="shared" si="81"/>
        <v>113864.21999999999</v>
      </c>
      <c r="H387" s="300">
        <f t="shared" si="82"/>
        <v>-0.41109595270577537</v>
      </c>
      <c r="I387" s="299"/>
    </row>
    <row r="388" spans="2:14" x14ac:dyDescent="0.25">
      <c r="B388" s="546">
        <v>42356</v>
      </c>
      <c r="C388" s="298">
        <v>6178</v>
      </c>
      <c r="D388" s="547">
        <v>20.48</v>
      </c>
      <c r="E388" s="299">
        <v>12.76</v>
      </c>
      <c r="F388" s="299">
        <f t="shared" si="80"/>
        <v>-47694.16</v>
      </c>
      <c r="G388" s="299">
        <f t="shared" si="81"/>
        <v>126525.44</v>
      </c>
      <c r="H388" s="300">
        <f t="shared" si="82"/>
        <v>-0.376953125</v>
      </c>
      <c r="I388" s="299"/>
    </row>
    <row r="389" spans="2:14" x14ac:dyDescent="0.25">
      <c r="B389" s="546">
        <v>42356</v>
      </c>
      <c r="C389" s="298">
        <v>6400</v>
      </c>
      <c r="D389" s="547">
        <v>20.2</v>
      </c>
      <c r="E389" s="299">
        <v>12.68</v>
      </c>
      <c r="F389" s="299">
        <f t="shared" si="80"/>
        <v>-48128</v>
      </c>
      <c r="G389" s="299">
        <f t="shared" si="81"/>
        <v>129280</v>
      </c>
      <c r="H389" s="300">
        <f t="shared" si="82"/>
        <v>-0.37227722772277227</v>
      </c>
      <c r="I389" s="299"/>
    </row>
    <row r="390" spans="2:14" x14ac:dyDescent="0.25">
      <c r="B390" s="546">
        <v>42359</v>
      </c>
      <c r="C390" s="298">
        <v>5178</v>
      </c>
      <c r="D390" s="547">
        <v>21.96</v>
      </c>
      <c r="E390" s="299">
        <v>12.66</v>
      </c>
      <c r="F390" s="299">
        <f t="shared" si="80"/>
        <v>-48155.4</v>
      </c>
      <c r="G390" s="299">
        <f t="shared" si="81"/>
        <v>113708.88</v>
      </c>
      <c r="H390" s="300">
        <f t="shared" si="82"/>
        <v>-0.42349726775956287</v>
      </c>
      <c r="I390" s="299"/>
    </row>
    <row r="391" spans="2:14" x14ac:dyDescent="0.25">
      <c r="B391" s="546">
        <v>42361</v>
      </c>
      <c r="C391" s="298">
        <v>4178</v>
      </c>
      <c r="D391" s="547">
        <v>24.07</v>
      </c>
      <c r="E391" s="299">
        <v>13.96</v>
      </c>
      <c r="F391" s="299">
        <f t="shared" si="80"/>
        <v>-42239.579999999994</v>
      </c>
      <c r="G391" s="299">
        <f t="shared" si="81"/>
        <v>100564.46</v>
      </c>
      <c r="H391" s="300">
        <f t="shared" si="82"/>
        <v>-0.42002492729538843</v>
      </c>
      <c r="I391" s="299"/>
      <c r="N391" s="70"/>
    </row>
    <row r="392" spans="2:14" x14ac:dyDescent="0.25">
      <c r="B392" s="546">
        <v>42361</v>
      </c>
      <c r="C392" s="298">
        <v>4178</v>
      </c>
      <c r="D392" s="547">
        <v>24.03</v>
      </c>
      <c r="E392" s="299">
        <v>13.96</v>
      </c>
      <c r="F392" s="299">
        <f t="shared" si="80"/>
        <v>-42072.46</v>
      </c>
      <c r="G392" s="299">
        <f t="shared" si="81"/>
        <v>100397.34000000001</v>
      </c>
      <c r="H392" s="300">
        <f t="shared" si="82"/>
        <v>-0.41905950894714938</v>
      </c>
      <c r="I392" s="299"/>
    </row>
    <row r="393" spans="2:14" x14ac:dyDescent="0.25">
      <c r="B393" s="546">
        <v>42366</v>
      </c>
      <c r="C393" s="319">
        <v>6678</v>
      </c>
      <c r="D393" s="548">
        <v>19.91</v>
      </c>
      <c r="E393" s="299">
        <v>13.09</v>
      </c>
      <c r="F393" s="299">
        <f t="shared" si="80"/>
        <v>-45543.96</v>
      </c>
      <c r="G393" s="299">
        <f t="shared" si="81"/>
        <v>132958.98000000001</v>
      </c>
      <c r="H393" s="300">
        <f t="shared" si="82"/>
        <v>-0.34254143646408841</v>
      </c>
      <c r="I393" s="299"/>
    </row>
    <row r="394" spans="2:14" x14ac:dyDescent="0.25">
      <c r="B394" s="546">
        <v>42367</v>
      </c>
      <c r="C394" s="319">
        <v>8678</v>
      </c>
      <c r="D394" s="548">
        <v>18.32</v>
      </c>
      <c r="E394" s="299">
        <v>13.03</v>
      </c>
      <c r="F394" s="299">
        <f t="shared" si="80"/>
        <v>-45906.62000000001</v>
      </c>
      <c r="G394" s="299">
        <f t="shared" si="81"/>
        <v>158980.96</v>
      </c>
      <c r="H394" s="300">
        <f t="shared" si="82"/>
        <v>-0.28875545851528389</v>
      </c>
      <c r="I394" s="299"/>
    </row>
    <row r="395" spans="2:14" x14ac:dyDescent="0.25">
      <c r="B395" s="546">
        <v>42368</v>
      </c>
      <c r="C395" s="298">
        <v>9678</v>
      </c>
      <c r="D395" s="547">
        <v>17.73</v>
      </c>
      <c r="E395" s="299">
        <v>12.38</v>
      </c>
      <c r="F395" s="299">
        <f t="shared" si="80"/>
        <v>-51777.299999999996</v>
      </c>
      <c r="G395" s="299">
        <f t="shared" si="81"/>
        <v>171590.94</v>
      </c>
      <c r="H395" s="301">
        <f t="shared" si="82"/>
        <v>-0.30174844895657077</v>
      </c>
      <c r="I395" s="299"/>
    </row>
    <row r="396" spans="2:14" x14ac:dyDescent="0.25">
      <c r="B396" s="546">
        <v>42369</v>
      </c>
      <c r="C396" s="298">
        <v>8678</v>
      </c>
      <c r="D396" s="547">
        <v>18.312999999999999</v>
      </c>
      <c r="E396" s="299">
        <v>12.59</v>
      </c>
      <c r="F396" s="299">
        <f t="shared" si="80"/>
        <v>-49664.193999999989</v>
      </c>
      <c r="G396" s="299">
        <f t="shared" si="81"/>
        <v>158920.21399999998</v>
      </c>
      <c r="H396" s="301">
        <f t="shared" si="82"/>
        <v>-0.3125102386282968</v>
      </c>
      <c r="I396" s="299"/>
    </row>
    <row r="397" spans="2:14" x14ac:dyDescent="0.25">
      <c r="B397" s="546">
        <v>42374</v>
      </c>
      <c r="C397" s="298">
        <v>7678</v>
      </c>
      <c r="D397" s="547">
        <v>19.010000000000002</v>
      </c>
      <c r="E397" s="299">
        <v>12.76</v>
      </c>
      <c r="F397" s="299">
        <f t="shared" si="80"/>
        <v>-47987.500000000015</v>
      </c>
      <c r="G397" s="299">
        <f t="shared" si="81"/>
        <v>145958.78</v>
      </c>
      <c r="H397" s="301">
        <f t="shared" si="82"/>
        <v>-0.32877432930036832</v>
      </c>
      <c r="I397" s="299"/>
    </row>
    <row r="398" spans="2:14" x14ac:dyDescent="0.25">
      <c r="B398" s="546">
        <v>42375</v>
      </c>
      <c r="C398" s="298">
        <v>8678</v>
      </c>
      <c r="D398" s="547">
        <v>18.257000000000001</v>
      </c>
      <c r="E398" s="299">
        <v>12.76</v>
      </c>
      <c r="F398" s="299">
        <f t="shared" si="80"/>
        <v>-47702.966000000015</v>
      </c>
      <c r="G398" s="299">
        <f t="shared" si="81"/>
        <v>158434.24600000001</v>
      </c>
      <c r="H398" s="301">
        <f t="shared" si="82"/>
        <v>-0.30108999287944355</v>
      </c>
      <c r="I398" s="299"/>
    </row>
    <row r="399" spans="2:14" x14ac:dyDescent="0.25">
      <c r="B399" s="546">
        <v>42375</v>
      </c>
      <c r="C399" s="298">
        <v>9678</v>
      </c>
      <c r="D399" s="547">
        <v>17.579999999999998</v>
      </c>
      <c r="E399" s="299">
        <v>11.28</v>
      </c>
      <c r="F399" s="299">
        <f t="shared" si="80"/>
        <v>-60971.399999999987</v>
      </c>
      <c r="G399" s="299">
        <f t="shared" si="81"/>
        <v>170139.24</v>
      </c>
      <c r="H399" s="301">
        <f t="shared" si="82"/>
        <v>-0.35836177474402725</v>
      </c>
      <c r="I399" s="299"/>
    </row>
    <row r="400" spans="2:14" x14ac:dyDescent="0.25">
      <c r="B400" s="546">
        <v>42398</v>
      </c>
      <c r="C400" s="298">
        <v>9278</v>
      </c>
      <c r="D400" s="547">
        <v>17.93</v>
      </c>
      <c r="E400" s="299">
        <v>9.56</v>
      </c>
      <c r="F400" s="299">
        <f t="shared" si="80"/>
        <v>-77656.859999999986</v>
      </c>
      <c r="G400" s="299">
        <f t="shared" si="81"/>
        <v>166354.54</v>
      </c>
      <c r="H400" s="301">
        <f t="shared" si="82"/>
        <v>-0.46681539319576126</v>
      </c>
      <c r="I400" s="299"/>
    </row>
    <row r="401" spans="2:9" x14ac:dyDescent="0.25">
      <c r="B401" s="546">
        <v>42402</v>
      </c>
      <c r="C401" s="298">
        <v>9678</v>
      </c>
      <c r="D401" s="547">
        <v>17.559999999999999</v>
      </c>
      <c r="E401" s="299">
        <v>8.74</v>
      </c>
      <c r="F401" s="299">
        <f t="shared" si="80"/>
        <v>-85359.959999999992</v>
      </c>
      <c r="G401" s="299">
        <f t="shared" si="81"/>
        <v>169945.68</v>
      </c>
      <c r="H401" s="301">
        <f t="shared" si="82"/>
        <v>-0.50227790432801822</v>
      </c>
      <c r="I401" s="299"/>
    </row>
    <row r="402" spans="2:9" x14ac:dyDescent="0.25">
      <c r="B402" s="546">
        <v>42411</v>
      </c>
      <c r="C402" s="298">
        <v>9678</v>
      </c>
      <c r="D402" s="547">
        <v>17.553999999999998</v>
      </c>
      <c r="E402" s="299">
        <v>7.13</v>
      </c>
      <c r="F402" s="299">
        <f t="shared" si="80"/>
        <v>-100883.47199999999</v>
      </c>
      <c r="G402" s="299">
        <f t="shared" si="81"/>
        <v>169887.61199999999</v>
      </c>
      <c r="H402" s="300">
        <f t="shared" si="82"/>
        <v>-0.59382476928335426</v>
      </c>
      <c r="I402" s="299"/>
    </row>
    <row r="403" spans="2:9" x14ac:dyDescent="0.25">
      <c r="B403" s="546">
        <v>42412</v>
      </c>
      <c r="C403" s="298">
        <v>9678</v>
      </c>
      <c r="D403" s="547">
        <v>17.55</v>
      </c>
      <c r="E403" s="299">
        <v>7.46</v>
      </c>
      <c r="F403" s="299">
        <f t="shared" si="80"/>
        <v>-97651.02</v>
      </c>
      <c r="G403" s="299">
        <f t="shared" si="81"/>
        <v>169848.9</v>
      </c>
      <c r="H403" s="300">
        <f t="shared" si="82"/>
        <v>-0.57492877492877492</v>
      </c>
      <c r="I403" s="299"/>
    </row>
    <row r="404" spans="2:9" x14ac:dyDescent="0.25">
      <c r="B404" s="546">
        <v>42416</v>
      </c>
      <c r="C404" s="298">
        <v>9178</v>
      </c>
      <c r="D404" s="547">
        <v>18.084</v>
      </c>
      <c r="E404" s="299">
        <v>7.49</v>
      </c>
      <c r="F404" s="299">
        <f t="shared" si="80"/>
        <v>-97231.731999999989</v>
      </c>
      <c r="G404" s="299">
        <f t="shared" si="81"/>
        <v>165974.95199999999</v>
      </c>
      <c r="H404" s="300">
        <f t="shared" si="82"/>
        <v>-0.58582172085821715</v>
      </c>
      <c r="I404" s="299"/>
    </row>
    <row r="405" spans="2:9" x14ac:dyDescent="0.25">
      <c r="B405" s="546">
        <v>42416</v>
      </c>
      <c r="C405" s="298">
        <v>9678</v>
      </c>
      <c r="D405" s="547">
        <v>17.536999999999999</v>
      </c>
      <c r="E405" s="299">
        <v>7.49</v>
      </c>
      <c r="F405" s="299">
        <f t="shared" si="80"/>
        <v>-97234.865999999995</v>
      </c>
      <c r="G405" s="299">
        <f t="shared" si="81"/>
        <v>169723.08599999998</v>
      </c>
      <c r="H405" s="300">
        <f t="shared" si="82"/>
        <v>-0.57290300507498426</v>
      </c>
      <c r="I405" s="299"/>
    </row>
    <row r="406" spans="2:9" x14ac:dyDescent="0.25">
      <c r="B406" s="546">
        <v>42418</v>
      </c>
      <c r="C406" s="298">
        <v>13478</v>
      </c>
      <c r="D406" s="547">
        <v>14.673999999999999</v>
      </c>
      <c r="E406" s="299">
        <v>6.93</v>
      </c>
      <c r="F406" s="299">
        <f t="shared" si="80"/>
        <v>-104373.632</v>
      </c>
      <c r="G406" s="299">
        <f t="shared" si="81"/>
        <v>197776.17199999999</v>
      </c>
      <c r="H406" s="300">
        <f t="shared" si="82"/>
        <v>-0.52773613193403301</v>
      </c>
      <c r="I406" s="299"/>
    </row>
    <row r="407" spans="2:9" ht="15" customHeight="1" x14ac:dyDescent="0.25">
      <c r="B407" s="546">
        <v>42422</v>
      </c>
      <c r="C407" s="298">
        <v>10978</v>
      </c>
      <c r="D407" s="547">
        <v>16.314</v>
      </c>
      <c r="E407" s="299">
        <v>7.49</v>
      </c>
      <c r="F407" s="299">
        <f t="shared" si="80"/>
        <v>-96869.872000000003</v>
      </c>
      <c r="G407" s="299">
        <f>IF(C407=0, 0,D407*C407)</f>
        <v>179095.092</v>
      </c>
      <c r="H407" s="300">
        <f>IF(C407=0, D407, (E407-D407)/D407)</f>
        <v>-0.54088512933676591</v>
      </c>
      <c r="I407" s="299"/>
    </row>
    <row r="408" spans="2:9" x14ac:dyDescent="0.25">
      <c r="B408" s="546">
        <v>42422</v>
      </c>
      <c r="C408" s="298">
        <v>9978</v>
      </c>
      <c r="D408" s="547">
        <v>17.199000000000002</v>
      </c>
      <c r="E408" s="299">
        <v>7.49</v>
      </c>
      <c r="F408" s="299">
        <f t="shared" si="80"/>
        <v>-96876.402000000016</v>
      </c>
      <c r="G408" s="299">
        <f>IF(C408=0, 0,D408*C408)</f>
        <v>171611.622</v>
      </c>
      <c r="H408" s="300">
        <f>IF(C408=0, D408, (E408-D408)/D408)</f>
        <v>-0.56450956450956458</v>
      </c>
      <c r="I408" s="299"/>
    </row>
    <row r="409" spans="2:9" x14ac:dyDescent="0.25">
      <c r="B409" s="546">
        <v>42426</v>
      </c>
      <c r="C409" s="298">
        <v>9678</v>
      </c>
      <c r="D409" s="547">
        <v>17.489000000000001</v>
      </c>
      <c r="E409" s="299">
        <v>7.49</v>
      </c>
      <c r="F409" s="299">
        <f t="shared" ref="F409:F417" si="83">C409*(E409-D409)</f>
        <v>-96770.322</v>
      </c>
      <c r="G409" s="299">
        <f>IF(C409=0, 0,D409*C409)</f>
        <v>169258.54200000002</v>
      </c>
      <c r="H409" s="300">
        <f>IF(C409=0, D409, (E409-D409)/D409)</f>
        <v>-0.57173080221853734</v>
      </c>
      <c r="I409" s="299"/>
    </row>
    <row r="410" spans="2:9" x14ac:dyDescent="0.25">
      <c r="B410" s="546">
        <v>42426</v>
      </c>
      <c r="C410" s="298">
        <v>9178</v>
      </c>
      <c r="D410" s="547">
        <v>18.02</v>
      </c>
      <c r="E410" s="299">
        <v>7.76</v>
      </c>
      <c r="F410" s="299">
        <f t="shared" si="83"/>
        <v>-94166.28</v>
      </c>
      <c r="G410" s="299">
        <f t="shared" ref="G410:G417" si="84">IF(C410=0, 0,D410*C410)</f>
        <v>165387.56</v>
      </c>
      <c r="H410" s="300">
        <f t="shared" ref="H410:H417" si="85">IF(C410=0, D410, (E410-D410)/D410)</f>
        <v>-0.5693673695893452</v>
      </c>
      <c r="I410" s="299"/>
    </row>
    <row r="411" spans="2:9" x14ac:dyDescent="0.25">
      <c r="B411" s="546">
        <v>42426</v>
      </c>
      <c r="C411" s="298">
        <v>8178</v>
      </c>
      <c r="D411" s="547">
        <v>19.245999999999999</v>
      </c>
      <c r="E411" s="299">
        <v>8</v>
      </c>
      <c r="F411" s="299">
        <f t="shared" si="83"/>
        <v>-91969.787999999986</v>
      </c>
      <c r="G411" s="299">
        <f t="shared" si="84"/>
        <v>157393.788</v>
      </c>
      <c r="H411" s="300">
        <f t="shared" si="85"/>
        <v>-0.58432921126467829</v>
      </c>
      <c r="I411" s="299"/>
    </row>
    <row r="412" spans="2:9" x14ac:dyDescent="0.25">
      <c r="B412" s="546">
        <v>42426</v>
      </c>
      <c r="C412" s="298">
        <v>6678</v>
      </c>
      <c r="D412" s="547">
        <v>21.75</v>
      </c>
      <c r="E412" s="299">
        <v>8.1</v>
      </c>
      <c r="F412" s="299">
        <f t="shared" si="83"/>
        <v>-91154.7</v>
      </c>
      <c r="G412" s="299">
        <f t="shared" si="84"/>
        <v>145246.5</v>
      </c>
      <c r="H412" s="300">
        <f t="shared" si="85"/>
        <v>-0.62758620689655176</v>
      </c>
      <c r="I412" s="299"/>
    </row>
    <row r="413" spans="2:9" x14ac:dyDescent="0.25">
      <c r="B413" s="546">
        <v>42426</v>
      </c>
      <c r="C413" s="298">
        <v>8678</v>
      </c>
      <c r="D413" s="547">
        <v>18.568999999999999</v>
      </c>
      <c r="E413" s="299">
        <v>7.94</v>
      </c>
      <c r="F413" s="299">
        <f t="shared" si="83"/>
        <v>-92238.461999999985</v>
      </c>
      <c r="G413" s="299">
        <f t="shared" si="84"/>
        <v>161141.78199999998</v>
      </c>
      <c r="H413" s="300">
        <f t="shared" si="85"/>
        <v>-0.57240562227368186</v>
      </c>
      <c r="I413" s="299"/>
    </row>
    <row r="414" spans="2:9" ht="15" customHeight="1" x14ac:dyDescent="0.25">
      <c r="B414" s="546">
        <v>42429</v>
      </c>
      <c r="C414" s="298">
        <v>7678</v>
      </c>
      <c r="D414" s="547">
        <v>19.876000000000001</v>
      </c>
      <c r="E414" s="299">
        <v>8.2100000000000009</v>
      </c>
      <c r="F414" s="299">
        <f t="shared" si="83"/>
        <v>-89571.54800000001</v>
      </c>
      <c r="G414" s="299">
        <f t="shared" si="84"/>
        <v>152607.92800000001</v>
      </c>
      <c r="H414" s="300">
        <f t="shared" si="85"/>
        <v>-0.58693902193600322</v>
      </c>
      <c r="I414" s="299"/>
    </row>
    <row r="415" spans="2:9" x14ac:dyDescent="0.25">
      <c r="B415" s="546">
        <v>42429</v>
      </c>
      <c r="C415" s="298">
        <v>9678</v>
      </c>
      <c r="D415" s="547">
        <v>17.463000000000001</v>
      </c>
      <c r="E415" s="299">
        <v>8.2100000000000009</v>
      </c>
      <c r="F415" s="299">
        <f t="shared" si="83"/>
        <v>-89550.534</v>
      </c>
      <c r="G415" s="299">
        <f t="shared" si="84"/>
        <v>169006.91400000002</v>
      </c>
      <c r="H415" s="300">
        <f t="shared" si="85"/>
        <v>-0.5298631392086125</v>
      </c>
      <c r="I415" s="299"/>
    </row>
    <row r="416" spans="2:9" x14ac:dyDescent="0.25">
      <c r="B416" s="546">
        <v>42429</v>
      </c>
      <c r="C416" s="298">
        <v>9178</v>
      </c>
      <c r="D416" s="547">
        <v>17.981000000000002</v>
      </c>
      <c r="E416" s="299">
        <v>8.2100000000000009</v>
      </c>
      <c r="F416" s="299">
        <f t="shared" si="83"/>
        <v>-89678.238000000012</v>
      </c>
      <c r="G416" s="299">
        <f t="shared" si="84"/>
        <v>165029.61800000002</v>
      </c>
      <c r="H416" s="300">
        <f t="shared" si="85"/>
        <v>-0.5434069295367332</v>
      </c>
      <c r="I416" s="299"/>
    </row>
    <row r="417" spans="2:14" x14ac:dyDescent="0.25">
      <c r="B417" s="546">
        <v>42429</v>
      </c>
      <c r="C417" s="298">
        <v>9678</v>
      </c>
      <c r="D417" s="547">
        <v>17.459</v>
      </c>
      <c r="E417" s="299">
        <v>8.2100000000000009</v>
      </c>
      <c r="F417" s="299">
        <f t="shared" si="83"/>
        <v>-89511.821999999986</v>
      </c>
      <c r="G417" s="299">
        <f t="shared" si="84"/>
        <v>168968.20199999999</v>
      </c>
      <c r="H417" s="300">
        <f t="shared" si="85"/>
        <v>-0.5297554270004009</v>
      </c>
      <c r="I417" s="299"/>
    </row>
    <row r="418" spans="2:14" x14ac:dyDescent="0.25">
      <c r="B418" s="546">
        <v>42429</v>
      </c>
      <c r="C418" s="298">
        <v>9178</v>
      </c>
      <c r="D418" s="547">
        <v>17.975999999999999</v>
      </c>
      <c r="E418" s="299">
        <v>8.2100000000000009</v>
      </c>
      <c r="F418" s="299">
        <f t="shared" ref="F418:F429" si="86">C418*(E418-D418)</f>
        <v>-89632.347999999984</v>
      </c>
      <c r="G418" s="299">
        <f t="shared" ref="G418:G429" si="87">IF(C418=0, 0,D418*C418)</f>
        <v>164983.728</v>
      </c>
      <c r="H418" s="300">
        <f t="shared" ref="H418:H469" si="88">IF(C418=0, D418, (E418-D418)/D418)</f>
        <v>-0.54327992879394738</v>
      </c>
      <c r="I418" s="299" t="s">
        <v>185</v>
      </c>
    </row>
    <row r="419" spans="2:14" x14ac:dyDescent="0.25">
      <c r="B419" s="546">
        <v>42430</v>
      </c>
      <c r="C419" s="319">
        <v>10178</v>
      </c>
      <c r="D419" s="548">
        <v>16.974</v>
      </c>
      <c r="E419" s="299">
        <v>7.8</v>
      </c>
      <c r="F419" s="299">
        <f t="shared" si="86"/>
        <v>-93372.971999999994</v>
      </c>
      <c r="G419" s="299">
        <f t="shared" si="87"/>
        <v>172761.372</v>
      </c>
      <c r="H419" s="300">
        <f t="shared" si="88"/>
        <v>-0.54047366560622123</v>
      </c>
      <c r="I419" s="299"/>
    </row>
    <row r="420" spans="2:14" x14ac:dyDescent="0.25">
      <c r="B420" s="546">
        <v>42430</v>
      </c>
      <c r="C420" s="319">
        <v>9678</v>
      </c>
      <c r="D420" s="548">
        <v>17.440000000000001</v>
      </c>
      <c r="E420" s="299">
        <v>7.96</v>
      </c>
      <c r="F420" s="299">
        <f t="shared" si="86"/>
        <v>-91747.44</v>
      </c>
      <c r="G420" s="299">
        <f t="shared" si="87"/>
        <v>168784.32</v>
      </c>
      <c r="H420" s="300">
        <f t="shared" si="88"/>
        <v>-0.54357798165137616</v>
      </c>
      <c r="I420" s="299"/>
    </row>
    <row r="421" spans="2:14" x14ac:dyDescent="0.25">
      <c r="B421" s="546">
        <v>42431</v>
      </c>
      <c r="C421" s="298">
        <v>8678</v>
      </c>
      <c r="D421" s="547">
        <v>18.405999999999999</v>
      </c>
      <c r="E421" s="299">
        <v>9.1</v>
      </c>
      <c r="F421" s="299">
        <f t="shared" si="86"/>
        <v>-80757.467999999993</v>
      </c>
      <c r="G421" s="299">
        <f t="shared" si="87"/>
        <v>159727.26799999998</v>
      </c>
      <c r="H421" s="301">
        <f t="shared" si="88"/>
        <v>-0.50559600130392257</v>
      </c>
      <c r="I421" s="299"/>
    </row>
    <row r="422" spans="2:14" x14ac:dyDescent="0.25">
      <c r="B422" s="546">
        <v>42432</v>
      </c>
      <c r="C422" s="298">
        <v>9278</v>
      </c>
      <c r="D422" s="547">
        <v>17.771999999999998</v>
      </c>
      <c r="E422" s="299">
        <v>9.9700000000000006</v>
      </c>
      <c r="F422" s="299">
        <f t="shared" si="86"/>
        <v>-72386.955999999976</v>
      </c>
      <c r="G422" s="299">
        <f t="shared" si="87"/>
        <v>164888.61599999998</v>
      </c>
      <c r="H422" s="301">
        <f t="shared" si="88"/>
        <v>-0.43900517668242173</v>
      </c>
      <c r="I422" s="299"/>
      <c r="N422" s="29"/>
    </row>
    <row r="423" spans="2:14" x14ac:dyDescent="0.25">
      <c r="B423" s="546">
        <v>42433</v>
      </c>
      <c r="C423" s="298">
        <v>9278</v>
      </c>
      <c r="D423" s="547">
        <v>17.771999999999998</v>
      </c>
      <c r="E423" s="299">
        <v>11</v>
      </c>
      <c r="F423" s="299">
        <f t="shared" si="86"/>
        <v>-62830.615999999987</v>
      </c>
      <c r="G423" s="299">
        <f t="shared" si="87"/>
        <v>164888.61599999998</v>
      </c>
      <c r="H423" s="301">
        <f t="shared" si="88"/>
        <v>-0.38104884087328378</v>
      </c>
      <c r="I423" s="299"/>
    </row>
    <row r="424" spans="2:14" ht="15" customHeight="1" x14ac:dyDescent="0.25">
      <c r="B424" s="546">
        <v>42439</v>
      </c>
      <c r="C424" s="298">
        <v>9278</v>
      </c>
      <c r="D424" s="547">
        <v>17.718</v>
      </c>
      <c r="E424" s="299">
        <v>10.59</v>
      </c>
      <c r="F424" s="299">
        <f t="shared" si="86"/>
        <v>-66133.584000000003</v>
      </c>
      <c r="G424" s="299">
        <f t="shared" si="87"/>
        <v>164387.60399999999</v>
      </c>
      <c r="H424" s="301">
        <f t="shared" si="88"/>
        <v>-0.40230274297324753</v>
      </c>
      <c r="I424" s="299" t="s">
        <v>184</v>
      </c>
    </row>
    <row r="425" spans="2:14" x14ac:dyDescent="0.25">
      <c r="B425" s="546">
        <v>42440</v>
      </c>
      <c r="C425" s="298">
        <v>9278</v>
      </c>
      <c r="D425" s="547">
        <v>17.712</v>
      </c>
      <c r="E425" s="299">
        <v>11.12</v>
      </c>
      <c r="F425" s="299">
        <f t="shared" si="86"/>
        <v>-61160.576000000008</v>
      </c>
      <c r="G425" s="299">
        <f t="shared" si="87"/>
        <v>164331.93599999999</v>
      </c>
      <c r="H425" s="301">
        <f t="shared" si="88"/>
        <v>-0.37217705510388438</v>
      </c>
      <c r="I425" s="299"/>
    </row>
    <row r="426" spans="2:14" x14ac:dyDescent="0.25">
      <c r="B426" s="546">
        <v>42446</v>
      </c>
      <c r="C426" s="298">
        <v>9278</v>
      </c>
      <c r="D426" s="547">
        <v>17.704999999999998</v>
      </c>
      <c r="E426" s="299">
        <v>11.45</v>
      </c>
      <c r="F426" s="299">
        <f t="shared" si="86"/>
        <v>-58033.889999999992</v>
      </c>
      <c r="G426" s="299">
        <f t="shared" si="87"/>
        <v>164266.99</v>
      </c>
      <c r="H426" s="301">
        <f t="shared" si="88"/>
        <v>-0.353290031064671</v>
      </c>
      <c r="I426" s="299"/>
    </row>
    <row r="427" spans="2:14" x14ac:dyDescent="0.25">
      <c r="B427" s="546">
        <v>42447</v>
      </c>
      <c r="C427" s="298">
        <v>7928</v>
      </c>
      <c r="D427" s="547">
        <v>18.734999999999999</v>
      </c>
      <c r="E427" s="299">
        <v>11.63</v>
      </c>
      <c r="F427" s="299">
        <f t="shared" si="86"/>
        <v>-56328.439999999988</v>
      </c>
      <c r="G427" s="299">
        <f t="shared" si="87"/>
        <v>148531.07999999999</v>
      </c>
      <c r="H427" s="301">
        <f t="shared" si="88"/>
        <v>-0.37923672271150249</v>
      </c>
      <c r="I427" s="299"/>
    </row>
    <row r="428" spans="2:14" x14ac:dyDescent="0.25">
      <c r="B428" s="546">
        <v>42450</v>
      </c>
      <c r="C428" s="298">
        <v>9278</v>
      </c>
      <c r="D428" s="547">
        <v>17.670000000000002</v>
      </c>
      <c r="E428" s="299">
        <v>11.43</v>
      </c>
      <c r="F428" s="299">
        <f t="shared" si="86"/>
        <v>-57894.720000000016</v>
      </c>
      <c r="G428" s="299">
        <f t="shared" si="87"/>
        <v>163942.26</v>
      </c>
      <c r="H428" s="300">
        <f t="shared" si="88"/>
        <v>-0.35314091680814946</v>
      </c>
      <c r="I428" s="299"/>
    </row>
    <row r="429" spans="2:14" x14ac:dyDescent="0.25">
      <c r="B429" s="546">
        <v>42451</v>
      </c>
      <c r="C429" s="298">
        <v>9628</v>
      </c>
      <c r="D429" s="547">
        <v>17.428000000000001</v>
      </c>
      <c r="E429" s="299">
        <v>11.31</v>
      </c>
      <c r="F429" s="299">
        <f t="shared" si="86"/>
        <v>-58904.104000000007</v>
      </c>
      <c r="G429" s="299">
        <f t="shared" si="87"/>
        <v>167796.78400000001</v>
      </c>
      <c r="H429" s="300">
        <f t="shared" si="88"/>
        <v>-0.35104429653431263</v>
      </c>
      <c r="I429" s="299"/>
    </row>
    <row r="430" spans="2:14" x14ac:dyDescent="0.25">
      <c r="B430" s="546">
        <v>42453</v>
      </c>
      <c r="C430" s="298">
        <v>13278</v>
      </c>
      <c r="D430" s="547">
        <v>15.5565</v>
      </c>
      <c r="E430" s="299">
        <v>10.29</v>
      </c>
      <c r="F430" s="299">
        <f t="shared" ref="F430:F469" si="89">C430*(E430-D430)</f>
        <v>-69928.587000000014</v>
      </c>
      <c r="G430" s="299">
        <f t="shared" ref="G430:G469" si="90">IF(C430=0, 0,D430*C430)</f>
        <v>206559.20699999999</v>
      </c>
      <c r="H430" s="300">
        <f t="shared" si="88"/>
        <v>-0.33854016006171056</v>
      </c>
      <c r="I430" s="299"/>
    </row>
    <row r="431" spans="2:14" ht="15" customHeight="1" x14ac:dyDescent="0.25">
      <c r="B431" s="546">
        <v>42459</v>
      </c>
      <c r="C431" s="298">
        <v>11278</v>
      </c>
      <c r="D431" s="547">
        <v>16.408899999999999</v>
      </c>
      <c r="E431" s="299">
        <v>10.53</v>
      </c>
      <c r="F431" s="299">
        <f t="shared" si="89"/>
        <v>-66302.234199999992</v>
      </c>
      <c r="G431" s="299">
        <f t="shared" si="90"/>
        <v>185059.5742</v>
      </c>
      <c r="H431" s="300">
        <f t="shared" si="88"/>
        <v>-0.35827508242478168</v>
      </c>
      <c r="I431" s="299"/>
    </row>
    <row r="432" spans="2:14" x14ac:dyDescent="0.25">
      <c r="B432" s="546">
        <v>42460</v>
      </c>
      <c r="C432" s="298">
        <v>9678</v>
      </c>
      <c r="D432" s="547">
        <v>17.311699999999998</v>
      </c>
      <c r="E432" s="299">
        <v>11.14</v>
      </c>
      <c r="F432" s="299">
        <f t="shared" si="89"/>
        <v>-59729.712599999977</v>
      </c>
      <c r="G432" s="299">
        <f t="shared" si="90"/>
        <v>167542.63259999998</v>
      </c>
      <c r="H432" s="300">
        <f t="shared" si="88"/>
        <v>-0.35650456049954643</v>
      </c>
      <c r="I432" s="299"/>
    </row>
    <row r="433" spans="2:9" x14ac:dyDescent="0.25">
      <c r="B433" s="546">
        <v>42461</v>
      </c>
      <c r="C433" s="298">
        <v>11678</v>
      </c>
      <c r="D433" s="547">
        <v>16.116</v>
      </c>
      <c r="E433" s="299">
        <v>10.53</v>
      </c>
      <c r="F433" s="299">
        <f t="shared" si="89"/>
        <v>-65233.308000000005</v>
      </c>
      <c r="G433" s="299">
        <f t="shared" si="90"/>
        <v>188202.64799999999</v>
      </c>
      <c r="H433" s="300">
        <f t="shared" si="88"/>
        <v>-0.34661206254653765</v>
      </c>
      <c r="I433" s="299"/>
    </row>
    <row r="434" spans="2:9" x14ac:dyDescent="0.25">
      <c r="B434" s="546">
        <v>42461</v>
      </c>
      <c r="C434" s="298">
        <v>9678</v>
      </c>
      <c r="D434" s="547">
        <v>17.266200000000001</v>
      </c>
      <c r="E434" s="299">
        <v>10.56</v>
      </c>
      <c r="F434" s="299">
        <f t="shared" si="89"/>
        <v>-64902.603600000009</v>
      </c>
      <c r="G434" s="299">
        <f t="shared" si="90"/>
        <v>167102.28360000002</v>
      </c>
      <c r="H434" s="300">
        <f t="shared" si="88"/>
        <v>-0.388400458699656</v>
      </c>
      <c r="I434" s="299"/>
    </row>
    <row r="435" spans="2:9" x14ac:dyDescent="0.25">
      <c r="B435" s="546">
        <v>42464</v>
      </c>
      <c r="C435" s="298">
        <v>9778</v>
      </c>
      <c r="D435" s="547">
        <v>17.196100000000001</v>
      </c>
      <c r="E435" s="299">
        <v>10.4</v>
      </c>
      <c r="F435" s="299">
        <f t="shared" si="89"/>
        <v>-66452.265800000008</v>
      </c>
      <c r="G435" s="299">
        <f t="shared" si="90"/>
        <v>168143.46580000001</v>
      </c>
      <c r="H435" s="300">
        <f t="shared" si="88"/>
        <v>-0.3952117049796175</v>
      </c>
      <c r="I435" s="299"/>
    </row>
    <row r="436" spans="2:9" x14ac:dyDescent="0.25">
      <c r="B436" s="546">
        <v>42465</v>
      </c>
      <c r="C436" s="298">
        <v>9678</v>
      </c>
      <c r="D436" s="547">
        <v>17.262699999999999</v>
      </c>
      <c r="E436" s="299">
        <v>10.63</v>
      </c>
      <c r="F436" s="299">
        <f t="shared" si="89"/>
        <v>-64191.270599999982</v>
      </c>
      <c r="G436" s="299">
        <f t="shared" si="90"/>
        <v>167068.4106</v>
      </c>
      <c r="H436" s="300">
        <f t="shared" si="88"/>
        <v>-0.38422147172806098</v>
      </c>
      <c r="I436" s="299"/>
    </row>
    <row r="437" spans="2:9" ht="15" customHeight="1" x14ac:dyDescent="0.25">
      <c r="B437" s="546">
        <v>42469</v>
      </c>
      <c r="C437" s="298">
        <v>8678</v>
      </c>
      <c r="D437" s="547">
        <v>17.895700000000001</v>
      </c>
      <c r="E437" s="299">
        <v>11.78</v>
      </c>
      <c r="F437" s="299">
        <f t="shared" si="89"/>
        <v>-53072.044600000016</v>
      </c>
      <c r="G437" s="299">
        <f t="shared" si="90"/>
        <v>155298.88460000002</v>
      </c>
      <c r="H437" s="300">
        <f t="shared" si="88"/>
        <v>-0.34174131215878684</v>
      </c>
      <c r="I437" s="299"/>
    </row>
    <row r="438" spans="2:9" x14ac:dyDescent="0.25">
      <c r="B438" s="546">
        <v>42471</v>
      </c>
      <c r="C438" s="298">
        <v>9678</v>
      </c>
      <c r="D438" s="547">
        <v>17.2514</v>
      </c>
      <c r="E438" s="299">
        <v>11.67</v>
      </c>
      <c r="F438" s="299">
        <f t="shared" si="89"/>
        <v>-54016.789200000007</v>
      </c>
      <c r="G438" s="299">
        <f t="shared" si="90"/>
        <v>166959.04920000001</v>
      </c>
      <c r="H438" s="300">
        <f t="shared" si="88"/>
        <v>-0.32353316252593994</v>
      </c>
      <c r="I438" s="299"/>
    </row>
    <row r="439" spans="2:9" x14ac:dyDescent="0.25">
      <c r="B439" s="546">
        <v>42472</v>
      </c>
      <c r="C439" s="298">
        <v>8288</v>
      </c>
      <c r="D439" s="547">
        <v>17.96</v>
      </c>
      <c r="E439" s="299">
        <v>13.05</v>
      </c>
      <c r="F439" s="299">
        <f t="shared" si="89"/>
        <v>-40694.080000000002</v>
      </c>
      <c r="G439" s="299">
        <f t="shared" si="90"/>
        <v>148852.48000000001</v>
      </c>
      <c r="H439" s="300">
        <f t="shared" si="88"/>
        <v>-0.27338530066815142</v>
      </c>
      <c r="I439" s="299"/>
    </row>
    <row r="440" spans="2:9" x14ac:dyDescent="0.25">
      <c r="B440" s="546">
        <v>42473</v>
      </c>
      <c r="C440" s="298">
        <v>9258</v>
      </c>
      <c r="D440" s="547">
        <v>17.415800000000001</v>
      </c>
      <c r="E440" s="299">
        <v>12.92</v>
      </c>
      <c r="F440" s="299">
        <f t="shared" si="89"/>
        <v>-41622.116400000006</v>
      </c>
      <c r="G440" s="299">
        <f t="shared" si="90"/>
        <v>161235.47640000001</v>
      </c>
      <c r="H440" s="300">
        <f t="shared" si="88"/>
        <v>-0.2581449029042594</v>
      </c>
      <c r="I440" s="299"/>
    </row>
    <row r="441" spans="2:9" x14ac:dyDescent="0.25">
      <c r="B441" s="546">
        <v>42474</v>
      </c>
      <c r="C441" s="298">
        <v>9678</v>
      </c>
      <c r="D441" s="547">
        <v>17.2135</v>
      </c>
      <c r="E441" s="299">
        <v>13.11</v>
      </c>
      <c r="F441" s="299">
        <f t="shared" si="89"/>
        <v>-39713.673000000003</v>
      </c>
      <c r="G441" s="299">
        <f t="shared" si="90"/>
        <v>166592.253</v>
      </c>
      <c r="H441" s="300">
        <f t="shared" si="88"/>
        <v>-0.23838847416272113</v>
      </c>
      <c r="I441" s="299"/>
    </row>
    <row r="442" spans="2:9" x14ac:dyDescent="0.25">
      <c r="B442" s="546">
        <v>42474</v>
      </c>
      <c r="C442" s="298">
        <v>9178</v>
      </c>
      <c r="D442" s="547">
        <v>17.433299999999999</v>
      </c>
      <c r="E442" s="299">
        <v>13.11</v>
      </c>
      <c r="F442" s="299">
        <f t="shared" si="89"/>
        <v>-39679.2474</v>
      </c>
      <c r="G442" s="299">
        <f t="shared" si="90"/>
        <v>160002.82739999998</v>
      </c>
      <c r="H442" s="300">
        <f t="shared" si="88"/>
        <v>-0.24799091394056202</v>
      </c>
      <c r="I442" s="299"/>
    </row>
    <row r="443" spans="2:9" x14ac:dyDescent="0.25">
      <c r="B443" s="546">
        <v>42475</v>
      </c>
      <c r="C443" s="298">
        <v>9678</v>
      </c>
      <c r="D443" s="547">
        <v>17.205100000000002</v>
      </c>
      <c r="E443" s="299">
        <v>13.01</v>
      </c>
      <c r="F443" s="299">
        <f t="shared" si="89"/>
        <v>-40600.177800000019</v>
      </c>
      <c r="G443" s="299">
        <f t="shared" si="90"/>
        <v>166510.9578</v>
      </c>
      <c r="H443" s="300">
        <f t="shared" si="88"/>
        <v>-0.24382886469709572</v>
      </c>
      <c r="I443" s="299"/>
    </row>
    <row r="444" spans="2:9" x14ac:dyDescent="0.25">
      <c r="B444" s="546">
        <v>42478</v>
      </c>
      <c r="C444" s="298">
        <v>9178</v>
      </c>
      <c r="D444" s="547">
        <v>17.412400000000002</v>
      </c>
      <c r="E444" s="299">
        <v>13.36</v>
      </c>
      <c r="F444" s="299">
        <f t="shared" si="89"/>
        <v>-37192.92720000002</v>
      </c>
      <c r="G444" s="299">
        <f t="shared" si="90"/>
        <v>159811.00720000002</v>
      </c>
      <c r="H444" s="300">
        <f t="shared" si="88"/>
        <v>-0.232730697663734</v>
      </c>
      <c r="I444" s="299"/>
    </row>
    <row r="445" spans="2:9" x14ac:dyDescent="0.25">
      <c r="B445" s="546">
        <v>42484</v>
      </c>
      <c r="C445" s="319">
        <v>9178</v>
      </c>
      <c r="D445" s="548">
        <v>17.412400000000002</v>
      </c>
      <c r="E445" s="299">
        <v>14.34</v>
      </c>
      <c r="F445" s="299">
        <f t="shared" si="89"/>
        <v>-28198.487200000018</v>
      </c>
      <c r="G445" s="299">
        <f t="shared" si="90"/>
        <v>159811.00720000002</v>
      </c>
      <c r="H445" s="300">
        <f t="shared" si="88"/>
        <v>-0.17644896740254082</v>
      </c>
      <c r="I445" s="299"/>
    </row>
    <row r="446" spans="2:9" x14ac:dyDescent="0.25">
      <c r="B446" s="546">
        <v>42485</v>
      </c>
      <c r="C446" s="319">
        <v>9678</v>
      </c>
      <c r="D446" s="548">
        <v>17.233499999999999</v>
      </c>
      <c r="E446" s="299">
        <v>13.83</v>
      </c>
      <c r="F446" s="299">
        <f t="shared" si="89"/>
        <v>-32939.072999999997</v>
      </c>
      <c r="G446" s="299">
        <f t="shared" si="90"/>
        <v>166785.81299999999</v>
      </c>
      <c r="H446" s="300">
        <f t="shared" si="88"/>
        <v>-0.19749325441726867</v>
      </c>
      <c r="I446" s="299"/>
    </row>
    <row r="447" spans="2:9" x14ac:dyDescent="0.25">
      <c r="B447" s="546">
        <v>42486</v>
      </c>
      <c r="C447" s="298">
        <v>9178</v>
      </c>
      <c r="D447" s="547">
        <v>17.390599999999999</v>
      </c>
      <c r="E447" s="299">
        <v>14.44</v>
      </c>
      <c r="F447" s="299">
        <f t="shared" si="89"/>
        <v>-27080.606799999998</v>
      </c>
      <c r="G447" s="299">
        <f t="shared" si="90"/>
        <v>159610.92679999999</v>
      </c>
      <c r="H447" s="301">
        <f t="shared" si="88"/>
        <v>-0.16966637148804525</v>
      </c>
      <c r="I447" s="299"/>
    </row>
    <row r="448" spans="2:9" x14ac:dyDescent="0.25">
      <c r="B448" s="546">
        <v>42487</v>
      </c>
      <c r="C448" s="298">
        <v>9178</v>
      </c>
      <c r="D448" s="547">
        <v>17.376300000000001</v>
      </c>
      <c r="E448" s="299">
        <v>14.84</v>
      </c>
      <c r="F448" s="299">
        <f t="shared" si="89"/>
        <v>-23278.161400000005</v>
      </c>
      <c r="G448" s="299">
        <f t="shared" si="90"/>
        <v>159479.6814</v>
      </c>
      <c r="H448" s="301">
        <f t="shared" si="88"/>
        <v>-0.14596317973331496</v>
      </c>
      <c r="I448" s="299"/>
    </row>
    <row r="449" spans="2:9" x14ac:dyDescent="0.25">
      <c r="B449" s="546">
        <v>42488</v>
      </c>
      <c r="C449" s="298">
        <v>9678</v>
      </c>
      <c r="D449" s="547">
        <v>17.2287</v>
      </c>
      <c r="E449" s="299">
        <v>14.35</v>
      </c>
      <c r="F449" s="299">
        <f t="shared" si="89"/>
        <v>-27860.058600000004</v>
      </c>
      <c r="G449" s="299">
        <f t="shared" si="90"/>
        <v>166739.35860000001</v>
      </c>
      <c r="H449" s="301">
        <f t="shared" si="88"/>
        <v>-0.16708747612994598</v>
      </c>
      <c r="I449" s="299"/>
    </row>
    <row r="450" spans="2:9" x14ac:dyDescent="0.25">
      <c r="B450" s="546">
        <v>42489</v>
      </c>
      <c r="C450" s="298">
        <v>9678</v>
      </c>
      <c r="D450" s="547">
        <v>17.179200000000002</v>
      </c>
      <c r="E450" s="299">
        <v>14.09</v>
      </c>
      <c r="F450" s="299">
        <f t="shared" si="89"/>
        <v>-29897.277600000016</v>
      </c>
      <c r="G450" s="299">
        <f t="shared" si="90"/>
        <v>166260.29760000002</v>
      </c>
      <c r="H450" s="301">
        <f t="shared" si="88"/>
        <v>-0.17982211045916</v>
      </c>
      <c r="I450" s="299"/>
    </row>
    <row r="451" spans="2:9" x14ac:dyDescent="0.25">
      <c r="B451" s="546">
        <v>42492</v>
      </c>
      <c r="C451" s="298">
        <v>9678</v>
      </c>
      <c r="D451" s="547">
        <v>17.136399999999998</v>
      </c>
      <c r="E451" s="299">
        <v>13.55</v>
      </c>
      <c r="F451" s="299">
        <f t="shared" si="89"/>
        <v>-34709.179199999977</v>
      </c>
      <c r="G451" s="299">
        <f t="shared" si="90"/>
        <v>165846.07919999998</v>
      </c>
      <c r="H451" s="301">
        <f t="shared" si="88"/>
        <v>-0.20928549753740563</v>
      </c>
      <c r="I451" s="299"/>
    </row>
    <row r="452" spans="2:9" x14ac:dyDescent="0.25">
      <c r="B452" s="546">
        <v>42493</v>
      </c>
      <c r="C452" s="298">
        <v>9678</v>
      </c>
      <c r="D452" s="547">
        <v>17.1221</v>
      </c>
      <c r="E452" s="299">
        <v>12.79</v>
      </c>
      <c r="F452" s="299">
        <f t="shared" si="89"/>
        <v>-41926.063800000004</v>
      </c>
      <c r="G452" s="299">
        <f t="shared" si="90"/>
        <v>165707.6838</v>
      </c>
      <c r="H452" s="301">
        <f t="shared" si="88"/>
        <v>-0.25301218892542388</v>
      </c>
      <c r="I452" s="299"/>
    </row>
    <row r="453" spans="2:9" x14ac:dyDescent="0.25">
      <c r="B453" s="546">
        <v>42494</v>
      </c>
      <c r="C453" s="298">
        <v>11678</v>
      </c>
      <c r="D453" s="547">
        <v>16.316800000000001</v>
      </c>
      <c r="E453" s="299">
        <v>12.17</v>
      </c>
      <c r="F453" s="299">
        <f t="shared" si="89"/>
        <v>-48426.330400000006</v>
      </c>
      <c r="G453" s="299">
        <f t="shared" si="90"/>
        <v>190547.59040000002</v>
      </c>
      <c r="H453" s="301">
        <f t="shared" si="88"/>
        <v>-0.25414296920964896</v>
      </c>
      <c r="I453" s="299"/>
    </row>
    <row r="454" spans="2:9" x14ac:dyDescent="0.25">
      <c r="B454" s="546">
        <v>42495</v>
      </c>
      <c r="C454" s="298">
        <v>9678</v>
      </c>
      <c r="D454" s="547">
        <v>17.0684</v>
      </c>
      <c r="E454" s="299">
        <v>12.07</v>
      </c>
      <c r="F454" s="299">
        <f t="shared" si="89"/>
        <v>-48374.515200000002</v>
      </c>
      <c r="G454" s="299">
        <f t="shared" si="90"/>
        <v>165187.97520000002</v>
      </c>
      <c r="H454" s="300">
        <f t="shared" si="88"/>
        <v>-0.29284525790349419</v>
      </c>
      <c r="I454" s="299"/>
    </row>
    <row r="455" spans="2:9" x14ac:dyDescent="0.25">
      <c r="B455" s="546">
        <v>42499</v>
      </c>
      <c r="C455" s="298">
        <v>10678</v>
      </c>
      <c r="D455" s="547">
        <v>16.537600000000001</v>
      </c>
      <c r="E455" s="299">
        <v>11.44</v>
      </c>
      <c r="F455" s="299">
        <f t="shared" si="89"/>
        <v>-54432.172800000015</v>
      </c>
      <c r="G455" s="299">
        <f t="shared" si="90"/>
        <v>176588.49280000001</v>
      </c>
      <c r="H455" s="300">
        <f t="shared" si="88"/>
        <v>-0.30824303405572762</v>
      </c>
      <c r="I455" s="299"/>
    </row>
    <row r="456" spans="2:9" x14ac:dyDescent="0.25">
      <c r="B456" s="546">
        <v>42500</v>
      </c>
      <c r="C456" s="298">
        <v>9678</v>
      </c>
      <c r="D456" s="547">
        <v>17.042100000000001</v>
      </c>
      <c r="E456" s="299">
        <v>11.94</v>
      </c>
      <c r="F456" s="299">
        <f t="shared" si="89"/>
        <v>-49378.123800000016</v>
      </c>
      <c r="G456" s="299">
        <f t="shared" si="90"/>
        <v>164933.44380000001</v>
      </c>
      <c r="H456" s="300">
        <f t="shared" si="88"/>
        <v>-0.2993821184009014</v>
      </c>
      <c r="I456" s="299"/>
    </row>
    <row r="457" spans="2:9" x14ac:dyDescent="0.25">
      <c r="B457" s="546">
        <v>42502</v>
      </c>
      <c r="C457" s="298">
        <v>10678</v>
      </c>
      <c r="D457" s="547">
        <v>16.601800000000001</v>
      </c>
      <c r="E457" s="299">
        <v>12.33</v>
      </c>
      <c r="F457" s="299">
        <f t="shared" si="89"/>
        <v>-45614.280400000011</v>
      </c>
      <c r="G457" s="299">
        <f t="shared" si="90"/>
        <v>177274.02040000001</v>
      </c>
      <c r="H457" s="300">
        <f t="shared" si="88"/>
        <v>-0.25730944837306802</v>
      </c>
      <c r="I457" s="299"/>
    </row>
    <row r="458" spans="2:9" ht="15" customHeight="1" x14ac:dyDescent="0.25">
      <c r="B458" s="546">
        <v>42502</v>
      </c>
      <c r="C458" s="298">
        <v>9678</v>
      </c>
      <c r="D458" s="547">
        <v>17.0334</v>
      </c>
      <c r="E458" s="299">
        <v>12.33</v>
      </c>
      <c r="F458" s="299">
        <f t="shared" si="89"/>
        <v>-45519.5052</v>
      </c>
      <c r="G458" s="299">
        <f t="shared" si="90"/>
        <v>164849.2452</v>
      </c>
      <c r="H458" s="300">
        <f t="shared" si="88"/>
        <v>-0.27612807777660364</v>
      </c>
      <c r="I458" s="299"/>
    </row>
    <row r="459" spans="2:9" x14ac:dyDescent="0.25">
      <c r="B459" s="546">
        <v>42503</v>
      </c>
      <c r="C459" s="298">
        <v>9678</v>
      </c>
      <c r="D459" s="547">
        <v>17.029299999999999</v>
      </c>
      <c r="E459" s="299">
        <v>12.3</v>
      </c>
      <c r="F459" s="299">
        <f t="shared" si="89"/>
        <v>-45770.165399999983</v>
      </c>
      <c r="G459" s="299">
        <f t="shared" si="90"/>
        <v>164809.56539999999</v>
      </c>
      <c r="H459" s="300">
        <f t="shared" si="88"/>
        <v>-0.27771546687180321</v>
      </c>
      <c r="I459" s="299"/>
    </row>
    <row r="460" spans="2:9" x14ac:dyDescent="0.25">
      <c r="B460" s="546">
        <v>42506</v>
      </c>
      <c r="C460" s="298">
        <v>9678</v>
      </c>
      <c r="D460" s="547">
        <v>17.027699999999999</v>
      </c>
      <c r="E460" s="299">
        <v>12.78</v>
      </c>
      <c r="F460" s="299">
        <f t="shared" si="89"/>
        <v>-41109.240599999997</v>
      </c>
      <c r="G460" s="299">
        <f t="shared" si="90"/>
        <v>164794.08059999999</v>
      </c>
      <c r="H460" s="300">
        <f t="shared" si="88"/>
        <v>-0.24945823569830336</v>
      </c>
      <c r="I460" s="299"/>
    </row>
    <row r="461" spans="2:9" x14ac:dyDescent="0.25">
      <c r="B461" s="546">
        <v>42513</v>
      </c>
      <c r="C461" s="298">
        <v>9178</v>
      </c>
      <c r="D461" s="547">
        <v>17.244399999999999</v>
      </c>
      <c r="E461" s="299">
        <v>13.19</v>
      </c>
      <c r="F461" s="299">
        <f t="shared" si="89"/>
        <v>-37211.283199999991</v>
      </c>
      <c r="G461" s="299">
        <f t="shared" si="90"/>
        <v>158269.10319999998</v>
      </c>
      <c r="H461" s="300">
        <f t="shared" si="88"/>
        <v>-0.23511400802579385</v>
      </c>
      <c r="I461" s="299"/>
    </row>
    <row r="462" spans="2:9" x14ac:dyDescent="0.25">
      <c r="B462" s="546">
        <v>42514</v>
      </c>
      <c r="C462" s="298">
        <v>9678</v>
      </c>
      <c r="D462" s="547">
        <v>17.026</v>
      </c>
      <c r="E462" s="299">
        <v>13.02</v>
      </c>
      <c r="F462" s="299">
        <f t="shared" si="89"/>
        <v>-38770.067999999999</v>
      </c>
      <c r="G462" s="299">
        <f t="shared" si="90"/>
        <v>164777.628</v>
      </c>
      <c r="H462" s="300">
        <f t="shared" si="88"/>
        <v>-0.23528720779983556</v>
      </c>
      <c r="I462" s="299"/>
    </row>
    <row r="463" spans="2:9" x14ac:dyDescent="0.25">
      <c r="B463" s="546">
        <v>42515</v>
      </c>
      <c r="C463" s="298">
        <v>9178</v>
      </c>
      <c r="D463" s="547">
        <v>17.206800000000001</v>
      </c>
      <c r="E463" s="299">
        <v>13.54</v>
      </c>
      <c r="F463" s="299">
        <f t="shared" si="89"/>
        <v>-33653.890400000018</v>
      </c>
      <c r="G463" s="299">
        <f t="shared" si="90"/>
        <v>157924.0104</v>
      </c>
      <c r="H463" s="300">
        <f t="shared" si="88"/>
        <v>-0.21310179696399109</v>
      </c>
      <c r="I463" s="299"/>
    </row>
    <row r="464" spans="2:9" x14ac:dyDescent="0.25">
      <c r="B464" s="546">
        <v>42516</v>
      </c>
      <c r="C464" s="298">
        <v>9678</v>
      </c>
      <c r="D464" s="547">
        <v>17.003799999999998</v>
      </c>
      <c r="E464" s="299">
        <v>13.17</v>
      </c>
      <c r="F464" s="299">
        <f t="shared" si="89"/>
        <v>-37103.516399999986</v>
      </c>
      <c r="G464" s="299">
        <f t="shared" si="90"/>
        <v>164562.77639999997</v>
      </c>
      <c r="H464" s="300">
        <f t="shared" si="88"/>
        <v>-0.22546724849739463</v>
      </c>
      <c r="I464" s="299"/>
    </row>
    <row r="465" spans="2:9" x14ac:dyDescent="0.25">
      <c r="B465" s="546">
        <v>42517</v>
      </c>
      <c r="C465" s="298">
        <v>9678</v>
      </c>
      <c r="D465" s="547">
        <v>16.999700000000001</v>
      </c>
      <c r="E465" s="299">
        <v>12.9</v>
      </c>
      <c r="F465" s="299">
        <f t="shared" si="89"/>
        <v>-39676.8966</v>
      </c>
      <c r="G465" s="299">
        <f t="shared" si="90"/>
        <v>164523.09660000002</v>
      </c>
      <c r="H465" s="300">
        <f t="shared" si="88"/>
        <v>-0.2411630793484591</v>
      </c>
      <c r="I465" s="299"/>
    </row>
    <row r="466" spans="2:9" x14ac:dyDescent="0.25">
      <c r="B466" s="546">
        <v>42525</v>
      </c>
      <c r="C466" s="298">
        <v>9678</v>
      </c>
      <c r="D466" s="547">
        <v>16.9956</v>
      </c>
      <c r="E466" s="299">
        <v>13.32</v>
      </c>
      <c r="F466" s="299">
        <f t="shared" si="89"/>
        <v>-35572.456799999993</v>
      </c>
      <c r="G466" s="299">
        <f t="shared" si="90"/>
        <v>164483.41680000001</v>
      </c>
      <c r="H466" s="300">
        <f t="shared" si="88"/>
        <v>-0.21626773988561743</v>
      </c>
      <c r="I466" s="299"/>
    </row>
    <row r="467" spans="2:9" x14ac:dyDescent="0.25">
      <c r="B467" s="546">
        <v>42527</v>
      </c>
      <c r="C467" s="298">
        <v>8178</v>
      </c>
      <c r="D467" s="547">
        <v>17.568999999999999</v>
      </c>
      <c r="E467" s="299">
        <v>13.96</v>
      </c>
      <c r="F467" s="299">
        <f t="shared" si="89"/>
        <v>-29514.401999999984</v>
      </c>
      <c r="G467" s="299">
        <f t="shared" si="90"/>
        <v>143679.28200000001</v>
      </c>
      <c r="H467" s="300">
        <f t="shared" si="88"/>
        <v>-0.20541863509590746</v>
      </c>
      <c r="I467" s="299"/>
    </row>
    <row r="468" spans="2:9" x14ac:dyDescent="0.25">
      <c r="B468" s="546">
        <v>42528</v>
      </c>
      <c r="C468" s="298">
        <v>7678</v>
      </c>
      <c r="D468" s="547">
        <v>17.759599999999999</v>
      </c>
      <c r="E468" s="299">
        <v>14.62</v>
      </c>
      <c r="F468" s="299">
        <f t="shared" si="89"/>
        <v>-24105.848799999996</v>
      </c>
      <c r="G468" s="299">
        <f t="shared" si="90"/>
        <v>136358.20879999999</v>
      </c>
      <c r="H468" s="300">
        <f t="shared" si="88"/>
        <v>-0.17678326088425414</v>
      </c>
      <c r="I468" s="299"/>
    </row>
    <row r="469" spans="2:9" x14ac:dyDescent="0.25">
      <c r="B469" s="546">
        <v>42529</v>
      </c>
      <c r="C469" s="298">
        <v>8178</v>
      </c>
      <c r="D469" s="547">
        <v>17.5654</v>
      </c>
      <c r="E469" s="299">
        <v>14.53</v>
      </c>
      <c r="F469" s="299">
        <f t="shared" si="89"/>
        <v>-24823.50120000001</v>
      </c>
      <c r="G469" s="299">
        <f t="shared" si="90"/>
        <v>143649.8412</v>
      </c>
      <c r="H469" s="300">
        <f t="shared" si="88"/>
        <v>-0.17280562924840887</v>
      </c>
      <c r="I469" s="299"/>
    </row>
    <row r="470" spans="2:9" x14ac:dyDescent="0.25">
      <c r="B470" s="546">
        <v>42531</v>
      </c>
      <c r="C470" s="298">
        <v>8978</v>
      </c>
      <c r="D470" s="547">
        <v>17.1751</v>
      </c>
      <c r="E470" s="299">
        <v>13.42</v>
      </c>
      <c r="F470" s="299">
        <f t="shared" ref="F470:F478" si="91">C470*(E470-D470)</f>
        <v>-33713.287800000006</v>
      </c>
      <c r="G470" s="299">
        <f t="shared" ref="G470:G478" si="92">IF(C470=0, 0,D470*C470)</f>
        <v>154198.0478</v>
      </c>
      <c r="H470" s="300">
        <f t="shared" ref="H470:H478" si="93">IF(C470=0, D470, (E470-D470)/D470)</f>
        <v>-0.21863628159370255</v>
      </c>
      <c r="I470" s="299"/>
    </row>
    <row r="471" spans="2:9" x14ac:dyDescent="0.25">
      <c r="B471" s="546">
        <v>42531</v>
      </c>
      <c r="C471" s="319">
        <v>9278</v>
      </c>
      <c r="D471" s="548">
        <v>17.1052</v>
      </c>
      <c r="E471" s="299">
        <v>13.42</v>
      </c>
      <c r="F471" s="299">
        <f t="shared" si="91"/>
        <v>-34191.285600000003</v>
      </c>
      <c r="G471" s="299">
        <f t="shared" si="92"/>
        <v>158702.04560000001</v>
      </c>
      <c r="H471" s="300">
        <f t="shared" si="93"/>
        <v>-0.21544325702125669</v>
      </c>
      <c r="I471" s="299"/>
    </row>
    <row r="472" spans="2:9" x14ac:dyDescent="0.25">
      <c r="B472" s="546">
        <v>42532</v>
      </c>
      <c r="C472" s="298">
        <v>9278</v>
      </c>
      <c r="D472" s="547">
        <v>17.053000000000001</v>
      </c>
      <c r="E472" s="299">
        <v>13.42</v>
      </c>
      <c r="F472" s="299">
        <f t="shared" si="91"/>
        <v>-33706.974000000009</v>
      </c>
      <c r="G472" s="299">
        <f t="shared" si="92"/>
        <v>158217.734</v>
      </c>
      <c r="H472" s="300">
        <f t="shared" si="93"/>
        <v>-0.21304169354365804</v>
      </c>
      <c r="I472" s="299" t="s">
        <v>181</v>
      </c>
    </row>
    <row r="473" spans="2:9" x14ac:dyDescent="0.25">
      <c r="B473" s="546">
        <v>42535</v>
      </c>
      <c r="C473" s="298">
        <v>9678</v>
      </c>
      <c r="D473" s="547">
        <v>16.879300000000001</v>
      </c>
      <c r="E473" s="299">
        <v>13.23</v>
      </c>
      <c r="F473" s="299">
        <f t="shared" si="91"/>
        <v>-35317.9254</v>
      </c>
      <c r="G473" s="299">
        <f t="shared" si="92"/>
        <v>163357.86540000001</v>
      </c>
      <c r="H473" s="300">
        <f t="shared" si="93"/>
        <v>-0.21619972392220058</v>
      </c>
      <c r="I473" s="299" t="s">
        <v>213</v>
      </c>
    </row>
    <row r="474" spans="2:9" x14ac:dyDescent="0.25">
      <c r="B474" s="546">
        <v>42536</v>
      </c>
      <c r="C474" s="298">
        <v>9278</v>
      </c>
      <c r="D474" s="547">
        <v>17.027999999999999</v>
      </c>
      <c r="E474" s="299">
        <v>13.06</v>
      </c>
      <c r="F474" s="299">
        <f t="shared" si="91"/>
        <v>-36815.103999999985</v>
      </c>
      <c r="G474" s="299">
        <f t="shared" si="92"/>
        <v>157985.78399999999</v>
      </c>
      <c r="H474" s="300">
        <f t="shared" si="93"/>
        <v>-0.23302795395818643</v>
      </c>
      <c r="I474" s="299"/>
    </row>
    <row r="475" spans="2:9" x14ac:dyDescent="0.25">
      <c r="B475" s="546">
        <v>42537</v>
      </c>
      <c r="C475" s="319">
        <v>9278</v>
      </c>
      <c r="D475" s="548">
        <v>17.0168</v>
      </c>
      <c r="E475" s="299">
        <v>12.67</v>
      </c>
      <c r="F475" s="299">
        <f t="shared" si="91"/>
        <v>-40329.610399999998</v>
      </c>
      <c r="G475" s="299">
        <f t="shared" si="92"/>
        <v>157881.87039999999</v>
      </c>
      <c r="H475" s="300">
        <f t="shared" si="93"/>
        <v>-0.25544168116214566</v>
      </c>
      <c r="I475" s="299"/>
    </row>
    <row r="476" spans="2:9" x14ac:dyDescent="0.25">
      <c r="B476" s="546">
        <v>42538</v>
      </c>
      <c r="C476" s="319">
        <v>9278</v>
      </c>
      <c r="D476" s="548">
        <v>17.0061</v>
      </c>
      <c r="E476" s="299">
        <v>13.16</v>
      </c>
      <c r="F476" s="299">
        <f t="shared" si="91"/>
        <v>-35684.1158</v>
      </c>
      <c r="G476" s="299">
        <f t="shared" si="92"/>
        <v>157782.59580000001</v>
      </c>
      <c r="H476" s="300">
        <f t="shared" si="93"/>
        <v>-0.2261600249322302</v>
      </c>
      <c r="I476" s="299"/>
    </row>
    <row r="477" spans="2:9" x14ac:dyDescent="0.25">
      <c r="B477" s="546">
        <v>42541</v>
      </c>
      <c r="C477" s="298">
        <v>7678</v>
      </c>
      <c r="D477" s="547">
        <v>17.568000000000001</v>
      </c>
      <c r="E477" s="299">
        <v>14.48</v>
      </c>
      <c r="F477" s="299">
        <f t="shared" si="91"/>
        <v>-23709.664000000008</v>
      </c>
      <c r="G477" s="299">
        <f t="shared" si="92"/>
        <v>134887.10400000002</v>
      </c>
      <c r="H477" s="301">
        <f t="shared" si="93"/>
        <v>-0.17577413479052828</v>
      </c>
      <c r="I477" s="299"/>
    </row>
    <row r="478" spans="2:9" ht="15" customHeight="1" x14ac:dyDescent="0.25">
      <c r="B478" s="546">
        <v>42542</v>
      </c>
      <c r="C478" s="298">
        <v>6800</v>
      </c>
      <c r="D478" s="547">
        <v>17.892099999999999</v>
      </c>
      <c r="E478" s="299">
        <v>15.09</v>
      </c>
      <c r="F478" s="299">
        <f t="shared" si="91"/>
        <v>-19054.279999999995</v>
      </c>
      <c r="G478" s="299">
        <f t="shared" si="92"/>
        <v>121666.28</v>
      </c>
      <c r="H478" s="301">
        <f t="shared" si="93"/>
        <v>-0.15661101827063337</v>
      </c>
      <c r="I478" s="299"/>
    </row>
    <row r="479" spans="2:9" x14ac:dyDescent="0.25">
      <c r="B479" s="546">
        <v>42543</v>
      </c>
      <c r="C479" s="298">
        <v>7300</v>
      </c>
      <c r="D479" s="547">
        <v>17.6769</v>
      </c>
      <c r="E479" s="299">
        <v>14.75</v>
      </c>
      <c r="F479" s="299">
        <f t="shared" ref="F479:F487" si="94">C479*(E479-D479)</f>
        <v>-21366.37</v>
      </c>
      <c r="G479" s="299">
        <f t="shared" ref="G479:G487" si="95">IF(C479=0, 0,D479*C479)</f>
        <v>129041.37</v>
      </c>
      <c r="H479" s="301">
        <f t="shared" ref="H479:H487" si="96">IF(C479=0, D479, (E479-D479)/D479)</f>
        <v>-0.16557767481854849</v>
      </c>
      <c r="I479" s="299"/>
    </row>
    <row r="480" spans="2:9" x14ac:dyDescent="0.25">
      <c r="B480" s="546">
        <v>42544</v>
      </c>
      <c r="C480" s="298">
        <v>6800</v>
      </c>
      <c r="D480" s="547">
        <v>17.856100000000001</v>
      </c>
      <c r="E480" s="299">
        <v>15.27</v>
      </c>
      <c r="F480" s="299">
        <f t="shared" si="94"/>
        <v>-17585.480000000014</v>
      </c>
      <c r="G480" s="299">
        <f t="shared" si="95"/>
        <v>121421.48000000001</v>
      </c>
      <c r="H480" s="301">
        <f t="shared" si="96"/>
        <v>-0.1448300580753917</v>
      </c>
      <c r="I480" s="299"/>
    </row>
    <row r="481" spans="2:9" x14ac:dyDescent="0.25">
      <c r="B481" s="546">
        <v>42545</v>
      </c>
      <c r="C481" s="298">
        <v>7678</v>
      </c>
      <c r="D481" s="547">
        <v>17.462</v>
      </c>
      <c r="E481" s="299">
        <v>14.41</v>
      </c>
      <c r="F481" s="299">
        <f t="shared" si="94"/>
        <v>-23433.255999999998</v>
      </c>
      <c r="G481" s="299">
        <f t="shared" si="95"/>
        <v>134073.236</v>
      </c>
      <c r="H481" s="301">
        <f t="shared" si="96"/>
        <v>-0.17477952124613444</v>
      </c>
      <c r="I481" s="299"/>
    </row>
    <row r="482" spans="2:9" x14ac:dyDescent="0.25">
      <c r="B482" s="546">
        <v>42545</v>
      </c>
      <c r="C482" s="298">
        <v>8013</v>
      </c>
      <c r="D482" s="547">
        <v>17.32</v>
      </c>
      <c r="E482" s="299">
        <v>14.68</v>
      </c>
      <c r="F482" s="299">
        <f t="shared" si="94"/>
        <v>-21154.320000000003</v>
      </c>
      <c r="G482" s="299">
        <f t="shared" si="95"/>
        <v>138785.16</v>
      </c>
      <c r="H482" s="301">
        <f t="shared" si="96"/>
        <v>-0.15242494226327949</v>
      </c>
      <c r="I482" s="299"/>
    </row>
    <row r="483" spans="2:9" x14ac:dyDescent="0.25">
      <c r="B483" s="546">
        <v>42548</v>
      </c>
      <c r="C483" s="298">
        <v>8978</v>
      </c>
      <c r="D483" s="547">
        <v>16.943300000000001</v>
      </c>
      <c r="E483" s="299">
        <v>13.66</v>
      </c>
      <c r="F483" s="299">
        <f t="shared" si="94"/>
        <v>-29477.467400000005</v>
      </c>
      <c r="G483" s="299">
        <f t="shared" si="95"/>
        <v>152116.9474</v>
      </c>
      <c r="H483" s="301">
        <f t="shared" si="96"/>
        <v>-0.19378161279089673</v>
      </c>
      <c r="I483" s="299"/>
    </row>
    <row r="484" spans="2:9" x14ac:dyDescent="0.25">
      <c r="B484" s="546">
        <v>42548</v>
      </c>
      <c r="C484" s="298">
        <v>9278</v>
      </c>
      <c r="D484" s="547">
        <v>16.834599999999998</v>
      </c>
      <c r="E484" s="299">
        <v>13.66</v>
      </c>
      <c r="F484" s="299">
        <f t="shared" si="94"/>
        <v>-29453.938799999982</v>
      </c>
      <c r="G484" s="299">
        <f t="shared" si="95"/>
        <v>156191.41879999998</v>
      </c>
      <c r="H484" s="300">
        <f t="shared" si="96"/>
        <v>-0.18857590913951019</v>
      </c>
      <c r="I484" s="299"/>
    </row>
    <row r="485" spans="2:9" x14ac:dyDescent="0.25">
      <c r="B485" s="546">
        <v>42549</v>
      </c>
      <c r="C485" s="298">
        <v>8178</v>
      </c>
      <c r="D485" s="547">
        <v>17.124400000000001</v>
      </c>
      <c r="E485" s="299">
        <v>14.78</v>
      </c>
      <c r="F485" s="299">
        <f t="shared" si="94"/>
        <v>-19172.503200000017</v>
      </c>
      <c r="G485" s="299">
        <f t="shared" si="95"/>
        <v>140043.3432</v>
      </c>
      <c r="H485" s="300">
        <f t="shared" si="96"/>
        <v>-0.13690406671182651</v>
      </c>
      <c r="I485" s="299">
        <v>17</v>
      </c>
    </row>
    <row r="486" spans="2:9" x14ac:dyDescent="0.25">
      <c r="B486" s="546">
        <v>42552</v>
      </c>
      <c r="C486" s="298">
        <v>7678</v>
      </c>
      <c r="D486" s="547">
        <v>17.2315</v>
      </c>
      <c r="E486" s="299">
        <v>15.48</v>
      </c>
      <c r="F486" s="299">
        <f t="shared" si="94"/>
        <v>-13448.017</v>
      </c>
      <c r="G486" s="299">
        <f t="shared" si="95"/>
        <v>132303.45699999999</v>
      </c>
      <c r="H486" s="300">
        <f t="shared" si="96"/>
        <v>-0.1016452427240809</v>
      </c>
      <c r="I486" s="299">
        <v>17</v>
      </c>
    </row>
    <row r="487" spans="2:9" ht="15" customHeight="1" x14ac:dyDescent="0.25">
      <c r="B487" s="546">
        <v>42552</v>
      </c>
      <c r="C487" s="298">
        <v>7300</v>
      </c>
      <c r="D487" s="547">
        <v>17.313400000000001</v>
      </c>
      <c r="E487" s="299">
        <v>15.65</v>
      </c>
      <c r="F487" s="299">
        <f t="shared" si="94"/>
        <v>-12142.820000000009</v>
      </c>
      <c r="G487" s="299">
        <f t="shared" si="95"/>
        <v>126387.82</v>
      </c>
      <c r="H487" s="300">
        <f t="shared" si="96"/>
        <v>-9.6075871868032903E-2</v>
      </c>
      <c r="I487" s="299"/>
    </row>
    <row r="488" spans="2:9" x14ac:dyDescent="0.25">
      <c r="B488" s="546">
        <v>42552</v>
      </c>
      <c r="C488" s="298">
        <v>6800</v>
      </c>
      <c r="D488" s="547">
        <v>17.446100000000001</v>
      </c>
      <c r="E488" s="299">
        <v>15.7</v>
      </c>
      <c r="F488" s="299">
        <f t="shared" ref="F488:F509" si="97">C488*(E488-D488)</f>
        <v>-11873.480000000014</v>
      </c>
      <c r="G488" s="299">
        <f t="shared" ref="G488:G509" si="98">IF(C488=0, 0,D488*C488)</f>
        <v>118633.48000000001</v>
      </c>
      <c r="H488" s="300">
        <f t="shared" ref="H488:H509" si="99">IF(C488=0, D488, (E488-D488)/D488)</f>
        <v>-0.10008540590733757</v>
      </c>
      <c r="I488" s="299"/>
    </row>
    <row r="489" spans="2:9" x14ac:dyDescent="0.25">
      <c r="B489" s="546">
        <v>42552</v>
      </c>
      <c r="C489" s="298">
        <v>6000</v>
      </c>
      <c r="D489" s="547">
        <v>17.668199999999999</v>
      </c>
      <c r="E489" s="299">
        <v>15.68</v>
      </c>
      <c r="F489" s="299">
        <f t="shared" si="97"/>
        <v>-11929.199999999995</v>
      </c>
      <c r="G489" s="299">
        <f t="shared" si="98"/>
        <v>106009.2</v>
      </c>
      <c r="H489" s="300">
        <f t="shared" si="99"/>
        <v>-0.11252985589929926</v>
      </c>
      <c r="I489" s="299"/>
    </row>
    <row r="490" spans="2:9" x14ac:dyDescent="0.25">
      <c r="B490" s="546">
        <v>42556</v>
      </c>
      <c r="C490" s="298">
        <v>8178</v>
      </c>
      <c r="D490" s="547">
        <v>16.978899999999999</v>
      </c>
      <c r="E490" s="299">
        <v>14.72</v>
      </c>
      <c r="F490" s="299">
        <f t="shared" si="97"/>
        <v>-18473.284199999991</v>
      </c>
      <c r="G490" s="299">
        <f t="shared" si="98"/>
        <v>138853.4442</v>
      </c>
      <c r="H490" s="300">
        <f t="shared" si="99"/>
        <v>-0.13304159869013887</v>
      </c>
      <c r="I490" s="299">
        <v>16.75</v>
      </c>
    </row>
    <row r="491" spans="2:9" x14ac:dyDescent="0.25">
      <c r="B491" s="546">
        <v>42556</v>
      </c>
      <c r="C491" s="298">
        <v>8678</v>
      </c>
      <c r="D491" s="547">
        <v>16.843</v>
      </c>
      <c r="E491" s="299">
        <v>14.72</v>
      </c>
      <c r="F491" s="299">
        <f t="shared" si="97"/>
        <v>-18423.393999999993</v>
      </c>
      <c r="G491" s="299">
        <f t="shared" si="98"/>
        <v>146163.554</v>
      </c>
      <c r="H491" s="300">
        <f t="shared" si="99"/>
        <v>-0.12604642878347083</v>
      </c>
      <c r="I491" s="299"/>
    </row>
    <row r="492" spans="2:9" x14ac:dyDescent="0.25">
      <c r="B492" s="546">
        <v>42557</v>
      </c>
      <c r="C492" s="298">
        <v>8178</v>
      </c>
      <c r="D492" s="547">
        <v>16.960599999999999</v>
      </c>
      <c r="E492" s="299">
        <v>14.84</v>
      </c>
      <c r="F492" s="299">
        <f t="shared" si="97"/>
        <v>-17342.266799999998</v>
      </c>
      <c r="G492" s="299">
        <f t="shared" si="98"/>
        <v>138703.7868</v>
      </c>
      <c r="H492" s="300">
        <f t="shared" si="99"/>
        <v>-0.12503095409360515</v>
      </c>
      <c r="I492" s="299">
        <v>16.75</v>
      </c>
    </row>
    <row r="493" spans="2:9" x14ac:dyDescent="0.25">
      <c r="B493" s="546">
        <v>42557</v>
      </c>
      <c r="C493" s="298">
        <v>8678</v>
      </c>
      <c r="D493" s="547">
        <v>16.835000000000001</v>
      </c>
      <c r="E493" s="299">
        <v>14.84</v>
      </c>
      <c r="F493" s="299">
        <f t="shared" si="97"/>
        <v>-17312.610000000008</v>
      </c>
      <c r="G493" s="299">
        <f t="shared" si="98"/>
        <v>146094.13</v>
      </c>
      <c r="H493" s="300">
        <f t="shared" si="99"/>
        <v>-0.11850311850311855</v>
      </c>
      <c r="I493" s="299"/>
    </row>
    <row r="494" spans="2:9" x14ac:dyDescent="0.25">
      <c r="B494" s="546">
        <v>42559</v>
      </c>
      <c r="C494" s="298">
        <v>8678</v>
      </c>
      <c r="D494" s="547">
        <v>16.835000000000001</v>
      </c>
      <c r="E494" s="299">
        <v>14.92</v>
      </c>
      <c r="F494" s="299">
        <f t="shared" si="97"/>
        <v>-16618.370000000006</v>
      </c>
      <c r="G494" s="299">
        <f t="shared" si="98"/>
        <v>146094.13</v>
      </c>
      <c r="H494" s="300">
        <f t="shared" si="99"/>
        <v>-0.1137511137511138</v>
      </c>
      <c r="I494" s="299"/>
    </row>
    <row r="495" spans="2:9" x14ac:dyDescent="0.25">
      <c r="B495" s="546">
        <v>42562</v>
      </c>
      <c r="C495" s="298">
        <v>8678</v>
      </c>
      <c r="D495" s="547">
        <v>16.835000000000001</v>
      </c>
      <c r="E495" s="299">
        <v>14.69</v>
      </c>
      <c r="F495" s="299">
        <f t="shared" si="97"/>
        <v>-18614.310000000012</v>
      </c>
      <c r="G495" s="299">
        <f t="shared" si="98"/>
        <v>146094.13</v>
      </c>
      <c r="H495" s="300">
        <f t="shared" si="99"/>
        <v>-0.12741312741312749</v>
      </c>
      <c r="I495" s="299"/>
    </row>
    <row r="496" spans="2:9" x14ac:dyDescent="0.25">
      <c r="B496" s="546">
        <v>42563</v>
      </c>
      <c r="C496" s="298">
        <v>8678</v>
      </c>
      <c r="D496" s="547">
        <v>16.835000000000001</v>
      </c>
      <c r="E496" s="299">
        <v>15.6</v>
      </c>
      <c r="F496" s="299">
        <f t="shared" si="97"/>
        <v>-10717.330000000011</v>
      </c>
      <c r="G496" s="299">
        <f t="shared" si="98"/>
        <v>146094.13</v>
      </c>
      <c r="H496" s="300">
        <f t="shared" si="99"/>
        <v>-7.3359073359073421E-2</v>
      </c>
      <c r="I496" s="299"/>
    </row>
    <row r="497" spans="2:9" x14ac:dyDescent="0.25">
      <c r="B497" s="546">
        <v>42564</v>
      </c>
      <c r="C497" s="298">
        <v>8738</v>
      </c>
      <c r="D497" s="547">
        <v>16.816099999999999</v>
      </c>
      <c r="E497" s="299">
        <v>15.29</v>
      </c>
      <c r="F497" s="299">
        <f t="shared" si="97"/>
        <v>-13335.061799999996</v>
      </c>
      <c r="G497" s="299">
        <f t="shared" si="98"/>
        <v>146939.08179999999</v>
      </c>
      <c r="H497" s="300">
        <f t="shared" si="99"/>
        <v>-9.0752314745987453E-2</v>
      </c>
      <c r="I497" s="299"/>
    </row>
    <row r="498" spans="2:9" x14ac:dyDescent="0.25">
      <c r="B498" s="546">
        <v>42566</v>
      </c>
      <c r="C498" s="298">
        <v>8738</v>
      </c>
      <c r="D498" s="547">
        <v>16.816099999999999</v>
      </c>
      <c r="E498" s="299">
        <v>15.21</v>
      </c>
      <c r="F498" s="299">
        <f t="shared" si="97"/>
        <v>-14034.101799999982</v>
      </c>
      <c r="G498" s="299">
        <f t="shared" si="98"/>
        <v>146939.08179999999</v>
      </c>
      <c r="H498" s="300">
        <f t="shared" si="99"/>
        <v>-9.5509660384988079E-2</v>
      </c>
      <c r="I498" s="299"/>
    </row>
    <row r="499" spans="2:9" x14ac:dyDescent="0.25">
      <c r="B499" s="546">
        <v>42570</v>
      </c>
      <c r="C499" s="298">
        <v>9138</v>
      </c>
      <c r="D499" s="547">
        <v>16.733499999999999</v>
      </c>
      <c r="E499" s="299">
        <v>14.75</v>
      </c>
      <c r="F499" s="299">
        <f t="shared" si="97"/>
        <v>-18125.222999999994</v>
      </c>
      <c r="G499" s="299">
        <f t="shared" si="98"/>
        <v>152910.723</v>
      </c>
      <c r="H499" s="300">
        <f t="shared" si="99"/>
        <v>-0.1185346759494427</v>
      </c>
      <c r="I499" s="299"/>
    </row>
    <row r="500" spans="2:9" x14ac:dyDescent="0.25">
      <c r="B500" s="546">
        <v>42571</v>
      </c>
      <c r="C500" s="319">
        <v>9138</v>
      </c>
      <c r="D500" s="548">
        <v>16.7227</v>
      </c>
      <c r="E500" s="299">
        <v>14.84</v>
      </c>
      <c r="F500" s="299">
        <f t="shared" si="97"/>
        <v>-17204.112599999997</v>
      </c>
      <c r="G500" s="299">
        <f t="shared" si="98"/>
        <v>152812.03260000001</v>
      </c>
      <c r="H500" s="300">
        <f t="shared" si="99"/>
        <v>-0.11258349429218965</v>
      </c>
      <c r="I500" s="299"/>
    </row>
    <row r="501" spans="2:9" x14ac:dyDescent="0.25">
      <c r="B501" s="546">
        <v>42572</v>
      </c>
      <c r="C501" s="298">
        <v>9138</v>
      </c>
      <c r="D501" s="547">
        <v>16.718900000000001</v>
      </c>
      <c r="E501" s="299">
        <v>14.42</v>
      </c>
      <c r="F501" s="299">
        <f t="shared" si="97"/>
        <v>-21007.348200000015</v>
      </c>
      <c r="G501" s="299">
        <f t="shared" si="98"/>
        <v>152777.3082</v>
      </c>
      <c r="H501" s="300">
        <f t="shared" si="99"/>
        <v>-0.13750306539305823</v>
      </c>
      <c r="I501" s="299"/>
    </row>
    <row r="502" spans="2:9" x14ac:dyDescent="0.25">
      <c r="B502" s="546">
        <v>42573</v>
      </c>
      <c r="C502" s="298">
        <v>9278</v>
      </c>
      <c r="D502" s="547">
        <v>16.679099999999998</v>
      </c>
      <c r="E502" s="299">
        <v>14.11</v>
      </c>
      <c r="F502" s="299">
        <f t="shared" si="97"/>
        <v>-23836.109799999987</v>
      </c>
      <c r="G502" s="299">
        <f t="shared" si="98"/>
        <v>154748.68979999999</v>
      </c>
      <c r="H502" s="300">
        <f t="shared" si="99"/>
        <v>-0.15403109280476759</v>
      </c>
      <c r="I502" s="299"/>
    </row>
    <row r="503" spans="2:9" x14ac:dyDescent="0.25">
      <c r="B503" s="546">
        <v>42576</v>
      </c>
      <c r="C503" s="298">
        <v>9478</v>
      </c>
      <c r="D503" s="547">
        <v>16.613099999999999</v>
      </c>
      <c r="E503" s="299">
        <v>13.58</v>
      </c>
      <c r="F503" s="299">
        <f t="shared" si="97"/>
        <v>-28747.721799999992</v>
      </c>
      <c r="G503" s="299">
        <f t="shared" si="98"/>
        <v>157458.96179999999</v>
      </c>
      <c r="H503" s="300">
        <f t="shared" si="99"/>
        <v>-0.18257278894366491</v>
      </c>
      <c r="I503" s="299"/>
    </row>
    <row r="504" spans="2:9" x14ac:dyDescent="0.25">
      <c r="B504" s="546">
        <v>42577</v>
      </c>
      <c r="C504" s="319">
        <v>9278</v>
      </c>
      <c r="D504" s="548">
        <v>16.674199999999999</v>
      </c>
      <c r="E504" s="299">
        <v>13.78</v>
      </c>
      <c r="F504" s="299">
        <f t="shared" si="97"/>
        <v>-26852.387599999998</v>
      </c>
      <c r="G504" s="299">
        <f t="shared" si="98"/>
        <v>154703.22759999998</v>
      </c>
      <c r="H504" s="300">
        <f t="shared" si="99"/>
        <v>-0.17357354475776948</v>
      </c>
      <c r="I504" s="299">
        <v>16.53</v>
      </c>
    </row>
    <row r="505" spans="2:9" x14ac:dyDescent="0.25">
      <c r="B505" s="546">
        <v>42578</v>
      </c>
      <c r="C505" s="319">
        <v>9478</v>
      </c>
      <c r="D505" s="548">
        <v>16.6004</v>
      </c>
      <c r="E505" s="299">
        <v>13.13</v>
      </c>
      <c r="F505" s="299">
        <f t="shared" si="97"/>
        <v>-32892.451199999996</v>
      </c>
      <c r="G505" s="299">
        <f t="shared" si="98"/>
        <v>157338.5912</v>
      </c>
      <c r="H505" s="300">
        <f t="shared" si="99"/>
        <v>-0.20905520348907253</v>
      </c>
      <c r="I505" s="299"/>
    </row>
    <row r="506" spans="2:9" x14ac:dyDescent="0.25">
      <c r="B506" s="546">
        <v>42580</v>
      </c>
      <c r="C506" s="298">
        <v>9478</v>
      </c>
      <c r="D506" s="547">
        <v>16.599</v>
      </c>
      <c r="E506" s="299">
        <v>13.64</v>
      </c>
      <c r="F506" s="299">
        <f t="shared" si="97"/>
        <v>-28045.401999999998</v>
      </c>
      <c r="G506" s="299">
        <f t="shared" si="98"/>
        <v>157325.32200000001</v>
      </c>
      <c r="H506" s="301">
        <f t="shared" si="99"/>
        <v>-0.17826375082836313</v>
      </c>
      <c r="I506" s="299"/>
    </row>
    <row r="507" spans="2:9" x14ac:dyDescent="0.25">
      <c r="B507" s="546">
        <v>42580</v>
      </c>
      <c r="C507" s="298">
        <v>9278</v>
      </c>
      <c r="D507" s="547">
        <v>16.664000000000001</v>
      </c>
      <c r="E507" s="299">
        <v>13.64</v>
      </c>
      <c r="F507" s="299">
        <f t="shared" si="97"/>
        <v>-28056.67200000001</v>
      </c>
      <c r="G507" s="299">
        <f t="shared" si="98"/>
        <v>154608.592</v>
      </c>
      <c r="H507" s="301">
        <f t="shared" si="99"/>
        <v>-0.18146903504560732</v>
      </c>
      <c r="I507" s="299">
        <v>16.53</v>
      </c>
    </row>
    <row r="508" spans="2:9" x14ac:dyDescent="0.25">
      <c r="B508" s="546">
        <v>42583</v>
      </c>
      <c r="C508" s="298">
        <v>9478</v>
      </c>
      <c r="D508" s="547">
        <v>16.5871</v>
      </c>
      <c r="E508" s="299">
        <v>12.92</v>
      </c>
      <c r="F508" s="299">
        <f t="shared" si="97"/>
        <v>-34756.773799999995</v>
      </c>
      <c r="G508" s="299">
        <f t="shared" si="98"/>
        <v>157212.5338</v>
      </c>
      <c r="H508" s="301">
        <f t="shared" si="99"/>
        <v>-0.22108144280796521</v>
      </c>
      <c r="I508" s="299"/>
    </row>
    <row r="509" spans="2:9" x14ac:dyDescent="0.25">
      <c r="B509" s="546">
        <v>42584</v>
      </c>
      <c r="C509" s="298">
        <v>9678</v>
      </c>
      <c r="D509" s="547">
        <v>16.5063</v>
      </c>
      <c r="E509" s="299">
        <v>12.9</v>
      </c>
      <c r="F509" s="299">
        <f t="shared" si="97"/>
        <v>-34901.771399999991</v>
      </c>
      <c r="G509" s="299">
        <f t="shared" si="98"/>
        <v>159747.97140000001</v>
      </c>
      <c r="H509" s="301">
        <f t="shared" si="99"/>
        <v>-0.21848021664455386</v>
      </c>
      <c r="I509" s="299"/>
    </row>
    <row r="510" spans="2:9" x14ac:dyDescent="0.25">
      <c r="B510" s="546">
        <v>42585</v>
      </c>
      <c r="C510" s="298">
        <v>10078</v>
      </c>
      <c r="D510" s="547">
        <v>16.5063</v>
      </c>
      <c r="E510" s="299">
        <v>12.9</v>
      </c>
      <c r="F510" s="299">
        <f t="shared" ref="F510:F525" si="100">C510*(E510-D510)</f>
        <v>-36344.291399999995</v>
      </c>
      <c r="G510" s="299">
        <f t="shared" ref="G510:G525" si="101">IF(C510=0, 0,D510*C510)</f>
        <v>166350.4914</v>
      </c>
      <c r="H510" s="301">
        <f t="shared" ref="H510:H525" si="102">IF(C510=0, D510, (E510-D510)/D510)</f>
        <v>-0.21848021664455386</v>
      </c>
      <c r="I510" s="299"/>
    </row>
    <row r="511" spans="2:9" x14ac:dyDescent="0.25">
      <c r="B511" s="546">
        <v>42586</v>
      </c>
      <c r="C511" s="298">
        <v>9678</v>
      </c>
      <c r="D511" s="547">
        <v>16.489799999999999</v>
      </c>
      <c r="E511" s="299">
        <v>13.41</v>
      </c>
      <c r="F511" s="299">
        <f t="shared" si="100"/>
        <v>-29806.304399999986</v>
      </c>
      <c r="G511" s="299">
        <f t="shared" si="101"/>
        <v>159588.28439999997</v>
      </c>
      <c r="H511" s="301">
        <f t="shared" si="102"/>
        <v>-0.1867700032747516</v>
      </c>
      <c r="I511" s="299"/>
    </row>
    <row r="512" spans="2:9" ht="15" customHeight="1" x14ac:dyDescent="0.25">
      <c r="B512" s="546">
        <v>42586</v>
      </c>
      <c r="C512" s="298">
        <v>9278</v>
      </c>
      <c r="D512" s="547">
        <v>16.609200000000001</v>
      </c>
      <c r="E512" s="299">
        <v>13.66</v>
      </c>
      <c r="F512" s="299">
        <f t="shared" si="100"/>
        <v>-27362.67760000001</v>
      </c>
      <c r="G512" s="299">
        <f t="shared" si="101"/>
        <v>154100.15760000001</v>
      </c>
      <c r="H512" s="301">
        <f t="shared" si="102"/>
        <v>-0.17756424150470829</v>
      </c>
      <c r="I512" s="299">
        <v>16.53</v>
      </c>
    </row>
    <row r="513" spans="2:9" x14ac:dyDescent="0.25">
      <c r="B513" s="546">
        <v>42586</v>
      </c>
      <c r="C513" s="298">
        <v>9138</v>
      </c>
      <c r="D513" s="547">
        <v>16.6511</v>
      </c>
      <c r="E513" s="299">
        <v>13.87</v>
      </c>
      <c r="F513" s="299">
        <f t="shared" si="100"/>
        <v>-25413.691800000004</v>
      </c>
      <c r="G513" s="299">
        <f t="shared" si="101"/>
        <v>152157.7518</v>
      </c>
      <c r="H513" s="300">
        <f t="shared" si="102"/>
        <v>-0.1670219985466426</v>
      </c>
      <c r="I513" s="299"/>
    </row>
    <row r="514" spans="2:9" x14ac:dyDescent="0.25">
      <c r="B514" s="546">
        <v>42593</v>
      </c>
      <c r="C514" s="298">
        <v>8678</v>
      </c>
      <c r="D514" s="547">
        <v>16.760300000000001</v>
      </c>
      <c r="E514" s="299">
        <v>14.61</v>
      </c>
      <c r="F514" s="299">
        <f t="shared" si="100"/>
        <v>-18660.303400000012</v>
      </c>
      <c r="G514" s="299">
        <f t="shared" si="101"/>
        <v>145445.88340000002</v>
      </c>
      <c r="H514" s="300">
        <f t="shared" si="102"/>
        <v>-0.12829722618330228</v>
      </c>
      <c r="I514" s="299"/>
    </row>
    <row r="515" spans="2:9" x14ac:dyDescent="0.25">
      <c r="B515" s="546">
        <v>42597</v>
      </c>
      <c r="C515" s="298">
        <v>8678</v>
      </c>
      <c r="D515" s="547">
        <v>16.7471</v>
      </c>
      <c r="E515" s="299">
        <v>14.9</v>
      </c>
      <c r="F515" s="299">
        <f t="shared" si="100"/>
        <v>-16029.133799999994</v>
      </c>
      <c r="G515" s="299">
        <f t="shared" si="101"/>
        <v>145331.33379999999</v>
      </c>
      <c r="H515" s="300">
        <f t="shared" si="102"/>
        <v>-0.11029372249523794</v>
      </c>
      <c r="I515" s="299"/>
    </row>
    <row r="516" spans="2:9" x14ac:dyDescent="0.25">
      <c r="B516" s="546">
        <v>42598</v>
      </c>
      <c r="C516" s="298">
        <v>8178</v>
      </c>
      <c r="D516" s="547">
        <v>16.8429</v>
      </c>
      <c r="E516" s="299">
        <v>15.17</v>
      </c>
      <c r="F516" s="299">
        <f t="shared" si="100"/>
        <v>-13680.976200000003</v>
      </c>
      <c r="G516" s="299">
        <f t="shared" si="101"/>
        <v>137741.23620000001</v>
      </c>
      <c r="H516" s="300">
        <f t="shared" si="102"/>
        <v>-9.9323750660515728E-2</v>
      </c>
      <c r="I516" s="299">
        <v>16.75</v>
      </c>
    </row>
    <row r="517" spans="2:9" x14ac:dyDescent="0.25">
      <c r="B517" s="546">
        <v>42599</v>
      </c>
      <c r="C517" s="298">
        <v>7178</v>
      </c>
      <c r="D517" s="547">
        <v>17.009899999999998</v>
      </c>
      <c r="E517" s="299">
        <v>15.7</v>
      </c>
      <c r="F517" s="299">
        <f t="shared" si="100"/>
        <v>-9402.4621999999927</v>
      </c>
      <c r="G517" s="299">
        <f t="shared" si="101"/>
        <v>122097.06219999999</v>
      </c>
      <c r="H517" s="300">
        <f t="shared" si="102"/>
        <v>-7.7008095285686515E-2</v>
      </c>
      <c r="I517" s="299"/>
    </row>
    <row r="518" spans="2:9" x14ac:dyDescent="0.25">
      <c r="B518" s="546">
        <v>42600</v>
      </c>
      <c r="C518" s="298">
        <v>5500</v>
      </c>
      <c r="D518" s="547">
        <v>17.185600000000001</v>
      </c>
      <c r="E518" s="299">
        <v>16.68</v>
      </c>
      <c r="F518" s="299">
        <f t="shared" si="100"/>
        <v>-2780.8000000000065</v>
      </c>
      <c r="G518" s="299">
        <f t="shared" si="101"/>
        <v>94520.8</v>
      </c>
      <c r="H518" s="300">
        <f t="shared" si="102"/>
        <v>-2.9419979517735846E-2</v>
      </c>
      <c r="I518" s="299"/>
    </row>
    <row r="519" spans="2:9" x14ac:dyDescent="0.25">
      <c r="B519" s="546">
        <v>42601</v>
      </c>
      <c r="C519" s="298">
        <v>5000</v>
      </c>
      <c r="D519" s="547">
        <v>17.222200000000001</v>
      </c>
      <c r="E519" s="299">
        <v>16.8</v>
      </c>
      <c r="F519" s="299">
        <f t="shared" si="100"/>
        <v>-2111.0000000000005</v>
      </c>
      <c r="G519" s="299">
        <f t="shared" si="101"/>
        <v>86111</v>
      </c>
      <c r="H519" s="300">
        <f t="shared" si="102"/>
        <v>-2.4514870341768188E-2</v>
      </c>
      <c r="I519" s="299"/>
    </row>
    <row r="520" spans="2:9" x14ac:dyDescent="0.25">
      <c r="B520" s="546">
        <v>42604</v>
      </c>
      <c r="C520" s="298">
        <v>6000</v>
      </c>
      <c r="D520" s="547">
        <v>16.9651</v>
      </c>
      <c r="E520" s="299">
        <v>15.64</v>
      </c>
      <c r="F520" s="299">
        <f t="shared" si="100"/>
        <v>-7950.599999999994</v>
      </c>
      <c r="G520" s="299">
        <f t="shared" si="101"/>
        <v>101790.59999999999</v>
      </c>
      <c r="H520" s="300">
        <f t="shared" si="102"/>
        <v>-7.8107408739117312E-2</v>
      </c>
      <c r="I520" s="299"/>
    </row>
    <row r="521" spans="2:9" x14ac:dyDescent="0.25">
      <c r="B521" s="546">
        <v>42604</v>
      </c>
      <c r="C521" s="298">
        <v>6500</v>
      </c>
      <c r="D521" s="547">
        <v>16.850899999999999</v>
      </c>
      <c r="E521" s="299">
        <v>15.64</v>
      </c>
      <c r="F521" s="299">
        <f t="shared" si="100"/>
        <v>-7870.8499999999922</v>
      </c>
      <c r="G521" s="299">
        <f t="shared" si="101"/>
        <v>109530.84999999999</v>
      </c>
      <c r="H521" s="300">
        <f t="shared" si="102"/>
        <v>-7.1859663282079822E-2</v>
      </c>
      <c r="I521" s="299"/>
    </row>
    <row r="522" spans="2:9" x14ac:dyDescent="0.25">
      <c r="B522" s="546">
        <v>42605</v>
      </c>
      <c r="C522" s="298">
        <v>6000</v>
      </c>
      <c r="D522" s="547">
        <v>16.923500000000001</v>
      </c>
      <c r="E522" s="299">
        <v>16.43</v>
      </c>
      <c r="F522" s="299">
        <f t="shared" si="100"/>
        <v>-2961.0000000000055</v>
      </c>
      <c r="G522" s="299">
        <f t="shared" si="101"/>
        <v>101541</v>
      </c>
      <c r="H522" s="300">
        <f t="shared" si="102"/>
        <v>-2.9160634620498178E-2</v>
      </c>
      <c r="I522" s="299"/>
    </row>
    <row r="523" spans="2:9" x14ac:dyDescent="0.25">
      <c r="B523" s="546">
        <v>42605</v>
      </c>
      <c r="C523" s="298">
        <v>5500</v>
      </c>
      <c r="D523" s="547">
        <v>16.9848</v>
      </c>
      <c r="E523" s="299">
        <v>16.43</v>
      </c>
      <c r="F523" s="299">
        <f t="shared" si="100"/>
        <v>-3051.400000000001</v>
      </c>
      <c r="G523" s="299">
        <f t="shared" si="101"/>
        <v>93416.4</v>
      </c>
      <c r="H523" s="300">
        <f t="shared" si="102"/>
        <v>-3.266450002355048E-2</v>
      </c>
      <c r="I523" s="299"/>
    </row>
    <row r="524" spans="2:9" x14ac:dyDescent="0.25">
      <c r="B524" s="546">
        <v>42605</v>
      </c>
      <c r="C524" s="298">
        <v>5000</v>
      </c>
      <c r="D524" s="547">
        <v>17.035299999999999</v>
      </c>
      <c r="E524" s="299">
        <v>16.43</v>
      </c>
      <c r="F524" s="299">
        <f t="shared" si="100"/>
        <v>-3026.4999999999986</v>
      </c>
      <c r="G524" s="299">
        <f t="shared" si="101"/>
        <v>85176.5</v>
      </c>
      <c r="H524" s="300">
        <f t="shared" si="102"/>
        <v>-3.5532100990296606E-2</v>
      </c>
      <c r="I524" s="299"/>
    </row>
    <row r="525" spans="2:9" x14ac:dyDescent="0.25">
      <c r="B525" s="546">
        <v>42606</v>
      </c>
      <c r="C525" s="298">
        <v>5178</v>
      </c>
      <c r="D525" s="547">
        <v>17.0017</v>
      </c>
      <c r="E525" s="299">
        <v>16.059999999999999</v>
      </c>
      <c r="F525" s="299">
        <f t="shared" si="100"/>
        <v>-4876.1226000000042</v>
      </c>
      <c r="G525" s="299">
        <f t="shared" si="101"/>
        <v>88034.802599999995</v>
      </c>
      <c r="H525" s="300">
        <f t="shared" si="102"/>
        <v>-5.5388578789179958E-2</v>
      </c>
      <c r="I525" s="299"/>
    </row>
    <row r="526" spans="2:9" x14ac:dyDescent="0.25">
      <c r="B526" s="546">
        <v>42607</v>
      </c>
      <c r="C526" s="298">
        <v>5178</v>
      </c>
      <c r="D526" s="547">
        <v>17.0017</v>
      </c>
      <c r="E526" s="299">
        <v>16.010000000000002</v>
      </c>
      <c r="F526" s="299">
        <f>C526*(E526-D526)</f>
        <v>-5135.0225999999902</v>
      </c>
      <c r="G526" s="299">
        <f>IF(C526=0, 0,D526*C526)</f>
        <v>88034.802599999995</v>
      </c>
      <c r="H526" s="300">
        <f>IF(C526=0, D526, (E526-D526)/D526)</f>
        <v>-5.8329461171529789E-2</v>
      </c>
      <c r="I526" s="299"/>
    </row>
    <row r="527" spans="2:9" x14ac:dyDescent="0.25">
      <c r="B527" s="546">
        <v>42608</v>
      </c>
      <c r="C527" s="298">
        <v>6178</v>
      </c>
      <c r="D527" s="547">
        <v>16.825800000000001</v>
      </c>
      <c r="E527" s="299">
        <v>15.95</v>
      </c>
      <c r="F527" s="299">
        <f>C527*(E527-D527)</f>
        <v>-5410.6924000000108</v>
      </c>
      <c r="G527" s="299">
        <f>IF(C527=0, 0,D527*C527)</f>
        <v>103949.79240000001</v>
      </c>
      <c r="H527" s="300">
        <f>IF(C527=0, D527, (E527-D527)/D527)</f>
        <v>-5.2051016890727435E-2</v>
      </c>
      <c r="I527" s="299"/>
    </row>
    <row r="528" spans="2:9" x14ac:dyDescent="0.25">
      <c r="B528" s="546">
        <v>42611</v>
      </c>
      <c r="C528" s="298">
        <v>6178</v>
      </c>
      <c r="D528" s="547">
        <v>16.825800000000001</v>
      </c>
      <c r="E528" s="299">
        <v>15.99</v>
      </c>
      <c r="F528" s="299">
        <f t="shared" ref="F528:F533" si="103">C528*(E528-D528)</f>
        <v>-5163.5724000000046</v>
      </c>
      <c r="G528" s="299">
        <f t="shared" ref="G528:G533" si="104">IF(C528=0, 0,D528*C528)</f>
        <v>103949.79240000001</v>
      </c>
      <c r="H528" s="300">
        <f t="shared" ref="H528:H533" si="105">IF(C528=0, D528, (E528-D528)/D528)</f>
        <v>-4.9673715365688452E-2</v>
      </c>
      <c r="I528" s="299"/>
    </row>
    <row r="529" spans="2:9" x14ac:dyDescent="0.25">
      <c r="B529" s="546">
        <v>42612</v>
      </c>
      <c r="C529" s="298">
        <v>6678</v>
      </c>
      <c r="D529" s="547">
        <v>16.739999999999998</v>
      </c>
      <c r="E529" s="299">
        <v>15.55</v>
      </c>
      <c r="F529" s="377">
        <f t="shared" si="103"/>
        <v>-7946.8199999999852</v>
      </c>
      <c r="G529" s="299">
        <f t="shared" si="104"/>
        <v>111789.71999999999</v>
      </c>
      <c r="H529" s="301">
        <f t="shared" si="105"/>
        <v>-7.1087216248506446E-2</v>
      </c>
      <c r="I529" s="318"/>
    </row>
    <row r="530" spans="2:9" x14ac:dyDescent="0.25">
      <c r="B530" s="546">
        <v>42612</v>
      </c>
      <c r="C530" s="298">
        <v>7178</v>
      </c>
      <c r="D530" s="547">
        <v>16.6571</v>
      </c>
      <c r="E530" s="299">
        <v>15.55</v>
      </c>
      <c r="F530" s="299">
        <f t="shared" si="103"/>
        <v>-7946.7637999999934</v>
      </c>
      <c r="G530" s="299">
        <f t="shared" si="104"/>
        <v>119564.66379999999</v>
      </c>
      <c r="H530" s="300">
        <f t="shared" si="105"/>
        <v>-6.6464150422342369E-2</v>
      </c>
      <c r="I530" s="299"/>
    </row>
    <row r="531" spans="2:9" x14ac:dyDescent="0.25">
      <c r="B531" s="546">
        <v>42613</v>
      </c>
      <c r="C531" s="298">
        <v>7678</v>
      </c>
      <c r="D531" s="547">
        <v>16.565200000000001</v>
      </c>
      <c r="E531" s="299">
        <v>15.02</v>
      </c>
      <c r="F531" s="299">
        <f t="shared" si="103"/>
        <v>-11864.04560000001</v>
      </c>
      <c r="G531" s="299">
        <f t="shared" si="104"/>
        <v>127187.60560000001</v>
      </c>
      <c r="H531" s="300">
        <f t="shared" si="105"/>
        <v>-9.3279887957887692E-2</v>
      </c>
      <c r="I531" s="299" t="s">
        <v>252</v>
      </c>
    </row>
    <row r="532" spans="2:9" x14ac:dyDescent="0.25">
      <c r="B532" s="546">
        <v>42613</v>
      </c>
      <c r="C532" s="298">
        <v>8178</v>
      </c>
      <c r="D532" s="547">
        <v>16.474399999999999</v>
      </c>
      <c r="E532" s="299">
        <v>15.02</v>
      </c>
      <c r="F532" s="299">
        <f t="shared" si="103"/>
        <v>-11894.083199999997</v>
      </c>
      <c r="G532" s="299">
        <f t="shared" si="104"/>
        <v>134727.64319999999</v>
      </c>
      <c r="H532" s="300">
        <f t="shared" si="105"/>
        <v>-8.8282426067110162E-2</v>
      </c>
      <c r="I532" s="299" t="s">
        <v>253</v>
      </c>
    </row>
    <row r="533" spans="2:9" x14ac:dyDescent="0.25">
      <c r="B533" s="546">
        <v>42615</v>
      </c>
      <c r="C533" s="298">
        <v>7678</v>
      </c>
      <c r="D533" s="547">
        <v>16.528099999999998</v>
      </c>
      <c r="E533" s="299">
        <v>15.49</v>
      </c>
      <c r="F533" s="299">
        <f t="shared" si="103"/>
        <v>-7970.5317999999861</v>
      </c>
      <c r="G533" s="299">
        <f t="shared" si="104"/>
        <v>126902.75179999998</v>
      </c>
      <c r="H533" s="300">
        <f t="shared" si="105"/>
        <v>-6.2808187268953986E-2</v>
      </c>
      <c r="I533" s="299">
        <v>16.350000000000001</v>
      </c>
    </row>
    <row r="534" spans="2:9" x14ac:dyDescent="0.25">
      <c r="B534" s="546">
        <v>42616</v>
      </c>
      <c r="C534" s="298">
        <v>7678</v>
      </c>
      <c r="D534" s="547">
        <v>16.528099999999998</v>
      </c>
      <c r="E534" s="299">
        <v>15.64</v>
      </c>
      <c r="F534" s="299">
        <f>C534*(E534-D534)</f>
        <v>-6818.8317999999836</v>
      </c>
      <c r="G534" s="299">
        <f>IF(C534=0, 0,D534*C534)</f>
        <v>126902.75179999998</v>
      </c>
      <c r="H534" s="300">
        <f>IF(C534=0, D534, (E534-D534)/D534)</f>
        <v>-5.3732733950060681E-2</v>
      </c>
      <c r="I534" s="299"/>
    </row>
    <row r="535" spans="2:9" x14ac:dyDescent="0.25">
      <c r="B535" s="546">
        <v>42621</v>
      </c>
      <c r="C535" s="298">
        <v>7178</v>
      </c>
      <c r="D535" s="547">
        <v>16.545400000000001</v>
      </c>
      <c r="E535" s="299">
        <v>16.739999999999998</v>
      </c>
      <c r="F535" s="299">
        <f>C535*(E535-D535)</f>
        <v>1396.8387999999832</v>
      </c>
      <c r="G535" s="299">
        <f>IF(C535=0, 0,D535*C535)</f>
        <v>118762.8812</v>
      </c>
      <c r="H535" s="300">
        <f>IF(C535=0, D535, (E535-D535)/D535)</f>
        <v>1.1761577235968768E-2</v>
      </c>
      <c r="I535" s="299"/>
    </row>
    <row r="536" spans="2:9" x14ac:dyDescent="0.25">
      <c r="B536" s="546">
        <v>42621</v>
      </c>
      <c r="C536" s="319">
        <v>6678</v>
      </c>
      <c r="D536" s="548">
        <v>16.532299999999999</v>
      </c>
      <c r="E536" s="299">
        <v>16.739999999999998</v>
      </c>
      <c r="F536" s="299">
        <f>C536*(E536-D536)</f>
        <v>1387.0205999999941</v>
      </c>
      <c r="G536" s="299">
        <f>IF(C536=0, 0,D536*C536)</f>
        <v>110402.6994</v>
      </c>
      <c r="H536" s="300">
        <f>IF(C536=0, D536, (E536-D536)/D536)</f>
        <v>1.256328520532528E-2</v>
      </c>
      <c r="I536" s="299"/>
    </row>
    <row r="537" spans="2:9" x14ac:dyDescent="0.25">
      <c r="B537" s="546">
        <v>42621</v>
      </c>
      <c r="C537" s="298">
        <v>6458</v>
      </c>
      <c r="D537" s="547">
        <v>16.524263999999999</v>
      </c>
      <c r="E537" s="299">
        <v>16.739999999999998</v>
      </c>
      <c r="F537" s="299">
        <f>C537*(E537-D537)</f>
        <v>1393.2230879999981</v>
      </c>
      <c r="G537" s="299">
        <f>IF(C537=0, 0,D537*C537)</f>
        <v>106713.69691199998</v>
      </c>
      <c r="H537" s="300">
        <f>IF(C537=0, D537, (E537-D537)/D537)</f>
        <v>1.3055710075801242E-2</v>
      </c>
      <c r="I537" s="299"/>
    </row>
    <row r="538" spans="2:9" x14ac:dyDescent="0.25">
      <c r="B538" s="546">
        <v>42622</v>
      </c>
      <c r="C538" s="298">
        <v>7178</v>
      </c>
      <c r="D538" s="547">
        <v>16.477945999999999</v>
      </c>
      <c r="E538" s="299">
        <v>15.67</v>
      </c>
      <c r="F538" s="299">
        <f>C538*(E538-D538)</f>
        <v>-5799.4363879999955</v>
      </c>
      <c r="G538" s="299">
        <f>IF(C538=0, 0,D538*C538)</f>
        <v>118278.696388</v>
      </c>
      <c r="H538" s="300">
        <f>IF(C538=0, D538, (E538-D538)/D538)</f>
        <v>-4.9031960658203359E-2</v>
      </c>
      <c r="I538" s="299"/>
    </row>
    <row r="539" spans="2:9" x14ac:dyDescent="0.25">
      <c r="B539" s="546">
        <v>42622</v>
      </c>
      <c r="C539" s="298">
        <v>7678</v>
      </c>
      <c r="D539" s="547">
        <v>16.430541999999999</v>
      </c>
      <c r="E539" s="299">
        <v>15.67</v>
      </c>
      <c r="F539" s="299">
        <f t="shared" ref="F539:F545" si="106">C539*(E539-D539)</f>
        <v>-5839.4414759999936</v>
      </c>
      <c r="G539" s="299">
        <f t="shared" ref="G539:G545" si="107">IF(C539=0, 0,D539*C539)</f>
        <v>126153.70147599999</v>
      </c>
      <c r="H539" s="300">
        <f t="shared" ref="H539:H545" si="108">IF(C539=0, D539, (E539-D539)/D539)</f>
        <v>-4.6288308687564853E-2</v>
      </c>
      <c r="I539" s="299">
        <v>16.350000000000001</v>
      </c>
    </row>
    <row r="540" spans="2:9" x14ac:dyDescent="0.25">
      <c r="B540" s="546">
        <v>42625</v>
      </c>
      <c r="C540" s="319">
        <v>7678</v>
      </c>
      <c r="D540" s="548">
        <v>16.412330000000001</v>
      </c>
      <c r="E540" s="299">
        <v>15.47</v>
      </c>
      <c r="F540" s="299">
        <f t="shared" si="106"/>
        <v>-7235.2097400000011</v>
      </c>
      <c r="G540" s="299">
        <f t="shared" si="107"/>
        <v>126013.86974000001</v>
      </c>
      <c r="H540" s="300">
        <f t="shared" si="108"/>
        <v>-5.7415979327737135E-2</v>
      </c>
      <c r="I540" s="299"/>
    </row>
    <row r="541" spans="2:9" x14ac:dyDescent="0.25">
      <c r="B541" s="546">
        <v>42625</v>
      </c>
      <c r="C541" s="319">
        <v>7678</v>
      </c>
      <c r="D541" s="548">
        <v>16.355817999999999</v>
      </c>
      <c r="E541" s="299">
        <v>15.47</v>
      </c>
      <c r="F541" s="299">
        <f t="shared" si="106"/>
        <v>-6801.3106039999893</v>
      </c>
      <c r="G541" s="299">
        <f t="shared" si="107"/>
        <v>125579.970604</v>
      </c>
      <c r="H541" s="300">
        <f t="shared" si="108"/>
        <v>-5.4159198885680847E-2</v>
      </c>
      <c r="I541" s="299" t="s">
        <v>267</v>
      </c>
    </row>
    <row r="542" spans="2:9" x14ac:dyDescent="0.25">
      <c r="B542" s="546">
        <v>42626</v>
      </c>
      <c r="C542" s="298">
        <v>8278</v>
      </c>
      <c r="D542" s="547">
        <v>16.25066</v>
      </c>
      <c r="E542" s="299">
        <v>14.34</v>
      </c>
      <c r="F542" s="299">
        <f t="shared" si="106"/>
        <v>-15816.44348</v>
      </c>
      <c r="G542" s="299">
        <f t="shared" si="107"/>
        <v>134522.96348000001</v>
      </c>
      <c r="H542" s="301">
        <f t="shared" si="108"/>
        <v>-0.11757430159759666</v>
      </c>
      <c r="I542" s="299"/>
    </row>
    <row r="543" spans="2:9" x14ac:dyDescent="0.25">
      <c r="B543" s="546">
        <v>42626</v>
      </c>
      <c r="C543" s="298">
        <v>8678</v>
      </c>
      <c r="D543" s="547">
        <v>16.18149</v>
      </c>
      <c r="E543" s="299">
        <v>14.34</v>
      </c>
      <c r="F543" s="299">
        <f t="shared" si="106"/>
        <v>-15980.450220000002</v>
      </c>
      <c r="G543" s="299">
        <f t="shared" si="107"/>
        <v>140422.97021999999</v>
      </c>
      <c r="H543" s="301">
        <f t="shared" si="108"/>
        <v>-0.11380225183218605</v>
      </c>
      <c r="I543" s="299"/>
    </row>
    <row r="544" spans="2:9" x14ac:dyDescent="0.25">
      <c r="B544" s="546">
        <v>42626</v>
      </c>
      <c r="C544" s="298">
        <v>8978</v>
      </c>
      <c r="D544" s="547">
        <v>16.124635000000001</v>
      </c>
      <c r="E544" s="299">
        <v>14.34</v>
      </c>
      <c r="F544" s="299">
        <f t="shared" si="106"/>
        <v>-16022.453030000013</v>
      </c>
      <c r="G544" s="299">
        <f t="shared" si="107"/>
        <v>144766.97303000002</v>
      </c>
      <c r="H544" s="301">
        <f t="shared" si="108"/>
        <v>-0.11067754401882594</v>
      </c>
      <c r="I544" s="299"/>
    </row>
    <row r="545" spans="2:9" x14ac:dyDescent="0.25">
      <c r="B545" s="546">
        <v>42626</v>
      </c>
      <c r="C545" s="298">
        <v>9278</v>
      </c>
      <c r="D545" s="547">
        <v>16.064019999999999</v>
      </c>
      <c r="E545" s="299">
        <v>14.34</v>
      </c>
      <c r="F545" s="299">
        <f t="shared" si="106"/>
        <v>-15995.457559999995</v>
      </c>
      <c r="G545" s="299">
        <f t="shared" si="107"/>
        <v>149041.97756</v>
      </c>
      <c r="H545" s="301">
        <f t="shared" si="108"/>
        <v>-0.10732182853357998</v>
      </c>
      <c r="I545" s="299" t="s">
        <v>268</v>
      </c>
    </row>
    <row r="546" spans="2:9" x14ac:dyDescent="0.25">
      <c r="B546" s="546">
        <v>42627</v>
      </c>
      <c r="C546" s="298">
        <v>9478</v>
      </c>
      <c r="D546" s="547">
        <v>16.020790999999999</v>
      </c>
      <c r="E546" s="299">
        <v>14.01</v>
      </c>
      <c r="F546" s="299">
        <f t="shared" ref="F546:F553" si="109">C546*(E546-D546)</f>
        <v>-19058.277097999995</v>
      </c>
      <c r="G546" s="299">
        <f t="shared" ref="G546:G553" si="110">IF(C546=0, 0,D546*C546)</f>
        <v>151845.05709799999</v>
      </c>
      <c r="H546" s="301">
        <f t="shared" ref="H546:H553" si="111">IF(C546=0, D546, (E546-D546)/D546)</f>
        <v>-0.1255113433537707</v>
      </c>
      <c r="I546" s="299"/>
    </row>
    <row r="547" spans="2:9" x14ac:dyDescent="0.25">
      <c r="B547" s="546">
        <v>42628</v>
      </c>
      <c r="C547" s="298">
        <v>9478</v>
      </c>
      <c r="D547" s="547">
        <v>16.015726999999998</v>
      </c>
      <c r="E547" s="299">
        <v>14.26</v>
      </c>
      <c r="F547" s="299">
        <f t="shared" si="109"/>
        <v>-16640.780505999985</v>
      </c>
      <c r="G547" s="299">
        <f t="shared" si="110"/>
        <v>151797.06050599998</v>
      </c>
      <c r="H547" s="301">
        <f t="shared" si="111"/>
        <v>-0.1096251827968845</v>
      </c>
      <c r="I547" s="299"/>
    </row>
    <row r="548" spans="2:9" x14ac:dyDescent="0.25">
      <c r="B548" s="546">
        <v>42629</v>
      </c>
      <c r="C548" s="298">
        <v>9478</v>
      </c>
      <c r="D548" s="547">
        <v>16.015726999999998</v>
      </c>
      <c r="E548" s="299">
        <v>14.24</v>
      </c>
      <c r="F548" s="299">
        <f t="shared" si="109"/>
        <v>-16830.340505999982</v>
      </c>
      <c r="G548" s="299">
        <f t="shared" si="110"/>
        <v>151797.06050599998</v>
      </c>
      <c r="H548" s="301">
        <f t="shared" si="111"/>
        <v>-0.1108739553315312</v>
      </c>
      <c r="I548" s="299"/>
    </row>
    <row r="549" spans="2:9" x14ac:dyDescent="0.25">
      <c r="B549" s="546">
        <v>42632</v>
      </c>
      <c r="C549" s="298">
        <v>9678</v>
      </c>
      <c r="D549" s="547">
        <v>15.975311</v>
      </c>
      <c r="E549" s="299">
        <v>14.09</v>
      </c>
      <c r="F549" s="299">
        <f t="shared" si="109"/>
        <v>-18246.039857999996</v>
      </c>
      <c r="G549" s="299">
        <f t="shared" si="110"/>
        <v>154609.05985799999</v>
      </c>
      <c r="H549" s="300">
        <f t="shared" si="111"/>
        <v>-0.11801404054043141</v>
      </c>
      <c r="I549" s="299"/>
    </row>
    <row r="550" spans="2:9" x14ac:dyDescent="0.25">
      <c r="B550" s="546">
        <v>42633</v>
      </c>
      <c r="C550" s="298">
        <v>9878</v>
      </c>
      <c r="D550" s="547">
        <v>15.937544000000001</v>
      </c>
      <c r="E550" s="299">
        <v>13.87</v>
      </c>
      <c r="F550" s="299">
        <f t="shared" si="109"/>
        <v>-20423.199632000014</v>
      </c>
      <c r="G550" s="299">
        <f t="shared" si="110"/>
        <v>157431.05963200002</v>
      </c>
      <c r="H550" s="300">
        <f t="shared" si="111"/>
        <v>-0.12972789282966068</v>
      </c>
      <c r="I550" s="299"/>
    </row>
    <row r="551" spans="2:9" x14ac:dyDescent="0.25">
      <c r="B551" s="546">
        <v>42633</v>
      </c>
      <c r="C551" s="298">
        <v>10000</v>
      </c>
      <c r="D551" s="547">
        <v>15.915126000000001</v>
      </c>
      <c r="E551" s="299">
        <v>13.87</v>
      </c>
      <c r="F551" s="299">
        <f t="shared" si="109"/>
        <v>-20451.260000000017</v>
      </c>
      <c r="G551" s="299">
        <f t="shared" si="110"/>
        <v>159151.26</v>
      </c>
      <c r="H551" s="300">
        <f t="shared" si="111"/>
        <v>-0.12850203008132022</v>
      </c>
      <c r="I551" s="299"/>
    </row>
    <row r="552" spans="2:9" x14ac:dyDescent="0.25">
      <c r="B552" s="546">
        <v>42634</v>
      </c>
      <c r="C552" s="298">
        <v>9678</v>
      </c>
      <c r="D552" s="547">
        <v>15.969538999999999</v>
      </c>
      <c r="E552" s="299">
        <v>14.65</v>
      </c>
      <c r="F552" s="299">
        <f t="shared" si="109"/>
        <v>-12770.498441999989</v>
      </c>
      <c r="G552" s="299">
        <f t="shared" si="110"/>
        <v>154553.19844199999</v>
      </c>
      <c r="H552" s="300">
        <f t="shared" si="111"/>
        <v>-8.2628496664806608E-2</v>
      </c>
      <c r="I552" s="299"/>
    </row>
    <row r="553" spans="2:9" x14ac:dyDescent="0.25">
      <c r="B553" s="546">
        <v>42634</v>
      </c>
      <c r="C553" s="298">
        <v>9278</v>
      </c>
      <c r="D553" s="547">
        <v>16.026872999999998</v>
      </c>
      <c r="E553" s="299">
        <v>14.65</v>
      </c>
      <c r="F553" s="299">
        <f t="shared" si="109"/>
        <v>-12774.627693999981</v>
      </c>
      <c r="G553" s="299">
        <f t="shared" si="110"/>
        <v>148697.32769399998</v>
      </c>
      <c r="H553" s="300">
        <f t="shared" si="111"/>
        <v>-8.5910270830747718E-2</v>
      </c>
      <c r="I553" s="299">
        <v>16</v>
      </c>
    </row>
    <row r="554" spans="2:9" x14ac:dyDescent="0.25">
      <c r="B554" s="546">
        <v>42635</v>
      </c>
      <c r="C554" s="298">
        <v>9278</v>
      </c>
      <c r="D554" s="547">
        <v>16.026872999999998</v>
      </c>
      <c r="E554" s="299">
        <v>14.87</v>
      </c>
      <c r="F554" s="299">
        <f t="shared" ref="F554:F565" si="112">C554*(E554-D554)</f>
        <v>-10733.467693999992</v>
      </c>
      <c r="G554" s="299">
        <f t="shared" ref="G554:G565" si="113">IF(C554=0, 0,D554*C554)</f>
        <v>148697.32769399998</v>
      </c>
      <c r="H554" s="300">
        <f t="shared" ref="H554:H565" si="114">IF(C554=0, D554, (E554-D554)/D554)</f>
        <v>-7.2183326092369937E-2</v>
      </c>
      <c r="I554" s="299"/>
    </row>
    <row r="555" spans="2:9" x14ac:dyDescent="0.25">
      <c r="B555" s="546">
        <v>42636</v>
      </c>
      <c r="C555" s="298">
        <v>9478</v>
      </c>
      <c r="D555" s="547">
        <v>15.992122</v>
      </c>
      <c r="E555" s="299">
        <v>14.49</v>
      </c>
      <c r="F555" s="299">
        <f t="shared" si="112"/>
        <v>-14237.112315999999</v>
      </c>
      <c r="G555" s="299">
        <f t="shared" si="113"/>
        <v>151573.33231600001</v>
      </c>
      <c r="H555" s="300">
        <f t="shared" si="114"/>
        <v>-9.39288732289561E-2</v>
      </c>
      <c r="I555" s="299"/>
    </row>
    <row r="556" spans="2:9" x14ac:dyDescent="0.25">
      <c r="B556" s="546">
        <v>42639</v>
      </c>
      <c r="C556" s="298">
        <v>9278</v>
      </c>
      <c r="D556" s="547">
        <v>16.019549999999999</v>
      </c>
      <c r="E556" s="299">
        <v>14.41</v>
      </c>
      <c r="F556" s="299">
        <f t="shared" si="112"/>
        <v>-14933.404899999989</v>
      </c>
      <c r="G556" s="299">
        <f t="shared" si="113"/>
        <v>148629.38489999998</v>
      </c>
      <c r="H556" s="300">
        <f t="shared" si="114"/>
        <v>-0.10047410819904422</v>
      </c>
      <c r="I556" s="299">
        <v>16</v>
      </c>
    </row>
    <row r="557" spans="2:9" x14ac:dyDescent="0.25">
      <c r="B557" s="546">
        <v>42639</v>
      </c>
      <c r="C557" s="298">
        <v>9478</v>
      </c>
      <c r="D557" s="547">
        <v>15.987468</v>
      </c>
      <c r="E557" s="299">
        <v>14.41</v>
      </c>
      <c r="F557" s="299">
        <f t="shared" si="112"/>
        <v>-14951.241703999996</v>
      </c>
      <c r="G557" s="299">
        <f t="shared" si="113"/>
        <v>151529.221704</v>
      </c>
      <c r="H557" s="300">
        <f t="shared" si="114"/>
        <v>-9.8669032519721048E-2</v>
      </c>
      <c r="I557" s="299"/>
    </row>
    <row r="558" spans="2:9" x14ac:dyDescent="0.25">
      <c r="B558" s="546">
        <v>42639</v>
      </c>
      <c r="C558" s="298">
        <v>9678</v>
      </c>
      <c r="D558" s="547">
        <v>15.954266000000001</v>
      </c>
      <c r="E558" s="299">
        <v>14.41</v>
      </c>
      <c r="F558" s="299">
        <f t="shared" si="112"/>
        <v>-14945.406348000004</v>
      </c>
      <c r="G558" s="299">
        <f t="shared" si="113"/>
        <v>154405.386348</v>
      </c>
      <c r="H558" s="300">
        <f t="shared" si="114"/>
        <v>-9.6793296538994669E-2</v>
      </c>
      <c r="I558" s="299"/>
    </row>
    <row r="559" spans="2:9" x14ac:dyDescent="0.25">
      <c r="B559" s="546">
        <v>42640</v>
      </c>
      <c r="C559" s="298">
        <v>10000</v>
      </c>
      <c r="D559" s="547">
        <v>15.890373</v>
      </c>
      <c r="E559" s="299">
        <v>14.06</v>
      </c>
      <c r="F559" s="299">
        <f t="shared" si="112"/>
        <v>-18303.73</v>
      </c>
      <c r="G559" s="299">
        <f t="shared" si="113"/>
        <v>158903.73000000001</v>
      </c>
      <c r="H559" s="300">
        <f t="shared" si="114"/>
        <v>-0.11518754153851517</v>
      </c>
      <c r="I559" s="299"/>
    </row>
    <row r="560" spans="2:9" x14ac:dyDescent="0.25">
      <c r="B560" s="546">
        <v>42641</v>
      </c>
      <c r="C560" s="298">
        <v>9278</v>
      </c>
      <c r="D560" s="547">
        <v>15.968</v>
      </c>
      <c r="E560" s="299">
        <v>15.18</v>
      </c>
      <c r="F560" s="299">
        <f t="shared" si="112"/>
        <v>-7311.0640000000021</v>
      </c>
      <c r="G560" s="299">
        <f t="shared" si="113"/>
        <v>148151.10399999999</v>
      </c>
      <c r="H560" s="300">
        <f t="shared" si="114"/>
        <v>-4.9348697394789594E-2</v>
      </c>
      <c r="I560" s="299" t="s">
        <v>279</v>
      </c>
    </row>
    <row r="561" spans="2:9" x14ac:dyDescent="0.25">
      <c r="B561" s="546">
        <v>42641</v>
      </c>
      <c r="C561" s="298">
        <v>8978</v>
      </c>
      <c r="D561" s="547">
        <v>15.991466000000001</v>
      </c>
      <c r="E561" s="299">
        <v>15.18</v>
      </c>
      <c r="F561" s="299">
        <f t="shared" si="112"/>
        <v>-7285.3417480000098</v>
      </c>
      <c r="G561" s="299">
        <f t="shared" si="113"/>
        <v>143571.38174800001</v>
      </c>
      <c r="H561" s="300">
        <f t="shared" si="114"/>
        <v>-5.0743690415875634E-2</v>
      </c>
      <c r="I561" s="299"/>
    </row>
    <row r="562" spans="2:9" x14ac:dyDescent="0.25">
      <c r="B562" s="546">
        <v>42642</v>
      </c>
      <c r="C562" s="298">
        <v>8678</v>
      </c>
      <c r="D562" s="547">
        <v>16.016100000000002</v>
      </c>
      <c r="E562" s="299">
        <v>15.9</v>
      </c>
      <c r="F562" s="299">
        <f t="shared" si="112"/>
        <v>-1007.5158000000105</v>
      </c>
      <c r="G562" s="299">
        <f t="shared" si="113"/>
        <v>138987.71580000001</v>
      </c>
      <c r="H562" s="300">
        <f t="shared" si="114"/>
        <v>-7.2489557382884214E-3</v>
      </c>
      <c r="I562" s="299"/>
    </row>
    <row r="563" spans="2:9" x14ac:dyDescent="0.25">
      <c r="B563" s="546">
        <v>42642</v>
      </c>
      <c r="C563" s="298">
        <v>7978</v>
      </c>
      <c r="D563" s="547">
        <v>16.036825</v>
      </c>
      <c r="E563" s="299">
        <v>15.9</v>
      </c>
      <c r="F563" s="299">
        <f t="shared" si="112"/>
        <v>-1091.5898499999998</v>
      </c>
      <c r="G563" s="299">
        <f t="shared" si="113"/>
        <v>127941.78985</v>
      </c>
      <c r="H563" s="300">
        <f t="shared" si="114"/>
        <v>-8.5319257396648009E-3</v>
      </c>
      <c r="I563" s="299"/>
    </row>
    <row r="564" spans="2:9" x14ac:dyDescent="0.25">
      <c r="B564" s="546">
        <v>42642</v>
      </c>
      <c r="C564" s="298">
        <v>7764</v>
      </c>
      <c r="D564" s="547">
        <v>16.038399999999999</v>
      </c>
      <c r="E564" s="299">
        <v>15.9</v>
      </c>
      <c r="F564" s="299">
        <f t="shared" si="112"/>
        <v>-1074.5375999999919</v>
      </c>
      <c r="G564" s="299">
        <f t="shared" si="113"/>
        <v>124522.1376</v>
      </c>
      <c r="H564" s="300">
        <f t="shared" si="114"/>
        <v>-8.6292897047086353E-3</v>
      </c>
      <c r="I564" s="299"/>
    </row>
    <row r="565" spans="2:9" x14ac:dyDescent="0.25">
      <c r="B565" s="546">
        <v>42642</v>
      </c>
      <c r="C565" s="298">
        <v>8178</v>
      </c>
      <c r="D565" s="547">
        <v>16.019235999999999</v>
      </c>
      <c r="E565" s="299">
        <v>15.9</v>
      </c>
      <c r="F565" s="299">
        <f t="shared" si="112"/>
        <v>-975.11200799999187</v>
      </c>
      <c r="G565" s="299">
        <f t="shared" si="113"/>
        <v>131005.31200799999</v>
      </c>
      <c r="H565" s="300">
        <f t="shared" si="114"/>
        <v>-7.4433012910228059E-3</v>
      </c>
      <c r="I565" s="299" t="s">
        <v>280</v>
      </c>
    </row>
    <row r="566" spans="2:9" x14ac:dyDescent="0.25">
      <c r="B566" s="546">
        <v>42643</v>
      </c>
      <c r="C566" s="298">
        <v>8178</v>
      </c>
      <c r="D566" s="547">
        <v>16.019235999999999</v>
      </c>
      <c r="E566" s="299">
        <v>15.81</v>
      </c>
      <c r="F566" s="299">
        <f>C566*(E566-D566)</f>
        <v>-1711.1320079999907</v>
      </c>
      <c r="G566" s="299">
        <f>IF(C566=0, 0,D566*C566)</f>
        <v>131005.31200799999</v>
      </c>
      <c r="H566" s="300">
        <f>IF(C566=0, D566, (E566-D566)/D566)</f>
        <v>-1.3061546755413234E-2</v>
      </c>
      <c r="I566" s="299"/>
    </row>
    <row r="567" spans="2:9" x14ac:dyDescent="0.25">
      <c r="B567" s="546">
        <v>42646</v>
      </c>
      <c r="C567" s="298">
        <v>8178</v>
      </c>
      <c r="D567" s="547">
        <v>16.019235999999999</v>
      </c>
      <c r="E567" s="299">
        <v>15.98</v>
      </c>
      <c r="F567" s="299">
        <f t="shared" ref="F567:F576" si="115">C567*(E567-D567)</f>
        <v>-320.8720079999913</v>
      </c>
      <c r="G567" s="299">
        <f t="shared" ref="G567:G576" si="116">IF(C567=0, 0,D567*C567)</f>
        <v>131005.31200799999</v>
      </c>
      <c r="H567" s="300">
        <f t="shared" ref="H567:H576" si="117">IF(C567=0, D567, (E567-D567)/D567)</f>
        <v>-2.4493053226757469E-3</v>
      </c>
      <c r="I567" s="299"/>
    </row>
    <row r="568" spans="2:9" x14ac:dyDescent="0.25">
      <c r="B568" s="546">
        <v>42647</v>
      </c>
      <c r="C568" s="298">
        <v>8678</v>
      </c>
      <c r="D568" s="547">
        <v>16.010061</v>
      </c>
      <c r="E568" s="299">
        <v>15.63</v>
      </c>
      <c r="F568" s="299">
        <f t="shared" si="115"/>
        <v>-3298.169357999996</v>
      </c>
      <c r="G568" s="299">
        <f t="shared" si="116"/>
        <v>138935.309358</v>
      </c>
      <c r="H568" s="300">
        <f t="shared" si="117"/>
        <v>-2.3738885192255015E-2</v>
      </c>
      <c r="I568" s="299"/>
    </row>
    <row r="569" spans="2:9" x14ac:dyDescent="0.25">
      <c r="B569" s="546">
        <v>42647</v>
      </c>
      <c r="C569" s="298">
        <v>9178</v>
      </c>
      <c r="D569" s="547">
        <v>15.988811</v>
      </c>
      <c r="E569" s="299">
        <v>15.63</v>
      </c>
      <c r="F569" s="299">
        <f t="shared" si="115"/>
        <v>-3293.1673579999938</v>
      </c>
      <c r="G569" s="299">
        <f t="shared" si="116"/>
        <v>146745.30735799999</v>
      </c>
      <c r="H569" s="300">
        <f t="shared" si="117"/>
        <v>-2.2441381038277287E-2</v>
      </c>
      <c r="I569" s="299"/>
    </row>
    <row r="570" spans="2:9" x14ac:dyDescent="0.25">
      <c r="B570" s="546">
        <v>42648</v>
      </c>
      <c r="C570" s="298">
        <v>8178</v>
      </c>
      <c r="D570" s="547">
        <v>15.977725</v>
      </c>
      <c r="E570" s="299">
        <v>16.12</v>
      </c>
      <c r="F570" s="299">
        <f t="shared" si="115"/>
        <v>1163.524950000012</v>
      </c>
      <c r="G570" s="299">
        <f t="shared" si="116"/>
        <v>130665.83504999999</v>
      </c>
      <c r="H570" s="300">
        <f t="shared" si="117"/>
        <v>8.904584351026288E-3</v>
      </c>
      <c r="I570" s="299">
        <v>15.75</v>
      </c>
    </row>
    <row r="571" spans="2:9" x14ac:dyDescent="0.25">
      <c r="B571" s="546">
        <v>42648</v>
      </c>
      <c r="C571" s="319">
        <v>7678</v>
      </c>
      <c r="D571" s="548">
        <v>15.951529000000001</v>
      </c>
      <c r="E571" s="299">
        <v>16.12</v>
      </c>
      <c r="F571" s="299">
        <f t="shared" si="115"/>
        <v>1293.5203380000021</v>
      </c>
      <c r="G571" s="299">
        <f t="shared" si="116"/>
        <v>122475.839662</v>
      </c>
      <c r="H571" s="300">
        <f t="shared" si="117"/>
        <v>1.0561432700275958E-2</v>
      </c>
      <c r="I571" s="299" t="s">
        <v>284</v>
      </c>
    </row>
    <row r="572" spans="2:9" x14ac:dyDescent="0.25">
      <c r="B572" s="546">
        <v>42649</v>
      </c>
      <c r="C572" s="298">
        <v>8678</v>
      </c>
      <c r="D572" s="547">
        <v>15.941579000000001</v>
      </c>
      <c r="E572" s="299">
        <v>16.079999999999998</v>
      </c>
      <c r="F572" s="299">
        <f t="shared" si="115"/>
        <v>1201.2174379999781</v>
      </c>
      <c r="G572" s="299">
        <f t="shared" si="116"/>
        <v>138341.022562</v>
      </c>
      <c r="H572" s="300">
        <f t="shared" si="117"/>
        <v>8.683016908174369E-3</v>
      </c>
      <c r="I572" s="299"/>
    </row>
    <row r="573" spans="2:9" x14ac:dyDescent="0.25">
      <c r="B573" s="546">
        <v>42650</v>
      </c>
      <c r="C573" s="298">
        <v>8978</v>
      </c>
      <c r="D573" s="547">
        <v>15.935176999999999</v>
      </c>
      <c r="E573" s="299">
        <v>15.56</v>
      </c>
      <c r="F573" s="299">
        <f t="shared" si="115"/>
        <v>-3368.3391059999908</v>
      </c>
      <c r="G573" s="299">
        <f t="shared" si="116"/>
        <v>143066.01910599999</v>
      </c>
      <c r="H573" s="300">
        <f t="shared" si="117"/>
        <v>-2.354394933925108E-2</v>
      </c>
      <c r="I573" s="299"/>
    </row>
    <row r="574" spans="2:9" x14ac:dyDescent="0.25">
      <c r="B574" s="546">
        <v>42650</v>
      </c>
      <c r="C574" s="298">
        <v>9278</v>
      </c>
      <c r="D574" s="547">
        <v>15.923692000000001</v>
      </c>
      <c r="E574" s="299">
        <v>15.56</v>
      </c>
      <c r="F574" s="299">
        <f t="shared" si="115"/>
        <v>-3374.3343760000034</v>
      </c>
      <c r="G574" s="299">
        <f t="shared" si="116"/>
        <v>147740.01437600001</v>
      </c>
      <c r="H574" s="300">
        <f t="shared" si="117"/>
        <v>-2.2839678134945106E-2</v>
      </c>
      <c r="I574" s="299">
        <v>15.8</v>
      </c>
    </row>
    <row r="575" spans="2:9" x14ac:dyDescent="0.25">
      <c r="B575" s="546">
        <v>42653</v>
      </c>
      <c r="C575" s="319">
        <v>9678</v>
      </c>
      <c r="D575" s="548">
        <v>15.9153</v>
      </c>
      <c r="E575" s="299">
        <v>15.72</v>
      </c>
      <c r="F575" s="299">
        <f t="shared" si="115"/>
        <v>-1890.1133999999961</v>
      </c>
      <c r="G575" s="299">
        <f t="shared" si="116"/>
        <v>154028.27340000001</v>
      </c>
      <c r="H575" s="300">
        <f t="shared" si="117"/>
        <v>-1.2271210721758281E-2</v>
      </c>
      <c r="I575" s="299"/>
    </row>
    <row r="576" spans="2:9" x14ac:dyDescent="0.25">
      <c r="B576" s="546">
        <v>42661</v>
      </c>
      <c r="C576" s="319">
        <v>10000</v>
      </c>
      <c r="D576" s="548">
        <v>15.901258</v>
      </c>
      <c r="E576" s="299">
        <v>14.2</v>
      </c>
      <c r="F576" s="299">
        <f t="shared" si="115"/>
        <v>-17012.580000000009</v>
      </c>
      <c r="G576" s="299">
        <f t="shared" si="116"/>
        <v>159012.58000000002</v>
      </c>
      <c r="H576" s="300">
        <f t="shared" si="117"/>
        <v>-0.10698889358313669</v>
      </c>
      <c r="I576" s="299"/>
    </row>
    <row r="577" spans="2:9" x14ac:dyDescent="0.25">
      <c r="B577" s="546">
        <v>42663</v>
      </c>
      <c r="C577" s="298">
        <v>10000</v>
      </c>
      <c r="D577" s="547">
        <v>15.901258</v>
      </c>
      <c r="E577" s="299">
        <v>14.7</v>
      </c>
      <c r="F577" s="299">
        <f>C577*(E577-D577)</f>
        <v>-12012.580000000011</v>
      </c>
      <c r="G577" s="299">
        <f>IF(C577=0, 0,D577*C577)</f>
        <v>159012.58000000002</v>
      </c>
      <c r="H577" s="301">
        <f>IF(C577=0, D577, (E577-D577)/D577)</f>
        <v>-7.5544840540289399E-2</v>
      </c>
      <c r="I577" s="299"/>
    </row>
    <row r="578" spans="2:9" x14ac:dyDescent="0.25">
      <c r="B578" s="546">
        <v>42668</v>
      </c>
      <c r="C578" s="298">
        <v>11000</v>
      </c>
      <c r="D578" s="547">
        <v>15.74728</v>
      </c>
      <c r="E578" s="299">
        <v>14.18</v>
      </c>
      <c r="F578" s="299">
        <f>C578*(E578-D578)</f>
        <v>-17240.080000000002</v>
      </c>
      <c r="G578" s="299">
        <f>IF(C578=0, 0,D578*C578)</f>
        <v>173220.08</v>
      </c>
      <c r="H578" s="301">
        <f>IF(C578=0, D578, (E578-D578)/D578)</f>
        <v>-9.9527029429844413E-2</v>
      </c>
      <c r="I578" s="299"/>
    </row>
    <row r="579" spans="2:9" x14ac:dyDescent="0.25">
      <c r="B579" s="546">
        <v>42670</v>
      </c>
      <c r="C579" s="298">
        <v>11500</v>
      </c>
      <c r="D579" s="547">
        <v>15.679137000000001</v>
      </c>
      <c r="E579" s="299">
        <v>13.95</v>
      </c>
      <c r="F579" s="299">
        <f>C579*(E579-D579)</f>
        <v>-19885.075500000017</v>
      </c>
      <c r="G579" s="299">
        <f>IF(C579=0, 0,D579*C579)</f>
        <v>180310.07550000001</v>
      </c>
      <c r="H579" s="301">
        <f>IF(C579=0, D579, (E579-D579)/D579)</f>
        <v>-0.11028266415428357</v>
      </c>
      <c r="I579" s="299"/>
    </row>
    <row r="580" spans="2:9" x14ac:dyDescent="0.25">
      <c r="B580" s="546">
        <v>42670</v>
      </c>
      <c r="C580" s="298">
        <v>12000</v>
      </c>
      <c r="D580" s="547">
        <v>15.6113</v>
      </c>
      <c r="E580" s="299">
        <v>13.95</v>
      </c>
      <c r="F580" s="299">
        <f t="shared" ref="F580:F587" si="118">C580*(E580-D580)</f>
        <v>-19935.600000000009</v>
      </c>
      <c r="G580" s="299">
        <f t="shared" ref="G580:G587" si="119">IF(C580=0, 0,D580*C580)</f>
        <v>187335.6</v>
      </c>
      <c r="H580" s="301">
        <f t="shared" ref="H580:H587" si="120">IF(C580=0, D580, (E580-D580)/D580)</f>
        <v>-0.10641650599245422</v>
      </c>
      <c r="I580" s="299"/>
    </row>
    <row r="581" spans="2:9" x14ac:dyDescent="0.25">
      <c r="B581" s="546">
        <v>42670</v>
      </c>
      <c r="C581" s="298">
        <v>12500</v>
      </c>
      <c r="D581" s="547">
        <v>15.542006000000001</v>
      </c>
      <c r="E581" s="299">
        <v>13.95</v>
      </c>
      <c r="F581" s="299">
        <f t="shared" si="118"/>
        <v>-19900.075000000015</v>
      </c>
      <c r="G581" s="299">
        <f t="shared" si="119"/>
        <v>194275.07500000001</v>
      </c>
      <c r="H581" s="301">
        <f t="shared" si="120"/>
        <v>-0.10243246592492637</v>
      </c>
      <c r="I581" s="299"/>
    </row>
    <row r="582" spans="2:9" x14ac:dyDescent="0.25">
      <c r="B582" s="546">
        <v>42671</v>
      </c>
      <c r="C582" s="298">
        <v>12500</v>
      </c>
      <c r="D582" s="547">
        <v>15.536431</v>
      </c>
      <c r="E582" s="299">
        <v>13.72</v>
      </c>
      <c r="F582" s="299">
        <f t="shared" si="118"/>
        <v>-22705.387499999997</v>
      </c>
      <c r="G582" s="299">
        <f t="shared" si="119"/>
        <v>194205.38750000001</v>
      </c>
      <c r="H582" s="301">
        <f t="shared" si="120"/>
        <v>-0.11691430290521676</v>
      </c>
      <c r="I582" s="299"/>
    </row>
    <row r="583" spans="2:9" x14ac:dyDescent="0.25">
      <c r="B583" s="546">
        <v>42674</v>
      </c>
      <c r="C583" s="298">
        <v>12500</v>
      </c>
      <c r="D583" s="547">
        <v>15.5313</v>
      </c>
      <c r="E583" s="299">
        <v>13.18</v>
      </c>
      <c r="F583" s="299">
        <f t="shared" si="118"/>
        <v>-29391.250000000004</v>
      </c>
      <c r="G583" s="299">
        <f t="shared" si="119"/>
        <v>194141.25</v>
      </c>
      <c r="H583" s="301">
        <f t="shared" si="120"/>
        <v>-0.15139106192012261</v>
      </c>
      <c r="I583" s="299"/>
    </row>
    <row r="584" spans="2:9" x14ac:dyDescent="0.25">
      <c r="B584" s="546">
        <v>42676</v>
      </c>
      <c r="C584" s="298">
        <v>12500</v>
      </c>
      <c r="D584" s="547">
        <v>15.528746</v>
      </c>
      <c r="E584" s="299">
        <v>12.78</v>
      </c>
      <c r="F584" s="299">
        <f t="shared" si="118"/>
        <v>-34359.325000000004</v>
      </c>
      <c r="G584" s="299">
        <f t="shared" si="119"/>
        <v>194109.32500000001</v>
      </c>
      <c r="H584" s="300">
        <f t="shared" si="120"/>
        <v>-0.17701017197396368</v>
      </c>
      <c r="I584" s="299"/>
    </row>
    <row r="585" spans="2:9" x14ac:dyDescent="0.25">
      <c r="B585" s="546">
        <v>42677</v>
      </c>
      <c r="C585" s="298">
        <v>10000</v>
      </c>
      <c r="D585" s="547">
        <v>15.813000000000001</v>
      </c>
      <c r="E585" s="299">
        <v>14.15</v>
      </c>
      <c r="F585" s="299">
        <f t="shared" si="118"/>
        <v>-16630.000000000004</v>
      </c>
      <c r="G585" s="299">
        <f t="shared" si="119"/>
        <v>158130</v>
      </c>
      <c r="H585" s="300">
        <f t="shared" si="120"/>
        <v>-0.10516663504711314</v>
      </c>
      <c r="I585" s="299"/>
    </row>
    <row r="586" spans="2:9" x14ac:dyDescent="0.25">
      <c r="B586" s="546">
        <v>42678</v>
      </c>
      <c r="C586" s="298">
        <v>11000</v>
      </c>
      <c r="D586" s="547">
        <v>15.62</v>
      </c>
      <c r="E586" s="299">
        <v>13.69</v>
      </c>
      <c r="F586" s="299">
        <f t="shared" si="118"/>
        <v>-21229.999999999996</v>
      </c>
      <c r="G586" s="299">
        <f t="shared" si="119"/>
        <v>171820</v>
      </c>
      <c r="H586" s="300">
        <f t="shared" si="120"/>
        <v>-0.12355953905249678</v>
      </c>
      <c r="I586" s="299"/>
    </row>
    <row r="587" spans="2:9" x14ac:dyDescent="0.25">
      <c r="B587" s="546">
        <v>42701</v>
      </c>
      <c r="C587" s="298">
        <v>7678</v>
      </c>
      <c r="D587" s="547">
        <v>15.484220000000001</v>
      </c>
      <c r="E587" s="299">
        <v>16.28</v>
      </c>
      <c r="F587" s="299">
        <f t="shared" si="118"/>
        <v>6109.9988400000047</v>
      </c>
      <c r="G587" s="299">
        <f t="shared" si="119"/>
        <v>118887.84116000001</v>
      </c>
      <c r="H587" s="300">
        <f t="shared" si="120"/>
        <v>5.1392966516879801E-2</v>
      </c>
      <c r="I587" s="299" t="s">
        <v>295</v>
      </c>
    </row>
    <row r="588" spans="2:9" x14ac:dyDescent="0.25">
      <c r="B588" s="546">
        <v>42702</v>
      </c>
      <c r="C588" s="298">
        <v>8178</v>
      </c>
      <c r="D588" s="547">
        <v>15.519399999999999</v>
      </c>
      <c r="E588" s="299">
        <v>15.62</v>
      </c>
      <c r="F588" s="299">
        <f t="shared" ref="F588:F605" si="121">C588*(E588-D588)</f>
        <v>822.70680000000016</v>
      </c>
      <c r="G588" s="299">
        <f t="shared" ref="G588:G605" si="122">IF(C588=0, 0,D588*C588)</f>
        <v>126917.6532</v>
      </c>
      <c r="H588" s="300">
        <f t="shared" ref="H588:H605" si="123">IF(C588=0, D588, (E588-D588)/D588)</f>
        <v>6.4822093637640649E-3</v>
      </c>
      <c r="I588" s="299" t="s">
        <v>299</v>
      </c>
    </row>
    <row r="589" spans="2:9" x14ac:dyDescent="0.25">
      <c r="B589" s="546">
        <v>42702</v>
      </c>
      <c r="C589" s="298">
        <v>8678</v>
      </c>
      <c r="D589" s="547">
        <v>15.5304</v>
      </c>
      <c r="E589" s="299">
        <v>15.54</v>
      </c>
      <c r="F589" s="299">
        <f t="shared" si="121"/>
        <v>83.308799999990825</v>
      </c>
      <c r="G589" s="299">
        <f t="shared" si="122"/>
        <v>134772.8112</v>
      </c>
      <c r="H589" s="300">
        <f t="shared" si="123"/>
        <v>6.1814248184199655E-4</v>
      </c>
      <c r="I589" s="299"/>
    </row>
    <row r="590" spans="2:9" x14ac:dyDescent="0.25">
      <c r="B590" s="546">
        <v>42703</v>
      </c>
      <c r="C590" s="298">
        <v>8978</v>
      </c>
      <c r="D590" s="547">
        <v>15.5053</v>
      </c>
      <c r="E590" s="299">
        <v>14.95</v>
      </c>
      <c r="F590" s="299">
        <f t="shared" si="121"/>
        <v>-4985.4834000000074</v>
      </c>
      <c r="G590" s="299">
        <f t="shared" si="122"/>
        <v>139206.5834</v>
      </c>
      <c r="H590" s="300">
        <f t="shared" si="123"/>
        <v>-3.5813560524465882E-2</v>
      </c>
      <c r="I590" s="299"/>
    </row>
    <row r="591" spans="2:9" x14ac:dyDescent="0.25">
      <c r="B591" s="546">
        <v>42704</v>
      </c>
      <c r="C591" s="298">
        <v>5178</v>
      </c>
      <c r="D591" s="547">
        <v>14.3947</v>
      </c>
      <c r="E591" s="299">
        <v>18.059999999999999</v>
      </c>
      <c r="F591" s="299">
        <f t="shared" si="121"/>
        <v>18978.923399999992</v>
      </c>
      <c r="G591" s="299">
        <f t="shared" si="122"/>
        <v>74535.756600000008</v>
      </c>
      <c r="H591" s="300">
        <f t="shared" si="123"/>
        <v>0.25462843963403187</v>
      </c>
      <c r="I591" s="299"/>
    </row>
    <row r="592" spans="2:9" x14ac:dyDescent="0.25">
      <c r="B592" s="546">
        <v>42705</v>
      </c>
      <c r="C592" s="298">
        <v>4678</v>
      </c>
      <c r="D592" s="547">
        <v>13.905799999999999</v>
      </c>
      <c r="E592" s="299">
        <v>17.89</v>
      </c>
      <c r="F592" s="299">
        <f t="shared" si="121"/>
        <v>18638.087600000006</v>
      </c>
      <c r="G592" s="299">
        <f t="shared" si="122"/>
        <v>65051.332399999999</v>
      </c>
      <c r="H592" s="300">
        <f t="shared" si="123"/>
        <v>0.28651354111234173</v>
      </c>
      <c r="I592" s="299"/>
    </row>
    <row r="593" spans="1:10" x14ac:dyDescent="0.25">
      <c r="B593" s="546">
        <v>42705</v>
      </c>
      <c r="C593" s="298">
        <v>5000</v>
      </c>
      <c r="D593" s="547">
        <v>14.1645</v>
      </c>
      <c r="E593" s="299">
        <v>17.89</v>
      </c>
      <c r="F593" s="299">
        <f t="shared" si="121"/>
        <v>18627.5</v>
      </c>
      <c r="G593" s="299">
        <f t="shared" si="122"/>
        <v>70822.5</v>
      </c>
      <c r="H593" s="300">
        <f t="shared" si="123"/>
        <v>0.2630166966712556</v>
      </c>
      <c r="I593" s="299"/>
    </row>
    <row r="594" spans="1:10" x14ac:dyDescent="0.25">
      <c r="B594" s="546">
        <v>42708</v>
      </c>
      <c r="C594" s="298">
        <v>5000</v>
      </c>
      <c r="D594" s="547">
        <v>14.1645</v>
      </c>
      <c r="E594" s="299">
        <v>18.2</v>
      </c>
      <c r="F594" s="299">
        <f t="shared" si="121"/>
        <v>20177.499999999996</v>
      </c>
      <c r="G594" s="299">
        <f t="shared" si="122"/>
        <v>70822.5</v>
      </c>
      <c r="H594" s="300">
        <f t="shared" si="123"/>
        <v>0.28490239683716323</v>
      </c>
      <c r="I594" s="299"/>
    </row>
    <row r="595" spans="1:10" x14ac:dyDescent="0.25">
      <c r="B595" s="546">
        <v>42711</v>
      </c>
      <c r="C595" s="298">
        <v>5000</v>
      </c>
      <c r="D595" s="547">
        <v>14.143514</v>
      </c>
      <c r="E595" s="299">
        <v>18.420000000000002</v>
      </c>
      <c r="F595" s="299">
        <f t="shared" si="121"/>
        <v>21382.430000000011</v>
      </c>
      <c r="G595" s="299">
        <f t="shared" si="122"/>
        <v>70717.569999999992</v>
      </c>
      <c r="H595" s="300">
        <f t="shared" si="123"/>
        <v>0.3023637548631834</v>
      </c>
      <c r="I595" s="299"/>
    </row>
    <row r="596" spans="1:10" x14ac:dyDescent="0.25">
      <c r="B596" s="546">
        <v>42713</v>
      </c>
      <c r="C596" s="298">
        <v>5000</v>
      </c>
      <c r="D596" s="547">
        <v>14.127554</v>
      </c>
      <c r="E596" s="299">
        <v>18.25</v>
      </c>
      <c r="F596" s="299">
        <f t="shared" si="121"/>
        <v>20612.23</v>
      </c>
      <c r="G596" s="299">
        <f t="shared" si="122"/>
        <v>70637.77</v>
      </c>
      <c r="H596" s="300">
        <f t="shared" si="123"/>
        <v>0.29180182216964096</v>
      </c>
      <c r="I596" s="299"/>
    </row>
    <row r="597" spans="1:10" x14ac:dyDescent="0.25">
      <c r="B597" s="546">
        <v>42716</v>
      </c>
      <c r="C597" s="298">
        <v>5000</v>
      </c>
      <c r="D597" s="547">
        <v>14.0276</v>
      </c>
      <c r="E597" s="299">
        <v>18.489999999999998</v>
      </c>
      <c r="F597" s="299">
        <f t="shared" si="121"/>
        <v>22311.999999999993</v>
      </c>
      <c r="G597" s="299">
        <f t="shared" si="122"/>
        <v>70138</v>
      </c>
      <c r="H597" s="300">
        <f t="shared" si="123"/>
        <v>0.3181157147338104</v>
      </c>
      <c r="I597" s="299" t="s">
        <v>184</v>
      </c>
    </row>
    <row r="598" spans="1:10" x14ac:dyDescent="0.25">
      <c r="B598" s="546">
        <v>42718</v>
      </c>
      <c r="C598" s="298">
        <v>5000</v>
      </c>
      <c r="D598" s="547">
        <v>14.025399999999999</v>
      </c>
      <c r="E598" s="299">
        <v>18.2</v>
      </c>
      <c r="F598" s="299">
        <f t="shared" si="121"/>
        <v>20873</v>
      </c>
      <c r="G598" s="299">
        <f t="shared" si="122"/>
        <v>70127</v>
      </c>
      <c r="H598" s="300">
        <f t="shared" si="123"/>
        <v>0.29764569994438661</v>
      </c>
      <c r="I598" s="299">
        <v>13.8</v>
      </c>
    </row>
    <row r="599" spans="1:10" x14ac:dyDescent="0.25">
      <c r="B599" s="546">
        <v>42726</v>
      </c>
      <c r="C599" s="298">
        <v>5000</v>
      </c>
      <c r="D599" s="547">
        <v>14.025399999999999</v>
      </c>
      <c r="E599" s="299">
        <v>18.04</v>
      </c>
      <c r="F599" s="299">
        <f t="shared" si="121"/>
        <v>20073</v>
      </c>
      <c r="G599" s="299">
        <f t="shared" si="122"/>
        <v>70127</v>
      </c>
      <c r="H599" s="300">
        <f t="shared" si="123"/>
        <v>0.28623782565916123</v>
      </c>
      <c r="I599" s="299"/>
    </row>
    <row r="600" spans="1:10" x14ac:dyDescent="0.25">
      <c r="B600" s="546">
        <v>42733</v>
      </c>
      <c r="C600" s="298">
        <v>6000</v>
      </c>
      <c r="D600" s="547">
        <v>14.627558000000001</v>
      </c>
      <c r="E600" s="299">
        <v>17.57</v>
      </c>
      <c r="F600" s="377">
        <f t="shared" si="121"/>
        <v>17654.651999999998</v>
      </c>
      <c r="G600" s="299">
        <f t="shared" si="122"/>
        <v>87765.347999999998</v>
      </c>
      <c r="H600" s="301">
        <f t="shared" si="123"/>
        <v>0.20115743174629694</v>
      </c>
      <c r="I600" s="299"/>
      <c r="J600" s="3"/>
    </row>
    <row r="601" spans="1:10" x14ac:dyDescent="0.25">
      <c r="B601" s="546">
        <v>42734</v>
      </c>
      <c r="C601" s="298">
        <v>6000</v>
      </c>
      <c r="D601" s="547">
        <v>14.562623</v>
      </c>
      <c r="E601" s="299">
        <v>17.309999999999999</v>
      </c>
      <c r="F601" s="377">
        <f t="shared" si="121"/>
        <v>16484.261999999992</v>
      </c>
      <c r="G601" s="299">
        <f t="shared" si="122"/>
        <v>87375.737999999998</v>
      </c>
      <c r="H601" s="301">
        <f t="shared" si="123"/>
        <v>0.18865948806063293</v>
      </c>
      <c r="I601" s="299"/>
    </row>
    <row r="602" spans="1:10" x14ac:dyDescent="0.25">
      <c r="B602" s="546">
        <v>42739</v>
      </c>
      <c r="C602" s="298">
        <v>5500</v>
      </c>
      <c r="D602" s="547">
        <v>14.242898</v>
      </c>
      <c r="E602" s="299">
        <v>18.05</v>
      </c>
      <c r="F602" s="377">
        <f t="shared" si="121"/>
        <v>20939.061000000002</v>
      </c>
      <c r="G602" s="299">
        <f t="shared" si="122"/>
        <v>78335.938999999998</v>
      </c>
      <c r="H602" s="301">
        <f t="shared" si="123"/>
        <v>0.26729827033796072</v>
      </c>
      <c r="I602" s="299"/>
    </row>
    <row r="603" spans="1:10" x14ac:dyDescent="0.25">
      <c r="B603" s="546">
        <v>42741</v>
      </c>
      <c r="C603" s="298">
        <v>6000</v>
      </c>
      <c r="D603" s="547">
        <v>14.54599</v>
      </c>
      <c r="E603" s="299">
        <v>17.98</v>
      </c>
      <c r="F603" s="377">
        <f t="shared" si="121"/>
        <v>20604.060000000005</v>
      </c>
      <c r="G603" s="299">
        <f t="shared" si="122"/>
        <v>87275.94</v>
      </c>
      <c r="H603" s="301">
        <f t="shared" si="123"/>
        <v>0.23607949682352322</v>
      </c>
      <c r="I603" s="299"/>
    </row>
    <row r="604" spans="1:10" x14ac:dyDescent="0.25">
      <c r="B604" s="546">
        <v>42748</v>
      </c>
      <c r="C604" s="298">
        <v>6000</v>
      </c>
      <c r="D604" s="547">
        <v>14.527687999999999</v>
      </c>
      <c r="E604" s="299">
        <v>17.46</v>
      </c>
      <c r="F604" s="377">
        <f t="shared" si="121"/>
        <v>17593.872000000007</v>
      </c>
      <c r="G604" s="299">
        <f t="shared" si="122"/>
        <v>87166.127999999997</v>
      </c>
      <c r="H604" s="301">
        <f t="shared" si="123"/>
        <v>0.20184299112150547</v>
      </c>
      <c r="I604" s="299"/>
    </row>
    <row r="605" spans="1:10" x14ac:dyDescent="0.25">
      <c r="A605" s="183" t="s">
        <v>322</v>
      </c>
      <c r="B605" s="546">
        <v>42754</v>
      </c>
      <c r="C605" s="298">
        <v>6000</v>
      </c>
      <c r="D605" s="547">
        <v>14.527687999999999</v>
      </c>
      <c r="E605" s="299">
        <v>17.27</v>
      </c>
      <c r="F605" s="377">
        <f t="shared" si="121"/>
        <v>16453.871999999999</v>
      </c>
      <c r="G605" s="299">
        <f t="shared" si="122"/>
        <v>87166.127999999997</v>
      </c>
      <c r="H605" s="301">
        <f t="shared" si="123"/>
        <v>0.1887645164185795</v>
      </c>
      <c r="I605" s="299"/>
    </row>
    <row r="606" spans="1:10" x14ac:dyDescent="0.25">
      <c r="A606" t="s">
        <v>322</v>
      </c>
      <c r="B606" s="546">
        <v>42760</v>
      </c>
      <c r="C606" s="298">
        <v>6000</v>
      </c>
      <c r="D606" s="547">
        <v>14.527687999999999</v>
      </c>
      <c r="E606" s="299">
        <v>17.75</v>
      </c>
      <c r="F606" s="377">
        <f t="shared" ref="F606:F620" si="124">C606*(E606-D606)</f>
        <v>19333.872000000003</v>
      </c>
      <c r="G606" s="299">
        <f t="shared" ref="G606:G620" si="125">IF(C606=0, 0,D606*C606)</f>
        <v>87166.127999999997</v>
      </c>
      <c r="H606" s="301">
        <f t="shared" ref="H606:H620" si="126">IF(C606=0, D606, (E606-D606)/D606)</f>
        <v>0.22180487356281334</v>
      </c>
      <c r="I606" s="299"/>
    </row>
    <row r="607" spans="1:10" x14ac:dyDescent="0.25">
      <c r="A607" t="s">
        <v>354</v>
      </c>
      <c r="B607" s="546">
        <v>42761</v>
      </c>
      <c r="C607" s="298">
        <v>6000</v>
      </c>
      <c r="D607" s="547">
        <v>14.50817</v>
      </c>
      <c r="E607" s="299">
        <v>17.75</v>
      </c>
      <c r="F607" s="377">
        <f t="shared" si="124"/>
        <v>19450.98</v>
      </c>
      <c r="G607" s="299">
        <f t="shared" si="125"/>
        <v>87049.02</v>
      </c>
      <c r="H607" s="301">
        <f t="shared" si="126"/>
        <v>0.22344858104088938</v>
      </c>
      <c r="I607" s="299"/>
    </row>
    <row r="608" spans="1:10" x14ac:dyDescent="0.25">
      <c r="A608" t="s">
        <v>357</v>
      </c>
      <c r="B608" s="546">
        <v>42762</v>
      </c>
      <c r="C608" s="298">
        <v>6100</v>
      </c>
      <c r="D608" s="547">
        <v>14.553610000000001</v>
      </c>
      <c r="E608" s="299">
        <v>17.41</v>
      </c>
      <c r="F608" s="377">
        <f t="shared" si="124"/>
        <v>17423.978999999996</v>
      </c>
      <c r="G608" s="299">
        <f t="shared" si="125"/>
        <v>88777.021000000008</v>
      </c>
      <c r="H608" s="301">
        <f t="shared" si="126"/>
        <v>0.19626676817641803</v>
      </c>
      <c r="I608" s="299"/>
    </row>
    <row r="609" spans="1:9" x14ac:dyDescent="0.25">
      <c r="A609" t="s">
        <v>367</v>
      </c>
      <c r="B609" s="546">
        <v>42765</v>
      </c>
      <c r="C609" s="298">
        <v>6900</v>
      </c>
      <c r="D609" s="547">
        <v>14.793915999999999</v>
      </c>
      <c r="E609" s="299">
        <v>16.53</v>
      </c>
      <c r="F609" s="377">
        <f t="shared" si="124"/>
        <v>11978.979600000011</v>
      </c>
      <c r="G609" s="299">
        <f t="shared" si="125"/>
        <v>102078.02039999999</v>
      </c>
      <c r="H609" s="301">
        <f t="shared" si="126"/>
        <v>0.11735121383682331</v>
      </c>
      <c r="I609" s="299"/>
    </row>
    <row r="610" spans="1:9" x14ac:dyDescent="0.25">
      <c r="A610" t="s">
        <v>368</v>
      </c>
      <c r="B610" s="546">
        <v>42766</v>
      </c>
      <c r="C610" s="298">
        <v>6900</v>
      </c>
      <c r="D610" s="547">
        <v>14.783497000000001</v>
      </c>
      <c r="E610" s="299">
        <v>16.75</v>
      </c>
      <c r="F610" s="377">
        <f t="shared" si="124"/>
        <v>13568.870699999996</v>
      </c>
      <c r="G610" s="299">
        <f t="shared" si="125"/>
        <v>102006.1293</v>
      </c>
      <c r="H610" s="301">
        <f t="shared" si="126"/>
        <v>0.13302015078029233</v>
      </c>
      <c r="I610" s="299"/>
    </row>
    <row r="611" spans="1:9" x14ac:dyDescent="0.25">
      <c r="B611" s="546">
        <v>42767</v>
      </c>
      <c r="C611" s="298">
        <v>6000</v>
      </c>
      <c r="D611" s="547">
        <v>14.442175000000001</v>
      </c>
      <c r="E611" s="299">
        <v>16.59</v>
      </c>
      <c r="F611" s="377">
        <f t="shared" si="124"/>
        <v>12886.949999999995</v>
      </c>
      <c r="G611" s="299">
        <f t="shared" si="125"/>
        <v>86653.05</v>
      </c>
      <c r="H611" s="301">
        <f t="shared" si="126"/>
        <v>0.14871894295699914</v>
      </c>
      <c r="I611" s="299"/>
    </row>
    <row r="612" spans="1:9" x14ac:dyDescent="0.25">
      <c r="B612" s="546">
        <v>42767</v>
      </c>
      <c r="C612" s="298">
        <v>7000</v>
      </c>
      <c r="D612" s="547">
        <v>14.725436</v>
      </c>
      <c r="E612" s="299">
        <v>16.59</v>
      </c>
      <c r="F612" s="377">
        <f t="shared" si="124"/>
        <v>13051.947999999999</v>
      </c>
      <c r="G612" s="299">
        <f t="shared" si="125"/>
        <v>103078.052</v>
      </c>
      <c r="H612" s="301">
        <f t="shared" si="126"/>
        <v>0.1266219893251378</v>
      </c>
      <c r="I612" s="299"/>
    </row>
    <row r="613" spans="1:9" x14ac:dyDescent="0.25">
      <c r="B613" s="546">
        <v>42767</v>
      </c>
      <c r="C613" s="298">
        <v>7200</v>
      </c>
      <c r="D613" s="547">
        <v>14.771951</v>
      </c>
      <c r="E613" s="299">
        <v>16.59</v>
      </c>
      <c r="F613" s="377">
        <f t="shared" si="124"/>
        <v>13089.952800000001</v>
      </c>
      <c r="G613" s="299">
        <f t="shared" si="125"/>
        <v>106358.0472</v>
      </c>
      <c r="H613" s="301">
        <f t="shared" si="126"/>
        <v>0.12307439958337259</v>
      </c>
      <c r="I613" s="299"/>
    </row>
    <row r="614" spans="1:9" x14ac:dyDescent="0.25">
      <c r="A614" t="s">
        <v>372</v>
      </c>
      <c r="B614" s="546">
        <v>42767</v>
      </c>
      <c r="C614" s="298">
        <v>6500</v>
      </c>
      <c r="D614" s="547">
        <v>14.578353999999999</v>
      </c>
      <c r="E614" s="299">
        <v>16.59</v>
      </c>
      <c r="F614" s="377">
        <f t="shared" si="124"/>
        <v>13075.699000000004</v>
      </c>
      <c r="G614" s="299">
        <f t="shared" si="125"/>
        <v>94759.300999999992</v>
      </c>
      <c r="H614" s="301">
        <f t="shared" si="126"/>
        <v>0.13798855481215511</v>
      </c>
      <c r="I614" s="299"/>
    </row>
    <row r="615" spans="1:9" x14ac:dyDescent="0.25">
      <c r="A615" t="s">
        <v>374</v>
      </c>
      <c r="B615" s="546">
        <v>42768</v>
      </c>
      <c r="C615" s="298">
        <v>6000</v>
      </c>
      <c r="D615" s="547">
        <v>14.368788</v>
      </c>
      <c r="E615" s="299">
        <v>16.68</v>
      </c>
      <c r="F615" s="377">
        <f t="shared" si="124"/>
        <v>13867.271999999995</v>
      </c>
      <c r="G615" s="299">
        <f>IF(C615=0, 0,D615*C615)</f>
        <v>86212.728000000003</v>
      </c>
      <c r="H615" s="301">
        <f t="shared" si="126"/>
        <v>0.16084947456946261</v>
      </c>
      <c r="I615" s="299"/>
    </row>
    <row r="616" spans="1:9" x14ac:dyDescent="0.25">
      <c r="A616" t="s">
        <v>381</v>
      </c>
      <c r="B616" s="546">
        <v>42769</v>
      </c>
      <c r="C616" s="298">
        <v>5300</v>
      </c>
      <c r="D616" s="547">
        <v>14.006677</v>
      </c>
      <c r="E616" s="299">
        <v>17.23</v>
      </c>
      <c r="F616" s="377">
        <f t="shared" si="124"/>
        <v>17083.611900000004</v>
      </c>
      <c r="G616" s="299">
        <f t="shared" si="125"/>
        <v>74235.388099999996</v>
      </c>
      <c r="H616" s="301">
        <f t="shared" si="126"/>
        <v>0.2301276027140485</v>
      </c>
      <c r="I616" s="299"/>
    </row>
    <row r="617" spans="1:9" x14ac:dyDescent="0.25">
      <c r="A617" t="s">
        <v>391</v>
      </c>
      <c r="B617" s="546">
        <v>42772</v>
      </c>
      <c r="C617" s="298">
        <v>6000</v>
      </c>
      <c r="D617" s="547">
        <v>14.311230999999999</v>
      </c>
      <c r="E617" s="299">
        <v>16.52</v>
      </c>
      <c r="F617" s="377">
        <f t="shared" si="124"/>
        <v>13252.614000000001</v>
      </c>
      <c r="G617" s="299">
        <f t="shared" si="125"/>
        <v>85867.385999999999</v>
      </c>
      <c r="H617" s="301">
        <f t="shared" si="126"/>
        <v>0.15433815581622576</v>
      </c>
      <c r="I617" s="299"/>
    </row>
    <row r="618" spans="1:9" x14ac:dyDescent="0.25">
      <c r="A618" t="s">
        <v>396</v>
      </c>
      <c r="B618" s="546">
        <v>42773</v>
      </c>
      <c r="C618" s="298">
        <v>6600</v>
      </c>
      <c r="D618" s="547">
        <v>14.461574000000001</v>
      </c>
      <c r="E618" s="299">
        <v>16.03</v>
      </c>
      <c r="F618" s="377">
        <f t="shared" si="124"/>
        <v>10351.611600000004</v>
      </c>
      <c r="G618" s="299">
        <f t="shared" si="125"/>
        <v>95446.388400000011</v>
      </c>
      <c r="H618" s="301">
        <f t="shared" si="126"/>
        <v>0.10845472283998965</v>
      </c>
      <c r="I618" s="299"/>
    </row>
    <row r="619" spans="1:9" x14ac:dyDescent="0.25">
      <c r="A619" t="s">
        <v>419</v>
      </c>
      <c r="B619" s="546">
        <v>42781</v>
      </c>
      <c r="C619" s="298">
        <v>5700</v>
      </c>
      <c r="D619" s="547">
        <v>14.140828000000001</v>
      </c>
      <c r="E619" s="299">
        <v>16.3</v>
      </c>
      <c r="F619" s="377">
        <f t="shared" si="124"/>
        <v>12307.2804</v>
      </c>
      <c r="G619" s="299">
        <f t="shared" si="125"/>
        <v>80602.719600000011</v>
      </c>
      <c r="H619" s="301">
        <f t="shared" si="126"/>
        <v>0.1526906345229572</v>
      </c>
      <c r="I619" s="299"/>
    </row>
    <row r="620" spans="1:9" x14ac:dyDescent="0.25">
      <c r="A620" t="s">
        <v>421</v>
      </c>
      <c r="B620" s="546">
        <v>42782</v>
      </c>
      <c r="C620" s="298">
        <v>5700</v>
      </c>
      <c r="D620" s="547">
        <v>14.103</v>
      </c>
      <c r="E620" s="299">
        <v>16.170000000000002</v>
      </c>
      <c r="F620" s="377">
        <f t="shared" si="124"/>
        <v>11781.900000000011</v>
      </c>
      <c r="G620" s="299">
        <f t="shared" si="125"/>
        <v>80387.100000000006</v>
      </c>
      <c r="H620" s="301">
        <f t="shared" si="126"/>
        <v>0.14656456073175933</v>
      </c>
      <c r="I620" s="299"/>
    </row>
    <row r="621" spans="1:9" x14ac:dyDescent="0.25">
      <c r="B621" s="546"/>
      <c r="C621" s="298"/>
      <c r="D621" s="547"/>
      <c r="E621" s="299"/>
      <c r="F621" s="377"/>
      <c r="G621" s="299"/>
      <c r="H621" s="301"/>
      <c r="I621" s="299"/>
    </row>
    <row r="622" spans="1:9" x14ac:dyDescent="0.25">
      <c r="B622" s="546"/>
      <c r="C622" s="298"/>
      <c r="D622" s="547"/>
      <c r="E622" s="299"/>
      <c r="F622" s="377"/>
      <c r="G622" s="299"/>
      <c r="H622" s="301"/>
      <c r="I622" s="299"/>
    </row>
    <row r="623" spans="1:9" x14ac:dyDescent="0.25">
      <c r="B623" s="546"/>
      <c r="C623" s="298"/>
      <c r="D623" s="547"/>
      <c r="E623" s="299"/>
      <c r="F623" s="377"/>
      <c r="G623" s="299"/>
      <c r="H623" s="301"/>
      <c r="I623" s="299"/>
    </row>
    <row r="624" spans="1:9" x14ac:dyDescent="0.25">
      <c r="B624" s="546"/>
      <c r="C624" s="298"/>
      <c r="D624" s="547"/>
      <c r="E624" s="299"/>
      <c r="F624" s="377"/>
      <c r="G624" s="299"/>
      <c r="H624" s="301"/>
      <c r="I624" s="299"/>
    </row>
    <row r="628" spans="1:13" x14ac:dyDescent="0.25">
      <c r="L628" t="s">
        <v>65</v>
      </c>
      <c r="M628" s="184">
        <f>K891+M891-F891</f>
        <v>14615.571000001626</v>
      </c>
    </row>
    <row r="629" spans="1:13" x14ac:dyDescent="0.25">
      <c r="A629" s="440" t="s">
        <v>1</v>
      </c>
      <c r="B629" s="513" t="s">
        <v>2</v>
      </c>
      <c r="C629" s="440" t="s">
        <v>4</v>
      </c>
      <c r="D629" s="514" t="s">
        <v>5</v>
      </c>
      <c r="E629" s="441" t="s">
        <v>90</v>
      </c>
      <c r="F629" s="441" t="s">
        <v>60</v>
      </c>
      <c r="G629" s="440" t="s">
        <v>3</v>
      </c>
      <c r="H629" s="515" t="s">
        <v>6</v>
      </c>
      <c r="I629" s="514" t="s">
        <v>7</v>
      </c>
      <c r="J629" s="441" t="s">
        <v>89</v>
      </c>
      <c r="K629" s="441" t="s">
        <v>61</v>
      </c>
      <c r="L629" s="440" t="s">
        <v>37</v>
      </c>
      <c r="M629" s="441" t="s">
        <v>38</v>
      </c>
    </row>
    <row r="630" spans="1:13" x14ac:dyDescent="0.25">
      <c r="A630" s="442" t="s">
        <v>50</v>
      </c>
      <c r="B630" s="473">
        <v>42187</v>
      </c>
      <c r="C630" s="427">
        <v>1000</v>
      </c>
      <c r="D630" s="428">
        <v>27.25</v>
      </c>
      <c r="E630" s="429">
        <v>0</v>
      </c>
      <c r="F630" s="429">
        <f>C630*D630+E630</f>
        <v>27250</v>
      </c>
      <c r="G630" s="426">
        <v>42187</v>
      </c>
      <c r="H630" s="443">
        <v>2000</v>
      </c>
      <c r="I630" s="428">
        <v>27.34</v>
      </c>
      <c r="J630" s="429">
        <v>-5.49</v>
      </c>
      <c r="K630" s="429">
        <f>H630*I630-J630</f>
        <v>54685.49</v>
      </c>
      <c r="L630" s="426">
        <v>42257</v>
      </c>
      <c r="M630" s="429">
        <v>850.5</v>
      </c>
    </row>
    <row r="631" spans="1:13" x14ac:dyDescent="0.25">
      <c r="A631" s="444" t="s">
        <v>71</v>
      </c>
      <c r="B631" s="473">
        <v>42187</v>
      </c>
      <c r="C631" s="427">
        <v>80</v>
      </c>
      <c r="D631" s="428">
        <v>27.152249999999999</v>
      </c>
      <c r="E631" s="429">
        <v>0</v>
      </c>
      <c r="F631" s="429">
        <f t="shared" ref="F631:F694" si="127">C631*D631+E631</f>
        <v>2172.1799999999998</v>
      </c>
      <c r="G631" s="426">
        <v>42199</v>
      </c>
      <c r="H631" s="443">
        <v>102</v>
      </c>
      <c r="I631" s="428">
        <v>25.28</v>
      </c>
      <c r="J631" s="429">
        <v>0.05</v>
      </c>
      <c r="K631" s="429">
        <f t="shared" ref="K631:K658" si="128">H631*I631-J631</f>
        <v>2578.5099999999998</v>
      </c>
      <c r="L631" s="426">
        <v>42439</v>
      </c>
      <c r="M631" s="429">
        <v>483.9</v>
      </c>
    </row>
    <row r="632" spans="1:13" x14ac:dyDescent="0.25">
      <c r="A632" s="427"/>
      <c r="B632" s="473">
        <v>42187</v>
      </c>
      <c r="C632" s="427">
        <v>1000</v>
      </c>
      <c r="D632" s="428">
        <v>27.1</v>
      </c>
      <c r="E632" s="429">
        <v>0</v>
      </c>
      <c r="F632" s="429">
        <f t="shared" si="127"/>
        <v>27100</v>
      </c>
      <c r="G632" s="426">
        <v>42227</v>
      </c>
      <c r="H632" s="443">
        <v>200</v>
      </c>
      <c r="I632" s="428">
        <v>19.649999999999999</v>
      </c>
      <c r="J632" s="429">
        <v>7.0000000000000007E-2</v>
      </c>
      <c r="K632" s="429">
        <f t="shared" si="128"/>
        <v>3929.9299999999994</v>
      </c>
      <c r="L632" s="426">
        <v>42531</v>
      </c>
      <c r="M632" s="429">
        <v>483.9</v>
      </c>
    </row>
    <row r="633" spans="1:13" x14ac:dyDescent="0.25">
      <c r="A633" s="427"/>
      <c r="B633" s="534">
        <v>42187</v>
      </c>
      <c r="C633" s="427">
        <v>500</v>
      </c>
      <c r="D633" s="428">
        <v>27.039332999999999</v>
      </c>
      <c r="E633" s="429">
        <v>0</v>
      </c>
      <c r="F633" s="429">
        <f t="shared" si="127"/>
        <v>13519.666499999999</v>
      </c>
      <c r="G633" s="426">
        <v>42227</v>
      </c>
      <c r="H633" s="443">
        <v>200</v>
      </c>
      <c r="I633" s="428">
        <v>18.7</v>
      </c>
      <c r="J633" s="429">
        <v>7.0000000000000007E-2</v>
      </c>
      <c r="K633" s="429">
        <f t="shared" si="128"/>
        <v>3739.93</v>
      </c>
      <c r="L633" s="426">
        <v>42625</v>
      </c>
      <c r="M633" s="429">
        <v>433.9</v>
      </c>
    </row>
    <row r="634" spans="1:13" x14ac:dyDescent="0.25">
      <c r="A634" s="427"/>
      <c r="B634" s="534"/>
      <c r="C634" s="427">
        <v>500</v>
      </c>
      <c r="D634" s="428">
        <v>27.039332999999999</v>
      </c>
      <c r="E634" s="429">
        <v>0</v>
      </c>
      <c r="F634" s="429">
        <f t="shared" si="127"/>
        <v>13519.666499999999</v>
      </c>
      <c r="G634" s="426">
        <v>42257</v>
      </c>
      <c r="H634" s="443">
        <v>1600</v>
      </c>
      <c r="I634" s="428">
        <v>16.445</v>
      </c>
      <c r="J634" s="429">
        <v>0.48</v>
      </c>
      <c r="K634" s="429">
        <f t="shared" si="128"/>
        <v>26311.52</v>
      </c>
      <c r="L634" s="426">
        <v>42716</v>
      </c>
      <c r="M634" s="429">
        <v>500</v>
      </c>
    </row>
    <row r="635" spans="1:13" x14ac:dyDescent="0.25">
      <c r="A635" s="427"/>
      <c r="B635" s="534"/>
      <c r="C635" s="427">
        <v>500</v>
      </c>
      <c r="D635" s="428">
        <v>27.039332999999999</v>
      </c>
      <c r="E635" s="429">
        <v>0</v>
      </c>
      <c r="F635" s="429">
        <f t="shared" si="127"/>
        <v>13519.666499999999</v>
      </c>
      <c r="G635" s="535">
        <v>42265</v>
      </c>
      <c r="H635" s="443">
        <v>200</v>
      </c>
      <c r="I635" s="428">
        <v>15.65</v>
      </c>
      <c r="J635" s="429">
        <v>0.05</v>
      </c>
      <c r="K635" s="429">
        <f t="shared" si="128"/>
        <v>3129.95</v>
      </c>
      <c r="L635" s="427"/>
      <c r="M635" s="429"/>
    </row>
    <row r="636" spans="1:13" x14ac:dyDescent="0.25">
      <c r="A636" s="427"/>
      <c r="B636" s="534"/>
      <c r="C636" s="427">
        <v>500</v>
      </c>
      <c r="D636" s="428">
        <v>27.039332999999999</v>
      </c>
      <c r="E636" s="429">
        <v>0</v>
      </c>
      <c r="F636" s="429">
        <f t="shared" si="127"/>
        <v>13519.666499999999</v>
      </c>
      <c r="G636" s="535"/>
      <c r="H636" s="443">
        <v>2400</v>
      </c>
      <c r="I636" s="428">
        <v>15.7</v>
      </c>
      <c r="J636" s="429">
        <v>0.7</v>
      </c>
      <c r="K636" s="429">
        <f t="shared" si="128"/>
        <v>37679.300000000003</v>
      </c>
      <c r="L636" s="427"/>
      <c r="M636" s="429"/>
    </row>
    <row r="637" spans="1:13" x14ac:dyDescent="0.25">
      <c r="A637" s="427"/>
      <c r="B637" s="534"/>
      <c r="C637" s="427">
        <v>1000</v>
      </c>
      <c r="D637" s="428">
        <v>27.039332999999999</v>
      </c>
      <c r="E637" s="429">
        <v>0</v>
      </c>
      <c r="F637" s="429">
        <f t="shared" si="127"/>
        <v>27039.332999999999</v>
      </c>
      <c r="G637" s="426">
        <v>42271</v>
      </c>
      <c r="H637" s="516">
        <v>918</v>
      </c>
      <c r="I637" s="517">
        <v>16.45</v>
      </c>
      <c r="J637" s="518">
        <v>0.28000000000000003</v>
      </c>
      <c r="K637" s="518">
        <f t="shared" si="128"/>
        <v>15100.819999999998</v>
      </c>
      <c r="L637" s="427"/>
      <c r="M637" s="429"/>
    </row>
    <row r="638" spans="1:13" ht="60" x14ac:dyDescent="0.25">
      <c r="A638" s="427"/>
      <c r="B638" s="473">
        <v>42198</v>
      </c>
      <c r="C638" s="427">
        <v>100</v>
      </c>
      <c r="D638" s="428">
        <v>24.77</v>
      </c>
      <c r="E638" s="429">
        <v>0</v>
      </c>
      <c r="F638" s="429">
        <f t="shared" si="127"/>
        <v>2477</v>
      </c>
      <c r="G638" s="536" t="s">
        <v>139</v>
      </c>
      <c r="H638" s="443">
        <v>500</v>
      </c>
      <c r="I638" s="428">
        <v>15.95</v>
      </c>
      <c r="J638" s="429">
        <v>0.15</v>
      </c>
      <c r="K638" s="518">
        <f t="shared" si="128"/>
        <v>7974.85</v>
      </c>
      <c r="L638" s="427"/>
      <c r="M638" s="429"/>
    </row>
    <row r="639" spans="1:13" x14ac:dyDescent="0.25">
      <c r="A639" s="427"/>
      <c r="B639" s="473">
        <v>42205</v>
      </c>
      <c r="C639" s="427">
        <v>50</v>
      </c>
      <c r="D639" s="428">
        <v>24.35</v>
      </c>
      <c r="E639" s="429">
        <v>0</v>
      </c>
      <c r="F639" s="429">
        <f t="shared" si="127"/>
        <v>1217.5</v>
      </c>
      <c r="G639" s="536"/>
      <c r="H639" s="443">
        <v>500</v>
      </c>
      <c r="I639" s="428">
        <v>16.100000000000001</v>
      </c>
      <c r="J639" s="429">
        <v>0.15</v>
      </c>
      <c r="K639" s="518">
        <f t="shared" si="128"/>
        <v>8049.8500000000013</v>
      </c>
      <c r="L639" s="427"/>
      <c r="M639" s="429"/>
    </row>
    <row r="640" spans="1:13" x14ac:dyDescent="0.25">
      <c r="A640" s="427"/>
      <c r="B640" s="473">
        <v>42207</v>
      </c>
      <c r="C640" s="427">
        <v>20</v>
      </c>
      <c r="D640" s="428">
        <v>24.02</v>
      </c>
      <c r="E640" s="429">
        <v>0</v>
      </c>
      <c r="F640" s="429">
        <f t="shared" si="127"/>
        <v>480.4</v>
      </c>
      <c r="G640" s="536"/>
      <c r="H640" s="443">
        <v>500</v>
      </c>
      <c r="I640" s="428">
        <v>16.170000000000002</v>
      </c>
      <c r="J640" s="429">
        <v>0.15</v>
      </c>
      <c r="K640" s="518">
        <f t="shared" si="128"/>
        <v>8084.8500000000013</v>
      </c>
      <c r="L640" s="427"/>
      <c r="M640" s="429"/>
    </row>
    <row r="641" spans="1:13" x14ac:dyDescent="0.25">
      <c r="A641" s="427"/>
      <c r="B641" s="473">
        <v>42207</v>
      </c>
      <c r="C641" s="427">
        <v>20</v>
      </c>
      <c r="D641" s="428">
        <v>23.91</v>
      </c>
      <c r="E641" s="429">
        <v>0</v>
      </c>
      <c r="F641" s="429">
        <f t="shared" si="127"/>
        <v>478.2</v>
      </c>
      <c r="G641" s="536"/>
      <c r="H641" s="443">
        <v>500</v>
      </c>
      <c r="I641" s="428">
        <v>16.28</v>
      </c>
      <c r="J641" s="429">
        <v>0.15</v>
      </c>
      <c r="K641" s="518">
        <f t="shared" si="128"/>
        <v>8139.8500000000013</v>
      </c>
      <c r="L641" s="429"/>
      <c r="M641" s="429"/>
    </row>
    <row r="642" spans="1:13" x14ac:dyDescent="0.25">
      <c r="A642" s="427"/>
      <c r="B642" s="473">
        <v>42207</v>
      </c>
      <c r="C642" s="427">
        <v>20</v>
      </c>
      <c r="D642" s="428">
        <v>23.7</v>
      </c>
      <c r="E642" s="429">
        <v>0</v>
      </c>
      <c r="F642" s="429">
        <f t="shared" si="127"/>
        <v>474</v>
      </c>
      <c r="G642" s="536"/>
      <c r="H642" s="443">
        <v>500</v>
      </c>
      <c r="I642" s="428">
        <v>16.39</v>
      </c>
      <c r="J642" s="429">
        <v>0.15</v>
      </c>
      <c r="K642" s="518">
        <f t="shared" si="128"/>
        <v>8194.85</v>
      </c>
      <c r="L642" s="427"/>
      <c r="M642" s="429"/>
    </row>
    <row r="643" spans="1:13" x14ac:dyDescent="0.25">
      <c r="A643" s="427"/>
      <c r="B643" s="473">
        <v>42207</v>
      </c>
      <c r="C643" s="427">
        <v>20</v>
      </c>
      <c r="D643" s="428">
        <v>23.6</v>
      </c>
      <c r="E643" s="429">
        <v>0</v>
      </c>
      <c r="F643" s="429">
        <f t="shared" si="127"/>
        <v>472</v>
      </c>
      <c r="G643" s="536"/>
      <c r="H643" s="443">
        <v>500</v>
      </c>
      <c r="I643" s="428">
        <v>16.55</v>
      </c>
      <c r="J643" s="429">
        <v>0.17</v>
      </c>
      <c r="K643" s="518">
        <f t="shared" si="128"/>
        <v>8274.83</v>
      </c>
      <c r="L643" s="427"/>
      <c r="M643" s="429"/>
    </row>
    <row r="644" spans="1:13" x14ac:dyDescent="0.25">
      <c r="A644" s="427"/>
      <c r="B644" s="473">
        <v>42209</v>
      </c>
      <c r="C644" s="427">
        <v>40</v>
      </c>
      <c r="D644" s="428">
        <v>22.3</v>
      </c>
      <c r="E644" s="429">
        <v>0</v>
      </c>
      <c r="F644" s="429">
        <f t="shared" si="127"/>
        <v>892</v>
      </c>
      <c r="G644" s="536"/>
      <c r="H644" s="443">
        <v>50</v>
      </c>
      <c r="I644" s="428">
        <v>16.55</v>
      </c>
      <c r="J644" s="429">
        <v>0</v>
      </c>
      <c r="K644" s="518">
        <f t="shared" si="128"/>
        <v>827.5</v>
      </c>
      <c r="L644" s="427"/>
      <c r="M644" s="429"/>
    </row>
    <row r="645" spans="1:13" x14ac:dyDescent="0.25">
      <c r="A645" s="429"/>
      <c r="B645" s="473">
        <v>42221</v>
      </c>
      <c r="C645" s="427">
        <v>12</v>
      </c>
      <c r="D645" s="428">
        <v>20.95</v>
      </c>
      <c r="E645" s="429">
        <v>0</v>
      </c>
      <c r="F645" s="429">
        <f t="shared" si="127"/>
        <v>251.39999999999998</v>
      </c>
      <c r="G645" s="536"/>
      <c r="H645" s="443">
        <v>28</v>
      </c>
      <c r="I645" s="428">
        <v>16.68</v>
      </c>
      <c r="J645" s="429">
        <v>0.01</v>
      </c>
      <c r="K645" s="518">
        <f t="shared" si="128"/>
        <v>467.03</v>
      </c>
      <c r="L645" s="443"/>
      <c r="M645" s="429"/>
    </row>
    <row r="646" spans="1:13" x14ac:dyDescent="0.25">
      <c r="A646" s="427"/>
      <c r="B646" s="473">
        <v>42223</v>
      </c>
      <c r="C646" s="427">
        <v>100</v>
      </c>
      <c r="D646" s="428">
        <v>20.399999999999999</v>
      </c>
      <c r="E646" s="429">
        <v>0</v>
      </c>
      <c r="F646" s="429">
        <f t="shared" si="127"/>
        <v>2039.9999999999998</v>
      </c>
      <c r="G646" s="426">
        <v>42285</v>
      </c>
      <c r="H646" s="443">
        <v>632</v>
      </c>
      <c r="I646" s="428">
        <v>17.850000000000001</v>
      </c>
      <c r="J646" s="429">
        <v>0.21</v>
      </c>
      <c r="K646" s="518">
        <f t="shared" si="128"/>
        <v>11280.990000000002</v>
      </c>
      <c r="L646" s="429"/>
      <c r="M646" s="429"/>
    </row>
    <row r="647" spans="1:13" x14ac:dyDescent="0.25">
      <c r="A647" s="429"/>
      <c r="B647" s="473">
        <v>42226</v>
      </c>
      <c r="C647" s="427">
        <v>200</v>
      </c>
      <c r="D647" s="428">
        <v>19.95</v>
      </c>
      <c r="E647" s="429">
        <v>0</v>
      </c>
      <c r="F647" s="429">
        <f t="shared" si="127"/>
        <v>3990</v>
      </c>
      <c r="G647" s="426">
        <v>42297</v>
      </c>
      <c r="H647" s="443">
        <v>500</v>
      </c>
      <c r="I647" s="428">
        <v>19.149999999999999</v>
      </c>
      <c r="J647" s="429">
        <v>0.18</v>
      </c>
      <c r="K647" s="518">
        <f t="shared" si="128"/>
        <v>9574.82</v>
      </c>
      <c r="L647" s="427"/>
      <c r="M647" s="429"/>
    </row>
    <row r="648" spans="1:13" x14ac:dyDescent="0.25">
      <c r="A648" s="427"/>
      <c r="B648" s="473">
        <v>42226</v>
      </c>
      <c r="C648" s="427">
        <v>50</v>
      </c>
      <c r="D648" s="428">
        <v>20.010000000000002</v>
      </c>
      <c r="E648" s="429">
        <v>0</v>
      </c>
      <c r="F648" s="429">
        <f t="shared" si="127"/>
        <v>1000.5000000000001</v>
      </c>
      <c r="G648" s="426">
        <v>42300</v>
      </c>
      <c r="H648" s="443">
        <v>1000</v>
      </c>
      <c r="I648" s="428">
        <v>18.62</v>
      </c>
      <c r="J648" s="429">
        <v>0.34</v>
      </c>
      <c r="K648" s="518">
        <f t="shared" si="128"/>
        <v>18619.66</v>
      </c>
      <c r="L648" s="427"/>
      <c r="M648" s="429"/>
    </row>
    <row r="649" spans="1:13" x14ac:dyDescent="0.25">
      <c r="A649" s="427"/>
      <c r="B649" s="473">
        <v>42226</v>
      </c>
      <c r="C649" s="427">
        <v>100</v>
      </c>
      <c r="D649" s="428">
        <v>20.2</v>
      </c>
      <c r="E649" s="429">
        <v>0</v>
      </c>
      <c r="F649" s="429">
        <f t="shared" si="127"/>
        <v>2020</v>
      </c>
      <c r="G649" s="426">
        <v>42312</v>
      </c>
      <c r="H649" s="443">
        <v>2500</v>
      </c>
      <c r="I649" s="428">
        <v>18.48</v>
      </c>
      <c r="J649" s="429">
        <v>7.8</v>
      </c>
      <c r="K649" s="429">
        <f t="shared" si="128"/>
        <v>46192.2</v>
      </c>
      <c r="L649" s="427"/>
      <c r="M649" s="429"/>
    </row>
    <row r="650" spans="1:13" x14ac:dyDescent="0.25">
      <c r="A650" s="427"/>
      <c r="B650" s="473">
        <v>42227</v>
      </c>
      <c r="C650" s="427">
        <v>200</v>
      </c>
      <c r="D650" s="428">
        <v>18.399999999999999</v>
      </c>
      <c r="E650" s="429">
        <v>0</v>
      </c>
      <c r="F650" s="429">
        <f t="shared" si="127"/>
        <v>3679.9999999999995</v>
      </c>
      <c r="G650" s="426">
        <v>42313</v>
      </c>
      <c r="H650" s="443">
        <v>3000</v>
      </c>
      <c r="I650" s="428">
        <v>19.059999999999999</v>
      </c>
      <c r="J650" s="429">
        <v>1.05</v>
      </c>
      <c r="K650" s="429">
        <f t="shared" si="128"/>
        <v>57178.94999999999</v>
      </c>
      <c r="L650" s="427"/>
      <c r="M650" s="429"/>
    </row>
    <row r="651" spans="1:13" x14ac:dyDescent="0.25">
      <c r="A651" s="427"/>
      <c r="B651" s="473">
        <v>42227</v>
      </c>
      <c r="C651" s="427">
        <v>200</v>
      </c>
      <c r="D651" s="428">
        <v>19.55</v>
      </c>
      <c r="E651" s="429">
        <v>0</v>
      </c>
      <c r="F651" s="429">
        <f t="shared" si="127"/>
        <v>3910</v>
      </c>
      <c r="G651" s="426">
        <v>42324</v>
      </c>
      <c r="H651" s="443">
        <v>2500</v>
      </c>
      <c r="I651" s="428">
        <v>18.8</v>
      </c>
      <c r="J651" s="429">
        <v>0.86</v>
      </c>
      <c r="K651" s="429">
        <f t="shared" si="128"/>
        <v>46999.14</v>
      </c>
      <c r="L651" s="429"/>
      <c r="M651" s="429"/>
    </row>
    <row r="652" spans="1:13" x14ac:dyDescent="0.25">
      <c r="A652" s="427"/>
      <c r="B652" s="473">
        <v>42234</v>
      </c>
      <c r="C652" s="427">
        <v>40</v>
      </c>
      <c r="D652" s="428">
        <v>18.149999999999999</v>
      </c>
      <c r="E652" s="429">
        <v>0</v>
      </c>
      <c r="F652" s="429">
        <f t="shared" si="127"/>
        <v>726</v>
      </c>
      <c r="G652" s="426">
        <v>42335</v>
      </c>
      <c r="H652" s="443">
        <v>3078</v>
      </c>
      <c r="I652" s="428">
        <v>17.649999999999999</v>
      </c>
      <c r="J652" s="429">
        <v>1</v>
      </c>
      <c r="K652" s="429">
        <f t="shared" si="128"/>
        <v>54325.7</v>
      </c>
      <c r="L652" s="427"/>
      <c r="M652" s="429"/>
    </row>
    <row r="653" spans="1:13" x14ac:dyDescent="0.25">
      <c r="A653" s="427"/>
      <c r="B653" s="473">
        <v>42234</v>
      </c>
      <c r="C653" s="427">
        <v>100</v>
      </c>
      <c r="D653" s="428">
        <v>18</v>
      </c>
      <c r="E653" s="429">
        <v>0</v>
      </c>
      <c r="F653" s="429">
        <f t="shared" si="127"/>
        <v>1800</v>
      </c>
      <c r="G653" s="426">
        <v>42347</v>
      </c>
      <c r="H653" s="443">
        <v>500</v>
      </c>
      <c r="I653" s="428">
        <v>16.149999999999999</v>
      </c>
      <c r="J653" s="429">
        <v>0.15</v>
      </c>
      <c r="K653" s="429">
        <f t="shared" si="128"/>
        <v>8074.8499999999995</v>
      </c>
      <c r="L653" s="427"/>
      <c r="M653" s="429"/>
    </row>
    <row r="654" spans="1:13" x14ac:dyDescent="0.25">
      <c r="A654" s="427"/>
      <c r="B654" s="473">
        <v>42235</v>
      </c>
      <c r="C654" s="427">
        <v>100</v>
      </c>
      <c r="D654" s="428">
        <v>17.78</v>
      </c>
      <c r="E654" s="429">
        <v>0</v>
      </c>
      <c r="F654" s="429">
        <f t="shared" si="127"/>
        <v>1778</v>
      </c>
      <c r="G654" s="426">
        <v>42353</v>
      </c>
      <c r="H654" s="443">
        <v>600</v>
      </c>
      <c r="I654" s="428">
        <v>14.95</v>
      </c>
      <c r="J654" s="429">
        <v>0.17</v>
      </c>
      <c r="K654" s="429">
        <f t="shared" si="128"/>
        <v>8969.83</v>
      </c>
      <c r="L654" s="427"/>
      <c r="M654" s="429"/>
    </row>
    <row r="655" spans="1:13" x14ac:dyDescent="0.25">
      <c r="A655" s="427"/>
      <c r="B655" s="473">
        <v>42235</v>
      </c>
      <c r="C655" s="427">
        <v>100</v>
      </c>
      <c r="D655" s="428">
        <v>17.68</v>
      </c>
      <c r="E655" s="429">
        <v>0</v>
      </c>
      <c r="F655" s="429">
        <f t="shared" si="127"/>
        <v>1768</v>
      </c>
      <c r="G655" s="426">
        <v>42354</v>
      </c>
      <c r="H655" s="443">
        <v>500</v>
      </c>
      <c r="I655" s="428">
        <v>14.32</v>
      </c>
      <c r="J655" s="429">
        <v>0.13</v>
      </c>
      <c r="K655" s="429">
        <f t="shared" si="128"/>
        <v>7159.87</v>
      </c>
      <c r="L655" s="427"/>
      <c r="M655" s="429"/>
    </row>
    <row r="656" spans="1:13" x14ac:dyDescent="0.25">
      <c r="A656" s="427"/>
      <c r="B656" s="473">
        <v>42240</v>
      </c>
      <c r="C656" s="427">
        <v>100</v>
      </c>
      <c r="D656" s="428">
        <v>16.649999999999999</v>
      </c>
      <c r="E656" s="429">
        <v>0</v>
      </c>
      <c r="F656" s="429">
        <f t="shared" si="127"/>
        <v>1664.9999999999998</v>
      </c>
      <c r="G656" s="426">
        <v>42361</v>
      </c>
      <c r="H656" s="443">
        <v>500</v>
      </c>
      <c r="I656" s="428">
        <v>12.83</v>
      </c>
      <c r="J656" s="429">
        <v>0.12</v>
      </c>
      <c r="K656" s="429">
        <f t="shared" si="128"/>
        <v>6414.88</v>
      </c>
      <c r="L656" s="427"/>
      <c r="M656" s="429"/>
    </row>
    <row r="657" spans="1:13" x14ac:dyDescent="0.25">
      <c r="A657" s="427"/>
      <c r="B657" s="473">
        <v>42240</v>
      </c>
      <c r="C657" s="427">
        <v>100</v>
      </c>
      <c r="D657" s="428">
        <v>16.100000000000001</v>
      </c>
      <c r="E657" s="429">
        <v>0</v>
      </c>
      <c r="F657" s="429">
        <f t="shared" si="127"/>
        <v>1610.0000000000002</v>
      </c>
      <c r="G657" s="426">
        <v>42362</v>
      </c>
      <c r="H657" s="443">
        <v>1222</v>
      </c>
      <c r="I657" s="428">
        <v>12.75</v>
      </c>
      <c r="J657" s="429">
        <v>0.28999999999999998</v>
      </c>
      <c r="K657" s="429">
        <f t="shared" si="128"/>
        <v>15580.21</v>
      </c>
      <c r="L657" s="427"/>
      <c r="M657" s="429"/>
    </row>
    <row r="658" spans="1:13" x14ac:dyDescent="0.25">
      <c r="A658" s="427"/>
      <c r="B658" s="473">
        <v>42257</v>
      </c>
      <c r="C658" s="427">
        <v>1500</v>
      </c>
      <c r="D658" s="428">
        <v>16.350000000000001</v>
      </c>
      <c r="E658" s="429">
        <v>0</v>
      </c>
      <c r="F658" s="429">
        <f t="shared" si="127"/>
        <v>24525.000000000004</v>
      </c>
      <c r="G658" s="426">
        <v>42367</v>
      </c>
      <c r="H658" s="443">
        <v>1000</v>
      </c>
      <c r="I658" s="428">
        <v>13.15</v>
      </c>
      <c r="J658" s="429">
        <v>0.24</v>
      </c>
      <c r="K658" s="429">
        <f t="shared" si="128"/>
        <v>13149.76</v>
      </c>
      <c r="L658" s="427"/>
      <c r="M658" s="429"/>
    </row>
    <row r="659" spans="1:13" x14ac:dyDescent="0.25">
      <c r="A659" s="427"/>
      <c r="B659" s="473">
        <v>42258</v>
      </c>
      <c r="C659" s="427">
        <v>100</v>
      </c>
      <c r="D659" s="428">
        <v>16.100000000000001</v>
      </c>
      <c r="E659" s="429">
        <v>0</v>
      </c>
      <c r="F659" s="429">
        <f t="shared" si="127"/>
        <v>1610.0000000000002</v>
      </c>
      <c r="G659" s="426">
        <v>42367</v>
      </c>
      <c r="H659" s="443">
        <v>2178</v>
      </c>
      <c r="I659" s="428">
        <v>13.75</v>
      </c>
      <c r="J659" s="429">
        <v>0.55000000000000004</v>
      </c>
      <c r="K659" s="429">
        <f>H659*I659-J659</f>
        <v>29946.95</v>
      </c>
      <c r="L659" s="427"/>
      <c r="M659" s="429"/>
    </row>
    <row r="660" spans="1:13" x14ac:dyDescent="0.25">
      <c r="A660" s="427"/>
      <c r="B660" s="473">
        <v>42261</v>
      </c>
      <c r="C660" s="427">
        <v>1000</v>
      </c>
      <c r="D660" s="428">
        <v>15.416</v>
      </c>
      <c r="E660" s="429">
        <v>0</v>
      </c>
      <c r="F660" s="429">
        <f t="shared" si="127"/>
        <v>15416</v>
      </c>
      <c r="G660" s="426">
        <v>42010</v>
      </c>
      <c r="H660" s="443">
        <v>1000</v>
      </c>
      <c r="I660" s="428">
        <v>12.63</v>
      </c>
      <c r="J660" s="429">
        <v>0.23</v>
      </c>
      <c r="K660" s="429">
        <f>H660*I660-J660</f>
        <v>12629.77</v>
      </c>
      <c r="L660" s="427"/>
      <c r="M660" s="429"/>
    </row>
    <row r="661" spans="1:13" x14ac:dyDescent="0.25">
      <c r="A661" s="427"/>
      <c r="B661" s="473">
        <v>42261</v>
      </c>
      <c r="C661" s="427">
        <v>1000</v>
      </c>
      <c r="D661" s="428">
        <v>15.1</v>
      </c>
      <c r="E661" s="429">
        <v>0</v>
      </c>
      <c r="F661" s="429">
        <f t="shared" si="127"/>
        <v>15100</v>
      </c>
      <c r="G661" s="519">
        <v>42374</v>
      </c>
      <c r="H661" s="443">
        <v>2000</v>
      </c>
      <c r="I661" s="428">
        <v>12.81</v>
      </c>
      <c r="J661" s="429">
        <v>0.47</v>
      </c>
      <c r="K661" s="429">
        <f t="shared" ref="K661:K673" si="129">H661*I661-J661</f>
        <v>25619.53</v>
      </c>
      <c r="L661" s="427"/>
      <c r="M661" s="429"/>
    </row>
    <row r="662" spans="1:13" x14ac:dyDescent="0.25">
      <c r="A662" s="427"/>
      <c r="B662" s="473">
        <v>42261</v>
      </c>
      <c r="C662" s="427">
        <v>200</v>
      </c>
      <c r="D662" s="428">
        <v>14.87</v>
      </c>
      <c r="E662" s="429">
        <v>0</v>
      </c>
      <c r="F662" s="429">
        <f t="shared" si="127"/>
        <v>2974</v>
      </c>
      <c r="G662" s="426">
        <v>42374</v>
      </c>
      <c r="H662" s="443">
        <v>1000</v>
      </c>
      <c r="I662" s="428">
        <v>12.82</v>
      </c>
      <c r="J662" s="429">
        <v>0.24</v>
      </c>
      <c r="K662" s="429">
        <f t="shared" si="129"/>
        <v>12819.76</v>
      </c>
      <c r="L662" s="427"/>
      <c r="M662" s="429"/>
    </row>
    <row r="663" spans="1:13" x14ac:dyDescent="0.25">
      <c r="A663" s="427"/>
      <c r="B663" s="473">
        <v>42261</v>
      </c>
      <c r="C663" s="427">
        <v>300</v>
      </c>
      <c r="D663" s="428">
        <v>14.87</v>
      </c>
      <c r="E663" s="429">
        <v>0</v>
      </c>
      <c r="F663" s="429">
        <f t="shared" si="127"/>
        <v>4461</v>
      </c>
      <c r="G663" s="426">
        <v>42398</v>
      </c>
      <c r="H663" s="443">
        <v>400</v>
      </c>
      <c r="I663" s="428">
        <v>9.5500000000000007</v>
      </c>
      <c r="J663" s="429">
        <v>7.0000000000000007E-2</v>
      </c>
      <c r="K663" s="429">
        <f t="shared" si="129"/>
        <v>3819.9300000000003</v>
      </c>
      <c r="L663" s="427"/>
      <c r="M663" s="429"/>
    </row>
    <row r="664" spans="1:13" x14ac:dyDescent="0.25">
      <c r="A664" s="427"/>
      <c r="B664" s="473">
        <v>42270</v>
      </c>
      <c r="C664" s="427">
        <v>478</v>
      </c>
      <c r="D664" s="428">
        <v>15.85</v>
      </c>
      <c r="E664" s="429">
        <v>0</v>
      </c>
      <c r="F664" s="429">
        <f t="shared" si="127"/>
        <v>7576.3</v>
      </c>
      <c r="G664" s="426">
        <v>42411</v>
      </c>
      <c r="H664" s="443">
        <v>500</v>
      </c>
      <c r="I664" s="428">
        <v>6.97</v>
      </c>
      <c r="J664" s="429">
        <v>0.08</v>
      </c>
      <c r="K664" s="429">
        <f t="shared" si="129"/>
        <v>3484.92</v>
      </c>
      <c r="L664" s="427"/>
      <c r="M664" s="429"/>
    </row>
    <row r="665" spans="1:13" x14ac:dyDescent="0.25">
      <c r="A665" s="427"/>
      <c r="B665" s="473">
        <v>42292</v>
      </c>
      <c r="C665" s="427">
        <v>500</v>
      </c>
      <c r="D665" s="428">
        <v>18.55</v>
      </c>
      <c r="E665" s="429">
        <v>0</v>
      </c>
      <c r="F665" s="429">
        <f t="shared" si="127"/>
        <v>9275</v>
      </c>
      <c r="G665" s="426">
        <v>42412</v>
      </c>
      <c r="H665" s="443">
        <v>200</v>
      </c>
      <c r="I665" s="428">
        <v>7.45</v>
      </c>
      <c r="J665" s="429">
        <v>0.03</v>
      </c>
      <c r="K665" s="429">
        <f t="shared" si="129"/>
        <v>1489.97</v>
      </c>
      <c r="L665" s="427"/>
      <c r="M665" s="429"/>
    </row>
    <row r="666" spans="1:13" x14ac:dyDescent="0.25">
      <c r="A666" s="427"/>
      <c r="B666" s="473">
        <v>42299</v>
      </c>
      <c r="C666" s="427">
        <v>500</v>
      </c>
      <c r="D666" s="428">
        <v>18.55</v>
      </c>
      <c r="E666" s="429">
        <v>0</v>
      </c>
      <c r="F666" s="429">
        <f t="shared" si="127"/>
        <v>9275</v>
      </c>
      <c r="G666" s="426">
        <v>42416</v>
      </c>
      <c r="H666" s="443">
        <v>500</v>
      </c>
      <c r="I666" s="428">
        <v>7.75</v>
      </c>
      <c r="J666" s="429">
        <v>0.08</v>
      </c>
      <c r="K666" s="429">
        <f t="shared" si="129"/>
        <v>3874.92</v>
      </c>
      <c r="L666" s="427"/>
      <c r="M666" s="429"/>
    </row>
    <row r="667" spans="1:13" x14ac:dyDescent="0.25">
      <c r="A667" s="427"/>
      <c r="B667" s="473">
        <v>42299</v>
      </c>
      <c r="C667" s="427">
        <v>500</v>
      </c>
      <c r="D667" s="428">
        <v>18.28</v>
      </c>
      <c r="E667" s="429">
        <v>0</v>
      </c>
      <c r="F667" s="429">
        <f t="shared" si="127"/>
        <v>9140</v>
      </c>
      <c r="G667" s="426">
        <v>42422</v>
      </c>
      <c r="H667" s="443">
        <v>2500</v>
      </c>
      <c r="I667" s="428">
        <v>7.47</v>
      </c>
      <c r="J667" s="429">
        <v>0.41</v>
      </c>
      <c r="K667" s="429">
        <f t="shared" si="129"/>
        <v>18674.59</v>
      </c>
      <c r="L667" s="427"/>
      <c r="M667" s="429"/>
    </row>
    <row r="668" spans="1:13" x14ac:dyDescent="0.25">
      <c r="A668" s="427"/>
      <c r="B668" s="473">
        <v>42299</v>
      </c>
      <c r="C668" s="427">
        <v>1000</v>
      </c>
      <c r="D668" s="428">
        <v>18.100000000000001</v>
      </c>
      <c r="E668" s="429">
        <v>0</v>
      </c>
      <c r="F668" s="429">
        <f t="shared" si="127"/>
        <v>18100</v>
      </c>
      <c r="G668" s="426">
        <v>42422</v>
      </c>
      <c r="H668" s="443">
        <v>1000</v>
      </c>
      <c r="I668" s="428">
        <v>7.49</v>
      </c>
      <c r="J668" s="429">
        <v>0.16</v>
      </c>
      <c r="K668" s="429">
        <f t="shared" si="129"/>
        <v>7489.84</v>
      </c>
      <c r="L668" s="427"/>
      <c r="M668" s="429"/>
    </row>
    <row r="669" spans="1:13" x14ac:dyDescent="0.25">
      <c r="A669" s="427"/>
      <c r="B669" s="534">
        <v>42306</v>
      </c>
      <c r="C669" s="427">
        <v>660</v>
      </c>
      <c r="D669" s="428">
        <v>17.8</v>
      </c>
      <c r="E669" s="429">
        <v>0</v>
      </c>
      <c r="F669" s="429">
        <f t="shared" si="127"/>
        <v>11748</v>
      </c>
      <c r="G669" s="426">
        <v>42426</v>
      </c>
      <c r="H669" s="443">
        <v>900</v>
      </c>
      <c r="I669" s="428">
        <v>7.7</v>
      </c>
      <c r="J669" s="429">
        <v>0.15</v>
      </c>
      <c r="K669" s="429">
        <f t="shared" si="129"/>
        <v>6929.85</v>
      </c>
      <c r="L669" s="427"/>
      <c r="M669" s="429"/>
    </row>
    <row r="670" spans="1:13" ht="30" x14ac:dyDescent="0.25">
      <c r="A670" s="427"/>
      <c r="B670" s="534"/>
      <c r="C670" s="427">
        <v>340</v>
      </c>
      <c r="D670" s="428">
        <v>17.8</v>
      </c>
      <c r="E670" s="429">
        <v>0</v>
      </c>
      <c r="F670" s="429">
        <f t="shared" si="127"/>
        <v>6052</v>
      </c>
      <c r="G670" s="537" t="s">
        <v>180</v>
      </c>
      <c r="H670" s="443">
        <v>500</v>
      </c>
      <c r="I670" s="428">
        <v>7.73</v>
      </c>
      <c r="J670" s="429">
        <v>0.08</v>
      </c>
      <c r="K670" s="429">
        <f t="shared" si="129"/>
        <v>3864.92</v>
      </c>
      <c r="L670" s="427"/>
      <c r="M670" s="429"/>
    </row>
    <row r="671" spans="1:13" x14ac:dyDescent="0.25">
      <c r="A671" s="427"/>
      <c r="B671" s="473">
        <v>42312</v>
      </c>
      <c r="C671" s="520">
        <v>500</v>
      </c>
      <c r="D671" s="517">
        <v>17.559999999999999</v>
      </c>
      <c r="E671" s="518">
        <v>6.95</v>
      </c>
      <c r="F671" s="518">
        <f t="shared" si="127"/>
        <v>8786.9500000000007</v>
      </c>
      <c r="G671" s="537"/>
      <c r="H671" s="443">
        <v>500</v>
      </c>
      <c r="I671" s="428">
        <v>7.96</v>
      </c>
      <c r="J671" s="429">
        <v>0.09</v>
      </c>
      <c r="K671" s="429">
        <f t="shared" si="129"/>
        <v>3979.91</v>
      </c>
      <c r="L671" s="427"/>
      <c r="M671" s="429"/>
    </row>
    <row r="672" spans="1:13" x14ac:dyDescent="0.25">
      <c r="A672" s="427"/>
      <c r="B672" s="473">
        <v>42313</v>
      </c>
      <c r="C672" s="427">
        <v>3000</v>
      </c>
      <c r="D672" s="428">
        <v>19.05</v>
      </c>
      <c r="E672" s="429">
        <v>0</v>
      </c>
      <c r="F672" s="429">
        <f t="shared" si="127"/>
        <v>57150</v>
      </c>
      <c r="G672" s="537"/>
      <c r="H672" s="443">
        <v>500</v>
      </c>
      <c r="I672" s="428">
        <v>8.0299999999999994</v>
      </c>
      <c r="J672" s="429">
        <v>0.09</v>
      </c>
      <c r="K672" s="429">
        <f t="shared" si="129"/>
        <v>4014.9099999999994</v>
      </c>
      <c r="L672" s="427"/>
      <c r="M672" s="428"/>
    </row>
    <row r="673" spans="1:13" x14ac:dyDescent="0.25">
      <c r="A673" s="427"/>
      <c r="B673" s="473">
        <v>42320</v>
      </c>
      <c r="C673" s="427">
        <v>500</v>
      </c>
      <c r="D673" s="428">
        <v>18.079999999999998</v>
      </c>
      <c r="E673" s="429">
        <v>0</v>
      </c>
      <c r="F673" s="429">
        <f t="shared" si="127"/>
        <v>9040</v>
      </c>
      <c r="G673" s="537"/>
      <c r="H673" s="443">
        <v>1500</v>
      </c>
      <c r="I673" s="428">
        <v>8.1</v>
      </c>
      <c r="J673" s="429">
        <v>0.26</v>
      </c>
      <c r="K673" s="429">
        <f t="shared" si="129"/>
        <v>12149.74</v>
      </c>
      <c r="L673" s="427"/>
      <c r="M673" s="429"/>
    </row>
    <row r="674" spans="1:13" x14ac:dyDescent="0.25">
      <c r="A674" s="427"/>
      <c r="B674" s="473">
        <v>42320</v>
      </c>
      <c r="C674" s="427">
        <v>1000</v>
      </c>
      <c r="D674" s="428">
        <v>18.05</v>
      </c>
      <c r="E674" s="429">
        <v>0</v>
      </c>
      <c r="F674" s="429">
        <f t="shared" si="127"/>
        <v>18050</v>
      </c>
      <c r="G674" s="426">
        <v>42429</v>
      </c>
      <c r="H674" s="443">
        <v>1000</v>
      </c>
      <c r="I674" s="428">
        <v>8.5399999999999991</v>
      </c>
      <c r="J674" s="429">
        <v>0.19</v>
      </c>
      <c r="K674" s="429">
        <f>H674*I674-J674</f>
        <v>8539.81</v>
      </c>
      <c r="L674" s="427"/>
      <c r="M674" s="521"/>
    </row>
    <row r="675" spans="1:13" x14ac:dyDescent="0.25">
      <c r="A675" s="427"/>
      <c r="B675" s="473">
        <v>42320</v>
      </c>
      <c r="C675" s="427">
        <v>1000</v>
      </c>
      <c r="D675" s="428">
        <v>17.82</v>
      </c>
      <c r="E675" s="429">
        <v>0</v>
      </c>
      <c r="F675" s="429">
        <f t="shared" si="127"/>
        <v>17820</v>
      </c>
      <c r="G675" s="426">
        <v>42429</v>
      </c>
      <c r="H675" s="443">
        <v>500</v>
      </c>
      <c r="I675" s="428">
        <v>7.95</v>
      </c>
      <c r="J675" s="429">
        <v>0.09</v>
      </c>
      <c r="K675" s="429">
        <f>H675*I675-J675</f>
        <v>3974.91</v>
      </c>
      <c r="L675" s="427"/>
      <c r="M675" s="429"/>
    </row>
    <row r="676" spans="1:13" x14ac:dyDescent="0.25">
      <c r="A676" s="427"/>
      <c r="B676" s="473">
        <v>42328</v>
      </c>
      <c r="C676" s="427">
        <v>3078</v>
      </c>
      <c r="D676" s="428">
        <v>17.47</v>
      </c>
      <c r="E676" s="429">
        <v>0</v>
      </c>
      <c r="F676" s="429">
        <f t="shared" si="127"/>
        <v>53772.659999999996</v>
      </c>
      <c r="G676" s="426">
        <v>42429</v>
      </c>
      <c r="H676" s="443">
        <v>500</v>
      </c>
      <c r="I676" s="428">
        <v>7.97</v>
      </c>
      <c r="J676" s="429">
        <v>0.09</v>
      </c>
      <c r="K676" s="429">
        <f t="shared" ref="K676:K735" si="130">H676*I676-J676</f>
        <v>3984.91</v>
      </c>
      <c r="L676" s="427"/>
      <c r="M676" s="429"/>
    </row>
    <row r="677" spans="1:13" x14ac:dyDescent="0.25">
      <c r="A677" s="427"/>
      <c r="B677" s="473">
        <v>42340</v>
      </c>
      <c r="C677" s="427">
        <v>3078</v>
      </c>
      <c r="D677" s="428">
        <v>17.739999999999998</v>
      </c>
      <c r="E677" s="429">
        <v>0</v>
      </c>
      <c r="F677" s="429">
        <f t="shared" si="127"/>
        <v>54603.719999999994</v>
      </c>
      <c r="G677" s="426">
        <v>42430</v>
      </c>
      <c r="H677" s="443">
        <v>500</v>
      </c>
      <c r="I677" s="428">
        <v>7.85</v>
      </c>
      <c r="J677" s="429">
        <v>0.09</v>
      </c>
      <c r="K677" s="429">
        <f t="shared" si="130"/>
        <v>3924.91</v>
      </c>
      <c r="L677" s="427"/>
      <c r="M677" s="429"/>
    </row>
    <row r="678" spans="1:13" x14ac:dyDescent="0.25">
      <c r="A678" s="427"/>
      <c r="B678" s="473">
        <v>42340</v>
      </c>
      <c r="C678" s="427">
        <v>500</v>
      </c>
      <c r="D678" s="428">
        <v>17.5</v>
      </c>
      <c r="E678" s="429">
        <v>0</v>
      </c>
      <c r="F678" s="429">
        <f t="shared" si="127"/>
        <v>8750</v>
      </c>
      <c r="G678" s="426">
        <v>42430</v>
      </c>
      <c r="H678" s="443">
        <v>500</v>
      </c>
      <c r="I678" s="428">
        <v>8.0299999999999994</v>
      </c>
      <c r="J678" s="429">
        <v>0.09</v>
      </c>
      <c r="K678" s="429">
        <f t="shared" si="130"/>
        <v>4014.9099999999994</v>
      </c>
      <c r="L678" s="429"/>
      <c r="M678" s="429"/>
    </row>
    <row r="679" spans="1:13" x14ac:dyDescent="0.25">
      <c r="A679" s="427"/>
      <c r="B679" s="473">
        <v>42345</v>
      </c>
      <c r="C679" s="427">
        <v>100</v>
      </c>
      <c r="D679" s="428">
        <v>16.7</v>
      </c>
      <c r="E679" s="429">
        <v>0</v>
      </c>
      <c r="F679" s="429">
        <f t="shared" si="127"/>
        <v>1670</v>
      </c>
      <c r="G679" s="426">
        <v>42431</v>
      </c>
      <c r="H679" s="443">
        <v>500</v>
      </c>
      <c r="I679" s="428">
        <v>8.3800000000000008</v>
      </c>
      <c r="J679" s="429">
        <v>0.09</v>
      </c>
      <c r="K679" s="429">
        <f t="shared" si="130"/>
        <v>4189.91</v>
      </c>
      <c r="L679" s="429"/>
      <c r="M679" s="429"/>
    </row>
    <row r="680" spans="1:13" x14ac:dyDescent="0.25">
      <c r="A680" s="427"/>
      <c r="B680" s="473">
        <v>42345</v>
      </c>
      <c r="C680" s="427">
        <v>500</v>
      </c>
      <c r="D680" s="428">
        <v>16.850000000000001</v>
      </c>
      <c r="E680" s="429">
        <v>0</v>
      </c>
      <c r="F680" s="429">
        <f t="shared" si="127"/>
        <v>8425</v>
      </c>
      <c r="G680" s="426">
        <v>42431</v>
      </c>
      <c r="H680" s="443">
        <v>500</v>
      </c>
      <c r="I680" s="428">
        <v>8.58</v>
      </c>
      <c r="J680" s="429">
        <v>0.09</v>
      </c>
      <c r="K680" s="429">
        <f t="shared" si="130"/>
        <v>4289.91</v>
      </c>
      <c r="L680" s="427"/>
      <c r="M680" s="429"/>
    </row>
    <row r="681" spans="1:13" ht="30" x14ac:dyDescent="0.25">
      <c r="A681" s="427"/>
      <c r="B681" s="473">
        <v>42347</v>
      </c>
      <c r="C681" s="427">
        <v>500</v>
      </c>
      <c r="D681" s="428">
        <v>15.84</v>
      </c>
      <c r="E681" s="429">
        <v>0</v>
      </c>
      <c r="F681" s="429">
        <f t="shared" si="127"/>
        <v>7920</v>
      </c>
      <c r="G681" s="536" t="s">
        <v>182</v>
      </c>
      <c r="H681" s="443">
        <v>400</v>
      </c>
      <c r="I681" s="428">
        <v>9.09</v>
      </c>
      <c r="J681" s="429">
        <v>0.1</v>
      </c>
      <c r="K681" s="429">
        <f t="shared" si="130"/>
        <v>3635.9</v>
      </c>
      <c r="L681" s="427"/>
      <c r="M681" s="429"/>
    </row>
    <row r="682" spans="1:13" x14ac:dyDescent="0.25">
      <c r="A682" s="427"/>
      <c r="B682" s="473">
        <v>42348</v>
      </c>
      <c r="C682" s="427">
        <v>500</v>
      </c>
      <c r="D682" s="428">
        <v>14.78</v>
      </c>
      <c r="E682" s="429">
        <v>0</v>
      </c>
      <c r="F682" s="429">
        <f t="shared" si="127"/>
        <v>7390</v>
      </c>
      <c r="G682" s="536"/>
      <c r="H682" s="443">
        <v>100</v>
      </c>
      <c r="I682" s="428">
        <v>9.09</v>
      </c>
      <c r="J682" s="429">
        <v>0</v>
      </c>
      <c r="K682" s="429">
        <f t="shared" si="130"/>
        <v>909</v>
      </c>
      <c r="L682" s="427"/>
      <c r="M682" s="429"/>
    </row>
    <row r="683" spans="1:13" x14ac:dyDescent="0.25">
      <c r="A683" s="427"/>
      <c r="B683" s="473">
        <v>42352</v>
      </c>
      <c r="C683" s="427">
        <v>100</v>
      </c>
      <c r="D683" s="428">
        <v>14.57</v>
      </c>
      <c r="E683" s="429">
        <v>0</v>
      </c>
      <c r="F683" s="429">
        <f t="shared" si="127"/>
        <v>1457</v>
      </c>
      <c r="G683" s="536"/>
      <c r="H683" s="443">
        <v>500</v>
      </c>
      <c r="I683" s="428">
        <v>8.81</v>
      </c>
      <c r="J683" s="429">
        <v>0.1</v>
      </c>
      <c r="K683" s="429">
        <f t="shared" si="130"/>
        <v>4404.8999999999996</v>
      </c>
      <c r="L683" s="427"/>
      <c r="M683" s="429"/>
    </row>
    <row r="684" spans="1:13" x14ac:dyDescent="0.25">
      <c r="A684" s="427"/>
      <c r="B684" s="473">
        <v>42355</v>
      </c>
      <c r="C684" s="427">
        <v>500</v>
      </c>
      <c r="D684" s="428">
        <v>13.89</v>
      </c>
      <c r="E684" s="429">
        <v>0</v>
      </c>
      <c r="F684" s="429">
        <f t="shared" si="127"/>
        <v>6945</v>
      </c>
      <c r="G684" s="426">
        <v>42432</v>
      </c>
      <c r="H684" s="443">
        <v>600</v>
      </c>
      <c r="I684" s="428">
        <v>9.65</v>
      </c>
      <c r="J684" s="429">
        <v>0.13</v>
      </c>
      <c r="K684" s="429">
        <f t="shared" si="130"/>
        <v>5789.87</v>
      </c>
      <c r="L684" s="427"/>
      <c r="M684" s="429"/>
    </row>
    <row r="685" spans="1:13" x14ac:dyDescent="0.25">
      <c r="A685" s="427"/>
      <c r="B685" s="473">
        <v>42360</v>
      </c>
      <c r="C685" s="427">
        <v>500</v>
      </c>
      <c r="D685" s="428">
        <v>12.95</v>
      </c>
      <c r="E685" s="429">
        <v>0</v>
      </c>
      <c r="F685" s="429">
        <f t="shared" si="127"/>
        <v>6475</v>
      </c>
      <c r="G685" s="426">
        <v>42433</v>
      </c>
      <c r="H685" s="443">
        <v>600</v>
      </c>
      <c r="I685" s="428">
        <v>10.45</v>
      </c>
      <c r="J685" s="429">
        <v>0.14000000000000001</v>
      </c>
      <c r="K685" s="429">
        <f t="shared" si="130"/>
        <v>6269.86</v>
      </c>
      <c r="L685" s="427"/>
      <c r="M685" s="429"/>
    </row>
    <row r="686" spans="1:13" x14ac:dyDescent="0.25">
      <c r="A686" s="427"/>
      <c r="B686" s="473">
        <v>42361</v>
      </c>
      <c r="C686" s="427">
        <v>500</v>
      </c>
      <c r="D686" s="428">
        <v>12.75</v>
      </c>
      <c r="E686" s="429">
        <v>0</v>
      </c>
      <c r="F686" s="429">
        <f t="shared" si="127"/>
        <v>6375</v>
      </c>
      <c r="G686" s="426">
        <v>42440</v>
      </c>
      <c r="H686" s="443">
        <v>400</v>
      </c>
      <c r="I686" s="428">
        <v>11.25</v>
      </c>
      <c r="J686" s="429">
        <v>0.1</v>
      </c>
      <c r="K686" s="429">
        <f t="shared" si="130"/>
        <v>4499.8999999999996</v>
      </c>
      <c r="L686" s="427"/>
      <c r="M686" s="429"/>
    </row>
    <row r="687" spans="1:13" x14ac:dyDescent="0.25">
      <c r="A687" s="427"/>
      <c r="B687" s="473">
        <v>42361</v>
      </c>
      <c r="C687" s="427">
        <v>500</v>
      </c>
      <c r="D687" s="428">
        <v>12.8</v>
      </c>
      <c r="E687" s="429">
        <v>0</v>
      </c>
      <c r="F687" s="429">
        <f t="shared" si="127"/>
        <v>6400</v>
      </c>
      <c r="G687" s="426">
        <v>42446</v>
      </c>
      <c r="H687" s="443">
        <v>1500</v>
      </c>
      <c r="I687" s="428">
        <v>11.49</v>
      </c>
      <c r="J687" s="429">
        <v>0.38</v>
      </c>
      <c r="K687" s="429">
        <f t="shared" si="130"/>
        <v>17234.62</v>
      </c>
      <c r="L687" s="427"/>
      <c r="M687" s="429"/>
    </row>
    <row r="688" spans="1:13" x14ac:dyDescent="0.25">
      <c r="A688" s="427"/>
      <c r="B688" s="473">
        <v>42361</v>
      </c>
      <c r="C688" s="427">
        <v>1000</v>
      </c>
      <c r="D688" s="428">
        <v>12.67</v>
      </c>
      <c r="E688" s="429">
        <v>0</v>
      </c>
      <c r="F688" s="429">
        <f t="shared" si="127"/>
        <v>12670</v>
      </c>
      <c r="G688" s="426">
        <v>42447</v>
      </c>
      <c r="H688" s="443">
        <v>1500</v>
      </c>
      <c r="I688" s="428">
        <v>11.44</v>
      </c>
      <c r="J688" s="429">
        <v>0.37</v>
      </c>
      <c r="K688" s="429">
        <f t="shared" si="130"/>
        <v>17159.63</v>
      </c>
      <c r="L688" s="427"/>
      <c r="M688" s="429"/>
    </row>
    <row r="689" spans="1:13" x14ac:dyDescent="0.25">
      <c r="A689" s="427"/>
      <c r="B689" s="473">
        <v>42361</v>
      </c>
      <c r="C689" s="427">
        <v>222</v>
      </c>
      <c r="D689" s="428">
        <v>12.44</v>
      </c>
      <c r="E689" s="429">
        <v>0</v>
      </c>
      <c r="F689" s="429">
        <f t="shared" si="127"/>
        <v>2761.68</v>
      </c>
      <c r="G689" s="426">
        <v>42447</v>
      </c>
      <c r="H689" s="443">
        <v>500</v>
      </c>
      <c r="I689" s="428">
        <v>11.484999999999999</v>
      </c>
      <c r="J689" s="429">
        <v>0.13</v>
      </c>
      <c r="K689" s="429">
        <f t="shared" si="130"/>
        <v>5742.37</v>
      </c>
      <c r="L689" s="427"/>
      <c r="M689" s="429"/>
    </row>
    <row r="690" spans="1:13" x14ac:dyDescent="0.25">
      <c r="A690" s="427"/>
      <c r="B690" s="473">
        <v>42367</v>
      </c>
      <c r="C690" s="427">
        <v>2178</v>
      </c>
      <c r="D690" s="428">
        <v>13.68</v>
      </c>
      <c r="E690" s="429">
        <v>0</v>
      </c>
      <c r="F690" s="429">
        <f t="shared" si="127"/>
        <v>29795.040000000001</v>
      </c>
      <c r="G690" s="535">
        <v>42447</v>
      </c>
      <c r="H690" s="443">
        <v>650</v>
      </c>
      <c r="I690" s="428">
        <v>11.56</v>
      </c>
      <c r="J690" s="429">
        <v>0.25</v>
      </c>
      <c r="K690" s="429">
        <f t="shared" si="130"/>
        <v>7513.75</v>
      </c>
      <c r="L690" s="427"/>
      <c r="M690" s="429"/>
    </row>
    <row r="691" spans="1:13" x14ac:dyDescent="0.25">
      <c r="A691" s="427"/>
      <c r="B691" s="473">
        <v>42369</v>
      </c>
      <c r="C691" s="427">
        <v>2500</v>
      </c>
      <c r="D691" s="428">
        <v>13.04</v>
      </c>
      <c r="E691" s="429">
        <v>0</v>
      </c>
      <c r="F691" s="429">
        <f t="shared" si="127"/>
        <v>32599.999999999996</v>
      </c>
      <c r="G691" s="535"/>
      <c r="H691" s="443">
        <v>350</v>
      </c>
      <c r="I691" s="428">
        <v>11.56</v>
      </c>
      <c r="J691" s="429">
        <v>0</v>
      </c>
      <c r="K691" s="429">
        <f t="shared" si="130"/>
        <v>4046</v>
      </c>
      <c r="L691" s="427"/>
      <c r="M691" s="429"/>
    </row>
    <row r="692" spans="1:13" x14ac:dyDescent="0.25">
      <c r="A692" s="427"/>
      <c r="B692" s="473">
        <v>42008</v>
      </c>
      <c r="C692" s="427">
        <v>2000</v>
      </c>
      <c r="D692" s="428">
        <v>13.01</v>
      </c>
      <c r="E692" s="429">
        <v>0</v>
      </c>
      <c r="F692" s="429">
        <f t="shared" si="127"/>
        <v>26020</v>
      </c>
      <c r="G692" s="426">
        <v>42447</v>
      </c>
      <c r="H692" s="443">
        <v>1000</v>
      </c>
      <c r="I692" s="428">
        <v>11.62</v>
      </c>
      <c r="J692" s="429">
        <v>0.25</v>
      </c>
      <c r="K692" s="429">
        <f t="shared" si="130"/>
        <v>11619.75</v>
      </c>
      <c r="L692" s="427"/>
      <c r="M692" s="429"/>
    </row>
    <row r="693" spans="1:13" x14ac:dyDescent="0.25">
      <c r="A693" s="427"/>
      <c r="B693" s="473">
        <v>42009</v>
      </c>
      <c r="C693" s="427">
        <v>500</v>
      </c>
      <c r="D693" s="428">
        <v>12.62</v>
      </c>
      <c r="E693" s="429">
        <v>0</v>
      </c>
      <c r="F693" s="429">
        <f t="shared" si="127"/>
        <v>6310</v>
      </c>
      <c r="G693" s="426">
        <v>42451</v>
      </c>
      <c r="H693" s="443">
        <v>1000</v>
      </c>
      <c r="I693" s="428">
        <v>11.45</v>
      </c>
      <c r="J693" s="429">
        <v>0.25</v>
      </c>
      <c r="K693" s="429">
        <f t="shared" si="130"/>
        <v>11449.75</v>
      </c>
      <c r="L693" s="427"/>
      <c r="M693" s="429"/>
    </row>
    <row r="694" spans="1:13" x14ac:dyDescent="0.25">
      <c r="A694" s="427"/>
      <c r="B694" s="473">
        <v>42009</v>
      </c>
      <c r="C694" s="427">
        <v>500</v>
      </c>
      <c r="D694" s="428">
        <v>12.45</v>
      </c>
      <c r="E694" s="429">
        <v>0</v>
      </c>
      <c r="F694" s="429">
        <f t="shared" si="127"/>
        <v>6225</v>
      </c>
      <c r="G694" s="426">
        <v>42451</v>
      </c>
      <c r="H694" s="443">
        <v>50</v>
      </c>
      <c r="I694" s="428">
        <v>11.28</v>
      </c>
      <c r="J694" s="429">
        <v>0.01</v>
      </c>
      <c r="K694" s="429">
        <f t="shared" si="130"/>
        <v>563.99</v>
      </c>
      <c r="L694" s="427"/>
      <c r="M694" s="429"/>
    </row>
    <row r="695" spans="1:13" x14ac:dyDescent="0.25">
      <c r="A695" s="427"/>
      <c r="B695" s="522">
        <v>42374</v>
      </c>
      <c r="C695" s="427">
        <v>2000</v>
      </c>
      <c r="D695" s="428">
        <v>12.73</v>
      </c>
      <c r="E695" s="429">
        <v>0</v>
      </c>
      <c r="F695" s="429">
        <f t="shared" ref="F695:F758" si="131">C695*D695+E695</f>
        <v>25460</v>
      </c>
      <c r="G695" s="426">
        <v>42459</v>
      </c>
      <c r="H695" s="443">
        <v>2000</v>
      </c>
      <c r="I695" s="428">
        <v>10.75</v>
      </c>
      <c r="J695" s="429">
        <v>0.47</v>
      </c>
      <c r="K695" s="429">
        <f t="shared" si="130"/>
        <v>21499.53</v>
      </c>
      <c r="L695" s="427"/>
      <c r="M695" s="429"/>
    </row>
    <row r="696" spans="1:13" x14ac:dyDescent="0.25">
      <c r="A696" s="427"/>
      <c r="B696" s="473">
        <v>42375</v>
      </c>
      <c r="C696" s="427">
        <v>1000</v>
      </c>
      <c r="D696" s="428">
        <v>12.5</v>
      </c>
      <c r="E696" s="429">
        <v>0</v>
      </c>
      <c r="F696" s="429">
        <f t="shared" si="131"/>
        <v>12500</v>
      </c>
      <c r="G696" s="426">
        <v>42460</v>
      </c>
      <c r="H696" s="443">
        <v>1600</v>
      </c>
      <c r="I696" s="428">
        <v>10.95</v>
      </c>
      <c r="J696" s="429">
        <v>2.88</v>
      </c>
      <c r="K696" s="429">
        <f t="shared" si="130"/>
        <v>17517.12</v>
      </c>
      <c r="L696" s="427"/>
      <c r="M696" s="429"/>
    </row>
    <row r="697" spans="1:13" x14ac:dyDescent="0.25">
      <c r="A697" s="427"/>
      <c r="B697" s="473">
        <v>42375</v>
      </c>
      <c r="C697" s="427">
        <v>1000</v>
      </c>
      <c r="D697" s="428">
        <v>11.7</v>
      </c>
      <c r="E697" s="429">
        <v>0</v>
      </c>
      <c r="F697" s="429">
        <f t="shared" si="131"/>
        <v>11700</v>
      </c>
      <c r="G697" s="426">
        <v>42461</v>
      </c>
      <c r="H697" s="443">
        <v>2000</v>
      </c>
      <c r="I697" s="428">
        <v>10.52</v>
      </c>
      <c r="J697" s="429">
        <v>0.46</v>
      </c>
      <c r="K697" s="429">
        <f t="shared" si="130"/>
        <v>21039.54</v>
      </c>
      <c r="L697" s="427"/>
      <c r="M697" s="429"/>
    </row>
    <row r="698" spans="1:13" x14ac:dyDescent="0.25">
      <c r="A698" s="427"/>
      <c r="B698" s="473">
        <v>42402</v>
      </c>
      <c r="C698" s="427">
        <v>400</v>
      </c>
      <c r="D698" s="428">
        <v>9.1</v>
      </c>
      <c r="E698" s="429">
        <v>0</v>
      </c>
      <c r="F698" s="429">
        <f t="shared" si="131"/>
        <v>3640</v>
      </c>
      <c r="G698" s="426">
        <v>42461</v>
      </c>
      <c r="H698" s="443">
        <v>2000</v>
      </c>
      <c r="I698" s="428">
        <v>10.55</v>
      </c>
      <c r="J698" s="429">
        <v>0.46</v>
      </c>
      <c r="K698" s="429">
        <f t="shared" si="130"/>
        <v>21099.54</v>
      </c>
      <c r="L698" s="427"/>
      <c r="M698" s="429"/>
    </row>
    <row r="699" spans="1:13" x14ac:dyDescent="0.25">
      <c r="A699" s="427"/>
      <c r="B699" s="473">
        <v>42411</v>
      </c>
      <c r="C699" s="427">
        <v>500</v>
      </c>
      <c r="D699" s="428">
        <v>6.835</v>
      </c>
      <c r="E699" s="429">
        <v>0</v>
      </c>
      <c r="F699" s="429">
        <f t="shared" si="131"/>
        <v>3417.5</v>
      </c>
      <c r="G699" s="426">
        <v>42465</v>
      </c>
      <c r="H699" s="443">
        <v>100</v>
      </c>
      <c r="I699" s="428">
        <v>10.75</v>
      </c>
      <c r="J699" s="429">
        <v>0.02</v>
      </c>
      <c r="K699" s="429">
        <f t="shared" si="130"/>
        <v>1074.98</v>
      </c>
      <c r="L699" s="427"/>
      <c r="M699" s="429"/>
    </row>
    <row r="700" spans="1:13" x14ac:dyDescent="0.25">
      <c r="A700" s="427"/>
      <c r="B700" s="473">
        <v>42412</v>
      </c>
      <c r="C700" s="427">
        <v>200</v>
      </c>
      <c r="D700" s="428">
        <v>7.23</v>
      </c>
      <c r="E700" s="429">
        <v>0</v>
      </c>
      <c r="F700" s="429">
        <f t="shared" si="131"/>
        <v>1446</v>
      </c>
      <c r="G700" s="426">
        <v>42468</v>
      </c>
      <c r="H700" s="443">
        <v>1000</v>
      </c>
      <c r="I700" s="428">
        <v>11.77</v>
      </c>
      <c r="J700" s="429">
        <v>0.26</v>
      </c>
      <c r="K700" s="429">
        <f t="shared" si="130"/>
        <v>11769.74</v>
      </c>
      <c r="L700" s="427"/>
      <c r="M700" s="429"/>
    </row>
    <row r="701" spans="1:13" x14ac:dyDescent="0.25">
      <c r="A701" s="427"/>
      <c r="B701" s="473">
        <v>42416</v>
      </c>
      <c r="C701" s="427">
        <v>500</v>
      </c>
      <c r="D701" s="428">
        <v>7.5</v>
      </c>
      <c r="E701" s="429">
        <v>0</v>
      </c>
      <c r="F701" s="429">
        <f t="shared" si="131"/>
        <v>3750</v>
      </c>
      <c r="G701" s="535">
        <v>42472</v>
      </c>
      <c r="H701" s="443">
        <v>420</v>
      </c>
      <c r="I701" s="428">
        <v>13.35</v>
      </c>
      <c r="J701" s="429">
        <v>0.15</v>
      </c>
      <c r="K701" s="429">
        <f t="shared" si="130"/>
        <v>5606.85</v>
      </c>
      <c r="L701" s="427"/>
      <c r="M701" s="429"/>
    </row>
    <row r="702" spans="1:13" ht="30" x14ac:dyDescent="0.25">
      <c r="A702" s="427"/>
      <c r="B702" s="538" t="s">
        <v>178</v>
      </c>
      <c r="C702" s="427">
        <v>3000</v>
      </c>
      <c r="D702" s="428">
        <v>7.55</v>
      </c>
      <c r="E702" s="429">
        <v>0</v>
      </c>
      <c r="F702" s="429">
        <f t="shared" si="131"/>
        <v>22650</v>
      </c>
      <c r="G702" s="535"/>
      <c r="H702" s="443">
        <v>80</v>
      </c>
      <c r="I702" s="428">
        <v>13.35</v>
      </c>
      <c r="J702" s="429">
        <v>0</v>
      </c>
      <c r="K702" s="429">
        <f t="shared" si="130"/>
        <v>1068</v>
      </c>
      <c r="L702" s="427"/>
      <c r="M702" s="429"/>
    </row>
    <row r="703" spans="1:13" x14ac:dyDescent="0.25">
      <c r="A703" s="427"/>
      <c r="B703" s="538"/>
      <c r="C703" s="427">
        <v>500</v>
      </c>
      <c r="D703" s="428">
        <v>6.75</v>
      </c>
      <c r="E703" s="429">
        <v>0</v>
      </c>
      <c r="F703" s="429">
        <f t="shared" si="131"/>
        <v>3375</v>
      </c>
      <c r="G703" s="426">
        <v>42472</v>
      </c>
      <c r="H703" s="443">
        <v>500</v>
      </c>
      <c r="I703" s="428">
        <v>13.15</v>
      </c>
      <c r="J703" s="429">
        <v>0.14000000000000001</v>
      </c>
      <c r="K703" s="429">
        <f t="shared" si="130"/>
        <v>6574.86</v>
      </c>
      <c r="L703" s="427"/>
      <c r="M703" s="429"/>
    </row>
    <row r="704" spans="1:13" x14ac:dyDescent="0.25">
      <c r="A704" s="427"/>
      <c r="B704" s="538"/>
      <c r="C704" s="427">
        <v>300</v>
      </c>
      <c r="D704" s="428">
        <v>6.75</v>
      </c>
      <c r="E704" s="429">
        <v>0</v>
      </c>
      <c r="F704" s="429">
        <f t="shared" si="131"/>
        <v>2025</v>
      </c>
      <c r="G704" s="426">
        <v>42472</v>
      </c>
      <c r="H704" s="443">
        <v>500</v>
      </c>
      <c r="I704" s="428">
        <v>12.92</v>
      </c>
      <c r="J704" s="429">
        <v>0.14000000000000001</v>
      </c>
      <c r="K704" s="429">
        <f t="shared" si="130"/>
        <v>6459.86</v>
      </c>
      <c r="L704" s="427"/>
      <c r="M704" s="429"/>
    </row>
    <row r="705" spans="1:13" x14ac:dyDescent="0.25">
      <c r="A705" s="427"/>
      <c r="B705" s="473">
        <v>42426</v>
      </c>
      <c r="C705" s="427">
        <v>600</v>
      </c>
      <c r="D705" s="428">
        <v>7.63</v>
      </c>
      <c r="E705" s="429">
        <v>0</v>
      </c>
      <c r="F705" s="429">
        <f t="shared" si="131"/>
        <v>4578</v>
      </c>
      <c r="G705" s="426">
        <v>42472</v>
      </c>
      <c r="H705" s="443">
        <v>500</v>
      </c>
      <c r="I705" s="428">
        <v>12.59</v>
      </c>
      <c r="J705" s="429">
        <v>0.14000000000000001</v>
      </c>
      <c r="K705" s="429">
        <f t="shared" si="130"/>
        <v>6294.86</v>
      </c>
      <c r="L705" s="427"/>
      <c r="M705" s="429"/>
    </row>
    <row r="706" spans="1:13" x14ac:dyDescent="0.25">
      <c r="A706" s="427"/>
      <c r="B706" s="473">
        <v>42426</v>
      </c>
      <c r="C706" s="427">
        <v>2000</v>
      </c>
      <c r="D706" s="428">
        <v>7.95</v>
      </c>
      <c r="E706" s="429">
        <v>0</v>
      </c>
      <c r="F706" s="429">
        <f t="shared" si="131"/>
        <v>15900</v>
      </c>
      <c r="G706" s="426">
        <v>42474</v>
      </c>
      <c r="H706" s="443">
        <v>500</v>
      </c>
      <c r="I706" s="428">
        <v>13.18</v>
      </c>
      <c r="J706" s="429">
        <v>0.14000000000000001</v>
      </c>
      <c r="K706" s="429">
        <f t="shared" si="130"/>
        <v>6589.86</v>
      </c>
      <c r="L706" s="427"/>
      <c r="M706" s="429"/>
    </row>
    <row r="707" spans="1:13" x14ac:dyDescent="0.25">
      <c r="A707" s="427"/>
      <c r="B707" s="473">
        <v>42429</v>
      </c>
      <c r="C707" s="427">
        <v>2000</v>
      </c>
      <c r="D707" s="428">
        <v>8.1999999999999993</v>
      </c>
      <c r="E707" s="429">
        <v>0</v>
      </c>
      <c r="F707" s="429">
        <f t="shared" si="131"/>
        <v>16400</v>
      </c>
      <c r="G707" s="426">
        <v>42478</v>
      </c>
      <c r="H707" s="443">
        <v>500</v>
      </c>
      <c r="I707" s="428">
        <v>13.4</v>
      </c>
      <c r="J707" s="429">
        <v>0.15</v>
      </c>
      <c r="K707" s="429">
        <f t="shared" si="130"/>
        <v>6699.85</v>
      </c>
      <c r="L707" s="427"/>
      <c r="M707" s="429"/>
    </row>
    <row r="708" spans="1:13" x14ac:dyDescent="0.25">
      <c r="A708" s="429"/>
      <c r="B708" s="473">
        <v>42429</v>
      </c>
      <c r="C708" s="427">
        <v>500</v>
      </c>
      <c r="D708" s="428">
        <v>7.88</v>
      </c>
      <c r="E708" s="429">
        <v>0</v>
      </c>
      <c r="F708" s="429">
        <f t="shared" si="131"/>
        <v>3940</v>
      </c>
      <c r="G708" s="426">
        <v>42486</v>
      </c>
      <c r="H708" s="443">
        <v>500</v>
      </c>
      <c r="I708" s="428">
        <v>14.35</v>
      </c>
      <c r="J708" s="429">
        <v>0.16</v>
      </c>
      <c r="K708" s="429">
        <f t="shared" si="130"/>
        <v>7174.84</v>
      </c>
      <c r="L708" s="427"/>
      <c r="M708" s="429"/>
    </row>
    <row r="709" spans="1:13" x14ac:dyDescent="0.25">
      <c r="A709" s="427"/>
      <c r="B709" s="473">
        <v>42430</v>
      </c>
      <c r="C709" s="427">
        <v>1000</v>
      </c>
      <c r="D709" s="428">
        <v>7.77</v>
      </c>
      <c r="E709" s="429">
        <v>0</v>
      </c>
      <c r="F709" s="429">
        <f t="shared" si="131"/>
        <v>7770</v>
      </c>
      <c r="G709" s="426">
        <v>42487</v>
      </c>
      <c r="H709" s="443">
        <v>600</v>
      </c>
      <c r="I709" s="428">
        <v>14.85</v>
      </c>
      <c r="J709" s="429">
        <v>0.19</v>
      </c>
      <c r="K709" s="429">
        <f t="shared" si="130"/>
        <v>8909.81</v>
      </c>
      <c r="L709" s="427"/>
      <c r="M709" s="429"/>
    </row>
    <row r="710" spans="1:13" x14ac:dyDescent="0.25">
      <c r="A710" s="427"/>
      <c r="B710" s="473">
        <v>42430</v>
      </c>
      <c r="C710" s="427">
        <v>500</v>
      </c>
      <c r="D710" s="428">
        <v>7.94</v>
      </c>
      <c r="E710" s="429">
        <v>0</v>
      </c>
      <c r="F710" s="429">
        <f t="shared" si="131"/>
        <v>3970</v>
      </c>
      <c r="G710" s="426">
        <v>42489</v>
      </c>
      <c r="H710" s="443">
        <v>3000</v>
      </c>
      <c r="I710" s="428">
        <v>14.15</v>
      </c>
      <c r="J710" s="429">
        <v>0.93</v>
      </c>
      <c r="K710" s="429">
        <f t="shared" si="130"/>
        <v>42449.07</v>
      </c>
      <c r="L710" s="427"/>
      <c r="M710" s="429"/>
    </row>
    <row r="711" spans="1:13" x14ac:dyDescent="0.25">
      <c r="A711" s="427"/>
      <c r="B711" s="473">
        <v>42431</v>
      </c>
      <c r="C711" s="427">
        <v>1000</v>
      </c>
      <c r="D711" s="428">
        <v>8.3699999999999992</v>
      </c>
      <c r="E711" s="429">
        <v>0</v>
      </c>
      <c r="F711" s="429">
        <f t="shared" si="131"/>
        <v>8370</v>
      </c>
      <c r="G711" s="426">
        <v>42492</v>
      </c>
      <c r="H711" s="443">
        <v>1000</v>
      </c>
      <c r="I711" s="428">
        <v>13.48</v>
      </c>
      <c r="J711" s="429">
        <v>0.28999999999999998</v>
      </c>
      <c r="K711" s="429">
        <f t="shared" si="130"/>
        <v>13479.71</v>
      </c>
      <c r="L711" s="427"/>
      <c r="M711" s="429"/>
    </row>
    <row r="712" spans="1:13" x14ac:dyDescent="0.25">
      <c r="A712" s="427"/>
      <c r="B712" s="473">
        <v>42432</v>
      </c>
      <c r="C712" s="427">
        <v>600</v>
      </c>
      <c r="D712" s="428">
        <v>9.3699999999999992</v>
      </c>
      <c r="E712" s="429">
        <v>0</v>
      </c>
      <c r="F712" s="429">
        <f t="shared" si="131"/>
        <v>5621.9999999999991</v>
      </c>
      <c r="G712" s="426">
        <v>42492</v>
      </c>
      <c r="H712" s="443">
        <v>1000</v>
      </c>
      <c r="I712" s="428">
        <v>13.61</v>
      </c>
      <c r="J712" s="429">
        <v>0.3</v>
      </c>
      <c r="K712" s="429">
        <f t="shared" si="130"/>
        <v>13609.7</v>
      </c>
      <c r="L712" s="427"/>
      <c r="M712" s="429"/>
    </row>
    <row r="713" spans="1:13" x14ac:dyDescent="0.25">
      <c r="A713" s="427"/>
      <c r="B713" s="473">
        <v>42432</v>
      </c>
      <c r="C713" s="427">
        <v>600</v>
      </c>
      <c r="D713" s="428">
        <v>8.8800000000000008</v>
      </c>
      <c r="E713" s="429">
        <v>0</v>
      </c>
      <c r="F713" s="429">
        <f t="shared" si="131"/>
        <v>5328.0000000000009</v>
      </c>
      <c r="G713" s="426">
        <v>42493</v>
      </c>
      <c r="H713" s="443">
        <v>322</v>
      </c>
      <c r="I713" s="428">
        <v>13.28</v>
      </c>
      <c r="J713" s="429">
        <v>0.09</v>
      </c>
      <c r="K713" s="429">
        <f t="shared" si="130"/>
        <v>4276.07</v>
      </c>
      <c r="L713" s="427"/>
      <c r="M713" s="429"/>
    </row>
    <row r="714" spans="1:13" x14ac:dyDescent="0.25">
      <c r="A714" s="427"/>
      <c r="B714" s="473">
        <v>42433</v>
      </c>
      <c r="C714" s="427">
        <v>600</v>
      </c>
      <c r="D714" s="428">
        <v>10.42</v>
      </c>
      <c r="E714" s="429">
        <v>0</v>
      </c>
      <c r="F714" s="429">
        <f t="shared" si="131"/>
        <v>6252</v>
      </c>
      <c r="G714" s="426">
        <v>42495</v>
      </c>
      <c r="H714" s="443">
        <v>1000</v>
      </c>
      <c r="I714" s="428">
        <v>12.05</v>
      </c>
      <c r="J714" s="429">
        <v>0.26</v>
      </c>
      <c r="K714" s="429">
        <f t="shared" si="130"/>
        <v>12049.74</v>
      </c>
      <c r="L714" s="427"/>
      <c r="M714" s="429"/>
    </row>
    <row r="715" spans="1:13" x14ac:dyDescent="0.25">
      <c r="A715" s="427"/>
      <c r="B715" s="473">
        <v>42440</v>
      </c>
      <c r="C715" s="427">
        <v>400</v>
      </c>
      <c r="D715" s="428">
        <v>11.12</v>
      </c>
      <c r="E715" s="429">
        <v>0</v>
      </c>
      <c r="F715" s="429">
        <f t="shared" si="131"/>
        <v>4448</v>
      </c>
      <c r="G715" s="426">
        <v>42495</v>
      </c>
      <c r="H715" s="443">
        <v>2000</v>
      </c>
      <c r="I715" s="428">
        <v>12.63</v>
      </c>
      <c r="J715" s="429">
        <v>0.55000000000000004</v>
      </c>
      <c r="K715" s="429">
        <f t="shared" si="130"/>
        <v>25259.45</v>
      </c>
      <c r="L715" s="427"/>
      <c r="M715" s="429"/>
    </row>
    <row r="716" spans="1:13" x14ac:dyDescent="0.25">
      <c r="A716" s="427"/>
      <c r="B716" s="473">
        <v>42446</v>
      </c>
      <c r="C716" s="427">
        <v>1500</v>
      </c>
      <c r="D716" s="428">
        <v>11.445</v>
      </c>
      <c r="E716" s="429">
        <v>0</v>
      </c>
      <c r="F716" s="429">
        <f t="shared" si="131"/>
        <v>17167.5</v>
      </c>
      <c r="G716" s="426">
        <v>42500</v>
      </c>
      <c r="H716" s="443">
        <v>1000</v>
      </c>
      <c r="I716" s="428">
        <v>11.66</v>
      </c>
      <c r="J716" s="429">
        <v>5.25</v>
      </c>
      <c r="K716" s="429">
        <f t="shared" si="130"/>
        <v>11654.75</v>
      </c>
      <c r="L716" s="427"/>
      <c r="M716" s="429"/>
    </row>
    <row r="717" spans="1:13" x14ac:dyDescent="0.25">
      <c r="A717" s="427"/>
      <c r="B717" s="534">
        <v>42447</v>
      </c>
      <c r="C717" s="427">
        <v>1500</v>
      </c>
      <c r="D717" s="428">
        <v>11.42</v>
      </c>
      <c r="E717" s="429">
        <v>0</v>
      </c>
      <c r="F717" s="429">
        <f t="shared" si="131"/>
        <v>17130</v>
      </c>
      <c r="G717" s="426">
        <v>42502</v>
      </c>
      <c r="H717" s="443">
        <v>1500</v>
      </c>
      <c r="I717" s="428">
        <v>12.36</v>
      </c>
      <c r="J717" s="429">
        <v>0.4</v>
      </c>
      <c r="K717" s="429">
        <f t="shared" si="130"/>
        <v>18539.599999999999</v>
      </c>
      <c r="L717" s="427"/>
      <c r="M717" s="429"/>
    </row>
    <row r="718" spans="1:13" x14ac:dyDescent="0.25">
      <c r="A718" s="427"/>
      <c r="B718" s="539"/>
      <c r="C718" s="427">
        <v>500</v>
      </c>
      <c r="D718" s="428">
        <v>11.42</v>
      </c>
      <c r="E718" s="429">
        <v>0</v>
      </c>
      <c r="F718" s="429">
        <f t="shared" si="131"/>
        <v>5710</v>
      </c>
      <c r="G718" s="426">
        <v>42503</v>
      </c>
      <c r="H718" s="443">
        <v>500</v>
      </c>
      <c r="I718" s="428">
        <v>12.49</v>
      </c>
      <c r="J718" s="429">
        <v>0.14000000000000001</v>
      </c>
      <c r="K718" s="429">
        <f t="shared" si="130"/>
        <v>6244.86</v>
      </c>
      <c r="L718" s="427"/>
      <c r="M718" s="429"/>
    </row>
    <row r="719" spans="1:13" x14ac:dyDescent="0.25">
      <c r="A719" s="427"/>
      <c r="B719" s="473">
        <v>42447</v>
      </c>
      <c r="C719" s="427">
        <v>650</v>
      </c>
      <c r="D719" s="428">
        <v>11.545</v>
      </c>
      <c r="E719" s="429">
        <v>0.75</v>
      </c>
      <c r="F719" s="429">
        <f t="shared" si="131"/>
        <v>7505</v>
      </c>
      <c r="G719" s="426">
        <v>42506</v>
      </c>
      <c r="H719" s="443">
        <v>300</v>
      </c>
      <c r="I719" s="428">
        <v>12.85</v>
      </c>
      <c r="J719" s="429">
        <v>0.08</v>
      </c>
      <c r="K719" s="429">
        <f t="shared" si="130"/>
        <v>3854.92</v>
      </c>
      <c r="L719" s="427"/>
      <c r="M719" s="429"/>
    </row>
    <row r="720" spans="1:13" x14ac:dyDescent="0.25">
      <c r="A720" s="427"/>
      <c r="B720" s="473">
        <v>42450</v>
      </c>
      <c r="C720" s="427">
        <v>1350</v>
      </c>
      <c r="D720" s="428">
        <v>11.42</v>
      </c>
      <c r="E720" s="429">
        <v>0</v>
      </c>
      <c r="F720" s="429">
        <f t="shared" si="131"/>
        <v>15417</v>
      </c>
      <c r="G720" s="426">
        <v>42513</v>
      </c>
      <c r="H720" s="443">
        <v>500</v>
      </c>
      <c r="I720" s="428">
        <v>13.05</v>
      </c>
      <c r="J720" s="429">
        <v>0.14000000000000001</v>
      </c>
      <c r="K720" s="429">
        <f t="shared" si="130"/>
        <v>6524.86</v>
      </c>
      <c r="L720" s="427"/>
      <c r="M720" s="429"/>
    </row>
    <row r="721" spans="1:13" x14ac:dyDescent="0.25">
      <c r="A721" s="427"/>
      <c r="B721" s="473">
        <v>42451</v>
      </c>
      <c r="C721" s="427">
        <v>1000</v>
      </c>
      <c r="D721" s="428">
        <v>11.38</v>
      </c>
      <c r="E721" s="429">
        <v>0</v>
      </c>
      <c r="F721" s="429">
        <f t="shared" si="131"/>
        <v>11380</v>
      </c>
      <c r="G721" s="426">
        <v>42515</v>
      </c>
      <c r="H721" s="443">
        <v>500</v>
      </c>
      <c r="I721" s="428">
        <v>13.59</v>
      </c>
      <c r="J721" s="429">
        <v>0.15</v>
      </c>
      <c r="K721" s="429">
        <f t="shared" si="130"/>
        <v>6794.85</v>
      </c>
      <c r="L721" s="427"/>
      <c r="M721" s="429"/>
    </row>
    <row r="722" spans="1:13" x14ac:dyDescent="0.25">
      <c r="A722" s="427"/>
      <c r="B722" s="534">
        <v>42451</v>
      </c>
      <c r="C722" s="427">
        <v>50</v>
      </c>
      <c r="D722" s="428">
        <v>11.22</v>
      </c>
      <c r="E722" s="429">
        <v>0</v>
      </c>
      <c r="F722" s="429">
        <f t="shared" si="131"/>
        <v>561</v>
      </c>
      <c r="G722" s="426">
        <v>42515</v>
      </c>
      <c r="H722" s="443">
        <v>500</v>
      </c>
      <c r="I722" s="428">
        <v>13.57</v>
      </c>
      <c r="J722" s="429">
        <v>0.15</v>
      </c>
      <c r="K722" s="429">
        <f t="shared" si="130"/>
        <v>6784.85</v>
      </c>
      <c r="L722" s="427"/>
      <c r="M722" s="429"/>
    </row>
    <row r="723" spans="1:13" x14ac:dyDescent="0.25">
      <c r="A723" s="427"/>
      <c r="B723" s="534"/>
      <c r="C723" s="427">
        <v>350</v>
      </c>
      <c r="D723" s="428">
        <v>11.22</v>
      </c>
      <c r="E723" s="429">
        <v>0</v>
      </c>
      <c r="F723" s="429">
        <f t="shared" si="131"/>
        <v>3927</v>
      </c>
      <c r="G723" s="426">
        <v>42517</v>
      </c>
      <c r="H723" s="443">
        <v>500</v>
      </c>
      <c r="I723" s="428">
        <v>12.87</v>
      </c>
      <c r="J723" s="429">
        <v>0.14000000000000001</v>
      </c>
      <c r="K723" s="429">
        <f t="shared" si="130"/>
        <v>6434.86</v>
      </c>
      <c r="L723" s="427"/>
      <c r="M723" s="429"/>
    </row>
    <row r="724" spans="1:13" ht="45" x14ac:dyDescent="0.25">
      <c r="A724" s="427"/>
      <c r="B724" s="538" t="s">
        <v>190</v>
      </c>
      <c r="C724" s="427">
        <v>650</v>
      </c>
      <c r="D724" s="428">
        <v>11.22</v>
      </c>
      <c r="E724" s="429">
        <v>0</v>
      </c>
      <c r="F724" s="429">
        <f t="shared" si="131"/>
        <v>7293</v>
      </c>
      <c r="G724" s="426">
        <v>42524</v>
      </c>
      <c r="H724" s="443">
        <v>400</v>
      </c>
      <c r="I724" s="428">
        <v>13.38</v>
      </c>
      <c r="J724" s="429">
        <v>0.12</v>
      </c>
      <c r="K724" s="429">
        <f t="shared" si="130"/>
        <v>5351.88</v>
      </c>
      <c r="L724" s="427"/>
      <c r="M724" s="429"/>
    </row>
    <row r="725" spans="1:13" x14ac:dyDescent="0.25">
      <c r="A725" s="427"/>
      <c r="B725" s="538"/>
      <c r="C725" s="427">
        <v>500</v>
      </c>
      <c r="D725" s="428">
        <v>11.01</v>
      </c>
      <c r="E725" s="429">
        <v>0</v>
      </c>
      <c r="F725" s="429">
        <f t="shared" si="131"/>
        <v>5505</v>
      </c>
      <c r="G725" s="426">
        <v>42527</v>
      </c>
      <c r="H725" s="443">
        <v>1000</v>
      </c>
      <c r="I725" s="428">
        <v>13.82</v>
      </c>
      <c r="J725" s="429">
        <v>0.3</v>
      </c>
      <c r="K725" s="429">
        <f t="shared" si="130"/>
        <v>13819.7</v>
      </c>
      <c r="L725" s="427"/>
      <c r="M725" s="429"/>
    </row>
    <row r="726" spans="1:13" x14ac:dyDescent="0.25">
      <c r="A726" s="427"/>
      <c r="B726" s="538"/>
      <c r="C726" s="427">
        <v>500</v>
      </c>
      <c r="D726" s="428">
        <v>10.75</v>
      </c>
      <c r="E726" s="429">
        <v>0</v>
      </c>
      <c r="F726" s="429">
        <f t="shared" si="131"/>
        <v>5375</v>
      </c>
      <c r="G726" s="426">
        <v>42527</v>
      </c>
      <c r="H726" s="443">
        <v>500</v>
      </c>
      <c r="I726" s="428">
        <v>13.97</v>
      </c>
      <c r="J726" s="429">
        <v>1.1499999999999999</v>
      </c>
      <c r="K726" s="429">
        <f t="shared" si="130"/>
        <v>6983.85</v>
      </c>
      <c r="L726" s="427"/>
      <c r="M726" s="429"/>
    </row>
    <row r="727" spans="1:13" x14ac:dyDescent="0.25">
      <c r="A727" s="427"/>
      <c r="B727" s="538"/>
      <c r="C727" s="427">
        <v>1000</v>
      </c>
      <c r="D727" s="428">
        <v>10.4</v>
      </c>
      <c r="E727" s="429">
        <v>0</v>
      </c>
      <c r="F727" s="429">
        <f t="shared" si="131"/>
        <v>10400</v>
      </c>
      <c r="G727" s="426">
        <v>42528</v>
      </c>
      <c r="H727" s="443">
        <v>500</v>
      </c>
      <c r="I727" s="428">
        <v>14.65</v>
      </c>
      <c r="J727" s="429">
        <v>0.16</v>
      </c>
      <c r="K727" s="429">
        <f t="shared" si="130"/>
        <v>7324.84</v>
      </c>
      <c r="L727" s="427"/>
      <c r="M727" s="429"/>
    </row>
    <row r="728" spans="1:13" x14ac:dyDescent="0.25">
      <c r="A728" s="427"/>
      <c r="B728" s="538"/>
      <c r="C728" s="427">
        <v>1000</v>
      </c>
      <c r="D728" s="428">
        <v>10.185</v>
      </c>
      <c r="E728" s="429">
        <v>0</v>
      </c>
      <c r="F728" s="429">
        <f t="shared" si="131"/>
        <v>10185</v>
      </c>
      <c r="G728" s="426">
        <v>42536</v>
      </c>
      <c r="H728" s="443">
        <v>400</v>
      </c>
      <c r="I728" s="428">
        <v>13.43</v>
      </c>
      <c r="J728" s="429">
        <v>0.12</v>
      </c>
      <c r="K728" s="429">
        <f t="shared" si="130"/>
        <v>5371.88</v>
      </c>
      <c r="L728" s="427"/>
      <c r="M728" s="429"/>
    </row>
    <row r="729" spans="1:13" x14ac:dyDescent="0.25">
      <c r="A729" s="427"/>
      <c r="B729" s="473">
        <v>42461</v>
      </c>
      <c r="C729" s="427">
        <v>2000</v>
      </c>
      <c r="D729" s="428">
        <v>10.43</v>
      </c>
      <c r="E729" s="429">
        <v>0</v>
      </c>
      <c r="F729" s="429">
        <f t="shared" si="131"/>
        <v>20860</v>
      </c>
      <c r="G729" s="426">
        <v>42537</v>
      </c>
      <c r="H729" s="443">
        <v>400</v>
      </c>
      <c r="I729" s="428">
        <v>12.69</v>
      </c>
      <c r="J729" s="429">
        <v>0.11</v>
      </c>
      <c r="K729" s="429">
        <f t="shared" si="130"/>
        <v>5075.8900000000003</v>
      </c>
      <c r="L729" s="427"/>
      <c r="M729" s="429"/>
    </row>
    <row r="730" spans="1:13" x14ac:dyDescent="0.25">
      <c r="A730" s="427"/>
      <c r="B730" s="473">
        <v>42461</v>
      </c>
      <c r="C730" s="427">
        <v>2000</v>
      </c>
      <c r="D730" s="428">
        <v>10.42</v>
      </c>
      <c r="E730" s="429">
        <v>0</v>
      </c>
      <c r="F730" s="429">
        <f t="shared" si="131"/>
        <v>20840</v>
      </c>
      <c r="G730" s="426">
        <v>42538</v>
      </c>
      <c r="H730" s="443">
        <v>500</v>
      </c>
      <c r="I730" s="428">
        <v>13.34</v>
      </c>
      <c r="J730" s="429">
        <v>0.15</v>
      </c>
      <c r="K730" s="429">
        <f t="shared" si="130"/>
        <v>6669.85</v>
      </c>
      <c r="L730" s="427"/>
      <c r="M730" s="429"/>
    </row>
    <row r="731" spans="1:13" ht="45" x14ac:dyDescent="0.25">
      <c r="A731" s="427"/>
      <c r="B731" s="473">
        <v>42465</v>
      </c>
      <c r="C731" s="427">
        <v>100</v>
      </c>
      <c r="D731" s="428">
        <v>10.4</v>
      </c>
      <c r="E731" s="429">
        <v>0</v>
      </c>
      <c r="F731" s="429">
        <f t="shared" si="131"/>
        <v>1040</v>
      </c>
      <c r="G731" s="540" t="s">
        <v>214</v>
      </c>
      <c r="H731" s="443">
        <v>500</v>
      </c>
      <c r="I731" s="428">
        <v>13.91</v>
      </c>
      <c r="J731" s="429">
        <v>0.15</v>
      </c>
      <c r="K731" s="429">
        <f t="shared" si="130"/>
        <v>6954.85</v>
      </c>
      <c r="L731" s="427"/>
      <c r="M731" s="429"/>
    </row>
    <row r="732" spans="1:13" x14ac:dyDescent="0.25">
      <c r="A732" s="427"/>
      <c r="B732" s="473">
        <v>42471</v>
      </c>
      <c r="C732" s="427">
        <v>500</v>
      </c>
      <c r="D732" s="428">
        <v>11.77</v>
      </c>
      <c r="E732" s="429">
        <v>0</v>
      </c>
      <c r="F732" s="429">
        <f t="shared" si="131"/>
        <v>5885</v>
      </c>
      <c r="G732" s="540"/>
      <c r="H732" s="443">
        <v>600</v>
      </c>
      <c r="I732" s="428">
        <v>14.36</v>
      </c>
      <c r="J732" s="429">
        <v>0.19</v>
      </c>
      <c r="K732" s="429">
        <f t="shared" si="130"/>
        <v>8615.81</v>
      </c>
      <c r="L732" s="427"/>
      <c r="M732" s="429"/>
    </row>
    <row r="733" spans="1:13" x14ac:dyDescent="0.25">
      <c r="A733" s="427"/>
      <c r="B733" s="473">
        <v>42471</v>
      </c>
      <c r="C733" s="427">
        <v>500</v>
      </c>
      <c r="D733" s="428">
        <v>11.55</v>
      </c>
      <c r="E733" s="429">
        <v>0</v>
      </c>
      <c r="F733" s="429">
        <f t="shared" si="131"/>
        <v>5775</v>
      </c>
      <c r="G733" s="540"/>
      <c r="H733" s="443">
        <v>500</v>
      </c>
      <c r="I733" s="428">
        <v>14.65</v>
      </c>
      <c r="J733" s="429">
        <v>0.16</v>
      </c>
      <c r="K733" s="429">
        <f t="shared" si="130"/>
        <v>7324.84</v>
      </c>
      <c r="L733" s="427"/>
      <c r="M733" s="429"/>
    </row>
    <row r="734" spans="1:13" x14ac:dyDescent="0.25">
      <c r="A734" s="427"/>
      <c r="B734" s="473">
        <v>42472</v>
      </c>
      <c r="C734" s="427">
        <v>610</v>
      </c>
      <c r="D734" s="428">
        <v>12.95</v>
      </c>
      <c r="E734" s="429">
        <v>0</v>
      </c>
      <c r="F734" s="429">
        <f t="shared" si="131"/>
        <v>7899.5</v>
      </c>
      <c r="G734" s="426">
        <v>42542</v>
      </c>
      <c r="H734" s="443">
        <v>500</v>
      </c>
      <c r="I734" s="428">
        <v>14.95</v>
      </c>
      <c r="J734" s="429">
        <v>0.16</v>
      </c>
      <c r="K734" s="429">
        <f t="shared" si="130"/>
        <v>7474.84</v>
      </c>
      <c r="L734" s="427"/>
      <c r="M734" s="429"/>
    </row>
    <row r="735" spans="1:13" x14ac:dyDescent="0.25">
      <c r="A735" s="427"/>
      <c r="B735" s="473">
        <v>42473</v>
      </c>
      <c r="C735" s="427">
        <v>970</v>
      </c>
      <c r="D735" s="428">
        <v>12.76</v>
      </c>
      <c r="E735" s="429">
        <v>4.0999999999999996</v>
      </c>
      <c r="F735" s="429">
        <f t="shared" si="131"/>
        <v>12381.3</v>
      </c>
      <c r="G735" s="426">
        <v>42542</v>
      </c>
      <c r="H735" s="443">
        <v>378</v>
      </c>
      <c r="I735" s="428">
        <v>15.2</v>
      </c>
      <c r="J735" s="429">
        <v>0.13</v>
      </c>
      <c r="K735" s="429">
        <f t="shared" si="130"/>
        <v>5745.4699999999993</v>
      </c>
      <c r="L735" s="427"/>
      <c r="M735" s="429"/>
    </row>
    <row r="736" spans="1:13" x14ac:dyDescent="0.25">
      <c r="A736" s="427"/>
      <c r="B736" s="473">
        <v>42474</v>
      </c>
      <c r="C736" s="427">
        <v>420</v>
      </c>
      <c r="D736" s="428">
        <v>12.755000000000001</v>
      </c>
      <c r="E736" s="429">
        <v>0.34</v>
      </c>
      <c r="F736" s="429">
        <f t="shared" si="131"/>
        <v>5357.4400000000005</v>
      </c>
      <c r="G736" s="427"/>
      <c r="H736" s="443"/>
      <c r="I736" s="428"/>
      <c r="J736" s="429"/>
      <c r="K736" s="429"/>
      <c r="L736" s="427"/>
      <c r="M736" s="429"/>
    </row>
    <row r="737" spans="1:13" x14ac:dyDescent="0.25">
      <c r="A737" s="427"/>
      <c r="B737" s="473">
        <v>42475</v>
      </c>
      <c r="C737" s="427">
        <v>500</v>
      </c>
      <c r="D737" s="428">
        <v>13.02</v>
      </c>
      <c r="E737" s="429">
        <v>-1.75</v>
      </c>
      <c r="F737" s="429">
        <f t="shared" si="131"/>
        <v>6508.25</v>
      </c>
      <c r="G737" s="427"/>
      <c r="H737" s="443"/>
      <c r="I737" s="428"/>
      <c r="J737" s="429"/>
      <c r="K737" s="429"/>
      <c r="L737" s="427"/>
      <c r="M737" s="429"/>
    </row>
    <row r="738" spans="1:13" x14ac:dyDescent="0.25">
      <c r="A738" s="427"/>
      <c r="B738" s="473">
        <v>42485</v>
      </c>
      <c r="C738" s="427">
        <v>500</v>
      </c>
      <c r="D738" s="428">
        <v>13.95</v>
      </c>
      <c r="E738" s="429">
        <v>0</v>
      </c>
      <c r="F738" s="429">
        <f t="shared" si="131"/>
        <v>6975</v>
      </c>
      <c r="G738" s="427"/>
      <c r="H738" s="443"/>
      <c r="I738" s="428"/>
      <c r="J738" s="429"/>
      <c r="K738" s="429"/>
      <c r="L738" s="427"/>
      <c r="M738" s="429"/>
    </row>
    <row r="739" spans="1:13" x14ac:dyDescent="0.25">
      <c r="A739" s="427"/>
      <c r="B739" s="473">
        <v>42487</v>
      </c>
      <c r="C739" s="427">
        <v>600</v>
      </c>
      <c r="D739" s="428">
        <v>14.63</v>
      </c>
      <c r="E739" s="429">
        <v>0</v>
      </c>
      <c r="F739" s="429">
        <f t="shared" si="131"/>
        <v>8778</v>
      </c>
      <c r="G739" s="427"/>
      <c r="H739" s="443"/>
      <c r="I739" s="428"/>
      <c r="J739" s="429"/>
      <c r="K739" s="429"/>
      <c r="L739" s="427"/>
      <c r="M739" s="429"/>
    </row>
    <row r="740" spans="1:13" x14ac:dyDescent="0.25">
      <c r="A740" s="427"/>
      <c r="B740" s="473">
        <v>42488</v>
      </c>
      <c r="C740" s="427">
        <v>500</v>
      </c>
      <c r="D740" s="428">
        <v>14.52</v>
      </c>
      <c r="E740" s="429">
        <v>0</v>
      </c>
      <c r="F740" s="429">
        <f t="shared" si="131"/>
        <v>7260</v>
      </c>
      <c r="G740" s="427"/>
      <c r="H740" s="443"/>
      <c r="I740" s="428"/>
      <c r="J740" s="429"/>
      <c r="K740" s="429"/>
      <c r="L740" s="427"/>
      <c r="M740" s="429"/>
    </row>
    <row r="741" spans="1:13" ht="30" x14ac:dyDescent="0.25">
      <c r="A741" s="541" t="s">
        <v>195</v>
      </c>
      <c r="B741" s="473">
        <v>42489</v>
      </c>
      <c r="C741" s="427">
        <v>500</v>
      </c>
      <c r="D741" s="428">
        <v>14.35</v>
      </c>
      <c r="E741" s="429">
        <v>0</v>
      </c>
      <c r="F741" s="429">
        <f t="shared" si="131"/>
        <v>7175</v>
      </c>
      <c r="G741" s="427"/>
      <c r="H741" s="443"/>
      <c r="I741" s="428"/>
      <c r="J741" s="429"/>
      <c r="K741" s="429"/>
      <c r="L741" s="427"/>
      <c r="M741" s="429"/>
    </row>
    <row r="742" spans="1:13" x14ac:dyDescent="0.25">
      <c r="A742" s="541"/>
      <c r="B742" s="473">
        <v>42489</v>
      </c>
      <c r="C742" s="427">
        <v>500</v>
      </c>
      <c r="D742" s="428">
        <v>14.15</v>
      </c>
      <c r="E742" s="429">
        <v>0</v>
      </c>
      <c r="F742" s="429">
        <f t="shared" si="131"/>
        <v>7075</v>
      </c>
      <c r="G742" s="427"/>
      <c r="H742" s="443"/>
      <c r="I742" s="428"/>
      <c r="J742" s="429"/>
      <c r="K742" s="429"/>
      <c r="L742" s="427"/>
      <c r="M742" s="429"/>
    </row>
    <row r="743" spans="1:13" x14ac:dyDescent="0.25">
      <c r="A743" s="541"/>
      <c r="B743" s="473">
        <v>42489</v>
      </c>
      <c r="C743" s="427">
        <v>1000</v>
      </c>
      <c r="D743" s="428">
        <v>13.92</v>
      </c>
      <c r="E743" s="429">
        <v>0</v>
      </c>
      <c r="F743" s="429">
        <f t="shared" si="131"/>
        <v>13920</v>
      </c>
      <c r="G743" s="427"/>
      <c r="H743" s="443"/>
      <c r="I743" s="428"/>
      <c r="J743" s="429"/>
      <c r="K743" s="429"/>
      <c r="L743" s="427"/>
      <c r="M743" s="429"/>
    </row>
    <row r="744" spans="1:13" x14ac:dyDescent="0.25">
      <c r="A744" s="541"/>
      <c r="B744" s="473">
        <v>42489</v>
      </c>
      <c r="C744" s="427">
        <v>1000</v>
      </c>
      <c r="D744" s="428">
        <v>13.8</v>
      </c>
      <c r="E744" s="429">
        <v>0</v>
      </c>
      <c r="F744" s="429">
        <f t="shared" si="131"/>
        <v>13800</v>
      </c>
      <c r="G744" s="427"/>
      <c r="H744" s="443"/>
      <c r="I744" s="428"/>
      <c r="J744" s="429"/>
      <c r="K744" s="429"/>
      <c r="L744" s="427"/>
      <c r="M744" s="429"/>
    </row>
    <row r="745" spans="1:13" x14ac:dyDescent="0.25">
      <c r="A745" s="427"/>
      <c r="B745" s="473">
        <v>42492</v>
      </c>
      <c r="C745" s="427">
        <v>1500</v>
      </c>
      <c r="D745" s="428">
        <v>13.25</v>
      </c>
      <c r="E745" s="429">
        <v>0</v>
      </c>
      <c r="F745" s="429">
        <f t="shared" si="131"/>
        <v>19875</v>
      </c>
      <c r="G745" s="427"/>
      <c r="H745" s="443"/>
      <c r="I745" s="428"/>
      <c r="J745" s="429"/>
      <c r="K745" s="429"/>
      <c r="L745" s="427"/>
      <c r="M745" s="429"/>
    </row>
    <row r="746" spans="1:13" x14ac:dyDescent="0.25">
      <c r="A746" s="427"/>
      <c r="B746" s="473">
        <v>42492</v>
      </c>
      <c r="C746" s="427">
        <v>500</v>
      </c>
      <c r="D746" s="428">
        <v>13.6</v>
      </c>
      <c r="E746" s="429">
        <v>0</v>
      </c>
      <c r="F746" s="429">
        <f t="shared" si="131"/>
        <v>6800</v>
      </c>
      <c r="G746" s="427"/>
      <c r="H746" s="443"/>
      <c r="I746" s="428"/>
      <c r="J746" s="429"/>
      <c r="K746" s="429"/>
      <c r="L746" s="427"/>
      <c r="M746" s="429"/>
    </row>
    <row r="747" spans="1:13" x14ac:dyDescent="0.25">
      <c r="A747" s="427"/>
      <c r="B747" s="473">
        <v>42493</v>
      </c>
      <c r="C747" s="427">
        <v>322</v>
      </c>
      <c r="D747" s="428">
        <v>12.85</v>
      </c>
      <c r="E747" s="429">
        <v>0</v>
      </c>
      <c r="F747" s="429">
        <f t="shared" si="131"/>
        <v>4137.7</v>
      </c>
      <c r="G747" s="427"/>
      <c r="H747" s="443"/>
      <c r="I747" s="428"/>
      <c r="J747" s="429"/>
      <c r="K747" s="429"/>
      <c r="L747" s="427"/>
      <c r="M747" s="429"/>
    </row>
    <row r="748" spans="1:13" ht="30" x14ac:dyDescent="0.25">
      <c r="A748" s="525" t="s">
        <v>198</v>
      </c>
      <c r="B748" s="473">
        <v>42494</v>
      </c>
      <c r="C748" s="427">
        <v>1000</v>
      </c>
      <c r="D748" s="428">
        <v>12.25</v>
      </c>
      <c r="E748" s="429">
        <v>0</v>
      </c>
      <c r="F748" s="429">
        <f t="shared" si="131"/>
        <v>12250</v>
      </c>
      <c r="G748" s="427"/>
      <c r="H748" s="443"/>
      <c r="I748" s="428"/>
      <c r="J748" s="429"/>
      <c r="K748" s="429"/>
      <c r="L748" s="427"/>
      <c r="M748" s="429"/>
    </row>
    <row r="749" spans="1:13" x14ac:dyDescent="0.25">
      <c r="A749" s="525"/>
      <c r="B749" s="473">
        <v>42494</v>
      </c>
      <c r="C749" s="427">
        <v>500</v>
      </c>
      <c r="D749" s="428">
        <v>12.53</v>
      </c>
      <c r="E749" s="429">
        <v>0</v>
      </c>
      <c r="F749" s="429">
        <f t="shared" si="131"/>
        <v>6265</v>
      </c>
      <c r="G749" s="427"/>
      <c r="H749" s="443"/>
      <c r="I749" s="428"/>
      <c r="J749" s="429"/>
      <c r="K749" s="429"/>
      <c r="L749" s="427"/>
      <c r="M749" s="429"/>
    </row>
    <row r="750" spans="1:13" x14ac:dyDescent="0.25">
      <c r="A750" s="525"/>
      <c r="B750" s="473">
        <v>42494</v>
      </c>
      <c r="C750" s="427">
        <v>500</v>
      </c>
      <c r="D750" s="428">
        <v>12.65</v>
      </c>
      <c r="E750" s="429">
        <v>0</v>
      </c>
      <c r="F750" s="429">
        <f t="shared" si="131"/>
        <v>6325</v>
      </c>
      <c r="G750" s="427"/>
      <c r="H750" s="443"/>
      <c r="I750" s="428"/>
      <c r="J750" s="429"/>
      <c r="K750" s="429"/>
      <c r="L750" s="427"/>
      <c r="M750" s="429"/>
    </row>
    <row r="751" spans="1:13" x14ac:dyDescent="0.25">
      <c r="A751" s="427"/>
      <c r="B751" s="473">
        <v>42495</v>
      </c>
      <c r="C751" s="427">
        <v>1000</v>
      </c>
      <c r="D751" s="428">
        <v>11.95</v>
      </c>
      <c r="E751" s="429">
        <v>0</v>
      </c>
      <c r="F751" s="429">
        <f t="shared" si="131"/>
        <v>11950</v>
      </c>
      <c r="G751" s="427"/>
      <c r="H751" s="443"/>
      <c r="I751" s="428"/>
      <c r="J751" s="429"/>
      <c r="K751" s="429"/>
      <c r="L751" s="427"/>
      <c r="M751" s="429"/>
    </row>
    <row r="752" spans="1:13" x14ac:dyDescent="0.25">
      <c r="A752" s="427"/>
      <c r="B752" s="473">
        <v>42499</v>
      </c>
      <c r="C752" s="427">
        <v>500</v>
      </c>
      <c r="D752" s="428">
        <v>11.48</v>
      </c>
      <c r="E752" s="429">
        <v>0</v>
      </c>
      <c r="F752" s="429">
        <f t="shared" si="131"/>
        <v>5740</v>
      </c>
      <c r="G752" s="427"/>
      <c r="H752" s="443"/>
      <c r="I752" s="428"/>
      <c r="J752" s="429"/>
      <c r="K752" s="429"/>
      <c r="L752" s="427"/>
      <c r="M752" s="429"/>
    </row>
    <row r="753" spans="1:13" x14ac:dyDescent="0.25">
      <c r="A753" s="427"/>
      <c r="B753" s="473">
        <v>42499</v>
      </c>
      <c r="C753" s="427">
        <v>500</v>
      </c>
      <c r="D753" s="428">
        <v>11.32</v>
      </c>
      <c r="E753" s="429">
        <v>0</v>
      </c>
      <c r="F753" s="429">
        <f t="shared" si="131"/>
        <v>5660</v>
      </c>
      <c r="G753" s="427"/>
      <c r="H753" s="443"/>
      <c r="I753" s="428"/>
      <c r="J753" s="429"/>
      <c r="K753" s="429"/>
      <c r="L753" s="427"/>
      <c r="M753" s="429"/>
    </row>
    <row r="754" spans="1:13" ht="30" x14ac:dyDescent="0.25">
      <c r="A754" s="541" t="s">
        <v>201</v>
      </c>
      <c r="B754" s="473">
        <v>42502</v>
      </c>
      <c r="C754" s="427">
        <v>500</v>
      </c>
      <c r="D754" s="428">
        <v>12.38</v>
      </c>
      <c r="E754" s="429">
        <v>0</v>
      </c>
      <c r="F754" s="429">
        <f t="shared" si="131"/>
        <v>6190</v>
      </c>
      <c r="G754" s="427"/>
      <c r="H754" s="443"/>
      <c r="I754" s="428"/>
      <c r="J754" s="429"/>
      <c r="K754" s="429"/>
      <c r="L754" s="427"/>
      <c r="M754" s="429"/>
    </row>
    <row r="755" spans="1:13" x14ac:dyDescent="0.25">
      <c r="A755" s="541"/>
      <c r="B755" s="473">
        <v>42502</v>
      </c>
      <c r="C755" s="427">
        <v>500</v>
      </c>
      <c r="D755" s="428">
        <v>12.3</v>
      </c>
      <c r="E755" s="429">
        <v>0</v>
      </c>
      <c r="F755" s="429">
        <f t="shared" si="131"/>
        <v>6150</v>
      </c>
      <c r="G755" s="427"/>
      <c r="H755" s="443"/>
      <c r="I755" s="428"/>
      <c r="J755" s="429"/>
      <c r="K755" s="429"/>
      <c r="L755" s="427"/>
      <c r="M755" s="429"/>
    </row>
    <row r="756" spans="1:13" x14ac:dyDescent="0.25">
      <c r="A756" s="541"/>
      <c r="B756" s="473">
        <v>42502</v>
      </c>
      <c r="C756" s="427">
        <v>500</v>
      </c>
      <c r="D756" s="428">
        <v>12.23</v>
      </c>
      <c r="E756" s="429">
        <v>0</v>
      </c>
      <c r="F756" s="429">
        <f t="shared" si="131"/>
        <v>6115</v>
      </c>
      <c r="G756" s="427"/>
      <c r="H756" s="443"/>
      <c r="I756" s="428"/>
      <c r="J756" s="429"/>
      <c r="K756" s="429"/>
      <c r="L756" s="427"/>
      <c r="M756" s="429"/>
    </row>
    <row r="757" spans="1:13" x14ac:dyDescent="0.25">
      <c r="A757" s="427"/>
      <c r="B757" s="473">
        <v>42503</v>
      </c>
      <c r="C757" s="427">
        <v>500</v>
      </c>
      <c r="D757" s="428">
        <v>12.41</v>
      </c>
      <c r="E757" s="429">
        <v>0</v>
      </c>
      <c r="F757" s="429">
        <f t="shared" si="131"/>
        <v>6205</v>
      </c>
      <c r="G757" s="427"/>
      <c r="H757" s="443"/>
      <c r="I757" s="428"/>
      <c r="J757" s="429"/>
      <c r="K757" s="429"/>
      <c r="L757" s="427"/>
      <c r="M757" s="429"/>
    </row>
    <row r="758" spans="1:13" x14ac:dyDescent="0.25">
      <c r="A758" s="427"/>
      <c r="B758" s="473">
        <v>42506</v>
      </c>
      <c r="C758" s="427">
        <v>300</v>
      </c>
      <c r="D758" s="428">
        <v>12.8</v>
      </c>
      <c r="E758" s="429">
        <v>0</v>
      </c>
      <c r="F758" s="429">
        <f t="shared" si="131"/>
        <v>3840</v>
      </c>
      <c r="G758" s="427"/>
      <c r="H758" s="443"/>
      <c r="I758" s="428"/>
      <c r="J758" s="429"/>
      <c r="K758" s="429"/>
      <c r="L758" s="427"/>
      <c r="M758" s="429"/>
    </row>
    <row r="759" spans="1:13" x14ac:dyDescent="0.25">
      <c r="A759" s="427"/>
      <c r="B759" s="473">
        <v>42514</v>
      </c>
      <c r="C759" s="427">
        <v>500</v>
      </c>
      <c r="D759" s="428">
        <v>13.02</v>
      </c>
      <c r="E759" s="429">
        <v>-1.65</v>
      </c>
      <c r="F759" s="429">
        <f t="shared" ref="F759:F822" si="132">C759*D759+E759</f>
        <v>6508.35</v>
      </c>
      <c r="G759" s="427"/>
      <c r="H759" s="443"/>
      <c r="I759" s="428"/>
      <c r="J759" s="429"/>
      <c r="K759" s="429"/>
      <c r="L759" s="427"/>
      <c r="M759" s="429"/>
    </row>
    <row r="760" spans="1:13" x14ac:dyDescent="0.25">
      <c r="A760" s="427"/>
      <c r="B760" s="473">
        <v>42515</v>
      </c>
      <c r="C760" s="427">
        <v>500</v>
      </c>
      <c r="D760" s="428">
        <v>13.45</v>
      </c>
      <c r="E760" s="429">
        <v>1</v>
      </c>
      <c r="F760" s="429">
        <f t="shared" si="132"/>
        <v>6726</v>
      </c>
      <c r="G760" s="427"/>
      <c r="H760" s="443"/>
      <c r="I760" s="428"/>
      <c r="J760" s="429"/>
      <c r="K760" s="429"/>
      <c r="L760" s="427"/>
      <c r="M760" s="429"/>
    </row>
    <row r="761" spans="1:13" x14ac:dyDescent="0.25">
      <c r="A761" s="427"/>
      <c r="B761" s="473">
        <v>42516</v>
      </c>
      <c r="C761" s="427">
        <v>500</v>
      </c>
      <c r="D761" s="428">
        <v>13.28</v>
      </c>
      <c r="E761" s="429">
        <v>-1.04</v>
      </c>
      <c r="F761" s="429">
        <f t="shared" si="132"/>
        <v>6638.96</v>
      </c>
      <c r="G761" s="427"/>
      <c r="H761" s="443"/>
      <c r="I761" s="428"/>
      <c r="J761" s="429"/>
      <c r="K761" s="429"/>
      <c r="L761" s="427"/>
      <c r="M761" s="429"/>
    </row>
    <row r="762" spans="1:13" x14ac:dyDescent="0.25">
      <c r="A762" s="427"/>
      <c r="B762" s="473">
        <v>42517</v>
      </c>
      <c r="C762" s="427">
        <v>500</v>
      </c>
      <c r="D762" s="428">
        <v>12.79</v>
      </c>
      <c r="E762" s="429">
        <v>0</v>
      </c>
      <c r="F762" s="429">
        <f t="shared" si="132"/>
        <v>6395</v>
      </c>
      <c r="G762" s="427"/>
      <c r="H762" s="443"/>
      <c r="I762" s="428"/>
      <c r="J762" s="429"/>
      <c r="K762" s="429"/>
      <c r="L762" s="427"/>
      <c r="M762" s="429"/>
    </row>
    <row r="763" spans="1:13" x14ac:dyDescent="0.25">
      <c r="A763" s="427"/>
      <c r="B763" s="473">
        <v>42524</v>
      </c>
      <c r="C763" s="427">
        <v>400</v>
      </c>
      <c r="D763" s="428">
        <v>13.28</v>
      </c>
      <c r="E763" s="429">
        <v>0</v>
      </c>
      <c r="F763" s="429">
        <f t="shared" si="132"/>
        <v>5312</v>
      </c>
      <c r="G763" s="427"/>
      <c r="H763" s="443"/>
      <c r="I763" s="428"/>
      <c r="J763" s="429"/>
      <c r="K763" s="429"/>
      <c r="L763" s="427"/>
      <c r="M763" s="429"/>
    </row>
    <row r="764" spans="1:13" x14ac:dyDescent="0.25">
      <c r="A764" s="427"/>
      <c r="B764" s="473">
        <v>42529</v>
      </c>
      <c r="C764" s="427">
        <v>500</v>
      </c>
      <c r="D764" s="428">
        <v>14.59</v>
      </c>
      <c r="E764" s="429">
        <v>0</v>
      </c>
      <c r="F764" s="429">
        <f t="shared" si="132"/>
        <v>7295</v>
      </c>
      <c r="G764" s="427"/>
      <c r="H764" s="443"/>
      <c r="I764" s="428"/>
      <c r="J764" s="429"/>
      <c r="K764" s="429"/>
      <c r="L764" s="427"/>
      <c r="M764" s="429"/>
    </row>
    <row r="765" spans="1:13" x14ac:dyDescent="0.25">
      <c r="A765" s="427"/>
      <c r="B765" s="473">
        <v>42531</v>
      </c>
      <c r="C765" s="427">
        <v>800</v>
      </c>
      <c r="D765" s="428">
        <v>13.79</v>
      </c>
      <c r="E765" s="429">
        <v>0</v>
      </c>
      <c r="F765" s="429">
        <f t="shared" si="132"/>
        <v>11032</v>
      </c>
      <c r="G765" s="427"/>
      <c r="H765" s="443"/>
      <c r="I765" s="428"/>
      <c r="J765" s="429"/>
      <c r="K765" s="429"/>
      <c r="L765" s="427"/>
      <c r="M765" s="429"/>
    </row>
    <row r="766" spans="1:13" x14ac:dyDescent="0.25">
      <c r="A766" s="427"/>
      <c r="B766" s="473">
        <v>42531</v>
      </c>
      <c r="C766" s="427">
        <v>300</v>
      </c>
      <c r="D766" s="428">
        <v>13.4</v>
      </c>
      <c r="E766" s="429">
        <v>0</v>
      </c>
      <c r="F766" s="429">
        <f t="shared" si="132"/>
        <v>4020</v>
      </c>
      <c r="G766" s="427"/>
      <c r="H766" s="443"/>
      <c r="I766" s="428"/>
      <c r="J766" s="429"/>
      <c r="K766" s="429"/>
      <c r="L766" s="427"/>
      <c r="M766" s="429"/>
    </row>
    <row r="767" spans="1:13" x14ac:dyDescent="0.25">
      <c r="A767" s="427"/>
      <c r="B767" s="473">
        <v>42535</v>
      </c>
      <c r="C767" s="427">
        <v>400</v>
      </c>
      <c r="D767" s="428">
        <v>12.85</v>
      </c>
      <c r="E767" s="429">
        <v>0</v>
      </c>
      <c r="F767" s="429">
        <f t="shared" si="132"/>
        <v>5140</v>
      </c>
      <c r="G767" s="427"/>
      <c r="H767" s="443"/>
      <c r="I767" s="428"/>
      <c r="J767" s="429"/>
      <c r="K767" s="429"/>
      <c r="L767" s="427"/>
      <c r="M767" s="429"/>
    </row>
    <row r="768" spans="1:13" x14ac:dyDescent="0.25">
      <c r="A768" s="427"/>
      <c r="B768" s="473">
        <v>42537</v>
      </c>
      <c r="C768" s="427">
        <v>400</v>
      </c>
      <c r="D768" s="428">
        <v>12.43</v>
      </c>
      <c r="E768" s="429">
        <v>-0.04</v>
      </c>
      <c r="F768" s="429">
        <f t="shared" si="132"/>
        <v>4971.96</v>
      </c>
      <c r="G768" s="427"/>
      <c r="H768" s="443"/>
      <c r="I768" s="428"/>
      <c r="J768" s="429"/>
      <c r="K768" s="429"/>
      <c r="L768" s="427"/>
      <c r="M768" s="429"/>
    </row>
    <row r="769" spans="1:13" x14ac:dyDescent="0.25">
      <c r="A769" s="427"/>
      <c r="B769" s="473">
        <v>42538</v>
      </c>
      <c r="C769" s="427">
        <v>500</v>
      </c>
      <c r="D769" s="428">
        <v>13.14</v>
      </c>
      <c r="E769" s="429">
        <v>0</v>
      </c>
      <c r="F769" s="429">
        <f t="shared" si="132"/>
        <v>6570</v>
      </c>
      <c r="G769" s="427"/>
      <c r="H769" s="443"/>
      <c r="I769" s="428"/>
      <c r="J769" s="429"/>
      <c r="K769" s="429"/>
      <c r="L769" s="427"/>
      <c r="M769" s="429"/>
    </row>
    <row r="770" spans="1:13" x14ac:dyDescent="0.25">
      <c r="A770" s="427"/>
      <c r="B770" s="473">
        <v>42543</v>
      </c>
      <c r="C770" s="427">
        <v>500</v>
      </c>
      <c r="D770" s="428">
        <v>14.75</v>
      </c>
      <c r="E770" s="429">
        <v>0</v>
      </c>
      <c r="F770" s="429">
        <f t="shared" si="132"/>
        <v>7375</v>
      </c>
      <c r="G770" s="426">
        <v>42544</v>
      </c>
      <c r="H770" s="443">
        <v>500</v>
      </c>
      <c r="I770" s="428">
        <v>15.24</v>
      </c>
      <c r="J770" s="429">
        <v>0.17</v>
      </c>
      <c r="K770" s="429">
        <f>H770*I770-J770</f>
        <v>7619.83</v>
      </c>
      <c r="L770" s="427"/>
      <c r="M770" s="429"/>
    </row>
    <row r="771" spans="1:13" x14ac:dyDescent="0.25">
      <c r="A771" s="427"/>
      <c r="B771" s="473">
        <v>42545</v>
      </c>
      <c r="C771" s="427">
        <v>878</v>
      </c>
      <c r="D771" s="428">
        <v>14.41</v>
      </c>
      <c r="E771" s="429">
        <v>0</v>
      </c>
      <c r="F771" s="429">
        <f t="shared" si="132"/>
        <v>12651.98</v>
      </c>
      <c r="G771" s="427"/>
      <c r="H771" s="443"/>
      <c r="I771" s="428"/>
      <c r="J771" s="429"/>
      <c r="K771" s="429"/>
      <c r="L771" s="427"/>
      <c r="M771" s="429"/>
    </row>
    <row r="772" spans="1:13" x14ac:dyDescent="0.25">
      <c r="A772" s="427"/>
      <c r="B772" s="473">
        <v>42545</v>
      </c>
      <c r="C772" s="427">
        <v>335</v>
      </c>
      <c r="D772" s="428">
        <v>14.08</v>
      </c>
      <c r="E772" s="429">
        <v>0</v>
      </c>
      <c r="F772" s="429">
        <f t="shared" si="132"/>
        <v>4716.8</v>
      </c>
      <c r="G772" s="427"/>
      <c r="H772" s="443"/>
      <c r="I772" s="428"/>
      <c r="J772" s="429"/>
      <c r="K772" s="429"/>
      <c r="L772" s="427"/>
      <c r="M772" s="429"/>
    </row>
    <row r="773" spans="1:13" x14ac:dyDescent="0.25">
      <c r="A773" s="427"/>
      <c r="B773" s="473">
        <v>42548</v>
      </c>
      <c r="C773" s="427">
        <v>965</v>
      </c>
      <c r="D773" s="428">
        <v>13.81</v>
      </c>
      <c r="E773" s="429">
        <v>0</v>
      </c>
      <c r="F773" s="429">
        <f t="shared" si="132"/>
        <v>13326.65</v>
      </c>
      <c r="G773" s="427"/>
      <c r="H773" s="443"/>
      <c r="I773" s="428"/>
      <c r="J773" s="429"/>
      <c r="K773" s="429"/>
      <c r="L773" s="427"/>
      <c r="M773" s="429"/>
    </row>
    <row r="774" spans="1:13" x14ac:dyDescent="0.25">
      <c r="A774" s="427"/>
      <c r="B774" s="473">
        <v>42548</v>
      </c>
      <c r="C774" s="427">
        <v>300</v>
      </c>
      <c r="D774" s="428">
        <v>13.58</v>
      </c>
      <c r="E774" s="429">
        <v>0</v>
      </c>
      <c r="F774" s="429">
        <f t="shared" si="132"/>
        <v>4074</v>
      </c>
      <c r="G774" s="426">
        <v>42549</v>
      </c>
      <c r="H774" s="443">
        <v>1100</v>
      </c>
      <c r="I774" s="428">
        <v>14.68</v>
      </c>
      <c r="J774" s="429">
        <v>0.35</v>
      </c>
      <c r="K774" s="429">
        <f t="shared" ref="K774:K859" si="133">H774*I774-J774</f>
        <v>16147.65</v>
      </c>
      <c r="L774" s="427"/>
      <c r="M774" s="429"/>
    </row>
    <row r="775" spans="1:13" ht="45" x14ac:dyDescent="0.25">
      <c r="A775" s="427"/>
      <c r="B775" s="473">
        <v>42556</v>
      </c>
      <c r="C775" s="427">
        <v>2178</v>
      </c>
      <c r="D775" s="428">
        <v>15.08</v>
      </c>
      <c r="E775" s="429">
        <v>0</v>
      </c>
      <c r="F775" s="429">
        <f t="shared" si="132"/>
        <v>32844.239999999998</v>
      </c>
      <c r="G775" s="537" t="s">
        <v>222</v>
      </c>
      <c r="H775" s="443">
        <v>500</v>
      </c>
      <c r="I775" s="428">
        <v>15.48</v>
      </c>
      <c r="J775" s="429">
        <v>0.17</v>
      </c>
      <c r="K775" s="429">
        <f t="shared" si="133"/>
        <v>7739.83</v>
      </c>
      <c r="L775" s="427"/>
      <c r="M775" s="429"/>
    </row>
    <row r="776" spans="1:13" x14ac:dyDescent="0.25">
      <c r="A776" s="427"/>
      <c r="B776" s="473">
        <v>42556</v>
      </c>
      <c r="C776" s="427">
        <v>500</v>
      </c>
      <c r="D776" s="428">
        <v>14.62</v>
      </c>
      <c r="E776" s="429">
        <v>0</v>
      </c>
      <c r="F776" s="429">
        <f t="shared" si="132"/>
        <v>7310</v>
      </c>
      <c r="G776" s="537"/>
      <c r="H776" s="443">
        <v>378</v>
      </c>
      <c r="I776" s="428">
        <v>15.65</v>
      </c>
      <c r="J776" s="429">
        <v>0.13</v>
      </c>
      <c r="K776" s="429">
        <f t="shared" si="133"/>
        <v>5915.57</v>
      </c>
      <c r="L776" s="427"/>
      <c r="M776" s="429"/>
    </row>
    <row r="777" spans="1:13" x14ac:dyDescent="0.25">
      <c r="A777" s="427"/>
      <c r="B777" s="473">
        <v>42557</v>
      </c>
      <c r="C777" s="427">
        <v>500</v>
      </c>
      <c r="D777" s="428">
        <v>14.78</v>
      </c>
      <c r="E777" s="429">
        <v>0</v>
      </c>
      <c r="F777" s="429">
        <f t="shared" si="132"/>
        <v>7390</v>
      </c>
      <c r="G777" s="537"/>
      <c r="H777" s="443">
        <v>500</v>
      </c>
      <c r="I777" s="428">
        <v>15.51</v>
      </c>
      <c r="J777" s="429">
        <v>0.17</v>
      </c>
      <c r="K777" s="429">
        <f t="shared" si="133"/>
        <v>7754.83</v>
      </c>
      <c r="L777" s="427"/>
      <c r="M777" s="429"/>
    </row>
    <row r="778" spans="1:13" x14ac:dyDescent="0.25">
      <c r="A778" s="427"/>
      <c r="B778" s="523">
        <v>42564</v>
      </c>
      <c r="C778" s="427">
        <v>320</v>
      </c>
      <c r="D778" s="428">
        <v>15.48</v>
      </c>
      <c r="E778" s="429">
        <v>0</v>
      </c>
      <c r="F778" s="429">
        <f t="shared" si="132"/>
        <v>4953.6000000000004</v>
      </c>
      <c r="G778" s="537"/>
      <c r="H778" s="443">
        <v>800</v>
      </c>
      <c r="I778" s="428">
        <v>15.78</v>
      </c>
      <c r="J778" s="429">
        <v>0.28000000000000003</v>
      </c>
      <c r="K778" s="429">
        <f t="shared" si="133"/>
        <v>12623.72</v>
      </c>
      <c r="L778" s="427"/>
      <c r="M778" s="429"/>
    </row>
    <row r="779" spans="1:13" x14ac:dyDescent="0.25">
      <c r="A779" s="524"/>
      <c r="B779" s="523">
        <v>42564</v>
      </c>
      <c r="C779" s="427">
        <v>160</v>
      </c>
      <c r="D779" s="428">
        <v>15.48</v>
      </c>
      <c r="E779" s="429">
        <v>0</v>
      </c>
      <c r="F779" s="429">
        <f t="shared" si="132"/>
        <v>2476.8000000000002</v>
      </c>
      <c r="G779" s="426">
        <v>42557</v>
      </c>
      <c r="H779" s="443">
        <v>500</v>
      </c>
      <c r="I779" s="428">
        <v>14.92</v>
      </c>
      <c r="J779" s="429">
        <v>0.16</v>
      </c>
      <c r="K779" s="429">
        <f t="shared" si="133"/>
        <v>7459.84</v>
      </c>
      <c r="L779" s="427"/>
      <c r="M779" s="429"/>
    </row>
    <row r="780" spans="1:13" x14ac:dyDescent="0.25">
      <c r="A780" s="524"/>
      <c r="B780" s="473">
        <v>42570</v>
      </c>
      <c r="C780" s="427">
        <v>200</v>
      </c>
      <c r="D780" s="428">
        <v>15.18</v>
      </c>
      <c r="E780" s="429">
        <v>0</v>
      </c>
      <c r="F780" s="429">
        <f t="shared" si="132"/>
        <v>3036</v>
      </c>
      <c r="G780" s="426">
        <v>42564</v>
      </c>
      <c r="H780" s="443">
        <v>420</v>
      </c>
      <c r="I780" s="428">
        <v>15.68</v>
      </c>
      <c r="J780" s="429">
        <v>0.14000000000000001</v>
      </c>
      <c r="K780" s="429">
        <f t="shared" si="133"/>
        <v>6585.4599999999991</v>
      </c>
      <c r="L780" s="427"/>
      <c r="M780" s="429"/>
    </row>
    <row r="781" spans="1:13" x14ac:dyDescent="0.25">
      <c r="A781" s="524"/>
      <c r="B781" s="473">
        <v>42570</v>
      </c>
      <c r="C781" s="427">
        <v>200</v>
      </c>
      <c r="D781" s="428">
        <v>14.68</v>
      </c>
      <c r="E781" s="429">
        <v>0</v>
      </c>
      <c r="F781" s="429">
        <f t="shared" si="132"/>
        <v>2936</v>
      </c>
      <c r="G781" s="426">
        <v>42571</v>
      </c>
      <c r="H781" s="443">
        <v>200</v>
      </c>
      <c r="I781" s="428">
        <v>14.82</v>
      </c>
      <c r="J781" s="429">
        <v>0.06</v>
      </c>
      <c r="K781" s="429">
        <f t="shared" si="133"/>
        <v>2963.94</v>
      </c>
      <c r="L781" s="427"/>
      <c r="M781" s="429"/>
    </row>
    <row r="782" spans="1:13" x14ac:dyDescent="0.25">
      <c r="A782" s="427"/>
      <c r="B782" s="473">
        <v>42571</v>
      </c>
      <c r="C782" s="427">
        <v>200</v>
      </c>
      <c r="D782" s="428">
        <v>14.33</v>
      </c>
      <c r="E782" s="429">
        <v>-1</v>
      </c>
      <c r="F782" s="429">
        <f t="shared" si="132"/>
        <v>2865</v>
      </c>
      <c r="G782" s="426">
        <v>42572</v>
      </c>
      <c r="H782" s="443">
        <v>200</v>
      </c>
      <c r="I782" s="428">
        <v>14.8</v>
      </c>
      <c r="J782" s="429">
        <v>0.06</v>
      </c>
      <c r="K782" s="429">
        <f t="shared" si="133"/>
        <v>2959.94</v>
      </c>
      <c r="L782" s="427"/>
      <c r="M782" s="429"/>
    </row>
    <row r="783" spans="1:13" x14ac:dyDescent="0.25">
      <c r="A783" s="427"/>
      <c r="B783" s="473">
        <v>42572</v>
      </c>
      <c r="C783" s="427">
        <v>60</v>
      </c>
      <c r="D783" s="428">
        <v>14.58</v>
      </c>
      <c r="E783" s="429">
        <v>0</v>
      </c>
      <c r="F783" s="429">
        <f t="shared" si="132"/>
        <v>874.8</v>
      </c>
      <c r="G783" s="426">
        <v>42577</v>
      </c>
      <c r="H783" s="443">
        <v>200</v>
      </c>
      <c r="I783" s="428">
        <v>13.78</v>
      </c>
      <c r="J783" s="429">
        <v>0.06</v>
      </c>
      <c r="K783" s="429">
        <f t="shared" si="133"/>
        <v>2755.94</v>
      </c>
      <c r="L783" s="427"/>
      <c r="M783" s="429"/>
    </row>
    <row r="784" spans="1:13" x14ac:dyDescent="0.25">
      <c r="A784" s="427"/>
      <c r="B784" s="473">
        <v>42572</v>
      </c>
      <c r="C784" s="427">
        <v>140</v>
      </c>
      <c r="D784" s="428">
        <v>14.65</v>
      </c>
      <c r="E784" s="429">
        <v>0</v>
      </c>
      <c r="F784" s="429">
        <f t="shared" si="132"/>
        <v>2051</v>
      </c>
      <c r="G784" s="426">
        <v>42580</v>
      </c>
      <c r="H784" s="443">
        <v>200</v>
      </c>
      <c r="I784" s="428">
        <v>13.224</v>
      </c>
      <c r="J784" s="429">
        <v>0.08</v>
      </c>
      <c r="K784" s="429">
        <f t="shared" si="133"/>
        <v>2644.7200000000003</v>
      </c>
      <c r="L784" s="427"/>
      <c r="M784" s="429"/>
    </row>
    <row r="785" spans="1:13" x14ac:dyDescent="0.25">
      <c r="A785" s="427"/>
      <c r="B785" s="473">
        <v>42573</v>
      </c>
      <c r="C785" s="427">
        <v>140</v>
      </c>
      <c r="D785" s="428">
        <v>14.08</v>
      </c>
      <c r="E785" s="429">
        <v>0</v>
      </c>
      <c r="F785" s="429">
        <f t="shared" si="132"/>
        <v>1971.2</v>
      </c>
      <c r="G785" s="426">
        <v>42580</v>
      </c>
      <c r="H785" s="443">
        <v>200</v>
      </c>
      <c r="I785" s="428">
        <v>13.58</v>
      </c>
      <c r="J785" s="429">
        <v>0.06</v>
      </c>
      <c r="K785" s="429">
        <f t="shared" si="133"/>
        <v>2715.94</v>
      </c>
      <c r="L785" s="427"/>
      <c r="M785" s="429"/>
    </row>
    <row r="786" spans="1:13" x14ac:dyDescent="0.25">
      <c r="A786" s="427"/>
      <c r="B786" s="473">
        <v>42576</v>
      </c>
      <c r="C786" s="427">
        <v>200</v>
      </c>
      <c r="D786" s="428">
        <v>13.55</v>
      </c>
      <c r="E786" s="429">
        <v>0</v>
      </c>
      <c r="F786" s="429">
        <f t="shared" si="132"/>
        <v>2710</v>
      </c>
      <c r="G786" s="426">
        <v>42586</v>
      </c>
      <c r="H786" s="443">
        <v>400</v>
      </c>
      <c r="I786" s="428">
        <v>13.78</v>
      </c>
      <c r="J786" s="429">
        <v>0.12</v>
      </c>
      <c r="K786" s="429">
        <f t="shared" si="133"/>
        <v>5511.88</v>
      </c>
      <c r="L786" s="427"/>
      <c r="M786" s="429"/>
    </row>
    <row r="787" spans="1:13" x14ac:dyDescent="0.25">
      <c r="A787" s="427"/>
      <c r="B787" s="473">
        <v>42578</v>
      </c>
      <c r="C787" s="427">
        <v>200</v>
      </c>
      <c r="D787" s="428">
        <v>13.18</v>
      </c>
      <c r="E787" s="429">
        <v>0</v>
      </c>
      <c r="F787" s="429">
        <f t="shared" si="132"/>
        <v>2636</v>
      </c>
      <c r="G787" s="426">
        <v>42586</v>
      </c>
      <c r="H787" s="443">
        <v>400</v>
      </c>
      <c r="I787" s="428">
        <v>13.72</v>
      </c>
      <c r="J787" s="429">
        <v>0.12</v>
      </c>
      <c r="K787" s="429">
        <f t="shared" si="133"/>
        <v>5487.88</v>
      </c>
      <c r="L787" s="427"/>
      <c r="M787" s="429"/>
    </row>
    <row r="788" spans="1:13" x14ac:dyDescent="0.25">
      <c r="A788" s="427"/>
      <c r="B788" s="473">
        <v>42580</v>
      </c>
      <c r="C788" s="427">
        <v>200</v>
      </c>
      <c r="D788" s="428">
        <v>13.15</v>
      </c>
      <c r="E788" s="429">
        <v>0</v>
      </c>
      <c r="F788" s="429">
        <f t="shared" si="132"/>
        <v>2630</v>
      </c>
      <c r="G788" s="426">
        <v>42586</v>
      </c>
      <c r="H788" s="443">
        <v>140</v>
      </c>
      <c r="I788" s="428">
        <v>13.88</v>
      </c>
      <c r="J788" s="429">
        <v>0.04</v>
      </c>
      <c r="K788" s="429">
        <f t="shared" si="133"/>
        <v>1943.16</v>
      </c>
      <c r="L788" s="427"/>
      <c r="M788" s="429"/>
    </row>
    <row r="789" spans="1:13" x14ac:dyDescent="0.25">
      <c r="A789" s="427"/>
      <c r="B789" s="473">
        <v>42583</v>
      </c>
      <c r="C789" s="520">
        <v>20</v>
      </c>
      <c r="D789" s="428">
        <v>13.02</v>
      </c>
      <c r="E789" s="429">
        <v>0</v>
      </c>
      <c r="F789" s="429">
        <f t="shared" si="132"/>
        <v>260.39999999999998</v>
      </c>
      <c r="G789" s="426">
        <v>42593</v>
      </c>
      <c r="H789" s="443">
        <v>460</v>
      </c>
      <c r="I789" s="428">
        <v>14.59</v>
      </c>
      <c r="J789" s="429">
        <v>0.15</v>
      </c>
      <c r="K789" s="429">
        <f t="shared" si="133"/>
        <v>6711.25</v>
      </c>
      <c r="L789" s="427"/>
      <c r="M789" s="429"/>
    </row>
    <row r="790" spans="1:13" x14ac:dyDescent="0.25">
      <c r="A790" s="427"/>
      <c r="B790" s="473">
        <v>42583</v>
      </c>
      <c r="C790" s="427">
        <v>180</v>
      </c>
      <c r="D790" s="428">
        <v>13.02</v>
      </c>
      <c r="E790" s="429">
        <v>0</v>
      </c>
      <c r="F790" s="429">
        <f t="shared" si="132"/>
        <v>2343.6</v>
      </c>
      <c r="G790" s="426">
        <v>42594</v>
      </c>
      <c r="H790" s="443">
        <v>500</v>
      </c>
      <c r="I790" s="428">
        <v>14.88</v>
      </c>
      <c r="J790" s="429">
        <v>0.16</v>
      </c>
      <c r="K790" s="429">
        <f t="shared" si="133"/>
        <v>7439.84</v>
      </c>
      <c r="L790" s="427"/>
      <c r="M790" s="429"/>
    </row>
    <row r="791" spans="1:13" x14ac:dyDescent="0.25">
      <c r="A791" s="427"/>
      <c r="B791" s="473">
        <v>42584</v>
      </c>
      <c r="C791" s="427">
        <v>120</v>
      </c>
      <c r="D791" s="428">
        <v>12.68</v>
      </c>
      <c r="E791" s="429">
        <v>0</v>
      </c>
      <c r="F791" s="429">
        <f t="shared" si="132"/>
        <v>1521.6</v>
      </c>
      <c r="G791" s="426">
        <v>42598</v>
      </c>
      <c r="H791" s="443">
        <v>500</v>
      </c>
      <c r="I791" s="428">
        <v>15.18</v>
      </c>
      <c r="J791" s="429">
        <v>0.17</v>
      </c>
      <c r="K791" s="429">
        <f t="shared" si="133"/>
        <v>7589.83</v>
      </c>
      <c r="L791" s="427"/>
      <c r="M791" s="429"/>
    </row>
    <row r="792" spans="1:13" x14ac:dyDescent="0.25">
      <c r="A792" s="427"/>
      <c r="B792" s="473">
        <v>42584</v>
      </c>
      <c r="C792" s="427">
        <v>80</v>
      </c>
      <c r="D792" s="428">
        <v>12.68</v>
      </c>
      <c r="E792" s="429">
        <v>0</v>
      </c>
      <c r="F792" s="429">
        <f t="shared" si="132"/>
        <v>1014.4</v>
      </c>
      <c r="G792" s="426">
        <v>42599</v>
      </c>
      <c r="H792" s="443">
        <v>500</v>
      </c>
      <c r="I792" s="428">
        <v>15.18</v>
      </c>
      <c r="J792" s="429">
        <v>0.17</v>
      </c>
      <c r="K792" s="429">
        <f t="shared" si="133"/>
        <v>7589.83</v>
      </c>
      <c r="L792" s="427"/>
      <c r="M792" s="429"/>
    </row>
    <row r="793" spans="1:13" x14ac:dyDescent="0.25">
      <c r="A793" s="427"/>
      <c r="B793" s="473">
        <v>42585</v>
      </c>
      <c r="C793" s="427">
        <v>242</v>
      </c>
      <c r="D793" s="428">
        <v>13.38</v>
      </c>
      <c r="E793" s="429">
        <v>0</v>
      </c>
      <c r="F793" s="429">
        <f t="shared" si="132"/>
        <v>3237.96</v>
      </c>
      <c r="G793" s="426">
        <v>42599</v>
      </c>
      <c r="H793" s="443">
        <v>500</v>
      </c>
      <c r="I793" s="428">
        <v>15.41</v>
      </c>
      <c r="J793" s="429">
        <v>0.17</v>
      </c>
      <c r="K793" s="429">
        <f t="shared" si="133"/>
        <v>7704.83</v>
      </c>
      <c r="L793" s="427"/>
      <c r="M793" s="429"/>
    </row>
    <row r="794" spans="1:13" x14ac:dyDescent="0.25">
      <c r="A794" s="427"/>
      <c r="B794" s="473">
        <v>42585</v>
      </c>
      <c r="C794" s="427">
        <v>158</v>
      </c>
      <c r="D794" s="428">
        <v>13.38</v>
      </c>
      <c r="E794" s="429">
        <v>0</v>
      </c>
      <c r="F794" s="429">
        <f t="shared" si="132"/>
        <v>2114.04</v>
      </c>
      <c r="G794" s="426">
        <v>42599</v>
      </c>
      <c r="H794" s="443">
        <v>500</v>
      </c>
      <c r="I794" s="428">
        <v>15.65</v>
      </c>
      <c r="J794" s="429">
        <v>0.17</v>
      </c>
      <c r="K794" s="429">
        <f t="shared" si="133"/>
        <v>7824.83</v>
      </c>
      <c r="L794" s="427"/>
      <c r="M794" s="429"/>
    </row>
    <row r="795" spans="1:13" ht="45" x14ac:dyDescent="0.25">
      <c r="A795" s="427"/>
      <c r="B795" s="473">
        <v>42594</v>
      </c>
      <c r="C795" s="427">
        <v>500</v>
      </c>
      <c r="D795" s="428">
        <v>14.65</v>
      </c>
      <c r="E795" s="429">
        <v>0</v>
      </c>
      <c r="F795" s="429">
        <f t="shared" si="132"/>
        <v>7325</v>
      </c>
      <c r="G795" s="542" t="s">
        <v>250</v>
      </c>
      <c r="H795" s="443">
        <v>500</v>
      </c>
      <c r="I795" s="428">
        <v>16.18</v>
      </c>
      <c r="J795" s="429">
        <v>0.18</v>
      </c>
      <c r="K795" s="429">
        <f t="shared" si="133"/>
        <v>8089.82</v>
      </c>
      <c r="L795" s="427"/>
      <c r="M795" s="429"/>
    </row>
    <row r="796" spans="1:13" x14ac:dyDescent="0.25">
      <c r="A796" s="427"/>
      <c r="B796" s="473">
        <v>42599</v>
      </c>
      <c r="C796" s="427">
        <v>242</v>
      </c>
      <c r="D796" s="428">
        <v>14.95</v>
      </c>
      <c r="E796" s="429">
        <v>0</v>
      </c>
      <c r="F796" s="429">
        <f t="shared" si="132"/>
        <v>3617.8999999999996</v>
      </c>
      <c r="G796" s="542"/>
      <c r="H796" s="443">
        <v>500</v>
      </c>
      <c r="I796" s="428">
        <v>16.38</v>
      </c>
      <c r="J796" s="429">
        <v>0.18</v>
      </c>
      <c r="K796" s="429">
        <f t="shared" si="133"/>
        <v>8189.8199999999988</v>
      </c>
      <c r="L796" s="427"/>
      <c r="M796" s="429"/>
    </row>
    <row r="797" spans="1:13" x14ac:dyDescent="0.25">
      <c r="A797" s="427"/>
      <c r="B797" s="473">
        <v>42599</v>
      </c>
      <c r="C797" s="427">
        <v>200</v>
      </c>
      <c r="D797" s="428">
        <v>14.95</v>
      </c>
      <c r="E797" s="429">
        <v>0</v>
      </c>
      <c r="F797" s="429">
        <f t="shared" si="132"/>
        <v>2990</v>
      </c>
      <c r="G797" s="542"/>
      <c r="H797" s="443">
        <v>178</v>
      </c>
      <c r="I797" s="428">
        <v>16.5</v>
      </c>
      <c r="J797" s="429">
        <v>0.06</v>
      </c>
      <c r="K797" s="429">
        <f t="shared" si="133"/>
        <v>2936.94</v>
      </c>
      <c r="L797" s="427"/>
      <c r="M797" s="429"/>
    </row>
    <row r="798" spans="1:13" x14ac:dyDescent="0.25">
      <c r="A798" s="427"/>
      <c r="B798" s="473">
        <v>42599</v>
      </c>
      <c r="C798" s="427">
        <v>36</v>
      </c>
      <c r="D798" s="428">
        <v>14.95</v>
      </c>
      <c r="E798" s="429">
        <v>0</v>
      </c>
      <c r="F798" s="429">
        <f t="shared" si="132"/>
        <v>538.19999999999993</v>
      </c>
      <c r="G798" s="542"/>
      <c r="H798" s="443">
        <v>500</v>
      </c>
      <c r="I798" s="428">
        <v>16.72</v>
      </c>
      <c r="J798" s="429">
        <v>0.18</v>
      </c>
      <c r="K798" s="429">
        <f t="shared" si="133"/>
        <v>8359.82</v>
      </c>
      <c r="L798" s="427"/>
      <c r="M798" s="429"/>
    </row>
    <row r="799" spans="1:13" x14ac:dyDescent="0.25">
      <c r="A799" s="427"/>
      <c r="B799" s="473">
        <v>42599</v>
      </c>
      <c r="C799" s="427">
        <v>22</v>
      </c>
      <c r="D799" s="428">
        <v>14.95</v>
      </c>
      <c r="E799" s="429">
        <v>0</v>
      </c>
      <c r="F799" s="429">
        <f t="shared" si="132"/>
        <v>328.9</v>
      </c>
      <c r="G799" s="426">
        <v>42601</v>
      </c>
      <c r="H799" s="443">
        <v>500</v>
      </c>
      <c r="I799" s="428">
        <v>16.82</v>
      </c>
      <c r="J799" s="429">
        <v>0.18</v>
      </c>
      <c r="K799" s="429">
        <f t="shared" si="133"/>
        <v>8409.82</v>
      </c>
      <c r="L799" s="427"/>
      <c r="M799" s="429"/>
    </row>
    <row r="800" spans="1:13" x14ac:dyDescent="0.25">
      <c r="A800" s="427"/>
      <c r="B800" s="473">
        <v>42604</v>
      </c>
      <c r="C800" s="427">
        <v>1000</v>
      </c>
      <c r="D800" s="428">
        <v>15.68</v>
      </c>
      <c r="E800" s="429">
        <v>0</v>
      </c>
      <c r="F800" s="429">
        <f t="shared" si="132"/>
        <v>15680</v>
      </c>
      <c r="G800" s="426">
        <v>42605</v>
      </c>
      <c r="H800" s="443">
        <v>500</v>
      </c>
      <c r="I800" s="428">
        <v>15.98</v>
      </c>
      <c r="J800" s="429">
        <v>0.17</v>
      </c>
      <c r="K800" s="429">
        <f t="shared" si="133"/>
        <v>7989.83</v>
      </c>
      <c r="L800" s="427"/>
      <c r="M800" s="429"/>
    </row>
    <row r="801" spans="1:13" x14ac:dyDescent="0.25">
      <c r="A801" s="427"/>
      <c r="B801" s="473">
        <v>42604</v>
      </c>
      <c r="C801" s="427">
        <v>500</v>
      </c>
      <c r="D801" s="428">
        <v>15.48</v>
      </c>
      <c r="E801" s="429">
        <v>0</v>
      </c>
      <c r="F801" s="429">
        <f t="shared" si="132"/>
        <v>7740</v>
      </c>
      <c r="G801" s="426">
        <v>42605</v>
      </c>
      <c r="H801" s="443">
        <v>500</v>
      </c>
      <c r="I801" s="428">
        <v>16.25</v>
      </c>
      <c r="J801" s="429">
        <v>0.18</v>
      </c>
      <c r="K801" s="429">
        <f t="shared" si="133"/>
        <v>8124.82</v>
      </c>
      <c r="L801" s="427"/>
      <c r="M801" s="429"/>
    </row>
    <row r="802" spans="1:13" x14ac:dyDescent="0.25">
      <c r="A802" s="427"/>
      <c r="B802" s="473">
        <v>42606</v>
      </c>
      <c r="C802" s="427">
        <v>178</v>
      </c>
      <c r="D802" s="428">
        <v>16.059999999999999</v>
      </c>
      <c r="E802" s="429">
        <v>0</v>
      </c>
      <c r="F802" s="429">
        <f t="shared" si="132"/>
        <v>2858.68</v>
      </c>
      <c r="G802" s="426">
        <v>42605</v>
      </c>
      <c r="H802" s="443">
        <v>500</v>
      </c>
      <c r="I802" s="428">
        <v>16.48</v>
      </c>
      <c r="J802" s="429">
        <v>0.18</v>
      </c>
      <c r="K802" s="429">
        <f t="shared" si="133"/>
        <v>8239.82</v>
      </c>
      <c r="L802" s="427"/>
      <c r="M802" s="429"/>
    </row>
    <row r="803" spans="1:13" x14ac:dyDescent="0.25">
      <c r="A803" s="427"/>
      <c r="B803" s="473">
        <v>42608</v>
      </c>
      <c r="C803" s="427">
        <v>500</v>
      </c>
      <c r="D803" s="428">
        <v>15.98</v>
      </c>
      <c r="E803" s="429">
        <v>0</v>
      </c>
      <c r="F803" s="429">
        <f t="shared" si="132"/>
        <v>7990</v>
      </c>
      <c r="G803" s="426">
        <v>42615</v>
      </c>
      <c r="H803" s="443">
        <v>500</v>
      </c>
      <c r="I803" s="428">
        <v>15.65</v>
      </c>
      <c r="J803" s="429">
        <v>0.17</v>
      </c>
      <c r="K803" s="429">
        <f t="shared" si="133"/>
        <v>7824.83</v>
      </c>
      <c r="L803" s="427"/>
      <c r="M803" s="429"/>
    </row>
    <row r="804" spans="1:13" ht="30" x14ac:dyDescent="0.25">
      <c r="A804" s="427"/>
      <c r="B804" s="473">
        <v>42608</v>
      </c>
      <c r="C804" s="427">
        <v>500</v>
      </c>
      <c r="D804" s="428">
        <v>15.85</v>
      </c>
      <c r="E804" s="429">
        <v>0</v>
      </c>
      <c r="F804" s="429">
        <f t="shared" si="132"/>
        <v>7925</v>
      </c>
      <c r="G804" s="426">
        <v>42621</v>
      </c>
      <c r="H804" s="443">
        <v>500</v>
      </c>
      <c r="I804" s="428">
        <v>16.72</v>
      </c>
      <c r="J804" s="429">
        <v>0.18</v>
      </c>
      <c r="K804" s="429">
        <f t="shared" si="133"/>
        <v>8359.82</v>
      </c>
      <c r="L804" s="543" t="s">
        <v>263</v>
      </c>
      <c r="M804" s="429"/>
    </row>
    <row r="805" spans="1:13" x14ac:dyDescent="0.25">
      <c r="A805" s="427"/>
      <c r="B805" s="473">
        <v>42612</v>
      </c>
      <c r="C805" s="427">
        <v>500</v>
      </c>
      <c r="D805" s="428">
        <v>15.68</v>
      </c>
      <c r="E805" s="429">
        <v>0</v>
      </c>
      <c r="F805" s="429">
        <f t="shared" si="132"/>
        <v>7840</v>
      </c>
      <c r="G805" s="426">
        <v>42621</v>
      </c>
      <c r="H805" s="443">
        <v>500</v>
      </c>
      <c r="I805" s="428">
        <v>16.28</v>
      </c>
      <c r="J805" s="429">
        <v>0.18</v>
      </c>
      <c r="K805" s="429">
        <f t="shared" si="133"/>
        <v>8139.8200000000006</v>
      </c>
      <c r="L805" s="543"/>
      <c r="M805" s="429"/>
    </row>
    <row r="806" spans="1:13" x14ac:dyDescent="0.25">
      <c r="A806" s="427"/>
      <c r="B806" s="473">
        <v>42612</v>
      </c>
      <c r="C806" s="427">
        <v>500</v>
      </c>
      <c r="D806" s="428">
        <v>15.55</v>
      </c>
      <c r="E806" s="429">
        <v>0</v>
      </c>
      <c r="F806" s="429">
        <f t="shared" si="132"/>
        <v>7775</v>
      </c>
      <c r="G806" s="426">
        <v>42621</v>
      </c>
      <c r="H806" s="443">
        <v>220</v>
      </c>
      <c r="I806" s="428">
        <v>16.77</v>
      </c>
      <c r="J806" s="429">
        <v>0.08</v>
      </c>
      <c r="K806" s="429">
        <f t="shared" si="133"/>
        <v>3689.32</v>
      </c>
      <c r="L806" s="543"/>
      <c r="M806" s="429"/>
    </row>
    <row r="807" spans="1:13" x14ac:dyDescent="0.25">
      <c r="A807" s="427"/>
      <c r="B807" s="473">
        <v>42613</v>
      </c>
      <c r="C807" s="427">
        <v>500</v>
      </c>
      <c r="D807" s="428">
        <v>15.244999999999999</v>
      </c>
      <c r="E807" s="429">
        <v>0</v>
      </c>
      <c r="F807" s="429">
        <f t="shared" si="132"/>
        <v>7622.5</v>
      </c>
      <c r="G807" s="426">
        <v>42625</v>
      </c>
      <c r="H807" s="443">
        <v>500</v>
      </c>
      <c r="I807" s="428">
        <v>15.5</v>
      </c>
      <c r="J807" s="429">
        <v>0.17</v>
      </c>
      <c r="K807" s="429">
        <f t="shared" si="133"/>
        <v>7749.83</v>
      </c>
      <c r="L807" s="427"/>
      <c r="M807" s="429"/>
    </row>
    <row r="808" spans="1:13" x14ac:dyDescent="0.25">
      <c r="A808" s="427"/>
      <c r="B808" s="473">
        <v>42613</v>
      </c>
      <c r="C808" s="427">
        <v>500</v>
      </c>
      <c r="D808" s="428">
        <v>15.08</v>
      </c>
      <c r="E808" s="429">
        <v>0</v>
      </c>
      <c r="F808" s="429">
        <f t="shared" si="132"/>
        <v>7540</v>
      </c>
      <c r="G808" s="426">
        <v>42628</v>
      </c>
      <c r="H808" s="443">
        <v>300</v>
      </c>
      <c r="I808" s="428">
        <v>14.46</v>
      </c>
      <c r="J808" s="429">
        <v>0.09</v>
      </c>
      <c r="K808" s="429">
        <f t="shared" si="133"/>
        <v>4337.91</v>
      </c>
      <c r="L808" s="427"/>
      <c r="M808" s="429"/>
    </row>
    <row r="809" spans="1:13" x14ac:dyDescent="0.25">
      <c r="A809" s="427"/>
      <c r="B809" s="473">
        <v>42622</v>
      </c>
      <c r="C809" s="427">
        <v>220</v>
      </c>
      <c r="D809" s="428">
        <v>16.25</v>
      </c>
      <c r="E809" s="429">
        <v>0</v>
      </c>
      <c r="F809" s="429">
        <f t="shared" si="132"/>
        <v>3575</v>
      </c>
      <c r="G809" s="426">
        <v>42634</v>
      </c>
      <c r="H809" s="443">
        <v>322</v>
      </c>
      <c r="I809" s="428">
        <v>14.28</v>
      </c>
      <c r="J809" s="429">
        <v>0.1</v>
      </c>
      <c r="K809" s="429">
        <f t="shared" si="133"/>
        <v>4598.0599999999995</v>
      </c>
      <c r="L809" s="427"/>
      <c r="M809" s="429"/>
    </row>
    <row r="810" spans="1:13" x14ac:dyDescent="0.25">
      <c r="A810" s="427"/>
      <c r="B810" s="473">
        <v>42622</v>
      </c>
      <c r="C810" s="427">
        <v>500</v>
      </c>
      <c r="D810" s="428">
        <v>15.98</v>
      </c>
      <c r="E810" s="429">
        <v>0</v>
      </c>
      <c r="F810" s="429">
        <f t="shared" si="132"/>
        <v>7990</v>
      </c>
      <c r="G810" s="426">
        <v>42634</v>
      </c>
      <c r="H810" s="443">
        <v>400</v>
      </c>
      <c r="I810" s="428">
        <v>14.64</v>
      </c>
      <c r="J810" s="429">
        <v>0.13</v>
      </c>
      <c r="K810" s="429">
        <f t="shared" si="133"/>
        <v>5855.87</v>
      </c>
      <c r="L810" s="427"/>
      <c r="M810" s="429"/>
    </row>
    <row r="811" spans="1:13" x14ac:dyDescent="0.25">
      <c r="A811" s="427"/>
      <c r="B811" s="473">
        <v>42622</v>
      </c>
      <c r="C811" s="427">
        <v>500</v>
      </c>
      <c r="D811" s="428">
        <v>15.75</v>
      </c>
      <c r="E811" s="429">
        <v>0</v>
      </c>
      <c r="F811" s="429">
        <f t="shared" si="132"/>
        <v>7875</v>
      </c>
      <c r="G811" s="426">
        <v>42639</v>
      </c>
      <c r="H811" s="443">
        <v>200</v>
      </c>
      <c r="I811" s="428">
        <v>14.72</v>
      </c>
      <c r="J811" s="429">
        <v>0.06</v>
      </c>
      <c r="K811" s="429">
        <f t="shared" si="133"/>
        <v>2943.94</v>
      </c>
      <c r="L811" s="427"/>
      <c r="M811" s="429"/>
    </row>
    <row r="812" spans="1:13" x14ac:dyDescent="0.25">
      <c r="A812" s="427"/>
      <c r="B812" s="473">
        <v>42625</v>
      </c>
      <c r="C812" s="427">
        <v>500</v>
      </c>
      <c r="D812" s="428">
        <v>15.22</v>
      </c>
      <c r="E812" s="429">
        <v>0</v>
      </c>
      <c r="F812" s="429">
        <f t="shared" si="132"/>
        <v>7610</v>
      </c>
      <c r="G812" s="426">
        <v>42641</v>
      </c>
      <c r="H812" s="443">
        <v>300</v>
      </c>
      <c r="I812" s="428">
        <v>15.28</v>
      </c>
      <c r="J812" s="429">
        <v>0.1</v>
      </c>
      <c r="K812" s="429">
        <f t="shared" si="133"/>
        <v>4583.8999999999996</v>
      </c>
      <c r="L812" s="427"/>
      <c r="M812" s="429"/>
    </row>
    <row r="813" spans="1:13" ht="30" x14ac:dyDescent="0.25">
      <c r="A813" s="525" t="s">
        <v>272</v>
      </c>
      <c r="B813" s="473">
        <v>42626</v>
      </c>
      <c r="C813" s="427">
        <v>600</v>
      </c>
      <c r="D813" s="428">
        <v>14.91</v>
      </c>
      <c r="E813" s="429">
        <v>-3</v>
      </c>
      <c r="F813" s="429">
        <f t="shared" si="132"/>
        <v>8943</v>
      </c>
      <c r="G813" s="426">
        <v>42641</v>
      </c>
      <c r="H813" s="443">
        <v>400</v>
      </c>
      <c r="I813" s="428">
        <v>15.06</v>
      </c>
      <c r="J813" s="429">
        <v>0.13</v>
      </c>
      <c r="K813" s="429">
        <f t="shared" si="133"/>
        <v>6023.87</v>
      </c>
      <c r="L813" s="427"/>
      <c r="M813" s="429"/>
    </row>
    <row r="814" spans="1:13" x14ac:dyDescent="0.25">
      <c r="A814" s="525"/>
      <c r="B814" s="473">
        <v>42626</v>
      </c>
      <c r="C814" s="427">
        <v>400</v>
      </c>
      <c r="D814" s="428">
        <v>14.75</v>
      </c>
      <c r="E814" s="429">
        <v>0</v>
      </c>
      <c r="F814" s="429">
        <f t="shared" si="132"/>
        <v>5900</v>
      </c>
      <c r="G814" s="426">
        <v>42641</v>
      </c>
      <c r="H814" s="443">
        <v>322</v>
      </c>
      <c r="I814" s="428">
        <v>14.39</v>
      </c>
      <c r="J814" s="429">
        <v>0.1</v>
      </c>
      <c r="K814" s="429">
        <f t="shared" si="133"/>
        <v>4633.4799999999996</v>
      </c>
      <c r="L814" s="427"/>
      <c r="M814" s="429"/>
    </row>
    <row r="815" spans="1:13" x14ac:dyDescent="0.25">
      <c r="A815" s="525"/>
      <c r="B815" s="473">
        <v>42626</v>
      </c>
      <c r="C815" s="427">
        <v>300</v>
      </c>
      <c r="D815" s="428">
        <v>14.48</v>
      </c>
      <c r="E815" s="429">
        <v>0</v>
      </c>
      <c r="F815" s="429">
        <f t="shared" si="132"/>
        <v>4344</v>
      </c>
      <c r="G815" s="426">
        <v>42641</v>
      </c>
      <c r="H815" s="443">
        <v>500</v>
      </c>
      <c r="I815" s="428">
        <v>14.26</v>
      </c>
      <c r="J815" s="429">
        <v>0.16</v>
      </c>
      <c r="K815" s="429">
        <f t="shared" si="133"/>
        <v>7129.84</v>
      </c>
      <c r="L815" s="427"/>
      <c r="M815" s="429"/>
    </row>
    <row r="816" spans="1:13" x14ac:dyDescent="0.25">
      <c r="A816" s="525"/>
      <c r="B816" s="473">
        <v>42626</v>
      </c>
      <c r="C816" s="427">
        <v>300</v>
      </c>
      <c r="D816" s="428">
        <v>14.25</v>
      </c>
      <c r="E816" s="429">
        <v>0</v>
      </c>
      <c r="F816" s="429">
        <f t="shared" si="132"/>
        <v>4275</v>
      </c>
      <c r="G816" s="426">
        <v>42642</v>
      </c>
      <c r="H816" s="443">
        <v>300</v>
      </c>
      <c r="I816" s="428">
        <v>15.28</v>
      </c>
      <c r="J816" s="429">
        <v>0.1</v>
      </c>
      <c r="K816" s="429">
        <f t="shared" si="133"/>
        <v>4583.8999999999996</v>
      </c>
      <c r="L816" s="427"/>
      <c r="M816" s="429"/>
    </row>
    <row r="817" spans="1:13" x14ac:dyDescent="0.25">
      <c r="A817" s="525"/>
      <c r="B817" s="473">
        <v>42627</v>
      </c>
      <c r="C817" s="427">
        <v>200</v>
      </c>
      <c r="D817" s="428">
        <v>14.02</v>
      </c>
      <c r="E817" s="429">
        <v>-1</v>
      </c>
      <c r="F817" s="429">
        <f t="shared" si="132"/>
        <v>2803</v>
      </c>
      <c r="G817" s="426">
        <v>42642</v>
      </c>
      <c r="H817" s="443">
        <v>700</v>
      </c>
      <c r="I817" s="428">
        <v>15.78</v>
      </c>
      <c r="J817" s="429">
        <v>0.24</v>
      </c>
      <c r="K817" s="429">
        <f t="shared" si="133"/>
        <v>11045.76</v>
      </c>
      <c r="L817" s="427"/>
      <c r="M817" s="429"/>
    </row>
    <row r="818" spans="1:13" x14ac:dyDescent="0.25">
      <c r="A818" s="427"/>
      <c r="B818" s="473">
        <v>42628</v>
      </c>
      <c r="C818" s="427">
        <v>300</v>
      </c>
      <c r="D818" s="428">
        <v>14.3</v>
      </c>
      <c r="E818" s="429">
        <v>0</v>
      </c>
      <c r="F818" s="429">
        <f t="shared" si="132"/>
        <v>4290</v>
      </c>
      <c r="G818" s="426">
        <v>42642</v>
      </c>
      <c r="H818" s="443">
        <v>214</v>
      </c>
      <c r="I818" s="428">
        <v>15.98</v>
      </c>
      <c r="J818" s="429">
        <v>7.0000000000000007E-2</v>
      </c>
      <c r="K818" s="429">
        <f t="shared" si="133"/>
        <v>3419.65</v>
      </c>
      <c r="L818" s="427"/>
      <c r="M818" s="429"/>
    </row>
    <row r="819" spans="1:13" x14ac:dyDescent="0.25">
      <c r="A819" s="427"/>
      <c r="B819" s="473">
        <v>42632</v>
      </c>
      <c r="C819" s="427">
        <v>200</v>
      </c>
      <c r="D819" s="428">
        <v>14.06</v>
      </c>
      <c r="E819" s="429">
        <v>0</v>
      </c>
      <c r="F819" s="429">
        <f t="shared" si="132"/>
        <v>2812</v>
      </c>
      <c r="G819" s="426">
        <v>42648</v>
      </c>
      <c r="H819" s="443">
        <v>1000</v>
      </c>
      <c r="I819" s="428">
        <v>16.079999999999998</v>
      </c>
      <c r="J819" s="429">
        <v>0.35</v>
      </c>
      <c r="K819" s="429">
        <f t="shared" si="133"/>
        <v>16079.649999999998</v>
      </c>
      <c r="L819" s="427"/>
      <c r="M819" s="429"/>
    </row>
    <row r="820" spans="1:13" x14ac:dyDescent="0.25">
      <c r="A820" s="427"/>
      <c r="B820" s="473">
        <v>42633</v>
      </c>
      <c r="C820" s="427">
        <v>200</v>
      </c>
      <c r="D820" s="428">
        <v>14.11</v>
      </c>
      <c r="E820" s="429">
        <v>0</v>
      </c>
      <c r="F820" s="429">
        <f t="shared" si="132"/>
        <v>2822</v>
      </c>
      <c r="G820" s="426">
        <v>42648</v>
      </c>
      <c r="H820" s="443">
        <v>500</v>
      </c>
      <c r="I820" s="428">
        <v>16.38</v>
      </c>
      <c r="J820" s="429">
        <v>0.18</v>
      </c>
      <c r="K820" s="429">
        <f t="shared" si="133"/>
        <v>8189.8199999999988</v>
      </c>
      <c r="L820" s="427"/>
      <c r="M820" s="429"/>
    </row>
    <row r="821" spans="1:13" x14ac:dyDescent="0.25">
      <c r="A821" s="427"/>
      <c r="B821" s="473">
        <v>42633</v>
      </c>
      <c r="C821" s="427">
        <v>122</v>
      </c>
      <c r="D821" s="428">
        <v>14.1</v>
      </c>
      <c r="E821" s="429">
        <v>0</v>
      </c>
      <c r="F821" s="429">
        <f t="shared" si="132"/>
        <v>1720.2</v>
      </c>
      <c r="G821" s="426">
        <v>42649</v>
      </c>
      <c r="H821" s="443">
        <v>500</v>
      </c>
      <c r="I821" s="428">
        <v>16.16</v>
      </c>
      <c r="J821" s="429">
        <v>0.18</v>
      </c>
      <c r="K821" s="429">
        <f t="shared" si="133"/>
        <v>8079.82</v>
      </c>
      <c r="L821" s="427"/>
      <c r="M821" s="429"/>
    </row>
    <row r="822" spans="1:13" x14ac:dyDescent="0.25">
      <c r="A822" s="427"/>
      <c r="B822" s="473">
        <v>42636</v>
      </c>
      <c r="C822" s="427">
        <v>200</v>
      </c>
      <c r="D822" s="428">
        <v>14.38</v>
      </c>
      <c r="E822" s="429">
        <v>0</v>
      </c>
      <c r="F822" s="429">
        <f t="shared" si="132"/>
        <v>2876</v>
      </c>
      <c r="G822" s="426">
        <v>42671</v>
      </c>
      <c r="H822" s="443">
        <v>1000</v>
      </c>
      <c r="I822" s="428">
        <v>14.22</v>
      </c>
      <c r="J822" s="429">
        <v>0.31</v>
      </c>
      <c r="K822" s="429">
        <f t="shared" si="133"/>
        <v>14219.69</v>
      </c>
      <c r="L822" s="427"/>
      <c r="M822" s="429"/>
    </row>
    <row r="823" spans="1:13" x14ac:dyDescent="0.25">
      <c r="A823" s="427"/>
      <c r="B823" s="473">
        <v>42639</v>
      </c>
      <c r="C823" s="427">
        <v>200</v>
      </c>
      <c r="D823" s="428">
        <v>14.5</v>
      </c>
      <c r="E823" s="429">
        <v>0</v>
      </c>
      <c r="F823" s="429">
        <f t="shared" ref="F823:F837" si="134">C823*D823+E823</f>
        <v>2900</v>
      </c>
      <c r="G823" s="426">
        <v>42674</v>
      </c>
      <c r="H823" s="443">
        <v>300</v>
      </c>
      <c r="I823" s="428">
        <v>13.42</v>
      </c>
      <c r="J823" s="429">
        <v>0.09</v>
      </c>
      <c r="K823" s="429">
        <f t="shared" si="133"/>
        <v>4025.91</v>
      </c>
      <c r="L823" s="427"/>
      <c r="M823" s="429"/>
    </row>
    <row r="824" spans="1:13" x14ac:dyDescent="0.25">
      <c r="A824" s="427"/>
      <c r="B824" s="473">
        <v>42639</v>
      </c>
      <c r="C824" s="427">
        <v>200</v>
      </c>
      <c r="D824" s="428">
        <v>14.38</v>
      </c>
      <c r="E824" s="429">
        <v>0</v>
      </c>
      <c r="F824" s="429">
        <f t="shared" si="134"/>
        <v>2876</v>
      </c>
      <c r="G824" s="426">
        <v>42674</v>
      </c>
      <c r="H824" s="443">
        <v>200</v>
      </c>
      <c r="I824" s="428">
        <v>13.25</v>
      </c>
      <c r="J824" s="429">
        <v>-0.74</v>
      </c>
      <c r="K824" s="429">
        <f t="shared" si="133"/>
        <v>2650.74</v>
      </c>
      <c r="L824" s="427"/>
      <c r="M824" s="429"/>
    </row>
    <row r="825" spans="1:13" x14ac:dyDescent="0.25">
      <c r="A825" s="427"/>
      <c r="B825" s="473">
        <v>42640</v>
      </c>
      <c r="C825" s="427">
        <v>322</v>
      </c>
      <c r="D825" s="428">
        <v>13.97</v>
      </c>
      <c r="E825" s="429">
        <v>0</v>
      </c>
      <c r="F825" s="429">
        <f t="shared" si="134"/>
        <v>4498.34</v>
      </c>
      <c r="G825" s="426">
        <v>42676</v>
      </c>
      <c r="H825" s="443">
        <v>200</v>
      </c>
      <c r="I825" s="428">
        <v>13.05</v>
      </c>
      <c r="J825" s="429">
        <v>0.06</v>
      </c>
      <c r="K825" s="429">
        <f t="shared" si="133"/>
        <v>2609.94</v>
      </c>
      <c r="L825" s="427"/>
      <c r="M825" s="429"/>
    </row>
    <row r="826" spans="1:13" x14ac:dyDescent="0.25">
      <c r="A826" s="427"/>
      <c r="B826" s="473">
        <v>42641</v>
      </c>
      <c r="C826" s="427">
        <v>300</v>
      </c>
      <c r="D826" s="428">
        <v>14.02</v>
      </c>
      <c r="E826" s="429">
        <v>-1.26</v>
      </c>
      <c r="F826" s="429">
        <f t="shared" si="134"/>
        <v>4204.74</v>
      </c>
      <c r="G826" s="426">
        <v>42677</v>
      </c>
      <c r="H826" s="443">
        <v>500</v>
      </c>
      <c r="I826" s="428">
        <v>13.96</v>
      </c>
      <c r="J826" s="429">
        <v>0.15</v>
      </c>
      <c r="K826" s="429">
        <f t="shared" si="133"/>
        <v>6979.85</v>
      </c>
      <c r="L826" s="427"/>
      <c r="M826" s="429"/>
    </row>
    <row r="827" spans="1:13" x14ac:dyDescent="0.25">
      <c r="A827" s="427"/>
      <c r="B827" s="473">
        <v>42641</v>
      </c>
      <c r="C827" s="427">
        <v>200</v>
      </c>
      <c r="D827" s="428">
        <v>14.17</v>
      </c>
      <c r="E827" s="429">
        <v>0</v>
      </c>
      <c r="F827" s="429">
        <f t="shared" si="134"/>
        <v>2834</v>
      </c>
      <c r="G827" s="426">
        <v>42677</v>
      </c>
      <c r="H827" s="443">
        <v>2000</v>
      </c>
      <c r="I827" s="428">
        <v>14.5</v>
      </c>
      <c r="J827" s="429">
        <v>0.63</v>
      </c>
      <c r="K827" s="429">
        <f t="shared" si="133"/>
        <v>28999.37</v>
      </c>
      <c r="L827" s="427"/>
      <c r="M827" s="429"/>
    </row>
    <row r="828" spans="1:13" x14ac:dyDescent="0.25">
      <c r="A828" s="427"/>
      <c r="B828" s="473">
        <v>42642</v>
      </c>
      <c r="C828" s="427">
        <v>414</v>
      </c>
      <c r="D828" s="428">
        <v>15.66</v>
      </c>
      <c r="E828" s="429">
        <v>0</v>
      </c>
      <c r="F828" s="429">
        <f t="shared" si="134"/>
        <v>6483.24</v>
      </c>
      <c r="G828" s="426">
        <v>42682</v>
      </c>
      <c r="H828" s="443">
        <v>1000</v>
      </c>
      <c r="I828" s="428">
        <v>14.28</v>
      </c>
      <c r="J828" s="429">
        <v>0.31</v>
      </c>
      <c r="K828" s="429">
        <f t="shared" si="133"/>
        <v>14279.69</v>
      </c>
      <c r="L828" s="427"/>
      <c r="M828" s="429"/>
    </row>
    <row r="829" spans="1:13" ht="30" x14ac:dyDescent="0.25">
      <c r="A829" s="525" t="s">
        <v>286</v>
      </c>
      <c r="B829" s="473">
        <v>42647</v>
      </c>
      <c r="C829" s="427">
        <v>500</v>
      </c>
      <c r="D829" s="428">
        <v>15.86</v>
      </c>
      <c r="E829" s="429">
        <v>0</v>
      </c>
      <c r="F829" s="429">
        <f t="shared" si="134"/>
        <v>7930</v>
      </c>
      <c r="G829" s="426">
        <v>42685</v>
      </c>
      <c r="H829" s="443">
        <v>500</v>
      </c>
      <c r="I829" s="428">
        <v>15.88</v>
      </c>
      <c r="J829" s="429">
        <v>0.17</v>
      </c>
      <c r="K829" s="429">
        <f t="shared" si="133"/>
        <v>7939.83</v>
      </c>
      <c r="L829" s="427"/>
      <c r="M829" s="429"/>
    </row>
    <row r="830" spans="1:13" x14ac:dyDescent="0.25">
      <c r="A830" s="525"/>
      <c r="B830" s="473">
        <v>42647</v>
      </c>
      <c r="C830" s="427">
        <v>500</v>
      </c>
      <c r="D830" s="428">
        <v>15.62</v>
      </c>
      <c r="E830" s="429">
        <v>0</v>
      </c>
      <c r="F830" s="429">
        <f t="shared" si="134"/>
        <v>7810</v>
      </c>
      <c r="G830" s="426">
        <v>42695</v>
      </c>
      <c r="H830" s="443">
        <v>2272</v>
      </c>
      <c r="I830" s="428">
        <v>16.28</v>
      </c>
      <c r="J830" s="429">
        <v>0.81</v>
      </c>
      <c r="K830" s="429">
        <f t="shared" si="133"/>
        <v>36987.350000000006</v>
      </c>
      <c r="L830" s="427"/>
      <c r="M830" s="429"/>
    </row>
    <row r="831" spans="1:13" x14ac:dyDescent="0.25">
      <c r="A831" s="525"/>
      <c r="B831" s="473">
        <v>42649</v>
      </c>
      <c r="C831" s="427">
        <v>500</v>
      </c>
      <c r="D831" s="428">
        <v>15.97</v>
      </c>
      <c r="E831" s="429">
        <v>0</v>
      </c>
      <c r="F831" s="429">
        <f t="shared" si="134"/>
        <v>7985</v>
      </c>
      <c r="G831" s="426">
        <v>42695</v>
      </c>
      <c r="H831" s="443">
        <v>500</v>
      </c>
      <c r="I831" s="428">
        <v>16.45</v>
      </c>
      <c r="J831" s="429">
        <v>0.18</v>
      </c>
      <c r="K831" s="429">
        <f t="shared" si="133"/>
        <v>8224.82</v>
      </c>
      <c r="L831" s="427"/>
      <c r="M831" s="429"/>
    </row>
    <row r="832" spans="1:13" x14ac:dyDescent="0.25">
      <c r="A832" s="525"/>
      <c r="B832" s="473">
        <v>42649</v>
      </c>
      <c r="C832" s="427">
        <v>500</v>
      </c>
      <c r="D832" s="428">
        <v>15.84</v>
      </c>
      <c r="E832" s="429">
        <v>0</v>
      </c>
      <c r="F832" s="429">
        <f t="shared" si="134"/>
        <v>7920</v>
      </c>
      <c r="G832" s="426">
        <v>42696</v>
      </c>
      <c r="H832" s="443">
        <v>500</v>
      </c>
      <c r="I832" s="428">
        <v>16.54</v>
      </c>
      <c r="J832" s="429">
        <v>0.18</v>
      </c>
      <c r="K832" s="429">
        <f t="shared" si="133"/>
        <v>8269.82</v>
      </c>
      <c r="L832" s="427"/>
      <c r="M832" s="429"/>
    </row>
    <row r="833" spans="1:13" x14ac:dyDescent="0.25">
      <c r="A833" s="427"/>
      <c r="B833" s="473">
        <v>42649</v>
      </c>
      <c r="C833" s="427">
        <v>500</v>
      </c>
      <c r="D833" s="428">
        <v>16.079999999999998</v>
      </c>
      <c r="E833" s="429">
        <v>0</v>
      </c>
      <c r="F833" s="429">
        <f t="shared" si="134"/>
        <v>8039.9999999999991</v>
      </c>
      <c r="G833" s="426">
        <v>42697</v>
      </c>
      <c r="H833" s="443">
        <v>200</v>
      </c>
      <c r="I833" s="428">
        <v>16.79</v>
      </c>
      <c r="J833" s="429">
        <v>7.0000000000000007E-2</v>
      </c>
      <c r="K833" s="429">
        <f t="shared" si="133"/>
        <v>3357.93</v>
      </c>
      <c r="L833" s="427"/>
      <c r="M833" s="429"/>
    </row>
    <row r="834" spans="1:13" x14ac:dyDescent="0.25">
      <c r="A834" s="427"/>
      <c r="B834" s="473">
        <v>42650</v>
      </c>
      <c r="C834" s="427">
        <v>300</v>
      </c>
      <c r="D834" s="428">
        <v>15.75</v>
      </c>
      <c r="E834" s="429">
        <v>0</v>
      </c>
      <c r="F834" s="429">
        <f t="shared" si="134"/>
        <v>4725</v>
      </c>
      <c r="G834" s="426">
        <v>42697</v>
      </c>
      <c r="H834" s="443">
        <v>500</v>
      </c>
      <c r="I834" s="428">
        <v>16.59</v>
      </c>
      <c r="J834" s="429">
        <v>0.18</v>
      </c>
      <c r="K834" s="429">
        <f t="shared" si="133"/>
        <v>8294.82</v>
      </c>
      <c r="L834" s="427"/>
      <c r="M834" s="429"/>
    </row>
    <row r="835" spans="1:13" x14ac:dyDescent="0.25">
      <c r="A835" s="427"/>
      <c r="B835" s="473">
        <v>42650</v>
      </c>
      <c r="C835" s="427">
        <v>300</v>
      </c>
      <c r="D835" s="428">
        <v>15.58</v>
      </c>
      <c r="E835" s="429">
        <v>0</v>
      </c>
      <c r="F835" s="429">
        <f t="shared" si="134"/>
        <v>4674</v>
      </c>
      <c r="G835" s="426">
        <v>42704</v>
      </c>
      <c r="H835" s="443">
        <v>1000</v>
      </c>
      <c r="I835" s="428">
        <v>16.420000000000002</v>
      </c>
      <c r="J835" s="429">
        <v>0.36</v>
      </c>
      <c r="K835" s="429">
        <f t="shared" si="133"/>
        <v>16419.64</v>
      </c>
      <c r="L835" s="427"/>
      <c r="M835" s="429"/>
    </row>
    <row r="836" spans="1:13" x14ac:dyDescent="0.25">
      <c r="A836" s="427"/>
      <c r="B836" s="473">
        <v>42653</v>
      </c>
      <c r="C836" s="427">
        <v>394</v>
      </c>
      <c r="D836" s="428">
        <v>15.72</v>
      </c>
      <c r="E836" s="429">
        <v>0</v>
      </c>
      <c r="F836" s="429">
        <f t="shared" si="134"/>
        <v>6193.68</v>
      </c>
      <c r="G836" s="426">
        <v>42704</v>
      </c>
      <c r="H836" s="443">
        <v>300</v>
      </c>
      <c r="I836" s="428">
        <v>16.78</v>
      </c>
      <c r="J836" s="429">
        <v>1.61</v>
      </c>
      <c r="K836" s="429">
        <f t="shared" si="133"/>
        <v>5032.3900000000003</v>
      </c>
      <c r="L836" s="427"/>
      <c r="M836" s="429"/>
    </row>
    <row r="837" spans="1:13" x14ac:dyDescent="0.25">
      <c r="A837" s="427"/>
      <c r="B837" s="473">
        <v>42653</v>
      </c>
      <c r="C837" s="427">
        <v>6</v>
      </c>
      <c r="D837" s="428">
        <v>15.72</v>
      </c>
      <c r="E837" s="429">
        <v>0</v>
      </c>
      <c r="F837" s="429">
        <f t="shared" si="134"/>
        <v>94.320000000000007</v>
      </c>
      <c r="G837" s="426">
        <v>42704</v>
      </c>
      <c r="H837" s="443">
        <v>1000</v>
      </c>
      <c r="I837" s="428">
        <v>17.079999999999998</v>
      </c>
      <c r="J837" s="429">
        <v>0.37</v>
      </c>
      <c r="K837" s="429">
        <f t="shared" si="133"/>
        <v>17079.63</v>
      </c>
      <c r="L837" s="427"/>
      <c r="M837" s="429"/>
    </row>
    <row r="838" spans="1:13" x14ac:dyDescent="0.25">
      <c r="A838" s="427"/>
      <c r="B838" s="473">
        <v>42655</v>
      </c>
      <c r="C838" s="427">
        <v>22</v>
      </c>
      <c r="D838" s="428">
        <v>15.48</v>
      </c>
      <c r="E838" s="429">
        <v>0</v>
      </c>
      <c r="F838" s="429">
        <f>C838*D838+E838</f>
        <v>340.56</v>
      </c>
      <c r="G838" s="426">
        <v>42704</v>
      </c>
      <c r="H838" s="443">
        <v>1000</v>
      </c>
      <c r="I838" s="428">
        <v>17.32</v>
      </c>
      <c r="J838" s="429">
        <v>0.38</v>
      </c>
      <c r="K838" s="429">
        <f t="shared" si="133"/>
        <v>17319.62</v>
      </c>
      <c r="L838" s="427"/>
      <c r="M838" s="429"/>
    </row>
    <row r="839" spans="1:13" x14ac:dyDescent="0.25">
      <c r="A839" s="427"/>
      <c r="B839" s="473">
        <v>42655</v>
      </c>
      <c r="C839" s="427">
        <v>300</v>
      </c>
      <c r="D839" s="428">
        <v>15.48</v>
      </c>
      <c r="E839" s="429">
        <v>0</v>
      </c>
      <c r="F839" s="429">
        <f>C839*D839+E839</f>
        <v>4644</v>
      </c>
      <c r="G839" s="426">
        <v>42704</v>
      </c>
      <c r="H839" s="443">
        <v>500</v>
      </c>
      <c r="I839" s="428">
        <v>17.64</v>
      </c>
      <c r="J839" s="429">
        <v>0.19</v>
      </c>
      <c r="K839" s="429">
        <f t="shared" si="133"/>
        <v>8819.81</v>
      </c>
      <c r="L839" s="427"/>
      <c r="M839" s="429"/>
    </row>
    <row r="840" spans="1:13" x14ac:dyDescent="0.25">
      <c r="A840" s="526"/>
      <c r="B840" s="473">
        <v>42668</v>
      </c>
      <c r="C840" s="427">
        <v>500</v>
      </c>
      <c r="D840" s="428">
        <v>14.26</v>
      </c>
      <c r="E840" s="429">
        <v>-2.5</v>
      </c>
      <c r="F840" s="429">
        <f t="shared" ref="F840:F849" si="135">C840*D840+E840</f>
        <v>7127.5</v>
      </c>
      <c r="G840" s="426">
        <v>42705</v>
      </c>
      <c r="H840" s="443">
        <v>528</v>
      </c>
      <c r="I840" s="428">
        <v>18.7</v>
      </c>
      <c r="J840" s="429">
        <v>0.22</v>
      </c>
      <c r="K840" s="429">
        <f t="shared" si="133"/>
        <v>9873.380000000001</v>
      </c>
      <c r="L840" s="427"/>
      <c r="M840" s="429"/>
    </row>
    <row r="841" spans="1:13" x14ac:dyDescent="0.25">
      <c r="A841" s="526"/>
      <c r="B841" s="473">
        <v>42668</v>
      </c>
      <c r="C841" s="427">
        <v>500</v>
      </c>
      <c r="D841" s="428">
        <v>14.16</v>
      </c>
      <c r="E841" s="429">
        <v>0</v>
      </c>
      <c r="F841" s="429">
        <f t="shared" si="135"/>
        <v>7080</v>
      </c>
      <c r="G841" s="426">
        <v>42711</v>
      </c>
      <c r="H841" s="443">
        <v>500</v>
      </c>
      <c r="I841" s="428">
        <v>18.329999999999998</v>
      </c>
      <c r="J841" s="429">
        <v>0.2</v>
      </c>
      <c r="K841" s="429">
        <f t="shared" si="133"/>
        <v>9164.7999999999993</v>
      </c>
      <c r="L841" s="427"/>
      <c r="M841" s="429"/>
    </row>
    <row r="842" spans="1:13" x14ac:dyDescent="0.25">
      <c r="A842" s="526"/>
      <c r="B842" s="473">
        <v>42670</v>
      </c>
      <c r="C842" s="427">
        <v>500</v>
      </c>
      <c r="D842" s="428">
        <v>14.18</v>
      </c>
      <c r="E842" s="429">
        <v>0</v>
      </c>
      <c r="F842" s="429">
        <f t="shared" si="135"/>
        <v>7090</v>
      </c>
      <c r="G842" s="426">
        <v>42713</v>
      </c>
      <c r="H842" s="443">
        <v>500</v>
      </c>
      <c r="I842" s="428">
        <v>18.28</v>
      </c>
      <c r="J842" s="429">
        <v>0.2</v>
      </c>
      <c r="K842" s="429">
        <f t="shared" si="133"/>
        <v>9139.7999999999993</v>
      </c>
      <c r="L842" s="427"/>
      <c r="M842" s="429"/>
    </row>
    <row r="843" spans="1:13" x14ac:dyDescent="0.25">
      <c r="A843" s="526"/>
      <c r="B843" s="473">
        <v>42670</v>
      </c>
      <c r="C843" s="427">
        <v>500</v>
      </c>
      <c r="D843" s="428">
        <v>14.05</v>
      </c>
      <c r="E843" s="429">
        <v>0</v>
      </c>
      <c r="F843" s="429">
        <f t="shared" si="135"/>
        <v>7025</v>
      </c>
      <c r="G843" s="426">
        <v>42718</v>
      </c>
      <c r="H843" s="443">
        <v>200</v>
      </c>
      <c r="I843" s="428">
        <v>18.78</v>
      </c>
      <c r="J843" s="429">
        <v>0.08</v>
      </c>
      <c r="K843" s="429">
        <f t="shared" si="133"/>
        <v>3755.92</v>
      </c>
      <c r="L843" s="427"/>
      <c r="M843" s="429"/>
    </row>
    <row r="844" spans="1:13" x14ac:dyDescent="0.25">
      <c r="A844" s="526"/>
      <c r="B844" s="473">
        <v>42670</v>
      </c>
      <c r="C844" s="427">
        <v>500</v>
      </c>
      <c r="D844" s="428">
        <v>13.88</v>
      </c>
      <c r="E844" s="429">
        <v>0</v>
      </c>
      <c r="F844" s="429">
        <f t="shared" si="135"/>
        <v>6940</v>
      </c>
      <c r="G844" s="426">
        <v>42734</v>
      </c>
      <c r="H844" s="443">
        <v>1000</v>
      </c>
      <c r="I844" s="428">
        <v>17.72</v>
      </c>
      <c r="J844" s="429">
        <v>0.39</v>
      </c>
      <c r="K844" s="429">
        <f t="shared" si="133"/>
        <v>17719.61</v>
      </c>
      <c r="L844" s="427"/>
      <c r="M844" s="429"/>
    </row>
    <row r="845" spans="1:13" x14ac:dyDescent="0.25">
      <c r="A845" s="427"/>
      <c r="B845" s="473">
        <v>42671</v>
      </c>
      <c r="C845" s="427">
        <v>1000</v>
      </c>
      <c r="D845" s="428">
        <v>14.15</v>
      </c>
      <c r="E845" s="429">
        <v>0</v>
      </c>
      <c r="F845" s="429">
        <f t="shared" si="135"/>
        <v>14150</v>
      </c>
      <c r="G845" s="426">
        <v>42739</v>
      </c>
      <c r="H845" s="443">
        <v>500</v>
      </c>
      <c r="I845" s="428">
        <v>18.079999999999998</v>
      </c>
      <c r="J845" s="429">
        <v>0.2</v>
      </c>
      <c r="K845" s="429">
        <f t="shared" si="133"/>
        <v>9039.7999999999993</v>
      </c>
      <c r="L845" s="427"/>
      <c r="M845" s="429"/>
    </row>
    <row r="846" spans="1:13" x14ac:dyDescent="0.25">
      <c r="A846" s="427"/>
      <c r="B846" s="473">
        <v>42674</v>
      </c>
      <c r="C846" s="427">
        <v>300</v>
      </c>
      <c r="D846" s="428">
        <v>13.28</v>
      </c>
      <c r="E846" s="429">
        <v>-1.5</v>
      </c>
      <c r="F846" s="429">
        <f t="shared" si="135"/>
        <v>3982.5</v>
      </c>
      <c r="G846" s="426">
        <v>42748</v>
      </c>
      <c r="H846" s="443">
        <v>500</v>
      </c>
      <c r="I846" s="428">
        <v>17.48</v>
      </c>
      <c r="J846" s="429">
        <v>0.19</v>
      </c>
      <c r="K846" s="429">
        <f t="shared" si="133"/>
        <v>8739.81</v>
      </c>
      <c r="L846" s="427"/>
      <c r="M846" s="429"/>
    </row>
    <row r="847" spans="1:13" x14ac:dyDescent="0.25">
      <c r="A847" s="427"/>
      <c r="B847" s="473">
        <v>42674</v>
      </c>
      <c r="C847" s="427">
        <v>200</v>
      </c>
      <c r="D847" s="428">
        <v>13.15</v>
      </c>
      <c r="E847" s="429">
        <v>0.02</v>
      </c>
      <c r="F847" s="429">
        <f t="shared" si="135"/>
        <v>2630.02</v>
      </c>
      <c r="G847" s="426">
        <v>42761</v>
      </c>
      <c r="H847" s="443">
        <v>1000</v>
      </c>
      <c r="I847" s="428">
        <v>17.899999999999999</v>
      </c>
      <c r="J847" s="429">
        <v>0.39</v>
      </c>
      <c r="K847" s="429">
        <f t="shared" si="133"/>
        <v>17899.61</v>
      </c>
      <c r="L847" s="427"/>
      <c r="M847" s="429"/>
    </row>
    <row r="848" spans="1:13" x14ac:dyDescent="0.25">
      <c r="A848" s="427"/>
      <c r="B848" s="473">
        <v>42676</v>
      </c>
      <c r="C848" s="427">
        <v>200</v>
      </c>
      <c r="D848" s="428">
        <v>12.89</v>
      </c>
      <c r="E848" s="429">
        <v>0</v>
      </c>
      <c r="F848" s="429">
        <f t="shared" si="135"/>
        <v>2578</v>
      </c>
      <c r="G848" s="426">
        <v>42766</v>
      </c>
      <c r="H848" s="443">
        <v>300</v>
      </c>
      <c r="I848" s="428">
        <v>16.649999999999999</v>
      </c>
      <c r="J848" s="429">
        <v>0.11</v>
      </c>
      <c r="K848" s="429">
        <f t="shared" si="133"/>
        <v>4994.8900000000003</v>
      </c>
      <c r="L848" s="427"/>
      <c r="M848" s="429"/>
    </row>
    <row r="849" spans="1:13" x14ac:dyDescent="0.25">
      <c r="A849" s="427"/>
      <c r="B849" s="473">
        <v>42678</v>
      </c>
      <c r="C849" s="427">
        <v>500</v>
      </c>
      <c r="D849" s="428">
        <v>13.69</v>
      </c>
      <c r="E849" s="429">
        <v>0</v>
      </c>
      <c r="F849" s="429">
        <f t="shared" si="135"/>
        <v>6845</v>
      </c>
      <c r="G849" s="426">
        <v>42767</v>
      </c>
      <c r="H849" s="443">
        <v>612</v>
      </c>
      <c r="I849" s="428">
        <v>17.03</v>
      </c>
      <c r="J849" s="429">
        <v>0.23</v>
      </c>
      <c r="K849" s="429">
        <f t="shared" si="133"/>
        <v>10422.130000000001</v>
      </c>
      <c r="L849" s="427"/>
      <c r="M849" s="429"/>
    </row>
    <row r="850" spans="1:13" x14ac:dyDescent="0.25">
      <c r="A850" s="427"/>
      <c r="B850" s="473">
        <v>42678</v>
      </c>
      <c r="C850" s="427">
        <v>500</v>
      </c>
      <c r="D850" s="428">
        <v>13.69</v>
      </c>
      <c r="E850" s="429">
        <v>0</v>
      </c>
      <c r="F850" s="429">
        <f>C850*D850+E850</f>
        <v>6845</v>
      </c>
      <c r="G850" s="426">
        <v>42767</v>
      </c>
      <c r="H850" s="443">
        <v>288</v>
      </c>
      <c r="I850" s="428">
        <v>17.12</v>
      </c>
      <c r="J850" s="429">
        <v>0.11</v>
      </c>
      <c r="K850" s="429">
        <f t="shared" si="133"/>
        <v>4930.4500000000007</v>
      </c>
      <c r="L850" s="427"/>
      <c r="M850" s="429"/>
    </row>
    <row r="851" spans="1:13" x14ac:dyDescent="0.25">
      <c r="A851" s="427"/>
      <c r="B851" s="473">
        <v>42691</v>
      </c>
      <c r="C851" s="427">
        <v>150</v>
      </c>
      <c r="D851" s="428">
        <v>15.48</v>
      </c>
      <c r="E851" s="429">
        <v>0</v>
      </c>
      <c r="F851" s="429">
        <f t="shared" ref="F851:F867" si="136">C851*D851+E851</f>
        <v>2322</v>
      </c>
      <c r="G851" s="426">
        <v>42767</v>
      </c>
      <c r="H851" s="443">
        <v>700</v>
      </c>
      <c r="I851" s="428">
        <v>16.57</v>
      </c>
      <c r="J851" s="429">
        <v>0.25</v>
      </c>
      <c r="K851" s="429">
        <f t="shared" si="133"/>
        <v>11598.75</v>
      </c>
      <c r="L851" s="427"/>
      <c r="M851" s="429"/>
    </row>
    <row r="852" spans="1:13" x14ac:dyDescent="0.25">
      <c r="A852" s="427"/>
      <c r="B852" s="473">
        <v>42691</v>
      </c>
      <c r="C852" s="427">
        <v>300</v>
      </c>
      <c r="D852" s="428">
        <v>15.48</v>
      </c>
      <c r="E852" s="429">
        <v>0</v>
      </c>
      <c r="F852" s="429">
        <f t="shared" si="136"/>
        <v>4644</v>
      </c>
      <c r="G852" s="426">
        <v>42768</v>
      </c>
      <c r="H852" s="443">
        <v>200</v>
      </c>
      <c r="I852" s="428">
        <v>16.7</v>
      </c>
      <c r="J852" s="429">
        <v>7.0000000000000007E-2</v>
      </c>
      <c r="K852" s="429">
        <f t="shared" si="133"/>
        <v>3339.93</v>
      </c>
      <c r="L852" s="427"/>
      <c r="M852" s="429"/>
    </row>
    <row r="853" spans="1:13" x14ac:dyDescent="0.25">
      <c r="A853" s="427"/>
      <c r="B853" s="473">
        <v>42696</v>
      </c>
      <c r="C853" s="427">
        <v>1000</v>
      </c>
      <c r="D853" s="428">
        <v>16.12</v>
      </c>
      <c r="E853" s="429">
        <v>0</v>
      </c>
      <c r="F853" s="429">
        <f t="shared" si="136"/>
        <v>16120.000000000002</v>
      </c>
      <c r="G853" s="426">
        <v>42768</v>
      </c>
      <c r="H853" s="443">
        <v>500</v>
      </c>
      <c r="I853" s="428">
        <v>16.600000000000001</v>
      </c>
      <c r="J853" s="429">
        <v>-1.82</v>
      </c>
      <c r="K853" s="429">
        <f t="shared" si="133"/>
        <v>8301.82</v>
      </c>
      <c r="L853" s="427"/>
      <c r="M853" s="429"/>
    </row>
    <row r="854" spans="1:13" x14ac:dyDescent="0.25">
      <c r="A854" s="427"/>
      <c r="B854" s="473">
        <v>42699</v>
      </c>
      <c r="C854" s="427">
        <v>200</v>
      </c>
      <c r="D854" s="428">
        <v>16.28</v>
      </c>
      <c r="E854" s="429">
        <v>0</v>
      </c>
      <c r="F854" s="429">
        <f t="shared" si="136"/>
        <v>3256</v>
      </c>
      <c r="G854" s="426">
        <v>42768</v>
      </c>
      <c r="H854" s="443">
        <v>500</v>
      </c>
      <c r="I854" s="428">
        <v>16.75</v>
      </c>
      <c r="J854" s="429">
        <v>0.18</v>
      </c>
      <c r="K854" s="429">
        <f t="shared" si="133"/>
        <v>8374.82</v>
      </c>
      <c r="L854" s="427"/>
      <c r="M854" s="429"/>
    </row>
    <row r="855" spans="1:13" x14ac:dyDescent="0.25">
      <c r="A855" s="526"/>
      <c r="B855" s="473">
        <v>42699</v>
      </c>
      <c r="C855" s="427">
        <v>500</v>
      </c>
      <c r="D855" s="428">
        <v>16.16</v>
      </c>
      <c r="E855" s="429">
        <v>0</v>
      </c>
      <c r="F855" s="429">
        <f t="shared" si="136"/>
        <v>8080</v>
      </c>
      <c r="G855" s="426">
        <v>42769</v>
      </c>
      <c r="H855" s="527">
        <v>400</v>
      </c>
      <c r="I855" s="528">
        <v>16.95</v>
      </c>
      <c r="J855" s="529">
        <v>0.15</v>
      </c>
      <c r="K855" s="529">
        <f t="shared" si="133"/>
        <v>6779.85</v>
      </c>
      <c r="L855" s="427"/>
      <c r="M855" s="429"/>
    </row>
    <row r="856" spans="1:13" x14ac:dyDescent="0.25">
      <c r="A856" s="526"/>
      <c r="B856" s="473">
        <v>42702</v>
      </c>
      <c r="C856" s="427">
        <v>500</v>
      </c>
      <c r="D856" s="428">
        <v>16.059999999999999</v>
      </c>
      <c r="E856" s="429">
        <v>0</v>
      </c>
      <c r="F856" s="429">
        <f t="shared" si="136"/>
        <v>8029.9999999999991</v>
      </c>
      <c r="G856" s="426">
        <v>42769</v>
      </c>
      <c r="H856" s="527">
        <v>300</v>
      </c>
      <c r="I856" s="528">
        <v>17.32</v>
      </c>
      <c r="J856" s="529">
        <v>0.11</v>
      </c>
      <c r="K856" s="529">
        <f t="shared" si="133"/>
        <v>5195.8900000000003</v>
      </c>
      <c r="L856" s="427"/>
      <c r="M856" s="429"/>
    </row>
    <row r="857" spans="1:13" x14ac:dyDescent="0.25">
      <c r="A857" s="526"/>
      <c r="B857" s="473">
        <v>42702</v>
      </c>
      <c r="C857" s="427">
        <v>200</v>
      </c>
      <c r="D857" s="428">
        <v>15.8</v>
      </c>
      <c r="E857" s="429">
        <v>0</v>
      </c>
      <c r="F857" s="429">
        <f t="shared" si="136"/>
        <v>3160</v>
      </c>
      <c r="G857" s="426">
        <v>42781</v>
      </c>
      <c r="H857" s="443">
        <v>600</v>
      </c>
      <c r="I857" s="428">
        <v>16.52</v>
      </c>
      <c r="J857" s="429">
        <v>0.22</v>
      </c>
      <c r="K857" s="429">
        <f t="shared" si="133"/>
        <v>9911.7800000000007</v>
      </c>
      <c r="L857" s="427"/>
      <c r="M857" s="429"/>
    </row>
    <row r="858" spans="1:13" x14ac:dyDescent="0.25">
      <c r="A858" s="526"/>
      <c r="B858" s="473">
        <v>42702</v>
      </c>
      <c r="C858" s="427">
        <v>300</v>
      </c>
      <c r="D858" s="428">
        <v>15.65</v>
      </c>
      <c r="E858" s="429">
        <v>0</v>
      </c>
      <c r="F858" s="429">
        <f t="shared" si="136"/>
        <v>4695</v>
      </c>
      <c r="G858" s="426">
        <v>42781</v>
      </c>
      <c r="H858" s="443">
        <v>300</v>
      </c>
      <c r="I858" s="428">
        <v>16.440000000000001</v>
      </c>
      <c r="J858" s="429">
        <v>0.11</v>
      </c>
      <c r="K858" s="429">
        <f t="shared" si="133"/>
        <v>4931.8900000000003</v>
      </c>
      <c r="L858" s="427"/>
      <c r="M858" s="429"/>
    </row>
    <row r="859" spans="1:13" x14ac:dyDescent="0.25">
      <c r="A859" s="427"/>
      <c r="B859" s="473">
        <v>42703</v>
      </c>
      <c r="C859" s="427">
        <v>300</v>
      </c>
      <c r="D859" s="428">
        <v>14.78</v>
      </c>
      <c r="E859" s="429">
        <v>0</v>
      </c>
      <c r="F859" s="429">
        <f t="shared" si="136"/>
        <v>4434</v>
      </c>
      <c r="G859" s="426">
        <v>42782</v>
      </c>
      <c r="H859" s="443">
        <v>300</v>
      </c>
      <c r="I859" s="428">
        <v>17</v>
      </c>
      <c r="J859" s="429">
        <v>0.11</v>
      </c>
      <c r="K859" s="429">
        <f t="shared" si="133"/>
        <v>5099.8900000000003</v>
      </c>
      <c r="L859" s="427"/>
      <c r="M859" s="429"/>
    </row>
    <row r="860" spans="1:13" x14ac:dyDescent="0.25">
      <c r="A860" s="427"/>
      <c r="B860" s="473">
        <v>42705</v>
      </c>
      <c r="C860" s="427">
        <v>350</v>
      </c>
      <c r="D860" s="428">
        <v>17.600000000000001</v>
      </c>
      <c r="E860" s="429">
        <v>0</v>
      </c>
      <c r="F860" s="429">
        <f t="shared" si="136"/>
        <v>6160.0000000000009</v>
      </c>
      <c r="G860" s="427"/>
      <c r="H860" s="443"/>
      <c r="I860" s="428"/>
      <c r="J860" s="429"/>
      <c r="K860" s="429"/>
      <c r="L860" s="427"/>
      <c r="M860" s="429"/>
    </row>
    <row r="861" spans="1:13" x14ac:dyDescent="0.25">
      <c r="A861" s="427"/>
      <c r="B861" s="473">
        <v>42711</v>
      </c>
      <c r="C861" s="427">
        <v>500</v>
      </c>
      <c r="D861" s="428">
        <v>18.12</v>
      </c>
      <c r="E861" s="429">
        <v>0</v>
      </c>
      <c r="F861" s="429">
        <f t="shared" si="136"/>
        <v>9060</v>
      </c>
      <c r="G861" s="427"/>
      <c r="H861" s="443"/>
      <c r="I861" s="428"/>
      <c r="J861" s="429"/>
      <c r="K861" s="429"/>
      <c r="L861" s="427"/>
      <c r="M861" s="429"/>
    </row>
    <row r="862" spans="1:13" x14ac:dyDescent="0.25">
      <c r="A862" s="427"/>
      <c r="B862" s="473">
        <v>42713</v>
      </c>
      <c r="C862" s="427">
        <v>500</v>
      </c>
      <c r="D862" s="428">
        <v>18.12</v>
      </c>
      <c r="E862" s="429">
        <v>0</v>
      </c>
      <c r="F862" s="429">
        <f t="shared" si="136"/>
        <v>9060</v>
      </c>
      <c r="G862" s="427"/>
      <c r="H862" s="443"/>
      <c r="I862" s="428"/>
      <c r="J862" s="429"/>
      <c r="K862" s="429"/>
      <c r="L862" s="427"/>
      <c r="M862" s="429"/>
    </row>
    <row r="863" spans="1:13" x14ac:dyDescent="0.25">
      <c r="A863" s="427"/>
      <c r="B863" s="473">
        <v>42718</v>
      </c>
      <c r="C863" s="427">
        <v>200</v>
      </c>
      <c r="D863" s="428">
        <v>18.73</v>
      </c>
      <c r="E863" s="429">
        <v>-1</v>
      </c>
      <c r="F863" s="429">
        <f t="shared" si="136"/>
        <v>3745</v>
      </c>
      <c r="G863" s="427"/>
      <c r="H863" s="443"/>
      <c r="I863" s="428"/>
      <c r="J863" s="429"/>
      <c r="K863" s="429"/>
      <c r="L863" s="427"/>
      <c r="M863" s="429"/>
    </row>
    <row r="864" spans="1:13" x14ac:dyDescent="0.25">
      <c r="A864" s="427"/>
      <c r="B864" s="473">
        <v>42733</v>
      </c>
      <c r="C864" s="427">
        <v>1000</v>
      </c>
      <c r="D864" s="428">
        <v>17.64</v>
      </c>
      <c r="E864" s="429">
        <v>-1.5</v>
      </c>
      <c r="F864" s="429">
        <f t="shared" si="136"/>
        <v>17638.5</v>
      </c>
      <c r="G864" s="427"/>
      <c r="H864" s="443"/>
      <c r="I864" s="428"/>
      <c r="J864" s="429"/>
      <c r="K864" s="429"/>
      <c r="L864" s="427"/>
      <c r="M864" s="429"/>
    </row>
    <row r="865" spans="1:13" x14ac:dyDescent="0.25">
      <c r="A865" s="427"/>
      <c r="B865" s="473">
        <v>42734</v>
      </c>
      <c r="C865" s="427">
        <v>1000</v>
      </c>
      <c r="D865" s="428">
        <v>17.329999999999998</v>
      </c>
      <c r="E865" s="429">
        <v>0</v>
      </c>
      <c r="F865" s="429">
        <f t="shared" si="136"/>
        <v>17330</v>
      </c>
      <c r="G865" s="427"/>
      <c r="H865" s="443"/>
      <c r="I865" s="428"/>
      <c r="J865" s="429"/>
      <c r="K865" s="429"/>
      <c r="L865" s="427"/>
      <c r="M865" s="429"/>
    </row>
    <row r="866" spans="1:13" x14ac:dyDescent="0.25">
      <c r="A866" s="427"/>
      <c r="B866" s="473">
        <v>42741</v>
      </c>
      <c r="C866" s="427">
        <v>500</v>
      </c>
      <c r="D866" s="428">
        <v>17.88</v>
      </c>
      <c r="E866" s="429">
        <v>0</v>
      </c>
      <c r="F866" s="429">
        <f t="shared" si="136"/>
        <v>8940</v>
      </c>
      <c r="G866" s="427"/>
      <c r="H866" s="443"/>
      <c r="I866" s="428"/>
      <c r="J866" s="429"/>
      <c r="K866" s="429"/>
      <c r="L866" s="427"/>
      <c r="M866" s="429"/>
    </row>
    <row r="867" spans="1:13" x14ac:dyDescent="0.25">
      <c r="A867" s="427"/>
      <c r="B867" s="473">
        <v>42748</v>
      </c>
      <c r="C867" s="427">
        <v>500</v>
      </c>
      <c r="D867" s="428">
        <v>17.260000000000002</v>
      </c>
      <c r="E867" s="429">
        <v>0</v>
      </c>
      <c r="F867" s="429">
        <f t="shared" si="136"/>
        <v>8630</v>
      </c>
      <c r="G867" s="427"/>
      <c r="H867" s="443"/>
      <c r="I867" s="428"/>
      <c r="J867" s="429"/>
      <c r="K867" s="429"/>
      <c r="L867" s="427"/>
      <c r="M867" s="429"/>
    </row>
    <row r="868" spans="1:13" x14ac:dyDescent="0.25">
      <c r="A868" s="427"/>
      <c r="B868" s="473"/>
      <c r="C868" s="427"/>
      <c r="D868" s="428"/>
      <c r="E868" s="429"/>
      <c r="F868" s="429"/>
      <c r="G868" s="427"/>
      <c r="H868" s="443"/>
      <c r="I868" s="428"/>
      <c r="J868" s="429"/>
      <c r="K868" s="429"/>
      <c r="L868" s="427"/>
      <c r="M868" s="429"/>
    </row>
    <row r="869" spans="1:13" x14ac:dyDescent="0.25">
      <c r="A869" s="427"/>
      <c r="B869" s="473"/>
      <c r="C869" s="427"/>
      <c r="D869" s="428"/>
      <c r="E869" s="429"/>
      <c r="F869" s="429"/>
      <c r="G869" s="427"/>
      <c r="H869" s="443"/>
      <c r="I869" s="428"/>
      <c r="J869" s="429"/>
      <c r="K869" s="429"/>
      <c r="L869" s="427"/>
      <c r="M869" s="429"/>
    </row>
    <row r="870" spans="1:13" x14ac:dyDescent="0.25">
      <c r="A870" s="525"/>
      <c r="B870" s="473"/>
      <c r="C870" s="427"/>
      <c r="D870" s="428"/>
      <c r="E870" s="429"/>
      <c r="F870" s="429"/>
      <c r="G870" s="427"/>
      <c r="H870" s="443"/>
      <c r="I870" s="428"/>
      <c r="J870" s="429"/>
      <c r="K870" s="429"/>
      <c r="L870" s="427"/>
      <c r="M870" s="429"/>
    </row>
    <row r="871" spans="1:13" x14ac:dyDescent="0.25">
      <c r="A871" s="525"/>
      <c r="B871" s="473"/>
      <c r="C871" s="427"/>
      <c r="D871" s="428"/>
      <c r="E871" s="429"/>
      <c r="F871" s="429"/>
      <c r="G871" s="427"/>
      <c r="H871" s="443"/>
      <c r="I871" s="428"/>
      <c r="J871" s="429"/>
      <c r="K871" s="429"/>
      <c r="L871" s="427"/>
      <c r="M871" s="429"/>
    </row>
    <row r="872" spans="1:13" x14ac:dyDescent="0.25">
      <c r="A872" s="525"/>
      <c r="B872" s="473"/>
      <c r="C872" s="427"/>
      <c r="D872" s="428"/>
      <c r="E872" s="429"/>
      <c r="F872" s="429"/>
      <c r="G872" s="427"/>
      <c r="H872" s="443"/>
      <c r="I872" s="428"/>
      <c r="J872" s="429"/>
      <c r="K872" s="429"/>
      <c r="L872" s="427"/>
      <c r="M872" s="429"/>
    </row>
    <row r="873" spans="1:13" x14ac:dyDescent="0.25">
      <c r="A873" s="525"/>
      <c r="B873" s="473"/>
      <c r="C873" s="427"/>
      <c r="D873" s="428"/>
      <c r="E873" s="429"/>
      <c r="F873" s="429"/>
      <c r="G873" s="427"/>
      <c r="H873" s="443"/>
      <c r="I873" s="428"/>
      <c r="J873" s="429"/>
      <c r="K873" s="429"/>
      <c r="L873" s="427"/>
      <c r="M873" s="429"/>
    </row>
    <row r="874" spans="1:13" x14ac:dyDescent="0.25">
      <c r="A874" s="427"/>
      <c r="B874" s="473"/>
      <c r="C874" s="427"/>
      <c r="D874" s="428"/>
      <c r="E874" s="429"/>
      <c r="F874" s="429"/>
      <c r="G874" s="427"/>
      <c r="H874" s="443"/>
      <c r="I874" s="428"/>
      <c r="J874" s="429"/>
      <c r="K874" s="429"/>
      <c r="L874" s="427"/>
      <c r="M874" s="429"/>
    </row>
    <row r="875" spans="1:13" x14ac:dyDescent="0.25">
      <c r="A875" s="427"/>
      <c r="B875" s="473"/>
      <c r="C875" s="427"/>
      <c r="D875" s="428"/>
      <c r="E875" s="429"/>
      <c r="F875" s="429"/>
      <c r="G875" s="427"/>
      <c r="H875" s="443"/>
      <c r="I875" s="428"/>
      <c r="J875" s="429"/>
      <c r="K875" s="429"/>
      <c r="L875" s="427"/>
      <c r="M875" s="429"/>
    </row>
    <row r="876" spans="1:13" x14ac:dyDescent="0.25">
      <c r="A876" s="427"/>
      <c r="B876" s="473"/>
      <c r="C876" s="427"/>
      <c r="D876" s="428"/>
      <c r="E876" s="429"/>
      <c r="F876" s="429"/>
      <c r="G876" s="427"/>
      <c r="H876" s="443"/>
      <c r="I876" s="428"/>
      <c r="J876" s="429"/>
      <c r="K876" s="429"/>
      <c r="L876" s="427"/>
      <c r="M876" s="429"/>
    </row>
    <row r="877" spans="1:13" x14ac:dyDescent="0.25">
      <c r="A877" s="427"/>
      <c r="B877" s="473"/>
      <c r="C877" s="427"/>
      <c r="D877" s="428"/>
      <c r="E877" s="429"/>
      <c r="F877" s="429"/>
      <c r="G877" s="427"/>
      <c r="H877" s="443"/>
      <c r="I877" s="428"/>
      <c r="J877" s="429"/>
      <c r="K877" s="429"/>
      <c r="L877" s="427"/>
      <c r="M877" s="429"/>
    </row>
    <row r="878" spans="1:13" x14ac:dyDescent="0.25">
      <c r="A878" s="427"/>
      <c r="B878" s="473"/>
      <c r="C878" s="427"/>
      <c r="D878" s="428"/>
      <c r="E878" s="429"/>
      <c r="F878" s="429"/>
      <c r="G878" s="427"/>
      <c r="H878" s="443"/>
      <c r="I878" s="428"/>
      <c r="J878" s="429"/>
      <c r="K878" s="429"/>
      <c r="L878" s="427"/>
      <c r="M878" s="429"/>
    </row>
    <row r="879" spans="1:13" x14ac:dyDescent="0.25">
      <c r="A879" s="427"/>
      <c r="B879" s="473"/>
      <c r="C879" s="427"/>
      <c r="D879" s="428"/>
      <c r="E879" s="429"/>
      <c r="F879" s="429"/>
      <c r="G879" s="427"/>
      <c r="H879" s="443"/>
      <c r="I879" s="428"/>
      <c r="J879" s="429"/>
      <c r="K879" s="429"/>
      <c r="L879" s="427"/>
      <c r="M879" s="429"/>
    </row>
    <row r="880" spans="1:13" x14ac:dyDescent="0.25">
      <c r="A880" s="427"/>
      <c r="B880" s="473"/>
      <c r="C880" s="427"/>
      <c r="D880" s="428"/>
      <c r="E880" s="429"/>
      <c r="F880" s="429"/>
      <c r="G880" s="427"/>
      <c r="H880" s="443"/>
      <c r="I880" s="428"/>
      <c r="J880" s="429"/>
      <c r="K880" s="429"/>
      <c r="L880" s="427"/>
      <c r="M880" s="429"/>
    </row>
    <row r="881" spans="1:13" x14ac:dyDescent="0.25">
      <c r="A881" s="427"/>
      <c r="B881" s="473"/>
      <c r="C881" s="427"/>
      <c r="D881" s="428"/>
      <c r="E881" s="429"/>
      <c r="F881" s="429"/>
      <c r="G881" s="427"/>
      <c r="H881" s="443"/>
      <c r="I881" s="428"/>
      <c r="J881" s="429"/>
      <c r="K881" s="429"/>
      <c r="L881" s="427"/>
      <c r="M881" s="429"/>
    </row>
    <row r="882" spans="1:13" x14ac:dyDescent="0.25">
      <c r="A882" s="427"/>
      <c r="B882" s="473"/>
      <c r="C882" s="427"/>
      <c r="D882" s="428"/>
      <c r="E882" s="429"/>
      <c r="F882" s="429"/>
      <c r="G882" s="427"/>
      <c r="H882" s="443"/>
      <c r="I882" s="428"/>
      <c r="J882" s="429"/>
      <c r="K882" s="429"/>
      <c r="L882" s="427"/>
      <c r="M882" s="429"/>
    </row>
    <row r="883" spans="1:13" x14ac:dyDescent="0.25">
      <c r="A883" s="427"/>
      <c r="B883" s="473"/>
      <c r="C883" s="427"/>
      <c r="D883" s="428"/>
      <c r="E883" s="429"/>
      <c r="F883" s="429"/>
      <c r="G883" s="427"/>
      <c r="H883" s="443"/>
      <c r="I883" s="428"/>
      <c r="J883" s="429"/>
      <c r="K883" s="429"/>
      <c r="L883" s="427"/>
      <c r="M883" s="429"/>
    </row>
    <row r="884" spans="1:13" x14ac:dyDescent="0.25">
      <c r="A884" s="427"/>
      <c r="B884" s="473"/>
      <c r="C884" s="427"/>
      <c r="D884" s="428"/>
      <c r="E884" s="429"/>
      <c r="F884" s="429"/>
      <c r="G884" s="427"/>
      <c r="H884" s="443"/>
      <c r="I884" s="428"/>
      <c r="J884" s="429"/>
      <c r="K884" s="429"/>
      <c r="L884" s="427"/>
      <c r="M884" s="429"/>
    </row>
    <row r="885" spans="1:13" x14ac:dyDescent="0.25">
      <c r="A885" s="427"/>
      <c r="B885" s="473"/>
      <c r="C885" s="427"/>
      <c r="D885" s="428"/>
      <c r="E885" s="429"/>
      <c r="F885" s="429"/>
      <c r="G885" s="427"/>
      <c r="H885" s="443"/>
      <c r="I885" s="428"/>
      <c r="J885" s="429"/>
      <c r="K885" s="429"/>
      <c r="L885" s="427"/>
      <c r="M885" s="429"/>
    </row>
    <row r="886" spans="1:13" x14ac:dyDescent="0.25">
      <c r="A886" s="427"/>
      <c r="B886" s="473"/>
      <c r="C886" s="427"/>
      <c r="D886" s="428"/>
      <c r="E886" s="429"/>
      <c r="F886" s="429"/>
      <c r="G886" s="427"/>
      <c r="H886" s="443"/>
      <c r="I886" s="428"/>
      <c r="J886" s="429"/>
      <c r="K886" s="429"/>
      <c r="L886" s="427"/>
      <c r="M886" s="429"/>
    </row>
    <row r="887" spans="1:13" x14ac:dyDescent="0.25">
      <c r="A887" s="427"/>
      <c r="B887" s="473"/>
      <c r="C887" s="427"/>
      <c r="D887" s="428"/>
      <c r="E887" s="429"/>
      <c r="F887" s="429"/>
      <c r="G887" s="427"/>
      <c r="H887" s="443"/>
      <c r="I887" s="428"/>
      <c r="J887" s="429"/>
      <c r="K887" s="429"/>
      <c r="L887" s="427"/>
      <c r="M887" s="429"/>
    </row>
    <row r="888" spans="1:13" x14ac:dyDescent="0.25">
      <c r="A888" s="427"/>
      <c r="B888" s="473"/>
      <c r="C888" s="427"/>
      <c r="D888" s="428"/>
      <c r="E888" s="429"/>
      <c r="F888" s="429"/>
      <c r="G888" s="427"/>
      <c r="H888" s="443"/>
      <c r="I888" s="428"/>
      <c r="J888" s="429"/>
      <c r="K888" s="429"/>
      <c r="L888" s="427"/>
      <c r="M888" s="429"/>
    </row>
    <row r="889" spans="1:13" x14ac:dyDescent="0.25">
      <c r="A889" s="427"/>
      <c r="B889" s="473"/>
      <c r="C889" s="427"/>
      <c r="D889" s="428"/>
      <c r="E889" s="429"/>
      <c r="F889" s="429"/>
      <c r="G889" s="427"/>
      <c r="H889" s="443"/>
      <c r="I889" s="428"/>
      <c r="J889" s="429"/>
      <c r="K889" s="429"/>
      <c r="L889" s="427"/>
      <c r="M889" s="429"/>
    </row>
    <row r="890" spans="1:13" x14ac:dyDescent="0.25">
      <c r="A890" s="427"/>
      <c r="B890" s="473"/>
      <c r="C890" s="427"/>
      <c r="D890" s="428"/>
      <c r="E890" s="429"/>
      <c r="F890" s="429"/>
      <c r="G890" s="427"/>
      <c r="H890" s="443"/>
      <c r="I890" s="428"/>
      <c r="J890" s="429"/>
      <c r="K890" s="429"/>
      <c r="L890" s="427"/>
      <c r="M890" s="429"/>
    </row>
    <row r="891" spans="1:13" x14ac:dyDescent="0.25">
      <c r="A891" s="445" t="s">
        <v>81</v>
      </c>
      <c r="B891" s="530"/>
      <c r="C891" s="468">
        <f>SUM(C630:C890)</f>
        <v>133812</v>
      </c>
      <c r="D891" s="447"/>
      <c r="E891" s="447"/>
      <c r="F891" s="447">
        <f>SUM(F630:F890)</f>
        <v>1899450.8389999999</v>
      </c>
      <c r="G891" s="446"/>
      <c r="H891" s="468">
        <f>SUM(H630:H890)</f>
        <v>133812</v>
      </c>
      <c r="I891" s="531"/>
      <c r="J891" s="447"/>
      <c r="K891" s="447">
        <f>SUM(K630:K890)</f>
        <v>1911314.2100000016</v>
      </c>
      <c r="L891" s="446"/>
      <c r="M891" s="447">
        <f>SUM(M630:M640)</f>
        <v>2752.2000000000003</v>
      </c>
    </row>
    <row r="892" spans="1:13" ht="15.75" thickBot="1" x14ac:dyDescent="0.3">
      <c r="A892" s="448" t="s">
        <v>191</v>
      </c>
      <c r="B892" s="532"/>
      <c r="C892" s="450">
        <f>SumByColor($A$128, C630:C890)</f>
        <v>0</v>
      </c>
      <c r="D892" s="450"/>
      <c r="E892" s="450"/>
      <c r="F892" s="451">
        <f>SumByColor($A$128, F630:F890)</f>
        <v>0</v>
      </c>
      <c r="G892" s="450"/>
      <c r="H892" s="450">
        <f>SumByColor($A$128, H630:H890)</f>
        <v>0</v>
      </c>
      <c r="I892" s="450"/>
      <c r="J892" s="451"/>
      <c r="K892" s="451">
        <f>SumByColor($A$128, K630:K890)</f>
        <v>0</v>
      </c>
      <c r="L892" s="450"/>
      <c r="M892" s="451">
        <f>SumByColor($A$128, M630:M890)</f>
        <v>0</v>
      </c>
    </row>
    <row r="893" spans="1:13" x14ac:dyDescent="0.25">
      <c r="A893" s="427"/>
      <c r="B893" s="473"/>
      <c r="C893" s="427"/>
      <c r="D893" s="428"/>
      <c r="E893" s="429"/>
      <c r="F893" s="429"/>
      <c r="G893" s="427"/>
      <c r="H893" s="443"/>
      <c r="I893" s="428"/>
      <c r="J893" s="429"/>
      <c r="K893" s="429"/>
      <c r="L893" s="427"/>
      <c r="M893" s="429"/>
    </row>
  </sheetData>
  <mergeCells count="5">
    <mergeCell ref="O23:P23"/>
    <mergeCell ref="A80:A82"/>
    <mergeCell ref="A87:A90"/>
    <mergeCell ref="A96:A99"/>
    <mergeCell ref="A100:A104"/>
  </mergeCells>
  <conditionalFormatting sqref="F376:F394 H376:H394 H529 F529 H600:H624 F600:F624 F150:F239 H150:H239 H292:H296 F292:F296 K132:K302 F306:F309 H306:H309 K307:K309 H319:H321 F319:F321 K319:K321 K365:K366 F365:F366 H365:H366">
    <cfRule type="expression" dxfId="2738" priority="233">
      <formula>F132&gt;0</formula>
    </cfRule>
    <cfRule type="expression" dxfId="2737" priority="234">
      <formula>F132&lt;0</formula>
    </cfRule>
  </conditionalFormatting>
  <conditionalFormatting sqref="O24:O61">
    <cfRule type="colorScale" priority="231">
      <colorScale>
        <cfvo type="min"/>
        <cfvo type="percentile" val="50"/>
        <cfvo type="max"/>
        <color rgb="FFF8696B"/>
        <color rgb="FFFFEB84"/>
        <color rgb="FF63BE7B"/>
      </colorScale>
    </cfRule>
  </conditionalFormatting>
  <conditionalFormatting sqref="P24:P61">
    <cfRule type="colorScale" priority="230">
      <colorScale>
        <cfvo type="min"/>
        <cfvo type="percentile" val="50"/>
        <cfvo type="max"/>
        <color rgb="FFF8696B"/>
        <color rgb="FFFFEB84"/>
        <color rgb="FF63BE7B"/>
      </colorScale>
    </cfRule>
  </conditionalFormatting>
  <conditionalFormatting sqref="Z89:Z1048576">
    <cfRule type="dataBar" priority="229">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28">
      <iconSet iconSet="3Arrows">
        <cfvo type="percent" val="0"/>
        <cfvo type="num" val="0"/>
        <cfvo type="num" val="0"/>
      </iconSet>
    </cfRule>
  </conditionalFormatting>
  <conditionalFormatting sqref="F369:F375">
    <cfRule type="expression" dxfId="2736" priority="226">
      <formula>F369&gt;0</formula>
    </cfRule>
    <cfRule type="expression" dxfId="2735" priority="227">
      <formula>F369&lt;0</formula>
    </cfRule>
  </conditionalFormatting>
  <conditionalFormatting sqref="H369:H375">
    <cfRule type="expression" dxfId="2734" priority="222">
      <formula>H369&gt;0</formula>
    </cfRule>
    <cfRule type="expression" dxfId="2733" priority="223">
      <formula>H369&lt;0</formula>
    </cfRule>
  </conditionalFormatting>
  <conditionalFormatting sqref="Q8">
    <cfRule type="expression" dxfId="2732" priority="208">
      <formula>Q8&gt;0</formula>
    </cfRule>
    <cfRule type="expression" dxfId="2731" priority="209">
      <formula>Q8&lt;0</formula>
    </cfRule>
  </conditionalFormatting>
  <conditionalFormatting sqref="Q7">
    <cfRule type="expression" dxfId="2730" priority="210">
      <formula>Q7&gt;0</formula>
    </cfRule>
    <cfRule type="expression" dxfId="2729" priority="211">
      <formula>Q7&lt;0</formula>
    </cfRule>
  </conditionalFormatting>
  <conditionalFormatting sqref="F477:F483">
    <cfRule type="expression" dxfId="2728" priority="182">
      <formula>F477&gt;0</formula>
    </cfRule>
    <cfRule type="expression" dxfId="2727" priority="183">
      <formula>F477&lt;0</formula>
    </cfRule>
  </conditionalFormatting>
  <conditionalFormatting sqref="F402:F420 H402:H420">
    <cfRule type="expression" dxfId="2726" priority="204">
      <formula>F402&gt;0</formula>
    </cfRule>
    <cfRule type="expression" dxfId="2725" priority="205">
      <formula>F402&lt;0</formula>
    </cfRule>
  </conditionalFormatting>
  <conditionalFormatting sqref="F395:F401">
    <cfRule type="expression" dxfId="2724" priority="202">
      <formula>F395&gt;0</formula>
    </cfRule>
    <cfRule type="expression" dxfId="2723" priority="203">
      <formula>F395&lt;0</formula>
    </cfRule>
  </conditionalFormatting>
  <conditionalFormatting sqref="H395:H401">
    <cfRule type="expression" dxfId="2722" priority="200">
      <formula>H395&gt;0</formula>
    </cfRule>
    <cfRule type="expression" dxfId="2721" priority="201">
      <formula>H395&lt;0</formula>
    </cfRule>
  </conditionalFormatting>
  <conditionalFormatting sqref="F428:F446 H428:H446">
    <cfRule type="expression" dxfId="2720" priority="198">
      <formula>F428&gt;0</formula>
    </cfRule>
    <cfRule type="expression" dxfId="2719" priority="199">
      <formula>F428&lt;0</formula>
    </cfRule>
  </conditionalFormatting>
  <conditionalFormatting sqref="F421:F427">
    <cfRule type="expression" dxfId="2718" priority="196">
      <formula>F421&gt;0</formula>
    </cfRule>
    <cfRule type="expression" dxfId="2717" priority="197">
      <formula>F421&lt;0</formula>
    </cfRule>
  </conditionalFormatting>
  <conditionalFormatting sqref="H421:H427">
    <cfRule type="expression" dxfId="2716" priority="194">
      <formula>H421&gt;0</formula>
    </cfRule>
    <cfRule type="expression" dxfId="2715" priority="195">
      <formula>H421&lt;0</formula>
    </cfRule>
  </conditionalFormatting>
  <conditionalFormatting sqref="F454:F471 H454:H471">
    <cfRule type="expression" dxfId="2714" priority="192">
      <formula>F454&gt;0</formula>
    </cfRule>
    <cfRule type="expression" dxfId="2713" priority="193">
      <formula>F454&lt;0</formula>
    </cfRule>
  </conditionalFormatting>
  <conditionalFormatting sqref="F447:F453">
    <cfRule type="expression" dxfId="2712" priority="190">
      <formula>F447&gt;0</formula>
    </cfRule>
    <cfRule type="expression" dxfId="2711" priority="191">
      <formula>F447&lt;0</formula>
    </cfRule>
  </conditionalFormatting>
  <conditionalFormatting sqref="H447:H453">
    <cfRule type="expression" dxfId="2710" priority="188">
      <formula>H447&gt;0</formula>
    </cfRule>
    <cfRule type="expression" dxfId="2709" priority="189">
      <formula>H447&lt;0</formula>
    </cfRule>
  </conditionalFormatting>
  <conditionalFormatting sqref="F472:F476 H472:H476">
    <cfRule type="expression" dxfId="2708" priority="186">
      <formula>F472&gt;0</formula>
    </cfRule>
    <cfRule type="expression" dxfId="2707" priority="187">
      <formula>F472&lt;0</formula>
    </cfRule>
  </conditionalFormatting>
  <conditionalFormatting sqref="F484:F499 H484:H499">
    <cfRule type="expression" dxfId="2706" priority="184">
      <formula>F484&gt;0</formula>
    </cfRule>
    <cfRule type="expression" dxfId="2705" priority="185">
      <formula>F484&lt;0</formula>
    </cfRule>
  </conditionalFormatting>
  <conditionalFormatting sqref="H477:H483">
    <cfRule type="expression" dxfId="2704" priority="180">
      <formula>H477&gt;0</formula>
    </cfRule>
    <cfRule type="expression" dxfId="2703" priority="181">
      <formula>H477&lt;0</formula>
    </cfRule>
  </conditionalFormatting>
  <conditionalFormatting sqref="F500 H500">
    <cfRule type="expression" dxfId="2702" priority="178">
      <formula>F500&gt;0</formula>
    </cfRule>
    <cfRule type="expression" dxfId="2701" priority="179">
      <formula>F500&lt;0</formula>
    </cfRule>
  </conditionalFormatting>
  <conditionalFormatting sqref="F501:F505 H501:H505">
    <cfRule type="expression" dxfId="2700" priority="176">
      <formula>F501&gt;0</formula>
    </cfRule>
    <cfRule type="expression" dxfId="2699" priority="177">
      <formula>F501&lt;0</formula>
    </cfRule>
  </conditionalFormatting>
  <conditionalFormatting sqref="F513:F528 H513:H528">
    <cfRule type="expression" dxfId="2698" priority="174">
      <formula>F513&gt;0</formula>
    </cfRule>
    <cfRule type="expression" dxfId="2697" priority="175">
      <formula>F513&lt;0</formula>
    </cfRule>
  </conditionalFormatting>
  <conditionalFormatting sqref="F506:F512">
    <cfRule type="expression" dxfId="2696" priority="172">
      <formula>F506&gt;0</formula>
    </cfRule>
    <cfRule type="expression" dxfId="2695" priority="173">
      <formula>F506&lt;0</formula>
    </cfRule>
  </conditionalFormatting>
  <conditionalFormatting sqref="H506:H512">
    <cfRule type="expression" dxfId="2694" priority="170">
      <formula>H506&gt;0</formula>
    </cfRule>
    <cfRule type="expression" dxfId="2693" priority="171">
      <formula>H506&lt;0</formula>
    </cfRule>
  </conditionalFormatting>
  <conditionalFormatting sqref="F530:F535 H530:H535">
    <cfRule type="expression" dxfId="2692" priority="168">
      <formula>F530&gt;0</formula>
    </cfRule>
    <cfRule type="expression" dxfId="2691" priority="169">
      <formula>F530&lt;0</formula>
    </cfRule>
  </conditionalFormatting>
  <conditionalFormatting sqref="F536 H536">
    <cfRule type="expression" dxfId="2690" priority="166">
      <formula>F536&gt;0</formula>
    </cfRule>
    <cfRule type="expression" dxfId="2689" priority="167">
      <formula>F536&lt;0</formula>
    </cfRule>
  </conditionalFormatting>
  <conditionalFormatting sqref="F537:F541 H537:H541">
    <cfRule type="expression" dxfId="2688" priority="164">
      <formula>F537&gt;0</formula>
    </cfRule>
    <cfRule type="expression" dxfId="2687" priority="165">
      <formula>F537&lt;0</formula>
    </cfRule>
  </conditionalFormatting>
  <conditionalFormatting sqref="F549:F564 H549:H564">
    <cfRule type="expression" dxfId="2686" priority="162">
      <formula>F549&gt;0</formula>
    </cfRule>
    <cfRule type="expression" dxfId="2685" priority="163">
      <formula>F549&lt;0</formula>
    </cfRule>
  </conditionalFormatting>
  <conditionalFormatting sqref="F542:F548">
    <cfRule type="expression" dxfId="2684" priority="160">
      <formula>F542&gt;0</formula>
    </cfRule>
    <cfRule type="expression" dxfId="2683" priority="161">
      <formula>F542&lt;0</formula>
    </cfRule>
  </conditionalFormatting>
  <conditionalFormatting sqref="H542:H548">
    <cfRule type="expression" dxfId="2682" priority="158">
      <formula>H542&gt;0</formula>
    </cfRule>
    <cfRule type="expression" dxfId="2681" priority="159">
      <formula>H542&lt;0</formula>
    </cfRule>
  </conditionalFormatting>
  <conditionalFormatting sqref="F565:F570 H565:H570">
    <cfRule type="expression" dxfId="2680" priority="156">
      <formula>F565&gt;0</formula>
    </cfRule>
    <cfRule type="expression" dxfId="2679" priority="157">
      <formula>F565&lt;0</formula>
    </cfRule>
  </conditionalFormatting>
  <conditionalFormatting sqref="F571 H571">
    <cfRule type="expression" dxfId="2678" priority="154">
      <formula>F571&gt;0</formula>
    </cfRule>
    <cfRule type="expression" dxfId="2677" priority="155">
      <formula>F571&lt;0</formula>
    </cfRule>
  </conditionalFormatting>
  <conditionalFormatting sqref="F572:F576 H572:H576">
    <cfRule type="expression" dxfId="2676" priority="152">
      <formula>F572&gt;0</formula>
    </cfRule>
    <cfRule type="expression" dxfId="2675" priority="153">
      <formula>F572&lt;0</formula>
    </cfRule>
  </conditionalFormatting>
  <conditionalFormatting sqref="F584:F599 H584:H599">
    <cfRule type="expression" dxfId="2674" priority="150">
      <formula>F584&gt;0</formula>
    </cfRule>
    <cfRule type="expression" dxfId="2673" priority="151">
      <formula>F584&lt;0</formula>
    </cfRule>
  </conditionalFormatting>
  <conditionalFormatting sqref="F577:F583">
    <cfRule type="expression" dxfId="2672" priority="148">
      <formula>F577&gt;0</formula>
    </cfRule>
    <cfRule type="expression" dxfId="2671" priority="149">
      <formula>F577&lt;0</formula>
    </cfRule>
  </conditionalFormatting>
  <conditionalFormatting sqref="H577:H583">
    <cfRule type="expression" dxfId="2670" priority="146">
      <formula>H577&gt;0</formula>
    </cfRule>
    <cfRule type="expression" dxfId="2669" priority="147">
      <formula>H577&lt;0</formula>
    </cfRule>
  </conditionalFormatting>
  <conditionalFormatting sqref="M628">
    <cfRule type="expression" dxfId="2668" priority="144">
      <formula>M628&gt;0</formula>
    </cfRule>
    <cfRule type="expression" dxfId="2667" priority="145">
      <formula>M628&lt;0</formula>
    </cfRule>
  </conditionalFormatting>
  <conditionalFormatting sqref="F138:F149">
    <cfRule type="expression" dxfId="2666" priority="140">
      <formula>F138&gt;0</formula>
    </cfRule>
    <cfRule type="expression" dxfId="2665" priority="141">
      <formula>F138&lt;0</formula>
    </cfRule>
  </conditionalFormatting>
  <conditionalFormatting sqref="H138:H149">
    <cfRule type="expression" dxfId="2664" priority="138">
      <formula>H138&gt;0</formula>
    </cfRule>
    <cfRule type="expression" dxfId="2663" priority="139">
      <formula>H138&lt;0</formula>
    </cfRule>
  </conditionalFormatting>
  <conditionalFormatting sqref="F132:F137 H132:H137">
    <cfRule type="expression" dxfId="2662" priority="136">
      <formula>F132&gt;0</formula>
    </cfRule>
    <cfRule type="expression" dxfId="2661" priority="137">
      <formula>F132&lt;0</formula>
    </cfRule>
  </conditionalFormatting>
  <conditionalFormatting sqref="J134">
    <cfRule type="expression" dxfId="2660" priority="134">
      <formula>J134&gt;0</formula>
    </cfRule>
    <cfRule type="expression" dxfId="2659" priority="135">
      <formula>J134&lt;0</formula>
    </cfRule>
  </conditionalFormatting>
  <conditionalFormatting sqref="J135:J141">
    <cfRule type="expression" dxfId="2658" priority="132">
      <formula>J135&gt;0</formula>
    </cfRule>
    <cfRule type="expression" dxfId="2657" priority="133">
      <formula>J135&lt;0</formula>
    </cfRule>
  </conditionalFormatting>
  <conditionalFormatting sqref="L134:L216 L223 L225">
    <cfRule type="expression" dxfId="2656" priority="128">
      <formula>L134&gt;0</formula>
    </cfRule>
    <cfRule type="expression" dxfId="2655" priority="129">
      <formula>L134&lt;0</formula>
    </cfRule>
  </conditionalFormatting>
  <conditionalFormatting sqref="Q10">
    <cfRule type="expression" dxfId="2654" priority="126">
      <formula>Q10&gt;0</formula>
    </cfRule>
    <cfRule type="expression" dxfId="2653" priority="127">
      <formula>Q10&lt;0</formula>
    </cfRule>
  </conditionalFormatting>
  <conditionalFormatting sqref="H245:H247 F245:F247">
    <cfRule type="expression" dxfId="2652" priority="123">
      <formula>F245&gt;0</formula>
    </cfRule>
    <cfRule type="expression" dxfId="2651" priority="124">
      <formula>F245&lt;0</formula>
    </cfRule>
  </conditionalFormatting>
  <conditionalFormatting sqref="H241:H243 F241:F243">
    <cfRule type="expression" dxfId="2650" priority="121">
      <formula>F241&gt;0</formula>
    </cfRule>
    <cfRule type="expression" dxfId="2649" priority="122">
      <formula>F241&lt;0</formula>
    </cfRule>
  </conditionalFormatting>
  <conditionalFormatting sqref="H240 F240">
    <cfRule type="expression" dxfId="2648" priority="119">
      <formula>F240&gt;0</formula>
    </cfRule>
    <cfRule type="expression" dxfId="2647" priority="120">
      <formula>F240&lt;0</formula>
    </cfRule>
  </conditionalFormatting>
  <conditionalFormatting sqref="H244 F244">
    <cfRule type="expression" dxfId="2646" priority="117">
      <formula>F244&gt;0</formula>
    </cfRule>
    <cfRule type="expression" dxfId="2645" priority="118">
      <formula>F244&lt;0</formula>
    </cfRule>
  </conditionalFormatting>
  <conditionalFormatting sqref="H250:H253 F250:F253">
    <cfRule type="expression" dxfId="2644" priority="113">
      <formula>F250&gt;0</formula>
    </cfRule>
    <cfRule type="expression" dxfId="2643" priority="114">
      <formula>F250&lt;0</formula>
    </cfRule>
  </conditionalFormatting>
  <conditionalFormatting sqref="H248:H249 F248:F249">
    <cfRule type="expression" dxfId="2642" priority="111">
      <formula>F248&gt;0</formula>
    </cfRule>
    <cfRule type="expression" dxfId="2641" priority="112">
      <formula>F248&lt;0</formula>
    </cfRule>
  </conditionalFormatting>
  <conditionalFormatting sqref="H275 F275">
    <cfRule type="expression" dxfId="2640" priority="109">
      <formula>F275&gt;0</formula>
    </cfRule>
    <cfRule type="expression" dxfId="2639" priority="110">
      <formula>F275&lt;0</formula>
    </cfRule>
  </conditionalFormatting>
  <conditionalFormatting sqref="H256:H258 F256:F258">
    <cfRule type="expression" dxfId="2638" priority="107">
      <formula>F256&gt;0</formula>
    </cfRule>
    <cfRule type="expression" dxfId="2637" priority="108">
      <formula>F256&lt;0</formula>
    </cfRule>
  </conditionalFormatting>
  <conditionalFormatting sqref="H254:H255 F254:F255">
    <cfRule type="expression" dxfId="2636" priority="105">
      <formula>F254&gt;0</formula>
    </cfRule>
    <cfRule type="expression" dxfId="2635" priority="106">
      <formula>F254&lt;0</formula>
    </cfRule>
  </conditionalFormatting>
  <conditionalFormatting sqref="H268:H270 F268:F270">
    <cfRule type="expression" dxfId="2634" priority="103">
      <formula>F268&gt;0</formula>
    </cfRule>
    <cfRule type="expression" dxfId="2633" priority="104">
      <formula>F268&lt;0</formula>
    </cfRule>
  </conditionalFormatting>
  <conditionalFormatting sqref="H267 F267">
    <cfRule type="expression" dxfId="2632" priority="101">
      <formula>F267&gt;0</formula>
    </cfRule>
    <cfRule type="expression" dxfId="2631" priority="102">
      <formula>F267&lt;0</formula>
    </cfRule>
  </conditionalFormatting>
  <conditionalFormatting sqref="H264:H266 F264:F266">
    <cfRule type="expression" dxfId="2630" priority="99">
      <formula>F264&gt;0</formula>
    </cfRule>
    <cfRule type="expression" dxfId="2629" priority="100">
      <formula>F264&lt;0</formula>
    </cfRule>
  </conditionalFormatting>
  <conditionalFormatting sqref="H263 F263">
    <cfRule type="expression" dxfId="2628" priority="97">
      <formula>F263&gt;0</formula>
    </cfRule>
    <cfRule type="expression" dxfId="2627" priority="98">
      <formula>F263&lt;0</formula>
    </cfRule>
  </conditionalFormatting>
  <conditionalFormatting sqref="H260:H262 F260:F262">
    <cfRule type="expression" dxfId="2626" priority="95">
      <formula>F260&gt;0</formula>
    </cfRule>
    <cfRule type="expression" dxfId="2625" priority="96">
      <formula>F260&lt;0</formula>
    </cfRule>
  </conditionalFormatting>
  <conditionalFormatting sqref="H259 F259">
    <cfRule type="expression" dxfId="2624" priority="93">
      <formula>F259&gt;0</formula>
    </cfRule>
    <cfRule type="expression" dxfId="2623" priority="94">
      <formula>F259&lt;0</formula>
    </cfRule>
  </conditionalFormatting>
  <conditionalFormatting sqref="H272:H274 F272:F274">
    <cfRule type="expression" dxfId="2622" priority="91">
      <formula>F272&gt;0</formula>
    </cfRule>
    <cfRule type="expression" dxfId="2621" priority="92">
      <formula>F272&lt;0</formula>
    </cfRule>
  </conditionalFormatting>
  <conditionalFormatting sqref="H271 F271">
    <cfRule type="expression" dxfId="2620" priority="89">
      <formula>F271&gt;0</formula>
    </cfRule>
    <cfRule type="expression" dxfId="2619" priority="90">
      <formula>F271&lt;0</formula>
    </cfRule>
  </conditionalFormatting>
  <conditionalFormatting sqref="H279 F279">
    <cfRule type="expression" dxfId="2618" priority="85">
      <formula>F279&gt;0</formula>
    </cfRule>
    <cfRule type="expression" dxfId="2617" priority="86">
      <formula>F279&lt;0</formula>
    </cfRule>
  </conditionalFormatting>
  <conditionalFormatting sqref="H276:H278 F276:F278">
    <cfRule type="expression" dxfId="2616" priority="83">
      <formula>F276&gt;0</formula>
    </cfRule>
    <cfRule type="expression" dxfId="2615" priority="84">
      <formula>F276&lt;0</formula>
    </cfRule>
  </conditionalFormatting>
  <conditionalFormatting sqref="H290:H291 F290:F291">
    <cfRule type="expression" dxfId="2614" priority="81">
      <formula>F290&gt;0</formula>
    </cfRule>
    <cfRule type="expression" dxfId="2613" priority="82">
      <formula>F290&lt;0</formula>
    </cfRule>
  </conditionalFormatting>
  <conditionalFormatting sqref="H286:H289 F286:F289">
    <cfRule type="expression" dxfId="2612" priority="77">
      <formula>F286&gt;0</formula>
    </cfRule>
    <cfRule type="expression" dxfId="2611" priority="78">
      <formula>F286&lt;0</formula>
    </cfRule>
  </conditionalFormatting>
  <conditionalFormatting sqref="H284:H285 F284:F285">
    <cfRule type="expression" dxfId="2610" priority="75">
      <formula>F284&gt;0</formula>
    </cfRule>
    <cfRule type="expression" dxfId="2609" priority="76">
      <formula>F284&lt;0</formula>
    </cfRule>
  </conditionalFormatting>
  <conditionalFormatting sqref="H280:H283 F280:F283">
    <cfRule type="expression" dxfId="2608" priority="71">
      <formula>F280&gt;0</formula>
    </cfRule>
    <cfRule type="expression" dxfId="2607" priority="72">
      <formula>F280&lt;0</formula>
    </cfRule>
  </conditionalFormatting>
  <conditionalFormatting sqref="F299:F302 H299:H302">
    <cfRule type="expression" dxfId="2606" priority="69">
      <formula>F299&gt;0</formula>
    </cfRule>
    <cfRule type="expression" dxfId="2605" priority="70">
      <formula>F299&lt;0</formula>
    </cfRule>
  </conditionalFormatting>
  <conditionalFormatting sqref="F297:F298 H297:H298">
    <cfRule type="expression" dxfId="2604" priority="67">
      <formula>F297&gt;0</formula>
    </cfRule>
    <cfRule type="expression" dxfId="2603" priority="68">
      <formula>F297&lt;0</formula>
    </cfRule>
  </conditionalFormatting>
  <conditionalFormatting sqref="F303:F305 H303:H305 K303:K306">
    <cfRule type="expression" dxfId="2602" priority="61">
      <formula>F303&gt;0</formula>
    </cfRule>
    <cfRule type="expression" dxfId="2601" priority="62">
      <formula>F303&lt;0</formula>
    </cfRule>
  </conditionalFormatting>
  <conditionalFormatting sqref="H310:H312 F310:F312 K310:K313">
    <cfRule type="expression" dxfId="2600" priority="57">
      <formula>F310&gt;0</formula>
    </cfRule>
    <cfRule type="expression" dxfId="2599" priority="58">
      <formula>F310&lt;0</formula>
    </cfRule>
  </conditionalFormatting>
  <conditionalFormatting sqref="H313:H316 F313:F316 K314:K316">
    <cfRule type="expression" dxfId="2598" priority="55">
      <formula>F313&gt;0</formula>
    </cfRule>
    <cfRule type="expression" dxfId="2597" priority="56">
      <formula>F313&lt;0</formula>
    </cfRule>
  </conditionalFormatting>
  <conditionalFormatting sqref="H317:H318 F317:F318 K317:K318">
    <cfRule type="expression" dxfId="2596" priority="53">
      <formula>F317&gt;0</formula>
    </cfRule>
    <cfRule type="expression" dxfId="2595" priority="54">
      <formula>F317&lt;0</formula>
    </cfRule>
  </conditionalFormatting>
  <conditionalFormatting sqref="K334 F334 H334">
    <cfRule type="expression" dxfId="2594" priority="51">
      <formula>F334&gt;0</formula>
    </cfRule>
    <cfRule type="expression" dxfId="2593" priority="52">
      <formula>F334&lt;0</formula>
    </cfRule>
  </conditionalFormatting>
  <conditionalFormatting sqref="K322:K324 F322:F324 H322:H324">
    <cfRule type="expression" dxfId="2592" priority="49">
      <formula>F322&gt;0</formula>
    </cfRule>
    <cfRule type="expression" dxfId="2591" priority="50">
      <formula>F322&lt;0</formula>
    </cfRule>
  </conditionalFormatting>
  <conditionalFormatting sqref="F326:F328 H326:H328 K326:K328">
    <cfRule type="expression" dxfId="2590" priority="45">
      <formula>F326&gt;0</formula>
    </cfRule>
    <cfRule type="expression" dxfId="2589" priority="46">
      <formula>F326&lt;0</formula>
    </cfRule>
  </conditionalFormatting>
  <conditionalFormatting sqref="K325 F325 H325">
    <cfRule type="expression" dxfId="2588" priority="43">
      <formula>F325&gt;0</formula>
    </cfRule>
    <cfRule type="expression" dxfId="2587" priority="44">
      <formula>F325&lt;0</formula>
    </cfRule>
  </conditionalFormatting>
  <conditionalFormatting sqref="K329:K330 F329:F330 H329:H330">
    <cfRule type="expression" dxfId="2586" priority="41">
      <formula>F329&gt;0</formula>
    </cfRule>
    <cfRule type="expression" dxfId="2585" priority="42">
      <formula>F329&lt;0</formula>
    </cfRule>
  </conditionalFormatting>
  <conditionalFormatting sqref="K331:K333 F331:F333 H331:H333">
    <cfRule type="expression" dxfId="2584" priority="35">
      <formula>F331&gt;0</formula>
    </cfRule>
    <cfRule type="expression" dxfId="2583" priority="36">
      <formula>F331&lt;0</formula>
    </cfRule>
  </conditionalFormatting>
  <conditionalFormatting sqref="F339:F341 H339:H341">
    <cfRule type="expression" dxfId="2582" priority="33">
      <formula>F339&gt;0</formula>
    </cfRule>
    <cfRule type="expression" dxfId="2581" priority="34">
      <formula>F339&lt;0</formula>
    </cfRule>
  </conditionalFormatting>
  <conditionalFormatting sqref="F338 H338">
    <cfRule type="expression" dxfId="2580" priority="31">
      <formula>F338&gt;0</formula>
    </cfRule>
    <cfRule type="expression" dxfId="2579" priority="32">
      <formula>F338&lt;0</formula>
    </cfRule>
  </conditionalFormatting>
  <conditionalFormatting sqref="F335:F337 H335:H337 K335:K341">
    <cfRule type="expression" dxfId="2578" priority="29">
      <formula>F335&gt;0</formula>
    </cfRule>
    <cfRule type="expression" dxfId="2577" priority="30">
      <formula>F335&lt;0</formula>
    </cfRule>
  </conditionalFormatting>
  <conditionalFormatting sqref="K342 F342 H342">
    <cfRule type="expression" dxfId="2576" priority="27">
      <formula>F342&gt;0</formula>
    </cfRule>
    <cfRule type="expression" dxfId="2575" priority="28">
      <formula>F342&lt;0</formula>
    </cfRule>
  </conditionalFormatting>
  <conditionalFormatting sqref="K343:K345 F343:F345 H343:H345">
    <cfRule type="expression" dxfId="2574" priority="25">
      <formula>F343&gt;0</formula>
    </cfRule>
    <cfRule type="expression" dxfId="2573" priority="26">
      <formula>F343&lt;0</formula>
    </cfRule>
  </conditionalFormatting>
  <conditionalFormatting sqref="K350 F350 H350">
    <cfRule type="expression" dxfId="2572" priority="23">
      <formula>F350&gt;0</formula>
    </cfRule>
    <cfRule type="expression" dxfId="2571" priority="24">
      <formula>F350&lt;0</formula>
    </cfRule>
  </conditionalFormatting>
  <conditionalFormatting sqref="F347:F349 H347:H349 K347:K349">
    <cfRule type="expression" dxfId="2570" priority="21">
      <formula>F347&gt;0</formula>
    </cfRule>
    <cfRule type="expression" dxfId="2569" priority="22">
      <formula>F347&lt;0</formula>
    </cfRule>
  </conditionalFormatting>
  <conditionalFormatting sqref="K346 F346 H346">
    <cfRule type="expression" dxfId="2568" priority="19">
      <formula>F346&gt;0</formula>
    </cfRule>
    <cfRule type="expression" dxfId="2567" priority="20">
      <formula>F346&lt;0</formula>
    </cfRule>
  </conditionalFormatting>
  <conditionalFormatting sqref="F355:F357 H355:H357 K355:K357">
    <cfRule type="expression" dxfId="2566" priority="17">
      <formula>F355&gt;0</formula>
    </cfRule>
    <cfRule type="expression" dxfId="2565" priority="18">
      <formula>F355&lt;0</formula>
    </cfRule>
  </conditionalFormatting>
  <conditionalFormatting sqref="K354 F354 H354">
    <cfRule type="expression" dxfId="2564" priority="15">
      <formula>F354&gt;0</formula>
    </cfRule>
    <cfRule type="expression" dxfId="2563" priority="16">
      <formula>F354&lt;0</formula>
    </cfRule>
  </conditionalFormatting>
  <conditionalFormatting sqref="K351:K353 F351:F353 H351:H353">
    <cfRule type="expression" dxfId="2562" priority="13">
      <formula>F351&gt;0</formula>
    </cfRule>
    <cfRule type="expression" dxfId="2561" priority="14">
      <formula>F351&lt;0</formula>
    </cfRule>
  </conditionalFormatting>
  <conditionalFormatting sqref="K364 F364 H364">
    <cfRule type="expression" dxfId="2560" priority="11">
      <formula>F364&gt;0</formula>
    </cfRule>
    <cfRule type="expression" dxfId="2559" priority="12">
      <formula>F364&lt;0</formula>
    </cfRule>
  </conditionalFormatting>
  <conditionalFormatting sqref="K359 F359 H359">
    <cfRule type="expression" dxfId="2558" priority="9">
      <formula>F359&gt;0</formula>
    </cfRule>
    <cfRule type="expression" dxfId="2557" priority="10">
      <formula>F359&lt;0</formula>
    </cfRule>
  </conditionalFormatting>
  <conditionalFormatting sqref="K358 F358 H358">
    <cfRule type="expression" dxfId="2556" priority="7">
      <formula>F358&gt;0</formula>
    </cfRule>
    <cfRule type="expression" dxfId="2555" priority="8">
      <formula>F358&lt;0</formula>
    </cfRule>
  </conditionalFormatting>
  <conditionalFormatting sqref="F360:F362 H360:H362 K360:K362">
    <cfRule type="expression" dxfId="2554" priority="5">
      <formula>F360&gt;0</formula>
    </cfRule>
    <cfRule type="expression" dxfId="2553" priority="6">
      <formula>F360&lt;0</formula>
    </cfRule>
  </conditionalFormatting>
  <conditionalFormatting sqref="K363 F363 H363">
    <cfRule type="expression" dxfId="2552" priority="3">
      <formula>F363&gt;0</formula>
    </cfRule>
    <cfRule type="expression" dxfId="2551" priority="4">
      <formula>F363&lt;0</formula>
    </cfRule>
  </conditionalFormatting>
  <hyperlinks>
    <hyperlink ref="A3" location="ACTIVE!A1" display="Back"/>
    <hyperlink ref="A631"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10"/>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757</v>
      </c>
      <c r="B2" s="368">
        <v>43095</v>
      </c>
      <c r="C2" s="4">
        <v>150</v>
      </c>
      <c r="D2" s="3">
        <v>17.45</v>
      </c>
      <c r="E2" s="3">
        <v>0</v>
      </c>
      <c r="F2" s="3">
        <f t="shared" ref="F2:F13" si="0">C2*D2+E2</f>
        <v>2617.5</v>
      </c>
      <c r="G2" s="368">
        <v>43210</v>
      </c>
      <c r="H2" s="7">
        <v>150</v>
      </c>
      <c r="I2" s="43">
        <v>14.8</v>
      </c>
      <c r="J2" s="43">
        <v>0.05</v>
      </c>
      <c r="K2" s="43">
        <f t="shared" ref="K2:K11" si="1">H2*I2-J2</f>
        <v>2219.9499999999998</v>
      </c>
      <c r="L2" s="72">
        <v>43216</v>
      </c>
      <c r="M2" s="43">
        <v>24</v>
      </c>
      <c r="O2" s="11" t="s">
        <v>57</v>
      </c>
      <c r="Q2">
        <f>C18-H18</f>
        <v>0</v>
      </c>
      <c r="T2" s="1">
        <v>43103</v>
      </c>
      <c r="U2" t="s">
        <v>817</v>
      </c>
      <c r="W2" s="134"/>
      <c r="X2" s="660">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468</v>
      </c>
      <c r="AJ2">
        <f>$Q$2*$Q$4</f>
        <v>0</v>
      </c>
      <c r="AK2">
        <f ca="1">AJ2*EXP(-$X$2 * AI2/365.25)</f>
        <v>0</v>
      </c>
      <c r="AM2" s="2">
        <f>Q10</f>
        <v>0</v>
      </c>
      <c r="AO2">
        <f ca="1" xml:space="preserve"> (SUM(AB:AB) - SUM(AE:AE) - SUM(AH:AH) - SUM(AK:AK))/SUM(AB:AB)</f>
        <v>5.067420501016788E-2</v>
      </c>
    </row>
    <row r="3" spans="1:41" x14ac:dyDescent="0.25">
      <c r="A3" s="22" t="s">
        <v>71</v>
      </c>
      <c r="B3" s="368">
        <v>43096</v>
      </c>
      <c r="C3" s="7">
        <v>50</v>
      </c>
      <c r="D3" s="43">
        <v>17.45</v>
      </c>
      <c r="E3" s="43">
        <v>0</v>
      </c>
      <c r="F3" s="43">
        <f t="shared" si="0"/>
        <v>872.5</v>
      </c>
      <c r="G3" s="368">
        <v>43236</v>
      </c>
      <c r="H3" s="80">
        <v>100</v>
      </c>
      <c r="I3" s="43">
        <v>15.09</v>
      </c>
      <c r="J3" s="43">
        <v>0.03</v>
      </c>
      <c r="K3" s="43">
        <f t="shared" si="1"/>
        <v>1508.97</v>
      </c>
      <c r="L3" s="72">
        <v>43306</v>
      </c>
      <c r="M3" s="43">
        <v>36</v>
      </c>
      <c r="O3" s="11" t="s">
        <v>58</v>
      </c>
      <c r="Q3" s="178">
        <f>IF(Q2=0, Q4, (F18-K18-M18)/Q2)</f>
        <v>9.1</v>
      </c>
      <c r="T3" s="1"/>
      <c r="U3" t="s">
        <v>818</v>
      </c>
      <c r="W3" s="134"/>
      <c r="Z3">
        <f t="shared" ref="Z3:Z17" si="2">B3-$B$2</f>
        <v>1</v>
      </c>
      <c r="AA3" s="2">
        <f t="shared" ref="AA3:AA17" si="3">F3</f>
        <v>872.5</v>
      </c>
      <c r="AB3">
        <f t="shared" ref="AB3:AB17" si="4">AA3*EXP(-Z3/365.25 * $X$2)</f>
        <v>872.5</v>
      </c>
      <c r="AC3">
        <f t="shared" ref="AC3:AC17" si="5">G3-$B$2</f>
        <v>141</v>
      </c>
      <c r="AD3" s="2">
        <f t="shared" ref="AD3:AD17" si="6">K3</f>
        <v>1508.97</v>
      </c>
      <c r="AE3">
        <f t="shared" ref="AE3:AE17" si="7">AD3*EXP(-AC3/365.25 * $X$2)</f>
        <v>1508.97</v>
      </c>
      <c r="AF3">
        <f t="shared" ref="AF3:AF17" si="8">L3-$B$2</f>
        <v>211</v>
      </c>
      <c r="AG3" s="2">
        <f t="shared" ref="AG3:AG17" si="9">M3</f>
        <v>36</v>
      </c>
      <c r="AH3">
        <f t="shared" ref="AH3:AH17" si="10">AG3*EXP(-AF3/365.25 * $X$2)</f>
        <v>36</v>
      </c>
    </row>
    <row r="4" spans="1:41" x14ac:dyDescent="0.25">
      <c r="B4" s="368">
        <v>43178</v>
      </c>
      <c r="C4" s="7">
        <v>150</v>
      </c>
      <c r="D4" s="43">
        <v>14.03</v>
      </c>
      <c r="E4" s="43">
        <v>0</v>
      </c>
      <c r="F4" s="43">
        <f t="shared" si="0"/>
        <v>2104.5</v>
      </c>
      <c r="G4" s="368">
        <v>43287</v>
      </c>
      <c r="H4" s="80">
        <v>100</v>
      </c>
      <c r="I4" s="43">
        <v>13.8</v>
      </c>
      <c r="J4" s="43">
        <v>0.02</v>
      </c>
      <c r="K4" s="43">
        <f t="shared" si="1"/>
        <v>1379.98</v>
      </c>
      <c r="L4" s="72">
        <v>43398</v>
      </c>
      <c r="M4" s="43">
        <v>48</v>
      </c>
      <c r="O4" s="11" t="s">
        <v>66</v>
      </c>
      <c r="Q4" s="54">
        <v>9.1</v>
      </c>
      <c r="R4" s="425">
        <v>6.2E-2</v>
      </c>
      <c r="T4" s="156"/>
      <c r="U4" s="1" t="s">
        <v>864</v>
      </c>
      <c r="W4" s="134"/>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8">
        <v>43178</v>
      </c>
      <c r="C5" s="4">
        <v>50</v>
      </c>
      <c r="D5" s="3">
        <v>14.03</v>
      </c>
      <c r="E5" s="3">
        <v>0</v>
      </c>
      <c r="F5" s="3">
        <f t="shared" si="0"/>
        <v>701.5</v>
      </c>
      <c r="G5" s="368">
        <v>43312</v>
      </c>
      <c r="H5" s="80">
        <v>100</v>
      </c>
      <c r="I5" s="43">
        <v>13.6</v>
      </c>
      <c r="J5" s="43">
        <v>0.02</v>
      </c>
      <c r="K5" s="43">
        <f t="shared" si="1"/>
        <v>1359.98</v>
      </c>
      <c r="L5" s="72">
        <v>43490</v>
      </c>
      <c r="M5" s="43">
        <v>8</v>
      </c>
      <c r="O5" s="11" t="s">
        <v>67</v>
      </c>
      <c r="Q5" s="3">
        <f>Q4*Q2</f>
        <v>0</v>
      </c>
      <c r="T5" s="1">
        <v>43112</v>
      </c>
      <c r="U5" t="s">
        <v>862</v>
      </c>
      <c r="W5" s="134"/>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8">
        <v>43243</v>
      </c>
      <c r="C6" s="7">
        <v>150</v>
      </c>
      <c r="D6" s="43">
        <v>14.19</v>
      </c>
      <c r="E6" s="43">
        <v>0</v>
      </c>
      <c r="F6" s="43">
        <f t="shared" si="0"/>
        <v>2128.5</v>
      </c>
      <c r="G6" s="368">
        <v>43339</v>
      </c>
      <c r="H6" s="80">
        <v>200</v>
      </c>
      <c r="I6" s="43">
        <v>12.72</v>
      </c>
      <c r="J6" s="43">
        <v>0.03</v>
      </c>
      <c r="K6" s="43">
        <f t="shared" si="1"/>
        <v>2543.9699999999998</v>
      </c>
      <c r="L6" s="4"/>
      <c r="M6" s="4"/>
      <c r="O6" s="11" t="s">
        <v>64</v>
      </c>
      <c r="Q6" s="2">
        <f>Q3*Q2</f>
        <v>0</v>
      </c>
      <c r="W6" s="134"/>
      <c r="Z6">
        <f t="shared" si="2"/>
        <v>148</v>
      </c>
      <c r="AA6" s="2">
        <f t="shared" si="3"/>
        <v>2128.5</v>
      </c>
      <c r="AB6">
        <f t="shared" si="4"/>
        <v>2128.5</v>
      </c>
      <c r="AC6">
        <f t="shared" si="5"/>
        <v>244</v>
      </c>
      <c r="AD6" s="2">
        <f t="shared" si="6"/>
        <v>2543.9699999999998</v>
      </c>
      <c r="AE6">
        <f t="shared" si="7"/>
        <v>2543.9699999999998</v>
      </c>
      <c r="AF6">
        <f t="shared" si="8"/>
        <v>-43095</v>
      </c>
      <c r="AG6" s="2">
        <f t="shared" si="9"/>
        <v>0</v>
      </c>
      <c r="AH6">
        <f t="shared" si="10"/>
        <v>0</v>
      </c>
    </row>
    <row r="7" spans="1:41" x14ac:dyDescent="0.25">
      <c r="B7" s="368">
        <v>43266</v>
      </c>
      <c r="C7" s="7">
        <v>100</v>
      </c>
      <c r="D7" s="43">
        <v>13.34</v>
      </c>
      <c r="E7" s="43">
        <v>0</v>
      </c>
      <c r="F7" s="43">
        <f t="shared" si="0"/>
        <v>1334</v>
      </c>
      <c r="G7" s="368">
        <v>43374</v>
      </c>
      <c r="H7" s="80">
        <v>200</v>
      </c>
      <c r="I7" s="43">
        <v>13</v>
      </c>
      <c r="J7" s="43">
        <v>0.03</v>
      </c>
      <c r="K7" s="43">
        <f t="shared" si="1"/>
        <v>2599.9699999999998</v>
      </c>
      <c r="L7" s="4"/>
      <c r="M7" s="4"/>
      <c r="O7" s="11" t="s">
        <v>177</v>
      </c>
      <c r="Q7" s="2">
        <f>Q10+Q8</f>
        <v>-1133.8100000000013</v>
      </c>
      <c r="R7">
        <v>0</v>
      </c>
      <c r="T7" s="1">
        <v>43117</v>
      </c>
      <c r="U7" t="s">
        <v>869</v>
      </c>
      <c r="W7" s="134"/>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8">
        <v>43301</v>
      </c>
      <c r="C8" s="7">
        <v>100</v>
      </c>
      <c r="D8" s="43">
        <v>13.08</v>
      </c>
      <c r="E8" s="43">
        <v>0</v>
      </c>
      <c r="F8" s="43">
        <f t="shared" si="0"/>
        <v>1308</v>
      </c>
      <c r="G8" s="368">
        <v>43381</v>
      </c>
      <c r="H8" s="80">
        <v>100</v>
      </c>
      <c r="I8" s="43">
        <v>13.82</v>
      </c>
      <c r="J8" s="43">
        <v>0.02</v>
      </c>
      <c r="K8" s="43">
        <f t="shared" si="1"/>
        <v>1381.98</v>
      </c>
      <c r="L8" s="4"/>
      <c r="M8" s="4"/>
      <c r="O8" s="11" t="s">
        <v>179</v>
      </c>
      <c r="P8" s="33"/>
      <c r="Q8" s="2">
        <f>K18+M18-F18+Q2*Q4</f>
        <v>-1133.8100000000013</v>
      </c>
      <c r="U8" t="s">
        <v>870</v>
      </c>
      <c r="W8" s="134"/>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8">
        <v>43320</v>
      </c>
      <c r="C9" s="7">
        <v>100</v>
      </c>
      <c r="D9" s="43">
        <v>12.98</v>
      </c>
      <c r="E9" s="43">
        <v>0</v>
      </c>
      <c r="F9" s="43">
        <f t="shared" si="0"/>
        <v>1298</v>
      </c>
      <c r="G9" s="368">
        <v>43382</v>
      </c>
      <c r="H9" s="80">
        <v>100</v>
      </c>
      <c r="I9" s="43">
        <v>13.7</v>
      </c>
      <c r="J9" s="43">
        <v>0.02</v>
      </c>
      <c r="K9" s="43">
        <f t="shared" si="1"/>
        <v>1369.98</v>
      </c>
      <c r="L9" s="4"/>
      <c r="M9" s="4"/>
      <c r="O9" s="11" t="s">
        <v>204</v>
      </c>
      <c r="Q9" s="134">
        <f>IF(Q2=0, 0, Q8/Q6)</f>
        <v>0</v>
      </c>
      <c r="W9" s="134"/>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8">
        <v>43325</v>
      </c>
      <c r="C10" s="7">
        <v>200</v>
      </c>
      <c r="D10" s="43">
        <v>12.6</v>
      </c>
      <c r="E10" s="43">
        <v>0</v>
      </c>
      <c r="F10" s="43">
        <f t="shared" si="0"/>
        <v>2520</v>
      </c>
      <c r="G10" s="368">
        <v>43467</v>
      </c>
      <c r="H10" s="80">
        <v>400</v>
      </c>
      <c r="I10" s="43">
        <v>8.14</v>
      </c>
      <c r="J10" s="43">
        <v>0.04</v>
      </c>
      <c r="K10" s="43">
        <f t="shared" si="1"/>
        <v>3255.96</v>
      </c>
      <c r="O10" s="11" t="s">
        <v>203</v>
      </c>
      <c r="P10" s="33"/>
      <c r="Q10" s="2">
        <f>M66</f>
        <v>0</v>
      </c>
      <c r="W10" s="134"/>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8">
        <v>43367</v>
      </c>
      <c r="C11" s="7">
        <v>200</v>
      </c>
      <c r="D11" s="43">
        <v>11.75</v>
      </c>
      <c r="E11" s="43">
        <v>0</v>
      </c>
      <c r="F11" s="43">
        <f t="shared" si="0"/>
        <v>2350</v>
      </c>
      <c r="G11" s="368">
        <v>43472</v>
      </c>
      <c r="H11" s="70">
        <v>400</v>
      </c>
      <c r="I11" s="2">
        <v>8.76</v>
      </c>
      <c r="J11" s="2">
        <v>0.05</v>
      </c>
      <c r="K11" s="2">
        <f t="shared" si="1"/>
        <v>3503.95</v>
      </c>
      <c r="O11" s="11" t="s">
        <v>175</v>
      </c>
      <c r="P11" s="33"/>
      <c r="Q11" s="134">
        <f>R11*4/Q4</f>
        <v>1.7582417582417582E-2</v>
      </c>
      <c r="R11">
        <v>0.04</v>
      </c>
      <c r="T11" s="737">
        <v>43124</v>
      </c>
      <c r="U11" t="s">
        <v>863</v>
      </c>
      <c r="W11" s="134"/>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8">
        <v>43403</v>
      </c>
      <c r="C12" s="4">
        <v>200</v>
      </c>
      <c r="D12" s="3">
        <v>10.199999999999999</v>
      </c>
      <c r="E12" s="3">
        <v>0</v>
      </c>
      <c r="F12" s="3">
        <f t="shared" si="0"/>
        <v>2039.9999999999998</v>
      </c>
      <c r="H12" s="70"/>
      <c r="O12" s="11" t="s">
        <v>82</v>
      </c>
      <c r="Q12" s="1"/>
      <c r="W12" s="134"/>
      <c r="Z12">
        <f t="shared" si="2"/>
        <v>308</v>
      </c>
      <c r="AA12" s="2">
        <f t="shared" si="3"/>
        <v>2039.9999999999998</v>
      </c>
      <c r="AB12">
        <f t="shared" si="4"/>
        <v>2039.9999999999998</v>
      </c>
      <c r="AC12">
        <f t="shared" si="5"/>
        <v>-43095</v>
      </c>
      <c r="AD12" s="2">
        <f t="shared" si="6"/>
        <v>0</v>
      </c>
      <c r="AE12">
        <f t="shared" si="7"/>
        <v>0</v>
      </c>
      <c r="AF12">
        <f t="shared" si="8"/>
        <v>-43095</v>
      </c>
      <c r="AG12" s="2">
        <f t="shared" si="9"/>
        <v>0</v>
      </c>
      <c r="AH12">
        <f t="shared" si="10"/>
        <v>0</v>
      </c>
    </row>
    <row r="13" spans="1:41" x14ac:dyDescent="0.25">
      <c r="B13" s="368">
        <v>43420</v>
      </c>
      <c r="C13" s="7">
        <v>400</v>
      </c>
      <c r="D13" s="43">
        <v>7.75</v>
      </c>
      <c r="E13" s="43">
        <v>0</v>
      </c>
      <c r="F13" s="43">
        <f t="shared" si="0"/>
        <v>3100</v>
      </c>
      <c r="H13" s="70"/>
      <c r="O13" s="11" t="s">
        <v>947</v>
      </c>
      <c r="Q13" s="2">
        <f>Q4/0.95</f>
        <v>9.5789473684210531</v>
      </c>
      <c r="T13" s="1">
        <v>43210</v>
      </c>
      <c r="U13" t="s">
        <v>983</v>
      </c>
      <c r="W13" s="134"/>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C14" s="4"/>
      <c r="D14" s="3"/>
      <c r="E14" s="3"/>
      <c r="F14" s="3"/>
      <c r="H14" s="70"/>
      <c r="O14" s="11" t="s">
        <v>1034</v>
      </c>
      <c r="Q14" s="774">
        <v>43337</v>
      </c>
      <c r="W14" s="134"/>
      <c r="Z14">
        <f t="shared" si="2"/>
        <v>-43095</v>
      </c>
      <c r="AA14" s="2">
        <f t="shared" si="3"/>
        <v>0</v>
      </c>
      <c r="AB14">
        <f t="shared" si="4"/>
        <v>0</v>
      </c>
      <c r="AC14">
        <f t="shared" si="5"/>
        <v>-43095</v>
      </c>
      <c r="AD14" s="2">
        <f t="shared" si="6"/>
        <v>0</v>
      </c>
      <c r="AE14">
        <f t="shared" si="7"/>
        <v>0</v>
      </c>
      <c r="AF14">
        <f t="shared" si="8"/>
        <v>-43095</v>
      </c>
      <c r="AG14" s="2">
        <f t="shared" si="9"/>
        <v>0</v>
      </c>
      <c r="AH14">
        <f t="shared" si="10"/>
        <v>0</v>
      </c>
    </row>
    <row r="15" spans="1:41" x14ac:dyDescent="0.25">
      <c r="H15" s="70"/>
      <c r="T15" s="1">
        <v>43242</v>
      </c>
      <c r="U15" t="s">
        <v>1085</v>
      </c>
      <c r="W15" s="134"/>
      <c r="Z15">
        <f t="shared" si="2"/>
        <v>-43095</v>
      </c>
      <c r="AA15" s="2">
        <f t="shared" si="3"/>
        <v>0</v>
      </c>
      <c r="AB15">
        <f t="shared" si="4"/>
        <v>0</v>
      </c>
      <c r="AC15">
        <f t="shared" si="5"/>
        <v>-43095</v>
      </c>
      <c r="AD15" s="2">
        <f t="shared" si="6"/>
        <v>0</v>
      </c>
      <c r="AE15">
        <f t="shared" si="7"/>
        <v>0</v>
      </c>
      <c r="AF15">
        <f t="shared" si="8"/>
        <v>-43095</v>
      </c>
      <c r="AG15" s="2">
        <f t="shared" si="9"/>
        <v>0</v>
      </c>
      <c r="AH15">
        <f t="shared" si="10"/>
        <v>0</v>
      </c>
    </row>
    <row r="16" spans="1:41" x14ac:dyDescent="0.25">
      <c r="H16" s="70"/>
      <c r="W16" s="134"/>
      <c r="Z16">
        <f t="shared" si="2"/>
        <v>-43095</v>
      </c>
      <c r="AA16" s="2">
        <f t="shared" si="3"/>
        <v>0</v>
      </c>
      <c r="AB16">
        <f t="shared" si="4"/>
        <v>0</v>
      </c>
      <c r="AC16">
        <f t="shared" si="5"/>
        <v>-43095</v>
      </c>
      <c r="AD16" s="2">
        <f t="shared" si="6"/>
        <v>0</v>
      </c>
      <c r="AE16">
        <f t="shared" si="7"/>
        <v>0</v>
      </c>
      <c r="AF16">
        <f t="shared" si="8"/>
        <v>-43095</v>
      </c>
      <c r="AG16" s="2">
        <f t="shared" si="9"/>
        <v>0</v>
      </c>
      <c r="AH16">
        <f t="shared" si="10"/>
        <v>0</v>
      </c>
    </row>
    <row r="17" spans="1:34" x14ac:dyDescent="0.25">
      <c r="W17" s="134"/>
      <c r="Z17">
        <f t="shared" si="2"/>
        <v>-43095</v>
      </c>
      <c r="AA17" s="2">
        <f t="shared" si="3"/>
        <v>0</v>
      </c>
      <c r="AB17">
        <f t="shared" si="4"/>
        <v>0</v>
      </c>
      <c r="AC17">
        <f t="shared" si="5"/>
        <v>-43095</v>
      </c>
      <c r="AD17" s="2">
        <f t="shared" si="6"/>
        <v>0</v>
      </c>
      <c r="AE17">
        <f t="shared" si="7"/>
        <v>0</v>
      </c>
      <c r="AF17">
        <f t="shared" si="8"/>
        <v>-43095</v>
      </c>
      <c r="AG17" s="2">
        <f t="shared" si="9"/>
        <v>0</v>
      </c>
      <c r="AH17">
        <f t="shared" si="10"/>
        <v>0</v>
      </c>
    </row>
    <row r="18" spans="1:34" x14ac:dyDescent="0.25">
      <c r="A18" s="31" t="s">
        <v>81</v>
      </c>
      <c r="B18" s="14"/>
      <c r="C18" s="14">
        <f>SUM(C2:C14)</f>
        <v>1850</v>
      </c>
      <c r="D18" s="18"/>
      <c r="E18" s="18"/>
      <c r="F18" s="18">
        <f>SUM(F2:F14)</f>
        <v>22374.5</v>
      </c>
      <c r="G18" s="14"/>
      <c r="H18" s="71">
        <f>SUM(H2:H11)</f>
        <v>1850</v>
      </c>
      <c r="I18" s="18"/>
      <c r="J18" s="18"/>
      <c r="K18" s="18">
        <f>SUM(K2:K11)</f>
        <v>21124.69</v>
      </c>
      <c r="L18" s="14"/>
      <c r="M18" s="18">
        <f>SUM(M2:M10)</f>
        <v>116</v>
      </c>
      <c r="T18" s="1">
        <v>43305</v>
      </c>
      <c r="U18" t="s">
        <v>1236</v>
      </c>
      <c r="W18" s="134"/>
      <c r="AA18" s="2"/>
    </row>
    <row r="19" spans="1:34" ht="15.75" thickBot="1" x14ac:dyDescent="0.3">
      <c r="A19" s="277" t="s">
        <v>191</v>
      </c>
      <c r="B19" s="278"/>
      <c r="C19" s="279">
        <f>SumByColor($A$19,C2:C17)</f>
        <v>1450</v>
      </c>
      <c r="D19" s="279"/>
      <c r="E19" s="279"/>
      <c r="F19" s="280">
        <f>SumByColor($A$19,F2:F17)</f>
        <v>17014</v>
      </c>
      <c r="G19" s="279"/>
      <c r="H19" s="279">
        <f>SumByColor($A$19,H2:H17)</f>
        <v>1450</v>
      </c>
      <c r="I19" s="279"/>
      <c r="J19" s="279"/>
      <c r="K19" s="280">
        <f>SumByColor($A$19,K2:K17)</f>
        <v>17621</v>
      </c>
      <c r="L19" s="279"/>
      <c r="M19" s="280">
        <f>SumByColor($A$19,M2:M17)</f>
        <v>116</v>
      </c>
      <c r="W19" s="134"/>
      <c r="AA19" s="2"/>
    </row>
    <row r="20" spans="1:34" ht="20.25" thickBot="1" x14ac:dyDescent="0.35">
      <c r="O20" s="884" t="s">
        <v>78</v>
      </c>
      <c r="P20" s="884"/>
      <c r="T20" s="1">
        <v>43472</v>
      </c>
      <c r="U20" t="s">
        <v>1350</v>
      </c>
      <c r="W20" s="134"/>
    </row>
    <row r="21" spans="1:34" ht="15.75" thickTop="1" x14ac:dyDescent="0.25">
      <c r="O21" s="81">
        <v>1.1000000000000001</v>
      </c>
      <c r="P21" s="81">
        <f>O21*$Q$4</f>
        <v>10.01</v>
      </c>
      <c r="W21" s="134"/>
    </row>
    <row r="22" spans="1:34" x14ac:dyDescent="0.25">
      <c r="O22" s="81">
        <v>1.0900000000000001</v>
      </c>
      <c r="P22" s="81">
        <f t="shared" ref="P22:P41" si="11">O22*$Q$4</f>
        <v>9.9190000000000005</v>
      </c>
      <c r="W22" s="134"/>
    </row>
    <row r="23" spans="1:34" x14ac:dyDescent="0.25">
      <c r="O23" s="81">
        <v>1.08</v>
      </c>
      <c r="P23" s="81">
        <f t="shared" si="11"/>
        <v>9.8279999999999994</v>
      </c>
      <c r="W23" s="134"/>
    </row>
    <row r="24" spans="1:34" x14ac:dyDescent="0.25">
      <c r="B24" s="162" t="s">
        <v>113</v>
      </c>
      <c r="C24" s="162" t="s">
        <v>145</v>
      </c>
      <c r="D24" s="163" t="s">
        <v>144</v>
      </c>
      <c r="E24" s="165" t="s">
        <v>146</v>
      </c>
      <c r="F24" s="165" t="s">
        <v>65</v>
      </c>
      <c r="G24" s="177" t="s">
        <v>150</v>
      </c>
      <c r="H24" s="177" t="s">
        <v>88</v>
      </c>
      <c r="I24" s="177" t="s">
        <v>153</v>
      </c>
      <c r="J24" s="177" t="s">
        <v>149</v>
      </c>
      <c r="K24" s="177"/>
      <c r="L24" s="177" t="s">
        <v>947</v>
      </c>
      <c r="O24" s="81">
        <v>1.07</v>
      </c>
      <c r="P24" s="81">
        <f t="shared" si="11"/>
        <v>9.7370000000000001</v>
      </c>
      <c r="W24" s="134"/>
    </row>
    <row r="25" spans="1:34" x14ac:dyDescent="0.25">
      <c r="B25" s="164">
        <v>43095</v>
      </c>
      <c r="C25" s="10">
        <v>200</v>
      </c>
      <c r="D25" s="39">
        <v>17.45</v>
      </c>
      <c r="E25" s="39">
        <v>17.43</v>
      </c>
      <c r="F25" s="39">
        <f t="shared" ref="F25:F32" si="12">C25*(E25-D25)</f>
        <v>-3.9999999999999147</v>
      </c>
      <c r="G25" s="39">
        <f t="shared" ref="G25:G32" si="13">D25*C25</f>
        <v>3490</v>
      </c>
      <c r="H25" s="179">
        <f t="shared" ref="H25:H32" si="14">(E25-D25)/D25</f>
        <v>-1.1461318051575688E-3</v>
      </c>
      <c r="I25" s="39">
        <v>17</v>
      </c>
      <c r="J25" s="39">
        <v>-3.9999999999999147</v>
      </c>
      <c r="K25" s="39"/>
      <c r="L25" s="39"/>
      <c r="O25" s="81">
        <v>1.06</v>
      </c>
      <c r="P25" s="81">
        <f t="shared" si="11"/>
        <v>9.6460000000000008</v>
      </c>
      <c r="W25" s="134"/>
    </row>
    <row r="26" spans="1:34" x14ac:dyDescent="0.25">
      <c r="B26" s="164">
        <v>43103</v>
      </c>
      <c r="C26" s="10">
        <v>200</v>
      </c>
      <c r="D26" s="39">
        <v>17.45</v>
      </c>
      <c r="E26" s="39">
        <v>18.149999999999999</v>
      </c>
      <c r="F26" s="39">
        <f t="shared" si="12"/>
        <v>139.99999999999986</v>
      </c>
      <c r="G26" s="39">
        <f t="shared" si="13"/>
        <v>3490</v>
      </c>
      <c r="H26" s="179">
        <f t="shared" si="14"/>
        <v>4.0114613180515721E-2</v>
      </c>
      <c r="I26" s="39"/>
      <c r="J26" s="39">
        <v>139.99999999999986</v>
      </c>
      <c r="K26" s="39"/>
      <c r="L26" s="39"/>
      <c r="O26" s="81">
        <v>1.05</v>
      </c>
      <c r="P26" s="81">
        <f t="shared" si="11"/>
        <v>9.5549999999999997</v>
      </c>
      <c r="W26" s="134"/>
    </row>
    <row r="27" spans="1:34" x14ac:dyDescent="0.25">
      <c r="B27" s="164">
        <v>43105</v>
      </c>
      <c r="C27" s="10">
        <v>200</v>
      </c>
      <c r="D27" s="39">
        <v>17.45</v>
      </c>
      <c r="E27" s="39">
        <v>18.54</v>
      </c>
      <c r="F27" s="39">
        <f t="shared" si="12"/>
        <v>217.99999999999997</v>
      </c>
      <c r="G27" s="39">
        <f t="shared" si="13"/>
        <v>3490</v>
      </c>
      <c r="H27" s="179">
        <f t="shared" si="14"/>
        <v>6.246418338108882E-2</v>
      </c>
      <c r="I27" s="39"/>
      <c r="J27" s="39">
        <v>217.99999999999997</v>
      </c>
      <c r="K27" s="39"/>
      <c r="L27" s="155"/>
      <c r="O27" s="81">
        <v>1.04</v>
      </c>
      <c r="P27" s="81">
        <f t="shared" si="11"/>
        <v>9.4640000000000004</v>
      </c>
      <c r="W27" s="134"/>
    </row>
    <row r="28" spans="1:34" x14ac:dyDescent="0.25">
      <c r="B28" s="164">
        <v>43117</v>
      </c>
      <c r="C28" s="10">
        <v>200</v>
      </c>
      <c r="D28" s="39">
        <v>17.45</v>
      </c>
      <c r="E28" s="39">
        <v>17.350000000000001</v>
      </c>
      <c r="F28" s="39">
        <f t="shared" si="12"/>
        <v>-19.999999999999574</v>
      </c>
      <c r="G28" s="39">
        <f t="shared" si="13"/>
        <v>3490</v>
      </c>
      <c r="H28" s="179">
        <f t="shared" si="14"/>
        <v>-5.730659025787844E-3</v>
      </c>
      <c r="I28" s="39"/>
      <c r="J28" s="39">
        <v>-19.999999999999574</v>
      </c>
      <c r="K28" s="39"/>
      <c r="L28" s="155"/>
      <c r="O28" s="81">
        <v>1.03</v>
      </c>
      <c r="P28" s="81">
        <f t="shared" si="11"/>
        <v>9.3729999999999993</v>
      </c>
      <c r="W28" s="134"/>
    </row>
    <row r="29" spans="1:34" x14ac:dyDescent="0.25">
      <c r="B29" s="164">
        <v>43124</v>
      </c>
      <c r="C29" s="10">
        <v>200</v>
      </c>
      <c r="D29" s="39">
        <v>17.45</v>
      </c>
      <c r="E29" s="39">
        <v>16.440000000000001</v>
      </c>
      <c r="F29" s="39">
        <f t="shared" si="12"/>
        <v>-201.9999999999996</v>
      </c>
      <c r="G29" s="39">
        <f t="shared" si="13"/>
        <v>3490</v>
      </c>
      <c r="H29" s="179">
        <f t="shared" si="14"/>
        <v>-5.7879656160458343E-2</v>
      </c>
      <c r="I29" s="39"/>
      <c r="J29" s="39">
        <v>-201.9999999999996</v>
      </c>
      <c r="K29" s="39"/>
      <c r="L29" s="155"/>
      <c r="O29" s="81">
        <v>1.02</v>
      </c>
      <c r="P29" s="81">
        <f t="shared" si="11"/>
        <v>9.282</v>
      </c>
      <c r="W29" s="134"/>
    </row>
    <row r="30" spans="1:34" x14ac:dyDescent="0.25">
      <c r="B30" s="164">
        <v>43178</v>
      </c>
      <c r="C30" s="7">
        <v>400</v>
      </c>
      <c r="D30" s="43">
        <v>15.74</v>
      </c>
      <c r="E30" s="39">
        <v>14.07</v>
      </c>
      <c r="F30" s="39">
        <f t="shared" si="12"/>
        <v>-668</v>
      </c>
      <c r="G30" s="39">
        <f t="shared" si="13"/>
        <v>6296</v>
      </c>
      <c r="H30" s="179">
        <f t="shared" si="14"/>
        <v>-0.10609911054637865</v>
      </c>
      <c r="I30" s="39"/>
      <c r="J30" s="39">
        <v>-668</v>
      </c>
      <c r="K30" s="39"/>
      <c r="L30" s="155"/>
      <c r="O30" s="81">
        <v>1.01</v>
      </c>
      <c r="P30" s="81">
        <f t="shared" si="11"/>
        <v>9.1909999999999989</v>
      </c>
      <c r="W30" s="134"/>
    </row>
    <row r="31" spans="1:34" x14ac:dyDescent="0.25">
      <c r="B31" s="164">
        <v>43184</v>
      </c>
      <c r="C31" s="10">
        <v>400</v>
      </c>
      <c r="D31" s="39">
        <v>15.74</v>
      </c>
      <c r="E31" s="39">
        <v>13.07</v>
      </c>
      <c r="F31" s="39">
        <f t="shared" si="12"/>
        <v>-1068</v>
      </c>
      <c r="G31" s="39">
        <f t="shared" si="13"/>
        <v>6296</v>
      </c>
      <c r="H31" s="179">
        <f t="shared" si="14"/>
        <v>-0.16963151207115629</v>
      </c>
      <c r="I31" s="39"/>
      <c r="J31" s="39">
        <v>-1068</v>
      </c>
      <c r="K31" s="39"/>
      <c r="L31" s="155"/>
      <c r="O31" s="81">
        <v>1</v>
      </c>
      <c r="P31" s="81">
        <f t="shared" si="11"/>
        <v>9.1</v>
      </c>
      <c r="W31" s="134"/>
    </row>
    <row r="32" spans="1:34" x14ac:dyDescent="0.25">
      <c r="A32">
        <v>200</v>
      </c>
      <c r="B32" s="164">
        <v>43185</v>
      </c>
      <c r="C32" s="10">
        <v>400</v>
      </c>
      <c r="D32" s="39">
        <v>15.74</v>
      </c>
      <c r="E32" s="39">
        <v>12.89</v>
      </c>
      <c r="F32" s="39">
        <f t="shared" si="12"/>
        <v>-1139.9999999999998</v>
      </c>
      <c r="G32" s="39">
        <f t="shared" si="13"/>
        <v>6296</v>
      </c>
      <c r="H32" s="179">
        <f t="shared" si="14"/>
        <v>-0.18106734434561625</v>
      </c>
      <c r="I32" s="39"/>
      <c r="J32" s="39">
        <v>-1139.9999999999998</v>
      </c>
      <c r="K32" s="39"/>
      <c r="L32" s="155"/>
      <c r="O32" s="81">
        <v>0.99</v>
      </c>
      <c r="P32" s="81">
        <f t="shared" si="11"/>
        <v>9.0090000000000003</v>
      </c>
      <c r="W32" s="134"/>
    </row>
    <row r="33" spans="1:23" x14ac:dyDescent="0.25">
      <c r="A33" s="29"/>
      <c r="B33" s="164">
        <v>43186</v>
      </c>
      <c r="C33" s="10">
        <v>400</v>
      </c>
      <c r="D33" s="39">
        <v>15.74</v>
      </c>
      <c r="E33" s="39">
        <v>13.44</v>
      </c>
      <c r="F33" s="39">
        <f t="shared" ref="F33:F47" si="15">C33*(E33-D33)</f>
        <v>-920.00000000000023</v>
      </c>
      <c r="G33" s="39">
        <f t="shared" ref="G33:G47" si="16">D33*C33</f>
        <v>6296</v>
      </c>
      <c r="H33" s="179">
        <f t="shared" ref="H33:H47" si="17">(E33-D33)/D33</f>
        <v>-0.1461245235069886</v>
      </c>
      <c r="I33" s="39"/>
      <c r="J33" s="39">
        <v>-920.00000000000023</v>
      </c>
      <c r="K33" s="39"/>
      <c r="L33" s="155"/>
      <c r="O33" s="81">
        <v>0.98</v>
      </c>
      <c r="P33" s="81">
        <f t="shared" si="11"/>
        <v>8.9179999999999993</v>
      </c>
      <c r="W33" s="134"/>
    </row>
    <row r="34" spans="1:23" x14ac:dyDescent="0.25">
      <c r="A34">
        <v>250</v>
      </c>
      <c r="B34" s="164">
        <v>43210</v>
      </c>
      <c r="C34" s="10">
        <v>250</v>
      </c>
      <c r="D34" s="39">
        <v>16.304200000000002</v>
      </c>
      <c r="E34" s="39">
        <v>14.8</v>
      </c>
      <c r="F34" s="39">
        <f t="shared" si="15"/>
        <v>-376.05000000000024</v>
      </c>
      <c r="G34" s="39">
        <f t="shared" si="16"/>
        <v>4076.05</v>
      </c>
      <c r="H34" s="179">
        <f t="shared" si="17"/>
        <v>-9.2258436476490763E-2</v>
      </c>
      <c r="I34" s="39"/>
      <c r="J34" s="39">
        <v>-376.05000000000024</v>
      </c>
      <c r="K34" s="39"/>
      <c r="L34" s="155"/>
      <c r="O34" s="81">
        <v>0.97</v>
      </c>
      <c r="P34" s="81">
        <f t="shared" si="11"/>
        <v>8.827</v>
      </c>
      <c r="W34" s="134"/>
    </row>
    <row r="35" spans="1:23" x14ac:dyDescent="0.25">
      <c r="A35">
        <v>150</v>
      </c>
      <c r="B35" s="164">
        <v>43236</v>
      </c>
      <c r="C35" s="10">
        <v>150</v>
      </c>
      <c r="D35" s="39">
        <v>16.953900000000001</v>
      </c>
      <c r="E35" s="39">
        <v>15.03</v>
      </c>
      <c r="F35" s="39">
        <f t="shared" si="15"/>
        <v>-288.58500000000021</v>
      </c>
      <c r="G35" s="39">
        <f t="shared" si="16"/>
        <v>2543.085</v>
      </c>
      <c r="H35" s="179">
        <f t="shared" si="17"/>
        <v>-0.11347831472404588</v>
      </c>
      <c r="I35" s="39"/>
      <c r="J35" s="39">
        <v>-288.58500000000021</v>
      </c>
      <c r="K35" s="39"/>
      <c r="L35" s="652">
        <v>15.82</v>
      </c>
      <c r="O35" s="81">
        <v>0.96</v>
      </c>
      <c r="P35" s="81">
        <f t="shared" si="11"/>
        <v>8.7359999999999989</v>
      </c>
      <c r="W35" s="134"/>
    </row>
    <row r="36" spans="1:23" x14ac:dyDescent="0.25">
      <c r="A36">
        <v>150</v>
      </c>
      <c r="B36" s="164">
        <v>43243</v>
      </c>
      <c r="C36" s="10">
        <v>300</v>
      </c>
      <c r="D36" s="39">
        <v>15.571899999999999</v>
      </c>
      <c r="E36" s="39">
        <v>14.18</v>
      </c>
      <c r="F36" s="39">
        <f t="shared" si="15"/>
        <v>-417.56999999999994</v>
      </c>
      <c r="G36" s="39">
        <f t="shared" si="16"/>
        <v>4671.57</v>
      </c>
      <c r="H36" s="179">
        <f t="shared" si="17"/>
        <v>-8.9385367232001217E-2</v>
      </c>
      <c r="I36" s="39"/>
      <c r="J36" s="39">
        <v>-417.56999999999994</v>
      </c>
      <c r="K36" s="39"/>
      <c r="L36" s="39"/>
      <c r="O36" s="81">
        <v>0.95</v>
      </c>
      <c r="P36" s="81">
        <f t="shared" si="11"/>
        <v>8.6449999999999996</v>
      </c>
      <c r="W36" s="134"/>
    </row>
    <row r="37" spans="1:23" x14ac:dyDescent="0.25">
      <c r="A37">
        <v>150</v>
      </c>
      <c r="B37" s="164">
        <v>43266</v>
      </c>
      <c r="C37" s="7">
        <v>400</v>
      </c>
      <c r="D37" s="43">
        <v>15.013999999999999</v>
      </c>
      <c r="E37" s="39">
        <v>13.3</v>
      </c>
      <c r="F37" s="39">
        <f t="shared" si="15"/>
        <v>-685.59999999999945</v>
      </c>
      <c r="G37" s="39">
        <f t="shared" si="16"/>
        <v>6005.5999999999995</v>
      </c>
      <c r="H37" s="179">
        <f t="shared" si="17"/>
        <v>-0.11416011722392425</v>
      </c>
      <c r="I37" s="39"/>
      <c r="J37" s="39">
        <v>-685.59999999999945</v>
      </c>
      <c r="K37" s="39"/>
      <c r="L37" s="39"/>
      <c r="O37" s="81">
        <v>0.94</v>
      </c>
      <c r="P37" s="81">
        <f t="shared" si="11"/>
        <v>8.5539999999999985</v>
      </c>
      <c r="W37" s="134"/>
    </row>
    <row r="38" spans="1:23" x14ac:dyDescent="0.25">
      <c r="A38">
        <v>200</v>
      </c>
      <c r="B38" s="164">
        <v>43287</v>
      </c>
      <c r="C38" s="10">
        <v>300</v>
      </c>
      <c r="D38" s="39">
        <v>15.418699999999999</v>
      </c>
      <c r="E38" s="39">
        <v>13.8</v>
      </c>
      <c r="F38" s="39">
        <f t="shared" si="15"/>
        <v>-485.60999999999962</v>
      </c>
      <c r="G38" s="39">
        <f t="shared" si="16"/>
        <v>4625.6099999999997</v>
      </c>
      <c r="H38" s="179">
        <f t="shared" si="17"/>
        <v>-0.1049829103620927</v>
      </c>
      <c r="I38" s="39"/>
      <c r="J38" s="39">
        <v>-485.60999999999962</v>
      </c>
      <c r="K38" s="39"/>
      <c r="L38" s="39"/>
      <c r="O38" s="81">
        <v>0.93</v>
      </c>
      <c r="P38" s="81">
        <f t="shared" si="11"/>
        <v>8.463000000000001</v>
      </c>
      <c r="W38" s="134"/>
    </row>
    <row r="39" spans="1:23" x14ac:dyDescent="0.25">
      <c r="A39">
        <v>300</v>
      </c>
      <c r="B39" s="164">
        <v>43301</v>
      </c>
      <c r="C39" s="7">
        <v>400</v>
      </c>
      <c r="D39" s="43">
        <v>14.834</v>
      </c>
      <c r="E39" s="39">
        <v>13.08</v>
      </c>
      <c r="F39" s="39">
        <f t="shared" si="15"/>
        <v>-701.5999999999998</v>
      </c>
      <c r="G39" s="39">
        <f t="shared" si="16"/>
        <v>5933.5999999999995</v>
      </c>
      <c r="H39" s="179">
        <f t="shared" si="17"/>
        <v>-0.11824187676958337</v>
      </c>
      <c r="I39" s="39"/>
      <c r="J39" s="39">
        <v>-701.5999999999998</v>
      </c>
      <c r="K39" s="39"/>
      <c r="L39" s="39">
        <v>13.79</v>
      </c>
      <c r="O39" s="81">
        <v>0.92</v>
      </c>
      <c r="P39" s="81">
        <f t="shared" si="11"/>
        <v>8.3719999999999999</v>
      </c>
      <c r="W39" s="134"/>
    </row>
    <row r="40" spans="1:23" x14ac:dyDescent="0.25">
      <c r="A40">
        <v>300</v>
      </c>
      <c r="B40" s="164">
        <v>43305</v>
      </c>
      <c r="C40" s="7">
        <v>400</v>
      </c>
      <c r="D40" s="43">
        <v>14.744</v>
      </c>
      <c r="E40" s="39">
        <v>13.12</v>
      </c>
      <c r="F40" s="39">
        <f t="shared" si="15"/>
        <v>-649.60000000000025</v>
      </c>
      <c r="G40" s="39">
        <f t="shared" si="16"/>
        <v>5897.6</v>
      </c>
      <c r="H40" s="179">
        <f t="shared" si="17"/>
        <v>-0.11014650027129684</v>
      </c>
      <c r="I40" s="39">
        <v>14</v>
      </c>
      <c r="J40" s="39">
        <v>-649.60000000000025</v>
      </c>
      <c r="K40" s="39" t="s">
        <v>184</v>
      </c>
      <c r="L40" s="39">
        <v>13.81</v>
      </c>
      <c r="O40" s="81">
        <v>0.91</v>
      </c>
      <c r="P40" s="81">
        <f t="shared" si="11"/>
        <v>8.2810000000000006</v>
      </c>
      <c r="W40" s="134"/>
    </row>
    <row r="41" spans="1:23" x14ac:dyDescent="0.25">
      <c r="A41">
        <v>200</v>
      </c>
      <c r="B41" s="164">
        <v>43312</v>
      </c>
      <c r="C41" s="10">
        <v>300</v>
      </c>
      <c r="D41" s="39">
        <v>15.125400000000001</v>
      </c>
      <c r="E41" s="39">
        <v>13.63</v>
      </c>
      <c r="F41" s="39">
        <f t="shared" si="15"/>
        <v>-448.62</v>
      </c>
      <c r="G41" s="39">
        <f t="shared" si="16"/>
        <v>4537.62</v>
      </c>
      <c r="H41" s="179">
        <f t="shared" si="17"/>
        <v>-9.8866806828249165E-2</v>
      </c>
      <c r="I41" s="39">
        <v>15</v>
      </c>
      <c r="J41" s="39">
        <v>-448.62</v>
      </c>
      <c r="K41" s="39"/>
      <c r="L41" s="39">
        <v>14.35</v>
      </c>
      <c r="O41" s="81">
        <v>0.9</v>
      </c>
      <c r="P41" s="81">
        <f t="shared" si="11"/>
        <v>8.19</v>
      </c>
      <c r="Q41" s="2"/>
      <c r="W41" s="134"/>
    </row>
    <row r="42" spans="1:23" x14ac:dyDescent="0.25">
      <c r="A42">
        <v>200</v>
      </c>
      <c r="B42" s="164">
        <v>43316</v>
      </c>
      <c r="C42" s="10">
        <v>300</v>
      </c>
      <c r="D42" s="39">
        <v>15.13</v>
      </c>
      <c r="E42" s="39">
        <v>13.14</v>
      </c>
      <c r="F42" s="39">
        <f t="shared" si="15"/>
        <v>-597.00000000000011</v>
      </c>
      <c r="G42" s="39">
        <f t="shared" si="16"/>
        <v>4539</v>
      </c>
      <c r="H42" s="179">
        <f t="shared" si="17"/>
        <v>-0.13152676801057503</v>
      </c>
      <c r="I42" s="39"/>
      <c r="J42" s="39">
        <v>-597.00000000000011</v>
      </c>
      <c r="K42" s="39"/>
      <c r="L42" s="39"/>
      <c r="Q42" s="2"/>
      <c r="W42" s="134"/>
    </row>
    <row r="43" spans="1:23" x14ac:dyDescent="0.25">
      <c r="A43">
        <v>200</v>
      </c>
      <c r="B43" s="164">
        <v>43320</v>
      </c>
      <c r="C43" s="7">
        <v>400</v>
      </c>
      <c r="D43" s="43">
        <v>14.5891</v>
      </c>
      <c r="E43" s="39">
        <v>13.05</v>
      </c>
      <c r="F43" s="39">
        <f t="shared" si="15"/>
        <v>-615.63999999999976</v>
      </c>
      <c r="G43" s="39">
        <f t="shared" si="16"/>
        <v>5835.64</v>
      </c>
      <c r="H43" s="179">
        <f t="shared" si="17"/>
        <v>-0.10549656935657439</v>
      </c>
      <c r="I43" s="39"/>
      <c r="J43" s="39">
        <v>-615.63999999999976</v>
      </c>
      <c r="K43" s="39"/>
      <c r="L43" s="39">
        <v>13.85</v>
      </c>
      <c r="Q43" s="2"/>
      <c r="W43" s="134"/>
    </row>
    <row r="44" spans="1:23" x14ac:dyDescent="0.25">
      <c r="B44" s="164">
        <v>43325</v>
      </c>
      <c r="C44" s="10">
        <v>600</v>
      </c>
      <c r="D44" s="39">
        <v>13.926</v>
      </c>
      <c r="E44" s="39">
        <v>12.45</v>
      </c>
      <c r="F44" s="39">
        <f t="shared" si="15"/>
        <v>-885.60000000000048</v>
      </c>
      <c r="G44" s="39">
        <f t="shared" si="16"/>
        <v>8355.6</v>
      </c>
      <c r="H44" s="179">
        <f t="shared" si="17"/>
        <v>-0.10598879793192595</v>
      </c>
      <c r="I44" s="39"/>
      <c r="J44" s="39">
        <v>-885.60000000000048</v>
      </c>
      <c r="K44" s="39"/>
      <c r="L44" s="39">
        <v>13.11</v>
      </c>
      <c r="Q44" s="2"/>
      <c r="W44" s="134"/>
    </row>
    <row r="45" spans="1:23" x14ac:dyDescent="0.25">
      <c r="B45" s="164">
        <v>43328</v>
      </c>
      <c r="C45" s="10">
        <v>600</v>
      </c>
      <c r="D45" s="39">
        <v>13.926</v>
      </c>
      <c r="E45" s="39">
        <v>12.3</v>
      </c>
      <c r="F45" s="39">
        <f t="shared" si="15"/>
        <v>-975.59999999999968</v>
      </c>
      <c r="G45" s="39">
        <f t="shared" si="16"/>
        <v>8355.6</v>
      </c>
      <c r="H45" s="179">
        <f t="shared" si="17"/>
        <v>-0.11676001723395084</v>
      </c>
      <c r="I45" s="39"/>
      <c r="J45" s="39">
        <v>-975.59999999999968</v>
      </c>
      <c r="K45" s="39"/>
      <c r="L45" s="39">
        <v>12.95</v>
      </c>
      <c r="Q45" s="2"/>
      <c r="W45" s="134"/>
    </row>
    <row r="46" spans="1:23" x14ac:dyDescent="0.25">
      <c r="A46">
        <v>100</v>
      </c>
      <c r="B46" s="164">
        <v>43339</v>
      </c>
      <c r="C46" s="7">
        <v>400</v>
      </c>
      <c r="D46" s="43">
        <v>14.5291</v>
      </c>
      <c r="E46" s="39">
        <v>12.77</v>
      </c>
      <c r="F46" s="39">
        <f t="shared" si="15"/>
        <v>-703.6400000000001</v>
      </c>
      <c r="G46" s="39">
        <f t="shared" si="16"/>
        <v>5811.6399999999994</v>
      </c>
      <c r="H46" s="179">
        <f t="shared" si="17"/>
        <v>-0.12107425786869112</v>
      </c>
      <c r="I46" s="39"/>
      <c r="J46" s="39">
        <v>-703.6400000000001</v>
      </c>
      <c r="K46" s="39"/>
      <c r="L46" s="39">
        <v>13.39</v>
      </c>
      <c r="Q46" s="2"/>
      <c r="W46" s="134"/>
    </row>
    <row r="47" spans="1:23" x14ac:dyDescent="0.25">
      <c r="B47" s="164">
        <v>43341</v>
      </c>
      <c r="C47" s="10">
        <v>400</v>
      </c>
      <c r="D47" s="39">
        <v>14.53</v>
      </c>
      <c r="E47" s="39">
        <v>12.97</v>
      </c>
      <c r="F47" s="39">
        <f t="shared" si="15"/>
        <v>-623.99999999999955</v>
      </c>
      <c r="G47" s="39">
        <f t="shared" si="16"/>
        <v>5812</v>
      </c>
      <c r="H47" s="179">
        <f t="shared" si="17"/>
        <v>-0.10736407432897445</v>
      </c>
      <c r="I47" s="39"/>
      <c r="J47" s="39">
        <v>-623.99999999999955</v>
      </c>
      <c r="K47" s="39"/>
      <c r="L47" s="39">
        <v>13.65</v>
      </c>
      <c r="Q47" s="2"/>
      <c r="W47" s="134"/>
    </row>
    <row r="48" spans="1:23" x14ac:dyDescent="0.25">
      <c r="B48" s="164">
        <v>43363</v>
      </c>
      <c r="C48" s="10">
        <v>400</v>
      </c>
      <c r="D48" s="39">
        <v>14.53</v>
      </c>
      <c r="E48" s="39">
        <v>12.46</v>
      </c>
      <c r="F48" s="39">
        <f t="shared" ref="F48:F60" si="18">C48*(E48-D48)</f>
        <v>-827.99999999999943</v>
      </c>
      <c r="G48" s="39">
        <f t="shared" ref="G48:G60" si="19">D48*C48</f>
        <v>5812</v>
      </c>
      <c r="H48" s="179">
        <f t="shared" ref="H48:H60" si="20">(E48-D48)/D48</f>
        <v>-0.14246386785960072</v>
      </c>
      <c r="I48" s="39"/>
      <c r="J48" s="39">
        <v>-827.99999999999943</v>
      </c>
      <c r="K48" s="39"/>
      <c r="L48" s="39">
        <v>13.12</v>
      </c>
      <c r="Q48" s="2"/>
    </row>
    <row r="49" spans="1:17" x14ac:dyDescent="0.25">
      <c r="B49" s="164">
        <v>43364</v>
      </c>
      <c r="C49" s="10">
        <v>400</v>
      </c>
      <c r="D49" s="39">
        <v>14.53</v>
      </c>
      <c r="E49" s="39">
        <v>12.17</v>
      </c>
      <c r="F49" s="39">
        <f t="shared" si="18"/>
        <v>-943.99999999999977</v>
      </c>
      <c r="G49" s="39">
        <f t="shared" si="19"/>
        <v>5812</v>
      </c>
      <c r="H49" s="179">
        <f t="shared" si="20"/>
        <v>-0.16242257398485888</v>
      </c>
      <c r="I49" s="39"/>
      <c r="J49" s="39">
        <v>-943.99999999999977</v>
      </c>
      <c r="K49" s="39"/>
      <c r="L49" s="39"/>
      <c r="Q49" s="2"/>
    </row>
    <row r="50" spans="1:17" x14ac:dyDescent="0.25">
      <c r="A50">
        <v>400</v>
      </c>
      <c r="B50" s="164">
        <v>43367</v>
      </c>
      <c r="C50" s="10">
        <v>600</v>
      </c>
      <c r="D50" s="39">
        <v>13.6028</v>
      </c>
      <c r="E50" s="39">
        <v>11.74</v>
      </c>
      <c r="F50" s="39">
        <f t="shared" si="18"/>
        <v>-1117.68</v>
      </c>
      <c r="G50" s="39">
        <f t="shared" si="19"/>
        <v>8161.68</v>
      </c>
      <c r="H50" s="179">
        <f t="shared" si="20"/>
        <v>-0.13694239421295615</v>
      </c>
      <c r="I50" s="39"/>
      <c r="J50" s="39">
        <v>-1117.68</v>
      </c>
      <c r="K50" s="39"/>
      <c r="L50" s="39">
        <v>12.36</v>
      </c>
      <c r="Q50" s="2"/>
    </row>
    <row r="51" spans="1:17" x14ac:dyDescent="0.25">
      <c r="A51">
        <v>200</v>
      </c>
      <c r="B51" s="164">
        <v>43374</v>
      </c>
      <c r="C51" s="7">
        <v>400</v>
      </c>
      <c r="D51" s="43">
        <v>13.904199999999999</v>
      </c>
      <c r="E51" s="39">
        <v>12.09</v>
      </c>
      <c r="F51" s="39">
        <f t="shared" si="18"/>
        <v>-725.67999999999984</v>
      </c>
      <c r="G51" s="39">
        <f t="shared" si="19"/>
        <v>5561.6799999999994</v>
      </c>
      <c r="H51" s="179">
        <f t="shared" si="20"/>
        <v>-0.13047856043497646</v>
      </c>
      <c r="I51" s="39"/>
      <c r="J51" s="39">
        <v>-725.67999999999984</v>
      </c>
      <c r="K51" s="39"/>
      <c r="L51" s="39">
        <v>12.73</v>
      </c>
      <c r="Q51" s="2"/>
    </row>
    <row r="52" spans="1:17" x14ac:dyDescent="0.25">
      <c r="A52">
        <v>100</v>
      </c>
      <c r="B52" s="164">
        <v>43381</v>
      </c>
      <c r="C52" s="10">
        <v>300</v>
      </c>
      <c r="D52" s="39">
        <v>13.9323</v>
      </c>
      <c r="E52" s="39">
        <v>13.61</v>
      </c>
      <c r="F52" s="39">
        <f t="shared" si="18"/>
        <v>-96.690000000000083</v>
      </c>
      <c r="G52" s="39">
        <f t="shared" si="19"/>
        <v>4179.6899999999996</v>
      </c>
      <c r="H52" s="179">
        <f t="shared" si="20"/>
        <v>-2.313329457447803E-2</v>
      </c>
      <c r="I52" s="39"/>
      <c r="J52" s="39">
        <v>-96.690000000000083</v>
      </c>
      <c r="K52" s="39"/>
      <c r="L52" s="39">
        <v>14.33</v>
      </c>
      <c r="Q52" s="2"/>
    </row>
    <row r="53" spans="1:17" x14ac:dyDescent="0.25">
      <c r="A53">
        <v>0</v>
      </c>
      <c r="B53" s="164">
        <v>43382</v>
      </c>
      <c r="C53" s="10">
        <v>200</v>
      </c>
      <c r="D53" s="39">
        <v>14.0486</v>
      </c>
      <c r="E53" s="39">
        <v>13.55</v>
      </c>
      <c r="F53" s="39">
        <f t="shared" si="18"/>
        <v>-99.719999999999942</v>
      </c>
      <c r="G53" s="39">
        <f t="shared" si="19"/>
        <v>2809.7200000000003</v>
      </c>
      <c r="H53" s="179">
        <f t="shared" si="20"/>
        <v>-3.5491080961803999E-2</v>
      </c>
      <c r="I53" s="39"/>
      <c r="J53" s="39">
        <v>-99.719999999999942</v>
      </c>
      <c r="K53" s="39"/>
      <c r="L53" s="39">
        <v>14.26</v>
      </c>
      <c r="Q53" s="2"/>
    </row>
    <row r="54" spans="1:17" x14ac:dyDescent="0.25">
      <c r="A54" s="4">
        <v>200</v>
      </c>
      <c r="B54" s="164">
        <v>43398</v>
      </c>
      <c r="C54" s="10">
        <v>200</v>
      </c>
      <c r="D54" s="39">
        <v>13.8086</v>
      </c>
      <c r="E54" s="39">
        <v>11.8</v>
      </c>
      <c r="F54" s="39">
        <f t="shared" si="18"/>
        <v>-401.71999999999991</v>
      </c>
      <c r="G54" s="39">
        <f t="shared" si="19"/>
        <v>2761.7200000000003</v>
      </c>
      <c r="H54" s="179">
        <f t="shared" si="20"/>
        <v>-0.14546007560505769</v>
      </c>
      <c r="I54" s="39"/>
      <c r="J54" s="39">
        <v>-401.71999999999991</v>
      </c>
      <c r="K54" s="39"/>
      <c r="L54" s="39">
        <v>12.81</v>
      </c>
    </row>
    <row r="55" spans="1:17" x14ac:dyDescent="0.25">
      <c r="A55" s="4">
        <v>200</v>
      </c>
      <c r="B55" s="164">
        <v>43402</v>
      </c>
      <c r="C55" s="10">
        <v>200</v>
      </c>
      <c r="D55" s="39">
        <v>13.81</v>
      </c>
      <c r="E55" s="39">
        <v>11.16</v>
      </c>
      <c r="F55" s="39">
        <f t="shared" si="18"/>
        <v>-530.00000000000011</v>
      </c>
      <c r="G55" s="39">
        <f t="shared" si="19"/>
        <v>2762</v>
      </c>
      <c r="H55" s="179">
        <f t="shared" si="20"/>
        <v>-0.19188993482983346</v>
      </c>
      <c r="I55" s="39"/>
      <c r="J55" s="39">
        <v>-530.00000000000011</v>
      </c>
      <c r="K55" s="39"/>
      <c r="L55" s="39">
        <v>11.75</v>
      </c>
    </row>
    <row r="56" spans="1:17" x14ac:dyDescent="0.25">
      <c r="A56" s="4">
        <v>200</v>
      </c>
      <c r="B56" s="164">
        <v>43403</v>
      </c>
      <c r="C56" s="7">
        <v>400</v>
      </c>
      <c r="D56" s="43">
        <v>12.004300000000001</v>
      </c>
      <c r="E56" s="39">
        <v>10.199999999999999</v>
      </c>
      <c r="F56" s="39">
        <f t="shared" si="18"/>
        <v>-721.72000000000048</v>
      </c>
      <c r="G56" s="39">
        <f t="shared" si="19"/>
        <v>4801.72</v>
      </c>
      <c r="H56" s="179">
        <f t="shared" si="20"/>
        <v>-0.15030447423006765</v>
      </c>
      <c r="I56" s="39"/>
      <c r="J56" s="39">
        <v>-721.72000000000048</v>
      </c>
      <c r="K56" s="39"/>
      <c r="L56" s="39">
        <v>10.74</v>
      </c>
    </row>
    <row r="57" spans="1:17" x14ac:dyDescent="0.25">
      <c r="A57" s="4">
        <v>200</v>
      </c>
      <c r="B57" s="164">
        <v>43407</v>
      </c>
      <c r="C57" s="10">
        <v>400</v>
      </c>
      <c r="D57" s="39">
        <v>12</v>
      </c>
      <c r="E57" s="39">
        <v>9.2899999999999991</v>
      </c>
      <c r="F57" s="39">
        <f t="shared" si="18"/>
        <v>-1084.0000000000005</v>
      </c>
      <c r="G57" s="39">
        <f t="shared" si="19"/>
        <v>4800</v>
      </c>
      <c r="H57" s="179">
        <f t="shared" si="20"/>
        <v>-0.22583333333333341</v>
      </c>
      <c r="I57" s="39"/>
      <c r="J57" s="39">
        <v>-1084.0000000000005</v>
      </c>
      <c r="K57" s="39"/>
      <c r="L57" s="39">
        <v>9.7799999999999994</v>
      </c>
    </row>
    <row r="58" spans="1:17" x14ac:dyDescent="0.25">
      <c r="A58" s="4"/>
      <c r="B58" s="164">
        <v>43416</v>
      </c>
      <c r="C58" s="10">
        <v>400</v>
      </c>
      <c r="D58" s="39">
        <v>12</v>
      </c>
      <c r="E58" s="39">
        <v>7.99</v>
      </c>
      <c r="F58" s="39">
        <f t="shared" si="18"/>
        <v>-1604</v>
      </c>
      <c r="G58" s="39">
        <f t="shared" si="19"/>
        <v>4800</v>
      </c>
      <c r="H58" s="179">
        <f t="shared" si="20"/>
        <v>-0.33416666666666667</v>
      </c>
      <c r="I58" s="39"/>
      <c r="J58" s="39">
        <v>-1604</v>
      </c>
      <c r="K58" s="39"/>
      <c r="L58" s="39"/>
    </row>
    <row r="59" spans="1:17" x14ac:dyDescent="0.25">
      <c r="A59" s="4">
        <v>200</v>
      </c>
      <c r="B59" s="164">
        <v>43420</v>
      </c>
      <c r="C59" s="359">
        <v>800</v>
      </c>
      <c r="D59" s="360">
        <v>9.8772000000000002</v>
      </c>
      <c r="E59" s="39">
        <v>8.02</v>
      </c>
      <c r="F59" s="39">
        <f t="shared" si="18"/>
        <v>-1485.7600000000004</v>
      </c>
      <c r="G59" s="39">
        <f t="shared" si="19"/>
        <v>7901.76</v>
      </c>
      <c r="H59" s="179">
        <f t="shared" si="20"/>
        <v>-0.1880289960717613</v>
      </c>
      <c r="I59" s="39"/>
      <c r="J59" s="39">
        <v>-1485.7600000000004</v>
      </c>
      <c r="K59" s="39"/>
      <c r="L59" s="39">
        <v>8.44</v>
      </c>
    </row>
    <row r="60" spans="1:17" x14ac:dyDescent="0.25">
      <c r="A60" s="4">
        <v>400</v>
      </c>
      <c r="B60" s="164">
        <v>43467</v>
      </c>
      <c r="C60" s="7">
        <v>400</v>
      </c>
      <c r="D60" s="43">
        <v>11.6144</v>
      </c>
      <c r="E60" s="39">
        <v>8.0500000000000007</v>
      </c>
      <c r="F60" s="39">
        <f t="shared" si="18"/>
        <v>-1425.7599999999998</v>
      </c>
      <c r="G60" s="39">
        <f t="shared" si="19"/>
        <v>4645.76</v>
      </c>
      <c r="H60" s="179">
        <f t="shared" si="20"/>
        <v>-0.30689488910318219</v>
      </c>
      <c r="I60" s="39">
        <v>11</v>
      </c>
      <c r="J60" s="39">
        <v>-1425.7599999999998</v>
      </c>
      <c r="K60" s="39"/>
      <c r="L60" s="39">
        <v>8.4700000000000006</v>
      </c>
    </row>
    <row r="61" spans="1:17" x14ac:dyDescent="0.25">
      <c r="A61" s="4"/>
      <c r="B61" s="164">
        <v>43472</v>
      </c>
      <c r="C61" s="10">
        <v>0</v>
      </c>
      <c r="D61" s="39">
        <v>11.61</v>
      </c>
      <c r="E61" s="39">
        <v>8.74</v>
      </c>
      <c r="F61" s="39"/>
      <c r="G61" s="39"/>
      <c r="H61" s="179"/>
      <c r="I61" s="39"/>
      <c r="J61" s="39">
        <v>-1141.81</v>
      </c>
      <c r="K61" s="39"/>
      <c r="L61" s="39">
        <v>9.1999999999999993</v>
      </c>
    </row>
    <row r="62" spans="1:17" x14ac:dyDescent="0.25">
      <c r="A62" s="4"/>
      <c r="B62" s="164">
        <v>43490</v>
      </c>
      <c r="C62" s="10">
        <v>0</v>
      </c>
      <c r="D62" s="39"/>
      <c r="E62" s="39">
        <v>9.16</v>
      </c>
      <c r="F62" s="39"/>
      <c r="G62" s="39"/>
      <c r="H62" s="179"/>
      <c r="I62" s="39"/>
      <c r="J62" s="39">
        <v>-1133.81</v>
      </c>
      <c r="K62" s="39"/>
      <c r="L62" s="39"/>
    </row>
    <row r="63" spans="1:17" x14ac:dyDescent="0.25">
      <c r="A63" s="4"/>
      <c r="B63" s="164"/>
      <c r="C63" s="10"/>
      <c r="D63" s="39"/>
      <c r="E63" s="39"/>
      <c r="F63" s="39"/>
      <c r="G63" s="39"/>
      <c r="H63" s="179"/>
      <c r="I63" s="39"/>
      <c r="J63" s="39"/>
      <c r="K63" s="39"/>
      <c r="L63" s="39"/>
    </row>
    <row r="64" spans="1:17" x14ac:dyDescent="0.25">
      <c r="A64" s="4"/>
      <c r="B64" s="164"/>
      <c r="C64" s="10"/>
      <c r="D64" s="39"/>
      <c r="E64" s="39"/>
      <c r="F64" s="39"/>
      <c r="G64" s="39"/>
      <c r="H64" s="179"/>
      <c r="I64" s="39"/>
      <c r="J64" s="39"/>
      <c r="K64" s="39"/>
      <c r="L64" s="39"/>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0</v>
      </c>
    </row>
    <row r="67" spans="1:1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13" x14ac:dyDescent="0.25">
      <c r="A68" s="442" t="s">
        <v>757</v>
      </c>
      <c r="B68" s="426"/>
      <c r="C68" s="427"/>
      <c r="D68" s="429"/>
      <c r="E68" s="429"/>
      <c r="F68" s="429"/>
      <c r="G68" s="426"/>
      <c r="H68" s="443"/>
      <c r="I68" s="429"/>
      <c r="J68" s="429"/>
      <c r="K68" s="429"/>
      <c r="L68" s="426"/>
      <c r="M68" s="429"/>
    </row>
    <row r="69" spans="1:13" x14ac:dyDescent="0.25">
      <c r="A69" s="444" t="s">
        <v>71</v>
      </c>
      <c r="B69" s="426"/>
      <c r="C69" s="427"/>
      <c r="D69" s="429"/>
      <c r="E69" s="429"/>
      <c r="F69" s="429"/>
      <c r="G69" s="426"/>
      <c r="H69" s="443"/>
      <c r="I69" s="429"/>
      <c r="J69" s="429"/>
      <c r="K69" s="429"/>
      <c r="L69" s="427"/>
      <c r="M69" s="427"/>
    </row>
    <row r="70" spans="1:13" x14ac:dyDescent="0.25">
      <c r="A70" s="427"/>
      <c r="B70" s="426"/>
      <c r="C70" s="427"/>
      <c r="D70" s="429"/>
      <c r="E70" s="429"/>
      <c r="F70" s="429"/>
      <c r="G70" s="426"/>
      <c r="H70" s="443"/>
      <c r="I70" s="429"/>
      <c r="J70" s="429"/>
      <c r="K70" s="429"/>
      <c r="L70" s="427"/>
      <c r="M70" s="427"/>
    </row>
    <row r="71" spans="1:13" x14ac:dyDescent="0.25">
      <c r="A71" s="427"/>
      <c r="B71" s="426"/>
      <c r="C71" s="427"/>
      <c r="D71" s="429"/>
      <c r="E71" s="429"/>
      <c r="F71" s="429"/>
      <c r="G71" s="427"/>
      <c r="H71" s="443"/>
      <c r="I71" s="429"/>
      <c r="J71" s="429"/>
      <c r="K71" s="429"/>
      <c r="L71" s="427"/>
      <c r="M71" s="427"/>
    </row>
    <row r="72" spans="1:13" x14ac:dyDescent="0.25">
      <c r="A72" s="427"/>
      <c r="B72" s="426"/>
      <c r="C72" s="427"/>
      <c r="D72" s="429"/>
      <c r="E72" s="429"/>
      <c r="F72" s="429"/>
      <c r="G72" s="427"/>
      <c r="H72" s="443"/>
      <c r="I72" s="429"/>
      <c r="J72" s="429"/>
      <c r="K72" s="429"/>
      <c r="L72" s="427"/>
      <c r="M72" s="427"/>
    </row>
    <row r="73" spans="1:13" x14ac:dyDescent="0.25">
      <c r="A73" s="427"/>
      <c r="B73" s="427"/>
      <c r="C73" s="427"/>
      <c r="D73" s="429"/>
      <c r="E73" s="429"/>
      <c r="F73" s="429"/>
      <c r="G73" s="427"/>
      <c r="H73" s="443"/>
      <c r="I73" s="429"/>
      <c r="J73" s="429"/>
      <c r="K73" s="429"/>
      <c r="L73" s="427"/>
      <c r="M73" s="427"/>
    </row>
    <row r="74" spans="1:13" x14ac:dyDescent="0.25">
      <c r="A74" s="427"/>
      <c r="B74" s="427"/>
      <c r="C74" s="427"/>
      <c r="D74" s="429"/>
      <c r="E74" s="429"/>
      <c r="F74" s="429"/>
      <c r="G74" s="427"/>
      <c r="H74" s="443"/>
      <c r="I74" s="429"/>
      <c r="J74" s="429"/>
      <c r="K74" s="429"/>
      <c r="L74" s="427"/>
      <c r="M74" s="427"/>
    </row>
    <row r="75" spans="1:13" x14ac:dyDescent="0.25">
      <c r="A75" s="427"/>
      <c r="B75" s="427"/>
      <c r="C75" s="427"/>
      <c r="D75" s="429"/>
      <c r="E75" s="429"/>
      <c r="F75" s="429"/>
      <c r="G75" s="427"/>
      <c r="H75" s="443"/>
      <c r="I75" s="429"/>
      <c r="J75" s="429"/>
      <c r="K75" s="429"/>
      <c r="L75" s="427"/>
      <c r="M75" s="427"/>
    </row>
    <row r="76" spans="1:13" x14ac:dyDescent="0.25">
      <c r="A76" s="427"/>
      <c r="B76" s="427"/>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A88" s="298"/>
      <c r="B88" s="414" t="s">
        <v>113</v>
      </c>
      <c r="C88" s="414" t="s">
        <v>145</v>
      </c>
      <c r="D88" s="415" t="s">
        <v>144</v>
      </c>
      <c r="E88" s="416" t="s">
        <v>146</v>
      </c>
      <c r="F88" s="416" t="s">
        <v>65</v>
      </c>
      <c r="G88" s="418" t="s">
        <v>150</v>
      </c>
      <c r="H88" s="418" t="s">
        <v>88</v>
      </c>
      <c r="I88" s="418" t="s">
        <v>153</v>
      </c>
      <c r="J88" s="299"/>
      <c r="K88" s="299"/>
      <c r="L88" s="298"/>
      <c r="M88" s="298"/>
    </row>
    <row r="89" spans="1:13" x14ac:dyDescent="0.25">
      <c r="A89" s="298"/>
      <c r="B89" s="297"/>
      <c r="C89" s="298"/>
      <c r="D89" s="299"/>
      <c r="E89" s="299"/>
      <c r="F89" s="299"/>
      <c r="G89" s="299"/>
      <c r="H89" s="300"/>
      <c r="I89" s="299"/>
      <c r="J89" s="299"/>
      <c r="K89" s="299"/>
      <c r="L89" s="298"/>
      <c r="M89" s="298"/>
    </row>
    <row r="90" spans="1:13" x14ac:dyDescent="0.25">
      <c r="A90" s="298"/>
      <c r="B90" s="297"/>
      <c r="C90" s="298"/>
      <c r="D90" s="299"/>
      <c r="E90" s="299"/>
      <c r="F90" s="299"/>
      <c r="G90" s="299"/>
      <c r="H90" s="300"/>
      <c r="I90" s="299"/>
      <c r="J90" s="299"/>
      <c r="K90" s="299"/>
      <c r="L90" s="298"/>
      <c r="M90" s="298"/>
    </row>
    <row r="91" spans="1:13" x14ac:dyDescent="0.25">
      <c r="A91" s="298"/>
      <c r="B91" s="297"/>
      <c r="C91" s="298"/>
      <c r="D91" s="299"/>
      <c r="E91" s="299"/>
      <c r="F91" s="299"/>
      <c r="G91" s="299"/>
      <c r="H91" s="300"/>
      <c r="I91" s="299"/>
      <c r="J91" s="299"/>
      <c r="K91" s="299"/>
      <c r="L91" s="298"/>
      <c r="M91" s="298"/>
    </row>
    <row r="92" spans="1:13" x14ac:dyDescent="0.25">
      <c r="A92" s="298"/>
      <c r="B92" s="297"/>
      <c r="C92" s="298"/>
      <c r="D92" s="299"/>
      <c r="E92" s="299"/>
      <c r="F92" s="299"/>
      <c r="G92" s="299"/>
      <c r="H92" s="300"/>
      <c r="I92" s="299"/>
      <c r="J92" s="299"/>
      <c r="K92" s="299"/>
      <c r="L92" s="298"/>
      <c r="M92" s="298"/>
    </row>
    <row r="93" spans="1:13" x14ac:dyDescent="0.25">
      <c r="A93" s="298"/>
      <c r="B93" s="297"/>
      <c r="C93" s="298"/>
      <c r="D93" s="299"/>
      <c r="E93" s="299"/>
      <c r="F93" s="299"/>
      <c r="G93" s="299"/>
      <c r="H93" s="300"/>
      <c r="I93" s="299"/>
      <c r="J93" s="299"/>
      <c r="K93" s="299"/>
      <c r="L93" s="298"/>
      <c r="M93" s="298"/>
    </row>
    <row r="94" spans="1:13" x14ac:dyDescent="0.25">
      <c r="A94" s="298"/>
      <c r="B94" s="297"/>
      <c r="C94" s="298"/>
      <c r="D94" s="299"/>
      <c r="E94" s="299"/>
      <c r="F94" s="299"/>
      <c r="G94" s="299"/>
      <c r="H94" s="300"/>
      <c r="I94" s="299"/>
      <c r="J94" s="299"/>
      <c r="K94" s="299"/>
      <c r="L94" s="298"/>
      <c r="M94" s="298"/>
    </row>
    <row r="95" spans="1:13" x14ac:dyDescent="0.25">
      <c r="A95" s="298"/>
      <c r="B95" s="297"/>
      <c r="C95" s="298"/>
      <c r="D95" s="299"/>
      <c r="E95" s="299"/>
      <c r="F95" s="299"/>
      <c r="G95" s="299"/>
      <c r="H95" s="300"/>
      <c r="I95" s="299"/>
      <c r="J95" s="299"/>
      <c r="K95" s="299"/>
      <c r="L95" s="298"/>
      <c r="M95" s="298"/>
    </row>
    <row r="96" spans="1:13" x14ac:dyDescent="0.25">
      <c r="A96" s="298"/>
      <c r="B96" s="297"/>
      <c r="C96" s="298"/>
      <c r="D96" s="299"/>
      <c r="E96" s="299"/>
      <c r="F96" s="299"/>
      <c r="G96" s="299"/>
      <c r="H96" s="300"/>
      <c r="I96" s="299"/>
      <c r="J96" s="299"/>
      <c r="K96" s="299"/>
      <c r="L96" s="298"/>
      <c r="M96" s="298"/>
    </row>
    <row r="97" spans="1:13" x14ac:dyDescent="0.25">
      <c r="A97" s="298"/>
      <c r="B97" s="297"/>
      <c r="C97" s="298"/>
      <c r="D97" s="299"/>
      <c r="E97" s="299"/>
      <c r="F97" s="299"/>
      <c r="G97" s="299"/>
      <c r="H97" s="300"/>
      <c r="I97" s="299"/>
      <c r="J97" s="299"/>
      <c r="K97" s="299"/>
      <c r="L97" s="298"/>
      <c r="M97" s="298"/>
    </row>
    <row r="98" spans="1:13" x14ac:dyDescent="0.25">
      <c r="A98" s="298"/>
      <c r="B98" s="297"/>
      <c r="C98" s="298"/>
      <c r="D98" s="299"/>
      <c r="E98" s="299"/>
      <c r="F98" s="299"/>
      <c r="G98" s="299"/>
      <c r="H98" s="300"/>
      <c r="I98" s="299"/>
      <c r="J98" s="299"/>
      <c r="K98" s="299"/>
      <c r="L98" s="298"/>
      <c r="M98" s="298"/>
    </row>
    <row r="99" spans="1:13" x14ac:dyDescent="0.25">
      <c r="A99" s="298"/>
      <c r="B99" s="297"/>
      <c r="C99" s="298"/>
      <c r="D99" s="299"/>
      <c r="E99" s="299"/>
      <c r="F99" s="299"/>
      <c r="G99" s="299"/>
      <c r="H99" s="300"/>
      <c r="I99" s="299"/>
      <c r="J99" s="299"/>
      <c r="K99" s="299"/>
      <c r="L99" s="298"/>
      <c r="M99" s="298"/>
    </row>
    <row r="100" spans="1:13" x14ac:dyDescent="0.25">
      <c r="A100" s="298"/>
      <c r="B100" s="297"/>
      <c r="C100" s="298"/>
      <c r="D100" s="299"/>
      <c r="E100" s="299"/>
      <c r="F100" s="299"/>
      <c r="G100" s="299"/>
      <c r="H100" s="300"/>
      <c r="I100" s="299"/>
      <c r="J100" s="299"/>
      <c r="K100" s="299"/>
      <c r="L100" s="298"/>
      <c r="M100" s="298"/>
    </row>
    <row r="101" spans="1:13" x14ac:dyDescent="0.25">
      <c r="A101" s="298"/>
      <c r="B101" s="297"/>
      <c r="C101" s="298"/>
      <c r="D101" s="299"/>
      <c r="E101" s="299"/>
      <c r="F101" s="299"/>
      <c r="G101" s="299"/>
      <c r="H101" s="300"/>
      <c r="I101" s="299"/>
      <c r="J101" s="299"/>
      <c r="K101" s="299"/>
      <c r="L101" s="298"/>
      <c r="M101" s="298"/>
    </row>
    <row r="102" spans="1:13" x14ac:dyDescent="0.25">
      <c r="A102" s="298"/>
      <c r="B102" s="297"/>
      <c r="C102" s="298"/>
      <c r="D102" s="299"/>
      <c r="E102" s="299"/>
      <c r="F102" s="299"/>
      <c r="G102" s="299"/>
      <c r="H102" s="300"/>
      <c r="I102" s="299"/>
      <c r="J102" s="299"/>
      <c r="K102" s="299"/>
      <c r="L102" s="298"/>
      <c r="M102" s="298"/>
    </row>
    <row r="103" spans="1:13" x14ac:dyDescent="0.25">
      <c r="A103" s="298"/>
      <c r="B103" s="297"/>
      <c r="C103" s="298"/>
      <c r="D103" s="299"/>
      <c r="E103" s="299"/>
      <c r="F103" s="299"/>
      <c r="G103" s="299"/>
      <c r="H103" s="300"/>
      <c r="I103" s="299"/>
      <c r="J103" s="299"/>
      <c r="K103" s="299"/>
      <c r="L103" s="298"/>
      <c r="M103" s="298"/>
    </row>
    <row r="104" spans="1:13" x14ac:dyDescent="0.25">
      <c r="A104" s="298"/>
      <c r="B104" s="297"/>
      <c r="C104" s="298"/>
      <c r="D104" s="299"/>
      <c r="E104" s="299"/>
      <c r="F104" s="299"/>
      <c r="G104" s="299"/>
      <c r="H104" s="300"/>
      <c r="I104" s="299"/>
      <c r="J104" s="299"/>
      <c r="K104" s="299"/>
      <c r="L104" s="298"/>
      <c r="M104" s="298"/>
    </row>
    <row r="105" spans="1:13" x14ac:dyDescent="0.25">
      <c r="A105" s="298"/>
      <c r="B105" s="297"/>
      <c r="C105" s="298"/>
      <c r="D105" s="299"/>
      <c r="E105" s="299"/>
      <c r="F105" s="299"/>
      <c r="G105" s="299"/>
      <c r="H105" s="300"/>
      <c r="I105" s="299"/>
      <c r="J105" s="299"/>
      <c r="K105" s="299"/>
      <c r="L105" s="298"/>
      <c r="M105" s="298"/>
    </row>
    <row r="106" spans="1:13" x14ac:dyDescent="0.25">
      <c r="A106" s="298"/>
      <c r="B106" s="297"/>
      <c r="C106" s="298"/>
      <c r="D106" s="299"/>
      <c r="E106" s="299"/>
      <c r="F106" s="299"/>
      <c r="G106" s="299"/>
      <c r="H106" s="300"/>
      <c r="I106" s="299"/>
      <c r="J106" s="299"/>
      <c r="K106" s="299"/>
      <c r="L106" s="298"/>
      <c r="M106" s="298"/>
    </row>
    <row r="107" spans="1:13" x14ac:dyDescent="0.25">
      <c r="A107" s="298"/>
      <c r="B107" s="297"/>
      <c r="C107" s="298"/>
      <c r="D107" s="299"/>
      <c r="E107" s="299"/>
      <c r="F107" s="299"/>
      <c r="G107" s="299"/>
      <c r="H107" s="300"/>
      <c r="I107" s="299"/>
      <c r="J107" s="299"/>
      <c r="K107" s="299"/>
      <c r="L107" s="298"/>
      <c r="M107" s="298"/>
    </row>
    <row r="108" spans="1:13" x14ac:dyDescent="0.25">
      <c r="A108" s="298"/>
      <c r="B108" s="297"/>
      <c r="C108" s="298"/>
      <c r="D108" s="299"/>
      <c r="E108" s="299"/>
      <c r="F108" s="299"/>
      <c r="G108" s="299"/>
      <c r="H108" s="300"/>
      <c r="I108" s="299"/>
      <c r="J108" s="299"/>
      <c r="K108" s="299"/>
      <c r="L108" s="298"/>
      <c r="M108" s="298"/>
    </row>
    <row r="109" spans="1:13" x14ac:dyDescent="0.25">
      <c r="A109" s="298"/>
      <c r="B109" s="297"/>
      <c r="C109" s="298"/>
      <c r="D109" s="299"/>
      <c r="E109" s="299"/>
      <c r="F109" s="299"/>
      <c r="G109" s="299"/>
      <c r="H109" s="300"/>
      <c r="I109" s="299"/>
      <c r="J109" s="299"/>
      <c r="K109" s="299"/>
      <c r="L109" s="298"/>
      <c r="M109" s="298"/>
    </row>
    <row r="110" spans="1:13" x14ac:dyDescent="0.25">
      <c r="A110" s="298"/>
      <c r="B110" s="297"/>
      <c r="C110" s="298"/>
      <c r="D110" s="299"/>
      <c r="E110" s="299"/>
      <c r="F110" s="299"/>
      <c r="G110" s="299"/>
      <c r="H110" s="300"/>
      <c r="I110" s="299"/>
      <c r="J110" s="299"/>
      <c r="K110" s="299"/>
      <c r="L110" s="298"/>
      <c r="M110" s="298"/>
    </row>
  </sheetData>
  <mergeCells count="1">
    <mergeCell ref="O20:P20"/>
  </mergeCells>
  <conditionalFormatting sqref="O21:O41">
    <cfRule type="colorScale" priority="34">
      <colorScale>
        <cfvo type="min"/>
        <cfvo type="percentile" val="50"/>
        <cfvo type="max"/>
        <color rgb="FFF8696B"/>
        <color rgb="FFFFEB84"/>
        <color rgb="FF63BE7B"/>
      </colorScale>
    </cfRule>
  </conditionalFormatting>
  <conditionalFormatting sqref="P21:P41">
    <cfRule type="colorScale" priority="33">
      <colorScale>
        <cfvo type="min"/>
        <cfvo type="percentile" val="50"/>
        <cfvo type="max"/>
        <color rgb="FFF8696B"/>
        <color rgb="FFFFEB84"/>
        <color rgb="FF63BE7B"/>
      </colorScale>
    </cfRule>
  </conditionalFormatting>
  <conditionalFormatting sqref="Q7">
    <cfRule type="expression" dxfId="2550" priority="27">
      <formula>Q7&gt;0</formula>
    </cfRule>
    <cfRule type="expression" dxfId="2549" priority="28">
      <formula>Q7&lt;0</formula>
    </cfRule>
  </conditionalFormatting>
  <conditionalFormatting sqref="Q8">
    <cfRule type="expression" dxfId="2548" priority="25">
      <formula>Q8&gt;0</formula>
    </cfRule>
    <cfRule type="expression" dxfId="2547" priority="26">
      <formula>Q8&lt;0</formula>
    </cfRule>
  </conditionalFormatting>
  <conditionalFormatting sqref="F25:F30 F34:F64">
    <cfRule type="expression" dxfId="2546" priority="23">
      <formula>F25&gt;0</formula>
    </cfRule>
    <cfRule type="expression" dxfId="2545" priority="24">
      <formula>F25&lt;0</formula>
    </cfRule>
  </conditionalFormatting>
  <conditionalFormatting sqref="H25:H30 H34:H64">
    <cfRule type="expression" dxfId="2544" priority="21">
      <formula>H25&gt;0</formula>
    </cfRule>
    <cfRule type="expression" dxfId="2543" priority="22">
      <formula>H25&lt;0</formula>
    </cfRule>
  </conditionalFormatting>
  <conditionalFormatting sqref="F89:F110">
    <cfRule type="expression" dxfId="2542" priority="19">
      <formula>F89&gt;0</formula>
    </cfRule>
    <cfRule type="expression" dxfId="2541" priority="20">
      <formula>F89&lt;0</formula>
    </cfRule>
  </conditionalFormatting>
  <conditionalFormatting sqref="H89:H110">
    <cfRule type="expression" dxfId="2540" priority="17">
      <formula>H89&gt;0</formula>
    </cfRule>
    <cfRule type="expression" dxfId="2539" priority="18">
      <formula>H89&lt;0</formula>
    </cfRule>
  </conditionalFormatting>
  <conditionalFormatting sqref="Q10">
    <cfRule type="expression" dxfId="2538" priority="15">
      <formula>Q10&gt;0</formula>
    </cfRule>
    <cfRule type="expression" dxfId="2537" priority="16">
      <formula>Q10&lt;0</formula>
    </cfRule>
  </conditionalFormatting>
  <conditionalFormatting sqref="J25:J38">
    <cfRule type="expression" dxfId="2536" priority="13">
      <formula>J25&gt;0</formula>
    </cfRule>
    <cfRule type="expression" dxfId="2535" priority="14">
      <formula>J25&lt;0</formula>
    </cfRule>
  </conditionalFormatting>
  <conditionalFormatting sqref="K25:K38">
    <cfRule type="expression" dxfId="2534" priority="11">
      <formula>K25&gt;0</formula>
    </cfRule>
    <cfRule type="expression" dxfId="2533" priority="12">
      <formula>K25&lt;0</formula>
    </cfRule>
  </conditionalFormatting>
  <conditionalFormatting sqref="L25:L38">
    <cfRule type="expression" dxfId="2532" priority="9">
      <formula>L25&gt;0</formula>
    </cfRule>
    <cfRule type="expression" dxfId="2531" priority="10">
      <formula>L25&lt;0</formula>
    </cfRule>
  </conditionalFormatting>
  <conditionalFormatting sqref="W1:W47">
    <cfRule type="iconSet" priority="627">
      <iconSet iconSet="3Arrows">
        <cfvo type="percent" val="0"/>
        <cfvo type="num" val="0"/>
        <cfvo type="num" val="0"/>
      </iconSet>
    </cfRule>
  </conditionalFormatting>
  <conditionalFormatting sqref="F31:F33">
    <cfRule type="expression" dxfId="2530" priority="7">
      <formula>F31&gt;0</formula>
    </cfRule>
    <cfRule type="expression" dxfId="2529" priority="8">
      <formula>F31&lt;0</formula>
    </cfRule>
  </conditionalFormatting>
  <conditionalFormatting sqref="H31:H33">
    <cfRule type="expression" dxfId="2528" priority="5">
      <formula>H31&gt;0</formula>
    </cfRule>
    <cfRule type="expression" dxfId="2527" priority="6">
      <formula>H31&lt;0</formula>
    </cfRule>
  </conditionalFormatting>
  <conditionalFormatting sqref="J61">
    <cfRule type="expression" dxfId="2526" priority="3">
      <formula>J61&gt;0</formula>
    </cfRule>
    <cfRule type="expression" dxfId="2525" priority="4">
      <formula>J61&lt;0</formula>
    </cfRule>
  </conditionalFormatting>
  <conditionalFormatting sqref="J62">
    <cfRule type="expression" dxfId="2524" priority="1">
      <formula>J62&gt;0</formula>
    </cfRule>
    <cfRule type="expression" dxfId="2523" priority="2">
      <formula>J62&lt;0</formula>
    </cfRule>
  </conditionalFormatting>
  <hyperlinks>
    <hyperlink ref="A3" location="ACTIVE!A1" display="Back"/>
    <hyperlink ref="A69" location="ACTIVE!A1" display="Back"/>
  </hyperlinks>
  <pageMargins left="0.7" right="0.7" top="0.75" bottom="0.75" header="0.3" footer="0.3"/>
  <pageSetup orientation="portrait" r:id="rId1"/>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938</v>
      </c>
      <c r="B2" s="368">
        <v>43181</v>
      </c>
      <c r="C2" s="7">
        <v>50</v>
      </c>
      <c r="D2" s="43">
        <v>52.8</v>
      </c>
      <c r="E2" s="43">
        <v>0</v>
      </c>
      <c r="F2" s="43">
        <f t="shared" ref="F2:F7" si="0">C2*D2+E2</f>
        <v>2640</v>
      </c>
      <c r="G2" s="368">
        <v>43300</v>
      </c>
      <c r="H2" s="7">
        <v>50</v>
      </c>
      <c r="I2" s="43">
        <v>45.6</v>
      </c>
      <c r="J2" s="43">
        <v>0.03</v>
      </c>
      <c r="K2" s="43">
        <f>H2*I2-J2</f>
        <v>2279.9699999999998</v>
      </c>
      <c r="L2" s="72">
        <v>43203</v>
      </c>
      <c r="M2" s="43">
        <v>8.75</v>
      </c>
      <c r="O2" s="11" t="s">
        <v>57</v>
      </c>
      <c r="Q2">
        <f>C18-H18</f>
        <v>0</v>
      </c>
      <c r="T2" s="1" t="s">
        <v>1112</v>
      </c>
      <c r="U2" t="s">
        <v>1243</v>
      </c>
    </row>
    <row r="3" spans="1:21" x14ac:dyDescent="0.25">
      <c r="A3" s="22" t="s">
        <v>71</v>
      </c>
      <c r="B3" s="368">
        <v>43181</v>
      </c>
      <c r="C3" s="7">
        <v>50</v>
      </c>
      <c r="D3" s="43">
        <v>52.8</v>
      </c>
      <c r="E3" s="43">
        <v>0</v>
      </c>
      <c r="F3" s="43">
        <f t="shared" si="0"/>
        <v>2640</v>
      </c>
      <c r="G3" s="368">
        <v>43318</v>
      </c>
      <c r="H3" s="80">
        <v>50</v>
      </c>
      <c r="I3" s="43">
        <v>48.88</v>
      </c>
      <c r="J3" s="43">
        <v>0.03</v>
      </c>
      <c r="K3" s="43">
        <f>H3*I3-J3</f>
        <v>2443.9699999999998</v>
      </c>
      <c r="L3" s="72">
        <v>43294</v>
      </c>
      <c r="M3" s="43">
        <v>17.5</v>
      </c>
      <c r="O3" s="11" t="s">
        <v>58</v>
      </c>
      <c r="Q3" s="178">
        <f>IF(Q2=0, Q4, (F18-K18-M18)/Q2)</f>
        <v>49.13</v>
      </c>
      <c r="T3" s="1"/>
      <c r="U3" t="s">
        <v>1272</v>
      </c>
    </row>
    <row r="4" spans="1:21" x14ac:dyDescent="0.25">
      <c r="B4" s="368">
        <v>43228</v>
      </c>
      <c r="C4" s="7">
        <v>100</v>
      </c>
      <c r="D4" s="43">
        <v>46.08</v>
      </c>
      <c r="E4" s="43">
        <v>0</v>
      </c>
      <c r="F4" s="43">
        <f t="shared" si="0"/>
        <v>4608</v>
      </c>
      <c r="G4" s="368">
        <v>43469</v>
      </c>
      <c r="H4" s="80">
        <v>150</v>
      </c>
      <c r="I4" s="43">
        <v>39.28</v>
      </c>
      <c r="J4" s="43">
        <v>0.08</v>
      </c>
      <c r="K4" s="43">
        <f>H4*I4-J4</f>
        <v>5891.92</v>
      </c>
      <c r="L4" s="72">
        <v>43385</v>
      </c>
      <c r="M4" s="7">
        <v>30.63</v>
      </c>
      <c r="O4" s="11" t="s">
        <v>66</v>
      </c>
      <c r="Q4" s="54">
        <v>49.13</v>
      </c>
      <c r="R4" s="425">
        <v>0.17649999999999999</v>
      </c>
    </row>
    <row r="5" spans="1:21" x14ac:dyDescent="0.25">
      <c r="B5" s="368">
        <v>43299</v>
      </c>
      <c r="C5" s="7">
        <v>50</v>
      </c>
      <c r="D5" s="43">
        <v>43.98</v>
      </c>
      <c r="E5" s="43">
        <v>0</v>
      </c>
      <c r="F5" s="43">
        <f t="shared" si="0"/>
        <v>2199</v>
      </c>
      <c r="G5" s="368">
        <v>43488</v>
      </c>
      <c r="H5" s="80">
        <v>50</v>
      </c>
      <c r="I5" s="43">
        <v>41.2</v>
      </c>
      <c r="J5" s="43">
        <v>0.03</v>
      </c>
      <c r="K5" s="43">
        <f>H5*I5-J5</f>
        <v>2059.9699999999998</v>
      </c>
      <c r="L5" s="72">
        <v>43476</v>
      </c>
      <c r="M5" s="7">
        <v>30.63</v>
      </c>
      <c r="O5" s="11" t="s">
        <v>67</v>
      </c>
      <c r="Q5" s="3">
        <f>Q4*Q2</f>
        <v>0</v>
      </c>
      <c r="T5" s="1">
        <v>43160</v>
      </c>
      <c r="U5" t="s">
        <v>968</v>
      </c>
    </row>
    <row r="6" spans="1:21" x14ac:dyDescent="0.25">
      <c r="B6" s="368">
        <v>43319</v>
      </c>
      <c r="C6" s="7">
        <v>50</v>
      </c>
      <c r="D6" s="43">
        <v>39.4</v>
      </c>
      <c r="E6" s="43">
        <v>0</v>
      </c>
      <c r="F6" s="43">
        <f t="shared" si="0"/>
        <v>1970</v>
      </c>
      <c r="G6" s="368">
        <v>43525</v>
      </c>
      <c r="H6" s="80">
        <v>150</v>
      </c>
      <c r="I6" s="43">
        <v>47</v>
      </c>
      <c r="J6" s="43">
        <v>0.09</v>
      </c>
      <c r="K6" s="43">
        <f>H6*I6-J6</f>
        <v>7049.91</v>
      </c>
      <c r="L6" s="4"/>
      <c r="M6" s="4"/>
      <c r="O6" s="11" t="s">
        <v>64</v>
      </c>
      <c r="Q6" s="2">
        <f>Q3*Q2</f>
        <v>0</v>
      </c>
    </row>
    <row r="7" spans="1:21" x14ac:dyDescent="0.25">
      <c r="B7" s="368">
        <v>43327</v>
      </c>
      <c r="C7" s="7">
        <v>150</v>
      </c>
      <c r="D7" s="43">
        <v>37.799999999999997</v>
      </c>
      <c r="E7" s="43">
        <v>0</v>
      </c>
      <c r="F7" s="43">
        <f t="shared" si="0"/>
        <v>5670</v>
      </c>
      <c r="G7" s="4"/>
      <c r="H7" s="161"/>
      <c r="I7" s="3"/>
      <c r="J7" s="3"/>
      <c r="K7" s="3"/>
      <c r="L7" s="4"/>
      <c r="M7" s="4"/>
      <c r="O7" s="11" t="s">
        <v>177</v>
      </c>
      <c r="Q7" s="2">
        <f>Q10+Q8</f>
        <v>86.249999999996362</v>
      </c>
      <c r="R7">
        <v>0</v>
      </c>
      <c r="T7" s="1">
        <v>43227</v>
      </c>
      <c r="U7" t="s">
        <v>1036</v>
      </c>
    </row>
    <row r="8" spans="1:21" x14ac:dyDescent="0.25">
      <c r="B8" s="72"/>
      <c r="C8" s="4"/>
      <c r="D8" s="3"/>
      <c r="E8" s="3"/>
      <c r="F8" s="3"/>
      <c r="G8" s="4"/>
      <c r="H8" s="161"/>
      <c r="I8" s="3"/>
      <c r="J8" s="3"/>
      <c r="K8" s="3"/>
      <c r="L8" s="4"/>
      <c r="M8" s="4"/>
      <c r="O8" s="11" t="s">
        <v>179</v>
      </c>
      <c r="P8" s="33"/>
      <c r="Q8" s="2">
        <f>K18+M18-F18+Q2*Q4</f>
        <v>86.249999999996362</v>
      </c>
      <c r="U8" t="s">
        <v>1042</v>
      </c>
    </row>
    <row r="9" spans="1:21" x14ac:dyDescent="0.25">
      <c r="B9" s="4"/>
      <c r="C9" s="4"/>
      <c r="D9" s="3"/>
      <c r="E9" s="3"/>
      <c r="F9" s="3"/>
      <c r="G9" s="4"/>
      <c r="H9" s="161"/>
      <c r="I9" s="3"/>
      <c r="J9" s="3"/>
      <c r="K9" s="3"/>
      <c r="L9" s="4"/>
      <c r="M9" s="4"/>
      <c r="O9" s="11" t="s">
        <v>204</v>
      </c>
      <c r="Q9" s="134">
        <f>IF(Q2=0, 0, Q8/Q6)</f>
        <v>0</v>
      </c>
    </row>
    <row r="10" spans="1:21" x14ac:dyDescent="0.25">
      <c r="B10" s="4"/>
      <c r="C10" s="4"/>
      <c r="D10" s="3"/>
      <c r="E10" s="3"/>
      <c r="F10" s="3"/>
      <c r="G10" s="4"/>
      <c r="H10" s="161"/>
      <c r="I10" s="3"/>
      <c r="J10" s="3"/>
      <c r="K10" s="3"/>
      <c r="L10" s="4"/>
      <c r="M10" s="4"/>
      <c r="O10" s="11" t="s">
        <v>203</v>
      </c>
      <c r="P10" s="33"/>
      <c r="Q10" s="2">
        <f>M72</f>
        <v>0</v>
      </c>
      <c r="T10" s="693">
        <v>43285</v>
      </c>
      <c r="U10" t="s">
        <v>1134</v>
      </c>
    </row>
    <row r="11" spans="1:21" x14ac:dyDescent="0.25">
      <c r="B11" s="4"/>
      <c r="C11" s="4"/>
      <c r="D11" s="3"/>
      <c r="E11" s="3"/>
      <c r="F11" s="3"/>
      <c r="G11" s="4"/>
      <c r="H11" s="161"/>
      <c r="I11" s="3"/>
      <c r="J11" s="3"/>
      <c r="K11" s="3"/>
      <c r="L11" s="4"/>
      <c r="M11" s="4"/>
      <c r="O11" s="11" t="s">
        <v>175</v>
      </c>
      <c r="P11" s="33"/>
      <c r="Q11" s="134">
        <f>R11*4/Q4</f>
        <v>7.1239568491756559E-3</v>
      </c>
      <c r="R11">
        <v>8.7499999999999994E-2</v>
      </c>
    </row>
    <row r="12" spans="1:21" x14ac:dyDescent="0.25">
      <c r="H12" s="70"/>
      <c r="O12" s="11" t="s">
        <v>82</v>
      </c>
      <c r="Q12" s="1" t="s">
        <v>1361</v>
      </c>
    </row>
    <row r="13" spans="1:21" x14ac:dyDescent="0.25">
      <c r="H13" s="70"/>
      <c r="O13" s="11" t="s">
        <v>947</v>
      </c>
      <c r="Q13" s="2">
        <f>Q4/2.075</f>
        <v>23.67710843373494</v>
      </c>
      <c r="T13" s="1">
        <v>43319</v>
      </c>
      <c r="U13" t="s">
        <v>1211</v>
      </c>
    </row>
    <row r="14" spans="1:21" x14ac:dyDescent="0.25">
      <c r="H14" s="70"/>
      <c r="O14" s="11" t="s">
        <v>1034</v>
      </c>
      <c r="Q14" s="1">
        <v>43425</v>
      </c>
      <c r="U14" t="s">
        <v>1212</v>
      </c>
    </row>
    <row r="15" spans="1:21" x14ac:dyDescent="0.25">
      <c r="H15" s="70"/>
      <c r="U15" t="s">
        <v>1213</v>
      </c>
    </row>
    <row r="16" spans="1:21" x14ac:dyDescent="0.25">
      <c r="H16" s="70"/>
    </row>
    <row r="17" spans="1:21" x14ac:dyDescent="0.25">
      <c r="T17" s="1">
        <v>43348</v>
      </c>
      <c r="U17" t="s">
        <v>1260</v>
      </c>
    </row>
    <row r="18" spans="1:21" x14ac:dyDescent="0.25">
      <c r="A18" s="31" t="s">
        <v>81</v>
      </c>
      <c r="B18" s="14"/>
      <c r="C18" s="14">
        <f>SUM(C2:C8)</f>
        <v>450</v>
      </c>
      <c r="D18" s="18"/>
      <c r="E18" s="18"/>
      <c r="F18" s="18">
        <f>SUM(F2:F8)</f>
        <v>19727</v>
      </c>
      <c r="G18" s="14"/>
      <c r="H18" s="71">
        <f>SUM(H2:H6)</f>
        <v>450</v>
      </c>
      <c r="I18" s="18"/>
      <c r="J18" s="18"/>
      <c r="K18" s="18">
        <f>SUM(K2:K6)</f>
        <v>19725.739999999998</v>
      </c>
      <c r="L18" s="14"/>
      <c r="M18" s="18">
        <f>SUM(M2:M10)</f>
        <v>87.509999999999991</v>
      </c>
    </row>
    <row r="19" spans="1:21" ht="15.75" thickBot="1" x14ac:dyDescent="0.3">
      <c r="A19" s="277" t="s">
        <v>191</v>
      </c>
      <c r="B19" s="278"/>
      <c r="C19" s="279">
        <f>SumByColor($A$19,C2:C17)</f>
        <v>450</v>
      </c>
      <c r="D19" s="279"/>
      <c r="E19" s="279"/>
      <c r="F19" s="280">
        <f>SumByColor($A$19,F2:F17)</f>
        <v>19727</v>
      </c>
      <c r="G19" s="279"/>
      <c r="H19" s="279">
        <f>SumByColor($A$19,H2:H17)</f>
        <v>450</v>
      </c>
      <c r="I19" s="279"/>
      <c r="J19" s="279"/>
      <c r="K19" s="280">
        <f>SumByColor($A$19,K2:K17)</f>
        <v>19726</v>
      </c>
      <c r="L19" s="279"/>
      <c r="M19" s="280">
        <f>SumByColor($A$19,M2:M17)</f>
        <v>88</v>
      </c>
    </row>
    <row r="22" spans="1:21" ht="20.25" thickBot="1" x14ac:dyDescent="0.35">
      <c r="O22" s="719" t="s">
        <v>78</v>
      </c>
      <c r="P22" s="719"/>
    </row>
    <row r="23" spans="1:21" ht="15.75" thickTop="1" x14ac:dyDescent="0.25">
      <c r="O23" s="81">
        <v>1.1000000000000001</v>
      </c>
      <c r="P23" s="81">
        <f>O23*$Q$4</f>
        <v>54.043000000000006</v>
      </c>
      <c r="Q23" s="2"/>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1">O24*$Q$4</f>
        <v>53.551700000000004</v>
      </c>
      <c r="Q24" s="2"/>
    </row>
    <row r="25" spans="1:21" x14ac:dyDescent="0.25">
      <c r="B25" s="164">
        <v>43181</v>
      </c>
      <c r="C25" s="10">
        <v>100</v>
      </c>
      <c r="D25" s="39">
        <v>52.8</v>
      </c>
      <c r="E25" s="39">
        <v>52.66</v>
      </c>
      <c r="F25" s="39">
        <f>C25*(E25-D25)</f>
        <v>-14.000000000000057</v>
      </c>
      <c r="G25" s="39">
        <f>D25*C25</f>
        <v>5280</v>
      </c>
      <c r="H25" s="179">
        <f>(E25-D25)/D25</f>
        <v>-2.6515151515151625E-3</v>
      </c>
      <c r="I25" s="39"/>
      <c r="J25" s="39"/>
      <c r="K25" s="39"/>
      <c r="L25" s="39"/>
      <c r="O25" s="81">
        <v>1.08</v>
      </c>
      <c r="P25" s="81">
        <f t="shared" si="1"/>
        <v>53.060400000000008</v>
      </c>
      <c r="Q25" s="2"/>
    </row>
    <row r="26" spans="1:21" x14ac:dyDescent="0.25">
      <c r="B26" s="164">
        <v>43185</v>
      </c>
      <c r="C26" s="10">
        <v>100</v>
      </c>
      <c r="D26" s="39">
        <v>52.8</v>
      </c>
      <c r="E26" s="39">
        <v>51.1</v>
      </c>
      <c r="F26" s="39">
        <f>C26*(E26-D26)</f>
        <v>-169.99999999999957</v>
      </c>
      <c r="G26" s="39">
        <f>D26*C26</f>
        <v>5280</v>
      </c>
      <c r="H26" s="179">
        <f>(E26-D26)/D26</f>
        <v>-3.219696969696962E-2</v>
      </c>
      <c r="I26" s="39"/>
      <c r="J26" s="39"/>
      <c r="K26" s="39"/>
      <c r="L26" s="39"/>
      <c r="O26" s="81">
        <v>1.07</v>
      </c>
      <c r="P26" s="81">
        <f t="shared" si="1"/>
        <v>52.569100000000006</v>
      </c>
      <c r="Q26" s="2"/>
    </row>
    <row r="27" spans="1:21" x14ac:dyDescent="0.25">
      <c r="B27" s="164">
        <v>43186</v>
      </c>
      <c r="C27" s="10">
        <v>100</v>
      </c>
      <c r="D27" s="39">
        <v>52.8</v>
      </c>
      <c r="E27" s="39">
        <v>50.03</v>
      </c>
      <c r="F27" s="39">
        <f>C27*(E27-D27)</f>
        <v>-276.9999999999996</v>
      </c>
      <c r="G27" s="39">
        <f>D27*C27</f>
        <v>5280</v>
      </c>
      <c r="H27" s="179">
        <f>(E27-D27)/D27</f>
        <v>-5.2462121212121141E-2</v>
      </c>
      <c r="I27" s="39"/>
      <c r="J27" s="39"/>
      <c r="K27" s="39"/>
      <c r="L27" s="155"/>
      <c r="O27" s="81">
        <v>1.06</v>
      </c>
      <c r="P27" s="81">
        <f t="shared" si="1"/>
        <v>52.077800000000003</v>
      </c>
      <c r="Q27" s="2"/>
    </row>
    <row r="28" spans="1:21" x14ac:dyDescent="0.25">
      <c r="B28" s="164">
        <v>43198</v>
      </c>
      <c r="C28" s="10">
        <v>100</v>
      </c>
      <c r="D28" s="39">
        <v>52.8</v>
      </c>
      <c r="E28" s="39">
        <v>49.02</v>
      </c>
      <c r="F28" s="39">
        <f>C28*(E28-D28)</f>
        <v>-377.99999999999943</v>
      </c>
      <c r="G28" s="39">
        <f>D28*C28</f>
        <v>5280</v>
      </c>
      <c r="H28" s="179">
        <f>(E28-D28)/D28</f>
        <v>-7.1590909090908983E-2</v>
      </c>
      <c r="I28" s="39"/>
      <c r="J28" s="39"/>
      <c r="K28" s="39">
        <v>17.82</v>
      </c>
      <c r="L28" s="155"/>
      <c r="O28" s="81">
        <v>1.05</v>
      </c>
      <c r="P28" s="81">
        <f t="shared" si="1"/>
        <v>51.586500000000008</v>
      </c>
      <c r="Q28" s="2"/>
    </row>
    <row r="29" spans="1:21" x14ac:dyDescent="0.25">
      <c r="A29">
        <v>0</v>
      </c>
      <c r="B29" s="164">
        <v>43204</v>
      </c>
      <c r="C29" s="10">
        <v>100</v>
      </c>
      <c r="D29" s="39">
        <v>52.712499999999999</v>
      </c>
      <c r="E29" s="39">
        <v>49</v>
      </c>
      <c r="F29" s="39">
        <f>C29*(E29-D29)</f>
        <v>-371.24999999999989</v>
      </c>
      <c r="G29" s="39">
        <f>D29*C29</f>
        <v>5271.25</v>
      </c>
      <c r="H29" s="179">
        <f>(E29-D29)/D29</f>
        <v>-7.0429215081811686E-2</v>
      </c>
      <c r="I29" s="39"/>
      <c r="J29" s="39"/>
      <c r="K29" s="39">
        <v>17.82</v>
      </c>
      <c r="L29" s="155"/>
      <c r="O29" s="81">
        <v>1.04</v>
      </c>
      <c r="P29" s="81">
        <f t="shared" si="1"/>
        <v>51.095200000000006</v>
      </c>
      <c r="Q29" s="2"/>
    </row>
    <row r="30" spans="1:21" x14ac:dyDescent="0.25">
      <c r="A30">
        <v>100</v>
      </c>
      <c r="B30" s="164">
        <v>43223</v>
      </c>
      <c r="C30" s="10">
        <v>100</v>
      </c>
      <c r="D30" s="39">
        <v>52.712499999999999</v>
      </c>
      <c r="E30" s="39">
        <v>49.24</v>
      </c>
      <c r="F30" s="39">
        <f t="shared" ref="F30:F40" si="2">C30*(E30-D30)</f>
        <v>-347.24999999999966</v>
      </c>
      <c r="G30" s="39">
        <f t="shared" ref="G30:G40" si="3">D30*C30</f>
        <v>5271.25</v>
      </c>
      <c r="H30" s="179">
        <f t="shared" ref="H30:H40" si="4">(E30-D30)/D30</f>
        <v>-6.5876215318947051E-2</v>
      </c>
      <c r="I30" s="39"/>
      <c r="J30" s="39"/>
      <c r="K30" s="39">
        <v>17.91</v>
      </c>
      <c r="L30" s="155"/>
      <c r="O30" s="81">
        <v>1.03</v>
      </c>
      <c r="P30" s="81">
        <f t="shared" si="1"/>
        <v>50.603900000000003</v>
      </c>
      <c r="Q30" s="2"/>
    </row>
    <row r="31" spans="1:21" x14ac:dyDescent="0.25">
      <c r="B31" s="164">
        <v>43227</v>
      </c>
      <c r="C31" s="10">
        <v>100</v>
      </c>
      <c r="D31" s="39">
        <v>52.712499999999999</v>
      </c>
      <c r="E31" s="39">
        <v>46.92</v>
      </c>
      <c r="F31" s="39">
        <f t="shared" si="2"/>
        <v>-579.24999999999966</v>
      </c>
      <c r="G31" s="39">
        <f t="shared" si="3"/>
        <v>5271.25</v>
      </c>
      <c r="H31" s="179">
        <f t="shared" si="4"/>
        <v>-0.10988854635997149</v>
      </c>
      <c r="I31" s="39"/>
      <c r="J31" s="39"/>
      <c r="K31" s="39">
        <v>18.046199999999999</v>
      </c>
      <c r="L31" s="155"/>
      <c r="O31" s="81">
        <v>1.02</v>
      </c>
      <c r="P31" s="81">
        <f t="shared" si="1"/>
        <v>50.1126</v>
      </c>
      <c r="Q31" s="2"/>
    </row>
    <row r="32" spans="1:21" x14ac:dyDescent="0.25">
      <c r="A32">
        <v>100</v>
      </c>
      <c r="B32" s="164">
        <v>43228</v>
      </c>
      <c r="C32" s="7">
        <v>200</v>
      </c>
      <c r="D32" s="43">
        <v>49.396299999999997</v>
      </c>
      <c r="E32" s="39">
        <v>44.47</v>
      </c>
      <c r="F32" s="39">
        <f t="shared" si="2"/>
        <v>-985.25999999999954</v>
      </c>
      <c r="G32" s="39">
        <f t="shared" si="3"/>
        <v>9879.2599999999984</v>
      </c>
      <c r="H32" s="179">
        <f t="shared" si="4"/>
        <v>-9.9730141731263239E-2</v>
      </c>
      <c r="I32" s="39"/>
      <c r="J32" s="39"/>
      <c r="K32" s="39">
        <v>17.100000000000001</v>
      </c>
      <c r="L32" s="155"/>
      <c r="O32" s="81">
        <v>1.01</v>
      </c>
      <c r="P32" s="81">
        <f t="shared" si="1"/>
        <v>49.621300000000005</v>
      </c>
      <c r="Q32" s="2"/>
    </row>
    <row r="33" spans="1:17" x14ac:dyDescent="0.25">
      <c r="A33">
        <v>100</v>
      </c>
      <c r="B33" s="164">
        <v>43234</v>
      </c>
      <c r="C33" s="10">
        <v>200</v>
      </c>
      <c r="D33" s="39">
        <v>49.4</v>
      </c>
      <c r="E33" s="39">
        <v>47.51</v>
      </c>
      <c r="F33" s="39">
        <f t="shared" si="2"/>
        <v>-378.00000000000011</v>
      </c>
      <c r="G33" s="39">
        <f t="shared" si="3"/>
        <v>9880</v>
      </c>
      <c r="H33" s="179">
        <f t="shared" si="4"/>
        <v>-3.8259109311740903E-2</v>
      </c>
      <c r="I33" s="39"/>
      <c r="J33" s="39"/>
      <c r="K33" s="39">
        <v>18.27</v>
      </c>
      <c r="L33" s="155"/>
      <c r="O33" s="81">
        <v>1</v>
      </c>
      <c r="P33" s="81">
        <f t="shared" si="1"/>
        <v>49.13</v>
      </c>
      <c r="Q33" s="2"/>
    </row>
    <row r="34" spans="1:17" x14ac:dyDescent="0.25">
      <c r="B34" s="164">
        <v>43272</v>
      </c>
      <c r="C34" s="10">
        <v>200</v>
      </c>
      <c r="D34" s="39">
        <v>49.396299999999997</v>
      </c>
      <c r="E34" s="39">
        <v>44.57</v>
      </c>
      <c r="F34" s="39">
        <f t="shared" si="2"/>
        <v>-965.25999999999931</v>
      </c>
      <c r="G34" s="39">
        <f t="shared" si="3"/>
        <v>9879.2599999999984</v>
      </c>
      <c r="H34" s="179">
        <f t="shared" si="4"/>
        <v>-9.7705698604956176E-2</v>
      </c>
      <c r="I34" s="39"/>
      <c r="J34" s="39"/>
      <c r="K34" s="39"/>
      <c r="L34" s="155"/>
      <c r="O34" s="81">
        <v>0.99</v>
      </c>
      <c r="P34" s="81">
        <f t="shared" si="1"/>
        <v>48.6387</v>
      </c>
      <c r="Q34" s="2"/>
    </row>
    <row r="35" spans="1:17" x14ac:dyDescent="0.25">
      <c r="A35">
        <v>200</v>
      </c>
      <c r="B35" s="164">
        <v>43278</v>
      </c>
      <c r="C35" s="10">
        <v>200</v>
      </c>
      <c r="D35" s="39">
        <v>49.396299999999997</v>
      </c>
      <c r="E35" s="39">
        <v>43.96</v>
      </c>
      <c r="F35" s="39">
        <f t="shared" si="2"/>
        <v>-1087.2599999999991</v>
      </c>
      <c r="G35" s="39">
        <f t="shared" si="3"/>
        <v>9879.2599999999984</v>
      </c>
      <c r="H35" s="179">
        <f t="shared" si="4"/>
        <v>-0.11005480167542905</v>
      </c>
      <c r="I35" s="39"/>
      <c r="J35" s="39"/>
      <c r="K35" s="39">
        <v>16.91</v>
      </c>
      <c r="L35" s="155"/>
      <c r="O35" s="81">
        <v>0.98</v>
      </c>
      <c r="P35" s="81">
        <f t="shared" si="1"/>
        <v>48.147400000000005</v>
      </c>
      <c r="Q35" s="2"/>
    </row>
    <row r="36" spans="1:17" x14ac:dyDescent="0.25">
      <c r="A36">
        <v>200</v>
      </c>
      <c r="B36" s="164">
        <v>43288</v>
      </c>
      <c r="C36" s="10">
        <v>200</v>
      </c>
      <c r="D36" s="39">
        <v>49.396299999999997</v>
      </c>
      <c r="E36" s="39">
        <v>45.38</v>
      </c>
      <c r="F36" s="39">
        <f t="shared" si="2"/>
        <v>-803.25999999999885</v>
      </c>
      <c r="G36" s="39">
        <f t="shared" si="3"/>
        <v>9879.2599999999984</v>
      </c>
      <c r="H36" s="179">
        <f t="shared" si="4"/>
        <v>-8.1307709281869173E-2</v>
      </c>
      <c r="I36" s="39"/>
      <c r="J36" s="39"/>
      <c r="K36" s="39">
        <v>17.45</v>
      </c>
      <c r="L36" s="39"/>
      <c r="O36" s="81">
        <v>0.97</v>
      </c>
      <c r="P36" s="81">
        <f t="shared" si="1"/>
        <v>47.656100000000002</v>
      </c>
    </row>
    <row r="37" spans="1:17" x14ac:dyDescent="0.25">
      <c r="A37" s="33" t="s">
        <v>1168</v>
      </c>
      <c r="B37" s="164">
        <v>43294</v>
      </c>
      <c r="C37" s="7">
        <v>200</v>
      </c>
      <c r="D37" s="43">
        <v>49.308799999999998</v>
      </c>
      <c r="E37" s="39">
        <v>45.41</v>
      </c>
      <c r="F37" s="39">
        <f t="shared" si="2"/>
        <v>-779.76000000000022</v>
      </c>
      <c r="G37" s="39">
        <f t="shared" si="3"/>
        <v>9861.76</v>
      </c>
      <c r="H37" s="179">
        <f t="shared" si="4"/>
        <v>-7.9069050554870568E-2</v>
      </c>
      <c r="I37" s="39"/>
      <c r="J37" s="39"/>
      <c r="K37" s="39">
        <v>17.465399999999999</v>
      </c>
      <c r="L37" s="39"/>
      <c r="O37" s="81">
        <v>0.96</v>
      </c>
      <c r="P37" s="81">
        <f t="shared" si="1"/>
        <v>47.1648</v>
      </c>
    </row>
    <row r="38" spans="1:17" x14ac:dyDescent="0.25">
      <c r="A38">
        <v>200</v>
      </c>
      <c r="B38" s="164">
        <v>43299</v>
      </c>
      <c r="C38" s="10">
        <v>250</v>
      </c>
      <c r="D38" s="39">
        <v>48.243000000000002</v>
      </c>
      <c r="E38" s="39">
        <v>44.24</v>
      </c>
      <c r="F38" s="39">
        <f t="shared" si="2"/>
        <v>-1000.75</v>
      </c>
      <c r="G38" s="39">
        <f t="shared" si="3"/>
        <v>12060.75</v>
      </c>
      <c r="H38" s="179">
        <f t="shared" si="4"/>
        <v>-8.2975768505275382E-2</v>
      </c>
      <c r="I38" s="39"/>
      <c r="J38" s="39"/>
      <c r="K38" s="39"/>
      <c r="L38" s="39"/>
      <c r="O38" s="81">
        <v>0.95</v>
      </c>
      <c r="P38" s="81">
        <f t="shared" si="1"/>
        <v>46.673499999999997</v>
      </c>
    </row>
    <row r="39" spans="1:17" x14ac:dyDescent="0.25">
      <c r="A39">
        <v>150</v>
      </c>
      <c r="B39" s="164">
        <v>43300</v>
      </c>
      <c r="C39" s="7">
        <v>200</v>
      </c>
      <c r="D39" s="43">
        <v>48.9039</v>
      </c>
      <c r="E39" s="39">
        <v>45.6</v>
      </c>
      <c r="F39" s="39">
        <f t="shared" si="2"/>
        <v>-660.77999999999975</v>
      </c>
      <c r="G39" s="39">
        <f t="shared" si="3"/>
        <v>9780.7800000000007</v>
      </c>
      <c r="H39" s="179">
        <f t="shared" si="4"/>
        <v>-6.755902903449415E-2</v>
      </c>
      <c r="I39" s="39"/>
      <c r="J39" s="39"/>
      <c r="K39" s="39">
        <v>17.54</v>
      </c>
      <c r="L39" s="39"/>
      <c r="O39" s="81">
        <v>0.94</v>
      </c>
      <c r="P39" s="81">
        <f t="shared" si="1"/>
        <v>46.182200000000002</v>
      </c>
    </row>
    <row r="40" spans="1:17" x14ac:dyDescent="0.25">
      <c r="B40" s="164">
        <v>43308</v>
      </c>
      <c r="C40" s="10">
        <v>200</v>
      </c>
      <c r="D40" s="39">
        <v>48.9</v>
      </c>
      <c r="E40" s="39">
        <v>46.99</v>
      </c>
      <c r="F40" s="39">
        <f t="shared" si="2"/>
        <v>-381.99999999999932</v>
      </c>
      <c r="G40" s="39">
        <f t="shared" si="3"/>
        <v>9780</v>
      </c>
      <c r="H40" s="179">
        <f t="shared" si="4"/>
        <v>-3.9059304703476412E-2</v>
      </c>
      <c r="I40" s="39"/>
      <c r="J40" s="39"/>
      <c r="K40" s="39">
        <v>18.07</v>
      </c>
      <c r="L40" s="39"/>
      <c r="O40" s="81">
        <v>0.93</v>
      </c>
      <c r="P40" s="81">
        <f t="shared" si="1"/>
        <v>45.690900000000006</v>
      </c>
    </row>
    <row r="41" spans="1:17" x14ac:dyDescent="0.25">
      <c r="B41" s="164">
        <v>43312</v>
      </c>
      <c r="C41" s="10">
        <v>200</v>
      </c>
      <c r="D41" s="39">
        <v>48.9</v>
      </c>
      <c r="E41" s="39">
        <v>48.11</v>
      </c>
      <c r="F41" s="39">
        <f t="shared" ref="F41:F47" si="5">C41*(E41-D41)</f>
        <v>-157.99999999999983</v>
      </c>
      <c r="G41" s="39">
        <f t="shared" ref="G41:G47" si="6">D41*C41</f>
        <v>9780</v>
      </c>
      <c r="H41" s="179">
        <f t="shared" ref="H41:H47" si="7">(E41-D41)/D41</f>
        <v>-1.615541922290387E-2</v>
      </c>
      <c r="I41" s="39"/>
      <c r="J41" s="39"/>
      <c r="K41" s="39"/>
      <c r="L41" s="39"/>
      <c r="O41" s="81">
        <v>0.92</v>
      </c>
      <c r="P41" s="81">
        <f t="shared" si="1"/>
        <v>45.199600000000004</v>
      </c>
    </row>
    <row r="42" spans="1:17" x14ac:dyDescent="0.25">
      <c r="A42">
        <v>150</v>
      </c>
      <c r="B42" s="164">
        <v>43316</v>
      </c>
      <c r="C42" s="10">
        <v>200</v>
      </c>
      <c r="D42" s="39">
        <v>48.9</v>
      </c>
      <c r="E42" s="39">
        <v>47.73</v>
      </c>
      <c r="F42" s="39">
        <f t="shared" si="5"/>
        <v>-234.00000000000034</v>
      </c>
      <c r="G42" s="39">
        <f t="shared" si="6"/>
        <v>9780</v>
      </c>
      <c r="H42" s="179">
        <f t="shared" si="7"/>
        <v>-2.3926380368098195E-2</v>
      </c>
      <c r="I42" s="39"/>
      <c r="J42" s="39"/>
      <c r="K42" s="39">
        <v>18.36</v>
      </c>
      <c r="L42" s="39"/>
      <c r="O42" s="81">
        <v>0.91</v>
      </c>
      <c r="P42" s="81">
        <f t="shared" si="1"/>
        <v>44.708300000000001</v>
      </c>
    </row>
    <row r="43" spans="1:17" x14ac:dyDescent="0.25">
      <c r="A43">
        <v>100</v>
      </c>
      <c r="B43" s="164">
        <v>43318</v>
      </c>
      <c r="C43" s="10">
        <v>150</v>
      </c>
      <c r="D43" s="39">
        <v>48.912100000000002</v>
      </c>
      <c r="E43" s="39">
        <v>48.88</v>
      </c>
      <c r="F43" s="39">
        <f t="shared" si="5"/>
        <v>-4.8149999999999693</v>
      </c>
      <c r="G43" s="39">
        <f t="shared" si="6"/>
        <v>7336.8150000000005</v>
      </c>
      <c r="H43" s="179">
        <f t="shared" si="7"/>
        <v>-6.5627932556565338E-4</v>
      </c>
      <c r="I43" s="39"/>
      <c r="J43" s="39"/>
      <c r="K43" s="39">
        <v>18.77</v>
      </c>
      <c r="L43" s="39"/>
      <c r="O43" s="81">
        <v>0.9</v>
      </c>
      <c r="P43" s="81">
        <f t="shared" si="1"/>
        <v>44.217000000000006</v>
      </c>
    </row>
    <row r="44" spans="1:17" x14ac:dyDescent="0.25">
      <c r="A44">
        <v>100</v>
      </c>
      <c r="B44" s="164">
        <v>43319</v>
      </c>
      <c r="C44" s="10">
        <v>150</v>
      </c>
      <c r="D44" s="39">
        <v>48.912100000000002</v>
      </c>
      <c r="E44" s="39">
        <v>39.450000000000003</v>
      </c>
      <c r="F44" s="39">
        <f t="shared" si="5"/>
        <v>-1419.3149999999998</v>
      </c>
      <c r="G44" s="39">
        <f t="shared" si="6"/>
        <v>7336.8150000000005</v>
      </c>
      <c r="H44" s="179">
        <f t="shared" si="7"/>
        <v>-0.19345110923472922</v>
      </c>
      <c r="I44" s="39"/>
      <c r="J44" s="39"/>
      <c r="K44" s="39">
        <v>19.010000000000002</v>
      </c>
      <c r="L44" s="39"/>
    </row>
    <row r="45" spans="1:17" x14ac:dyDescent="0.25">
      <c r="A45">
        <v>100</v>
      </c>
      <c r="B45" s="164">
        <v>43319</v>
      </c>
      <c r="C45" s="7">
        <v>200</v>
      </c>
      <c r="D45" s="43">
        <v>46.534100000000002</v>
      </c>
      <c r="E45" s="39">
        <v>39.4</v>
      </c>
      <c r="F45" s="39">
        <f t="shared" si="5"/>
        <v>-1426.8200000000006</v>
      </c>
      <c r="G45" s="39">
        <f t="shared" si="6"/>
        <v>9306.82</v>
      </c>
      <c r="H45" s="179">
        <f t="shared" si="7"/>
        <v>-0.15330907871861718</v>
      </c>
      <c r="I45" s="39"/>
      <c r="J45" s="39"/>
      <c r="K45" s="39">
        <v>18.989999999999998</v>
      </c>
      <c r="L45" s="39"/>
    </row>
    <row r="46" spans="1:17" x14ac:dyDescent="0.25">
      <c r="A46">
        <v>100</v>
      </c>
      <c r="B46" s="164">
        <v>43325</v>
      </c>
      <c r="C46" s="10">
        <v>200</v>
      </c>
      <c r="D46" s="39">
        <v>46.53</v>
      </c>
      <c r="E46" s="39">
        <v>39.57</v>
      </c>
      <c r="F46" s="39">
        <f t="shared" si="5"/>
        <v>-1392.0000000000002</v>
      </c>
      <c r="G46" s="39">
        <f t="shared" si="6"/>
        <v>9306</v>
      </c>
      <c r="H46" s="179">
        <f t="shared" si="7"/>
        <v>-0.14958091553836236</v>
      </c>
      <c r="I46" s="39"/>
      <c r="J46" s="39"/>
      <c r="K46" s="39">
        <v>19.07</v>
      </c>
      <c r="L46" s="39"/>
    </row>
    <row r="47" spans="1:17" x14ac:dyDescent="0.25">
      <c r="B47" s="164">
        <v>43327</v>
      </c>
      <c r="C47" s="359">
        <v>350</v>
      </c>
      <c r="D47" s="360">
        <v>42.79</v>
      </c>
      <c r="E47" s="39">
        <v>37.97</v>
      </c>
      <c r="F47" s="39">
        <f t="shared" si="5"/>
        <v>-1687</v>
      </c>
      <c r="G47" s="39">
        <f t="shared" si="6"/>
        <v>14976.5</v>
      </c>
      <c r="H47" s="179">
        <f t="shared" si="7"/>
        <v>-0.11264314092077589</v>
      </c>
      <c r="I47" s="39"/>
      <c r="J47" s="39"/>
      <c r="K47" s="39">
        <v>18.3</v>
      </c>
      <c r="L47" s="39"/>
    </row>
    <row r="48" spans="1:17" x14ac:dyDescent="0.25">
      <c r="B48" s="164">
        <v>43329</v>
      </c>
      <c r="C48" s="10">
        <v>350</v>
      </c>
      <c r="D48" s="39">
        <v>42.79</v>
      </c>
      <c r="E48" s="39">
        <v>38.67</v>
      </c>
      <c r="F48" s="39">
        <f t="shared" ref="F48:F60" si="8">C48*(E48-D48)</f>
        <v>-1441.9999999999991</v>
      </c>
      <c r="G48" s="39">
        <f t="shared" ref="G48:G60" si="9">D48*C48</f>
        <v>14976.5</v>
      </c>
      <c r="H48" s="179">
        <f t="shared" ref="H48:H60" si="10">(E48-D48)/D48</f>
        <v>-9.6284178546389279E-2</v>
      </c>
      <c r="I48" s="39"/>
      <c r="J48" s="39"/>
      <c r="K48" s="39">
        <v>18.64</v>
      </c>
      <c r="L48" s="39"/>
    </row>
    <row r="49" spans="1:12" x14ac:dyDescent="0.25">
      <c r="A49">
        <v>150</v>
      </c>
      <c r="B49" s="164">
        <v>43332</v>
      </c>
      <c r="C49" s="10">
        <v>350</v>
      </c>
      <c r="D49" s="39">
        <v>42.79</v>
      </c>
      <c r="E49" s="39">
        <v>38.86</v>
      </c>
      <c r="F49" s="39">
        <f t="shared" si="8"/>
        <v>-1375.5</v>
      </c>
      <c r="G49" s="39">
        <f t="shared" si="9"/>
        <v>14976.5</v>
      </c>
      <c r="H49" s="179">
        <f t="shared" si="10"/>
        <v>-9.1843888759055844E-2</v>
      </c>
      <c r="I49" s="39"/>
      <c r="J49" s="39"/>
      <c r="K49" s="39">
        <v>18.73</v>
      </c>
      <c r="L49" s="39"/>
    </row>
    <row r="50" spans="1:12" x14ac:dyDescent="0.25">
      <c r="A50">
        <v>150</v>
      </c>
      <c r="B50" s="164">
        <v>43340</v>
      </c>
      <c r="C50" s="10">
        <v>350</v>
      </c>
      <c r="D50" s="39">
        <v>42.79</v>
      </c>
      <c r="E50" s="39">
        <v>39.18</v>
      </c>
      <c r="F50" s="39">
        <f t="shared" si="8"/>
        <v>-1263.4999999999998</v>
      </c>
      <c r="G50" s="39">
        <f t="shared" si="9"/>
        <v>14976.5</v>
      </c>
      <c r="H50" s="179">
        <f t="shared" si="10"/>
        <v>-8.4365505959336284E-2</v>
      </c>
      <c r="I50" s="39"/>
      <c r="J50" s="39"/>
      <c r="K50" s="39">
        <v>18.88</v>
      </c>
      <c r="L50" s="39"/>
    </row>
    <row r="51" spans="1:12" x14ac:dyDescent="0.25">
      <c r="A51">
        <v>150</v>
      </c>
      <c r="B51" s="164">
        <v>43342</v>
      </c>
      <c r="C51" s="10">
        <v>350</v>
      </c>
      <c r="D51" s="39">
        <v>42.790900000000001</v>
      </c>
      <c r="E51" s="39">
        <v>39.659999999999997</v>
      </c>
      <c r="F51" s="39">
        <f t="shared" si="8"/>
        <v>-1095.8150000000014</v>
      </c>
      <c r="G51" s="39">
        <f t="shared" si="9"/>
        <v>14976.815000000001</v>
      </c>
      <c r="H51" s="179">
        <f t="shared" si="10"/>
        <v>-7.316742578445426E-2</v>
      </c>
      <c r="I51" s="39"/>
      <c r="J51" s="39"/>
      <c r="K51" s="39">
        <v>19.11</v>
      </c>
      <c r="L51" s="39"/>
    </row>
    <row r="52" spans="1:12" x14ac:dyDescent="0.25">
      <c r="A52">
        <v>150</v>
      </c>
      <c r="B52" s="164">
        <v>43343</v>
      </c>
      <c r="C52" s="10">
        <v>350</v>
      </c>
      <c r="D52" s="39">
        <v>42.790900000000001</v>
      </c>
      <c r="E52" s="39">
        <v>38.19</v>
      </c>
      <c r="F52" s="39">
        <f t="shared" si="8"/>
        <v>-1610.315000000001</v>
      </c>
      <c r="G52" s="39">
        <f t="shared" si="9"/>
        <v>14976.815000000001</v>
      </c>
      <c r="H52" s="179">
        <f t="shared" si="10"/>
        <v>-0.10752052422360836</v>
      </c>
      <c r="I52" s="39"/>
      <c r="J52" s="39"/>
      <c r="K52" s="39"/>
      <c r="L52" s="39"/>
    </row>
    <row r="53" spans="1:12" x14ac:dyDescent="0.25">
      <c r="A53">
        <v>200</v>
      </c>
      <c r="B53" s="164">
        <v>43355</v>
      </c>
      <c r="C53" s="10">
        <v>350</v>
      </c>
      <c r="D53" s="39">
        <v>42.790900000000001</v>
      </c>
      <c r="E53" s="39">
        <v>38.75</v>
      </c>
      <c r="F53" s="39">
        <f t="shared" si="8"/>
        <v>-1414.3150000000003</v>
      </c>
      <c r="G53" s="39">
        <f t="shared" si="9"/>
        <v>14976.815000000001</v>
      </c>
      <c r="H53" s="179">
        <f t="shared" si="10"/>
        <v>-9.4433629580121026E-2</v>
      </c>
      <c r="I53" s="39"/>
      <c r="J53" s="39"/>
      <c r="K53" s="39">
        <v>18.670000000000002</v>
      </c>
      <c r="L53" s="39"/>
    </row>
    <row r="54" spans="1:12" x14ac:dyDescent="0.25">
      <c r="A54">
        <v>350</v>
      </c>
      <c r="B54" s="164">
        <v>43383</v>
      </c>
      <c r="C54" s="10">
        <v>350</v>
      </c>
      <c r="D54" s="39">
        <v>42.79</v>
      </c>
      <c r="E54" s="39">
        <v>35.9</v>
      </c>
      <c r="F54" s="39">
        <f t="shared" si="8"/>
        <v>-2411.5</v>
      </c>
      <c r="G54" s="39">
        <f t="shared" si="9"/>
        <v>14976.5</v>
      </c>
      <c r="H54" s="179">
        <f t="shared" si="10"/>
        <v>-0.16101892965646181</v>
      </c>
      <c r="I54" s="39"/>
      <c r="J54" s="39"/>
      <c r="K54" s="39"/>
      <c r="L54" s="39"/>
    </row>
    <row r="55" spans="1:12" x14ac:dyDescent="0.25">
      <c r="A55">
        <v>350</v>
      </c>
      <c r="B55" s="164">
        <v>43385</v>
      </c>
      <c r="C55" s="359">
        <v>350</v>
      </c>
      <c r="D55" s="360">
        <v>42.703400000000002</v>
      </c>
      <c r="E55" s="39">
        <v>35.869999999999997</v>
      </c>
      <c r="F55" s="39">
        <f t="shared" si="8"/>
        <v>-2391.6900000000014</v>
      </c>
      <c r="G55" s="39">
        <f t="shared" si="9"/>
        <v>14946.19</v>
      </c>
      <c r="H55" s="179">
        <f t="shared" si="10"/>
        <v>-0.16002004524229932</v>
      </c>
      <c r="I55" s="39"/>
      <c r="J55" s="39"/>
      <c r="K55" s="39">
        <v>17.29</v>
      </c>
      <c r="L55" s="39"/>
    </row>
    <row r="56" spans="1:12" x14ac:dyDescent="0.25">
      <c r="A56">
        <v>350</v>
      </c>
      <c r="B56" s="164">
        <v>43442</v>
      </c>
      <c r="C56" s="10">
        <v>350</v>
      </c>
      <c r="D56" s="39">
        <v>42.7</v>
      </c>
      <c r="E56" s="39">
        <v>36.31</v>
      </c>
      <c r="F56" s="39">
        <f t="shared" si="8"/>
        <v>-2236.5</v>
      </c>
      <c r="G56" s="39">
        <f t="shared" si="9"/>
        <v>14945.000000000002</v>
      </c>
      <c r="H56" s="179">
        <f t="shared" si="10"/>
        <v>-0.14964871194379392</v>
      </c>
      <c r="I56" s="39"/>
      <c r="J56" s="39"/>
      <c r="K56" s="39">
        <v>17.5</v>
      </c>
      <c r="L56" s="39"/>
    </row>
    <row r="57" spans="1:12" x14ac:dyDescent="0.25">
      <c r="A57">
        <v>200</v>
      </c>
      <c r="B57" s="164">
        <v>43469</v>
      </c>
      <c r="C57" s="7">
        <v>200</v>
      </c>
      <c r="D57" s="43">
        <v>45.271299999999997</v>
      </c>
      <c r="E57" s="39">
        <v>39.01</v>
      </c>
      <c r="F57" s="39">
        <f t="shared" si="8"/>
        <v>-1252.2599999999998</v>
      </c>
      <c r="G57" s="39">
        <f t="shared" si="9"/>
        <v>9054.2599999999984</v>
      </c>
      <c r="H57" s="179">
        <f t="shared" si="10"/>
        <v>-0.13830616748359334</v>
      </c>
      <c r="I57" s="39"/>
      <c r="J57" s="39"/>
      <c r="K57" s="39">
        <v>18.27</v>
      </c>
      <c r="L57" s="39"/>
    </row>
    <row r="58" spans="1:12" x14ac:dyDescent="0.25">
      <c r="A58">
        <v>200</v>
      </c>
      <c r="B58" s="164">
        <v>43476</v>
      </c>
      <c r="C58" s="7">
        <v>200</v>
      </c>
      <c r="D58" s="43">
        <v>45.118000000000002</v>
      </c>
      <c r="E58" s="39">
        <v>40.71</v>
      </c>
      <c r="F58" s="39">
        <f t="shared" si="8"/>
        <v>-881.60000000000025</v>
      </c>
      <c r="G58" s="39">
        <f t="shared" si="9"/>
        <v>9023.6</v>
      </c>
      <c r="H58" s="179">
        <f t="shared" si="10"/>
        <v>-9.7699366106653682E-2</v>
      </c>
      <c r="I58" s="39"/>
      <c r="J58" s="39"/>
      <c r="K58" s="39">
        <v>19.62</v>
      </c>
      <c r="L58" s="39"/>
    </row>
    <row r="59" spans="1:12" x14ac:dyDescent="0.25">
      <c r="A59">
        <v>150</v>
      </c>
      <c r="B59" s="164">
        <v>43488</v>
      </c>
      <c r="C59" s="10">
        <v>150</v>
      </c>
      <c r="D59" s="39">
        <v>46.424399999999999</v>
      </c>
      <c r="E59" s="39">
        <v>41.02</v>
      </c>
      <c r="F59" s="39">
        <f t="shared" si="8"/>
        <v>-810.65999999999929</v>
      </c>
      <c r="G59" s="39">
        <f t="shared" si="9"/>
        <v>6963.66</v>
      </c>
      <c r="H59" s="179">
        <f t="shared" si="10"/>
        <v>-0.11641292079165257</v>
      </c>
      <c r="I59" s="39"/>
      <c r="J59" s="39"/>
      <c r="K59" s="39">
        <v>19.77</v>
      </c>
      <c r="L59" s="39"/>
    </row>
    <row r="60" spans="1:12" x14ac:dyDescent="0.25">
      <c r="A60">
        <v>0</v>
      </c>
      <c r="B60" s="164">
        <v>43525</v>
      </c>
      <c r="C60" s="10">
        <v>0</v>
      </c>
      <c r="D60" s="39">
        <v>46.42</v>
      </c>
      <c r="E60" s="39">
        <v>49.13</v>
      </c>
      <c r="F60" s="39">
        <f t="shared" si="8"/>
        <v>0</v>
      </c>
      <c r="G60" s="39">
        <f t="shared" si="9"/>
        <v>0</v>
      </c>
      <c r="H60" s="179">
        <f t="shared" si="10"/>
        <v>5.8380008616975461E-2</v>
      </c>
      <c r="I60" s="39"/>
      <c r="J60" s="39">
        <v>86.25</v>
      </c>
      <c r="K60" s="39">
        <v>23.68</v>
      </c>
      <c r="L60" s="39"/>
    </row>
    <row r="61" spans="1:12" x14ac:dyDescent="0.25">
      <c r="B61" s="164"/>
      <c r="C61" s="10"/>
      <c r="D61" s="39"/>
      <c r="E61" s="39"/>
      <c r="F61" s="39"/>
      <c r="G61" s="39"/>
      <c r="H61" s="179"/>
      <c r="I61" s="39"/>
      <c r="J61" s="39"/>
      <c r="K61" s="39"/>
      <c r="L61" s="39"/>
    </row>
    <row r="62" spans="1:12" x14ac:dyDescent="0.25">
      <c r="B62" s="164"/>
      <c r="C62" s="10"/>
      <c r="D62" s="39"/>
      <c r="E62" s="39"/>
      <c r="F62" s="39"/>
      <c r="G62" s="39"/>
      <c r="H62" s="179"/>
      <c r="I62" s="39"/>
      <c r="J62" s="39"/>
      <c r="K62" s="39"/>
      <c r="L62" s="39"/>
    </row>
    <row r="63" spans="1:12" x14ac:dyDescent="0.25">
      <c r="B63" s="164"/>
      <c r="C63" s="10"/>
      <c r="D63" s="39"/>
      <c r="E63" s="39"/>
      <c r="F63" s="39"/>
      <c r="G63" s="39"/>
      <c r="H63" s="179"/>
      <c r="I63" s="39"/>
      <c r="J63" s="39"/>
      <c r="K63" s="39"/>
      <c r="L63" s="39"/>
    </row>
    <row r="64" spans="1:12" x14ac:dyDescent="0.25">
      <c r="B64" s="164"/>
      <c r="C64" s="10"/>
      <c r="D64" s="39"/>
      <c r="E64" s="39"/>
      <c r="F64" s="39"/>
      <c r="G64" s="39"/>
      <c r="H64" s="179"/>
      <c r="I64" s="39"/>
      <c r="J64" s="39"/>
      <c r="K64" s="39"/>
      <c r="L64" s="39"/>
    </row>
    <row r="65" spans="1:13" x14ac:dyDescent="0.25">
      <c r="B65" s="164"/>
      <c r="C65" s="10"/>
      <c r="D65" s="39"/>
      <c r="E65" s="39"/>
      <c r="F65" s="39"/>
      <c r="G65" s="39"/>
      <c r="H65" s="179"/>
      <c r="I65" s="39"/>
      <c r="J65" s="39"/>
      <c r="K65" s="39"/>
      <c r="L65" s="39"/>
    </row>
    <row r="66" spans="1:13" x14ac:dyDescent="0.25">
      <c r="A66" s="4"/>
      <c r="B66" s="72"/>
      <c r="C66" s="4"/>
      <c r="D66" s="3"/>
      <c r="E66" s="3"/>
      <c r="F66" s="3"/>
      <c r="G66" s="3"/>
      <c r="H66" s="216"/>
      <c r="I66" s="3"/>
      <c r="J66" s="3"/>
      <c r="K66" s="3"/>
      <c r="L66" s="4"/>
    </row>
    <row r="67" spans="1:13" x14ac:dyDescent="0.25">
      <c r="A67" s="4"/>
      <c r="B67" s="72"/>
      <c r="C67" s="4"/>
      <c r="D67" s="3"/>
      <c r="E67" s="3"/>
      <c r="F67" s="3"/>
      <c r="G67" s="3"/>
      <c r="H67" s="216"/>
      <c r="I67" s="3"/>
      <c r="J67" s="3"/>
      <c r="K67" s="3"/>
      <c r="L67" s="4"/>
    </row>
    <row r="68" spans="1:13" x14ac:dyDescent="0.25">
      <c r="A68" s="4"/>
      <c r="B68" s="72"/>
      <c r="C68" s="4"/>
      <c r="D68" s="3"/>
      <c r="E68" s="3"/>
      <c r="F68" s="3"/>
      <c r="G68" s="3"/>
      <c r="H68" s="216"/>
      <c r="I68" s="3"/>
      <c r="J68" s="3"/>
      <c r="K68" s="3"/>
      <c r="L68" s="4"/>
    </row>
    <row r="69" spans="1:13" x14ac:dyDescent="0.25">
      <c r="A69" s="4"/>
      <c r="B69" s="72"/>
      <c r="C69" s="4"/>
      <c r="D69" s="3"/>
      <c r="E69" s="3"/>
      <c r="F69" s="3"/>
      <c r="G69" s="3"/>
      <c r="H69" s="216"/>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91"/>
      <c r="B72" s="491"/>
      <c r="C72" s="491"/>
      <c r="D72" s="492"/>
      <c r="E72" s="492"/>
      <c r="F72" s="492"/>
      <c r="G72" s="491"/>
      <c r="H72" s="491"/>
      <c r="I72" s="492"/>
      <c r="J72" s="492"/>
      <c r="K72" s="492"/>
      <c r="L72" s="491" t="s">
        <v>65</v>
      </c>
      <c r="M72" s="492">
        <f>M90+K90-F90</f>
        <v>0</v>
      </c>
    </row>
    <row r="73" spans="1:13" x14ac:dyDescent="0.25">
      <c r="A73" s="610" t="s">
        <v>1</v>
      </c>
      <c r="B73" s="610" t="s">
        <v>2</v>
      </c>
      <c r="C73" s="610" t="s">
        <v>4</v>
      </c>
      <c r="D73" s="611" t="s">
        <v>5</v>
      </c>
      <c r="E73" s="611" t="s">
        <v>94</v>
      </c>
      <c r="F73" s="611" t="s">
        <v>60</v>
      </c>
      <c r="G73" s="610" t="s">
        <v>3</v>
      </c>
      <c r="H73" s="610" t="s">
        <v>6</v>
      </c>
      <c r="I73" s="611" t="s">
        <v>7</v>
      </c>
      <c r="J73" s="611" t="s">
        <v>95</v>
      </c>
      <c r="K73" s="611" t="s">
        <v>61</v>
      </c>
      <c r="L73" s="610" t="s">
        <v>37</v>
      </c>
      <c r="M73" s="610" t="s">
        <v>38</v>
      </c>
    </row>
    <row r="74" spans="1:13" x14ac:dyDescent="0.25">
      <c r="A74" s="612" t="s">
        <v>938</v>
      </c>
      <c r="B74" s="494"/>
      <c r="C74" s="491"/>
      <c r="D74" s="492"/>
      <c r="E74" s="492"/>
      <c r="F74" s="492"/>
      <c r="G74" s="494"/>
      <c r="H74" s="491"/>
      <c r="I74" s="492"/>
      <c r="J74" s="492"/>
      <c r="K74" s="492"/>
      <c r="L74" s="494"/>
      <c r="M74" s="492"/>
    </row>
    <row r="75" spans="1:13" x14ac:dyDescent="0.25">
      <c r="A75" s="613"/>
      <c r="B75" s="494"/>
      <c r="C75" s="491"/>
      <c r="D75" s="492"/>
      <c r="E75" s="492"/>
      <c r="F75" s="492"/>
      <c r="G75" s="494"/>
      <c r="H75" s="493"/>
      <c r="I75" s="492"/>
      <c r="J75" s="492"/>
      <c r="K75" s="492"/>
      <c r="L75" s="491"/>
      <c r="M75" s="491"/>
    </row>
    <row r="76" spans="1:13" x14ac:dyDescent="0.25">
      <c r="A76" s="491"/>
      <c r="B76" s="494"/>
      <c r="C76" s="491"/>
      <c r="D76" s="492"/>
      <c r="E76" s="492"/>
      <c r="F76" s="492"/>
      <c r="G76" s="494"/>
      <c r="H76" s="493"/>
      <c r="I76" s="492"/>
      <c r="J76" s="492"/>
      <c r="K76" s="492"/>
      <c r="L76" s="491"/>
      <c r="M76" s="491"/>
    </row>
    <row r="77" spans="1:13" x14ac:dyDescent="0.25">
      <c r="A77" s="491"/>
      <c r="B77" s="494"/>
      <c r="C77" s="491"/>
      <c r="D77" s="492"/>
      <c r="E77" s="492"/>
      <c r="F77" s="492"/>
      <c r="G77" s="491"/>
      <c r="H77" s="493"/>
      <c r="I77" s="492"/>
      <c r="J77" s="492"/>
      <c r="K77" s="492"/>
      <c r="L77" s="491"/>
      <c r="M77" s="491"/>
    </row>
    <row r="78" spans="1:13" x14ac:dyDescent="0.25">
      <c r="A78" s="491"/>
      <c r="B78" s="494"/>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3"/>
      <c r="I88" s="492"/>
      <c r="J88" s="492"/>
      <c r="K88" s="492"/>
      <c r="L88" s="491"/>
      <c r="M88" s="491"/>
    </row>
    <row r="89" spans="1:13" x14ac:dyDescent="0.25">
      <c r="A89" s="491"/>
      <c r="B89" s="491"/>
      <c r="C89" s="491"/>
      <c r="D89" s="492"/>
      <c r="E89" s="492"/>
      <c r="F89" s="492"/>
      <c r="G89" s="491"/>
      <c r="H89" s="491"/>
      <c r="I89" s="492"/>
      <c r="J89" s="492"/>
      <c r="K89" s="492"/>
      <c r="L89" s="491"/>
      <c r="M89" s="491"/>
    </row>
    <row r="90" spans="1:13" x14ac:dyDescent="0.25">
      <c r="A90" s="614" t="s">
        <v>81</v>
      </c>
      <c r="B90" s="615"/>
      <c r="C90" s="615">
        <f>SUM(C74:C78)</f>
        <v>0</v>
      </c>
      <c r="D90" s="616"/>
      <c r="E90" s="616"/>
      <c r="F90" s="616">
        <f>SUM(F74:F78)</f>
        <v>0</v>
      </c>
      <c r="G90" s="615"/>
      <c r="H90" s="617">
        <f>SUM(H74:H77)</f>
        <v>0</v>
      </c>
      <c r="I90" s="616"/>
      <c r="J90" s="616"/>
      <c r="K90" s="616">
        <f>SUM(K74:K77)</f>
        <v>0</v>
      </c>
      <c r="L90" s="615"/>
      <c r="M90" s="616">
        <f>SUM(M74:M82)</f>
        <v>0</v>
      </c>
    </row>
    <row r="91" spans="1:13" ht="15.75" thickBot="1" x14ac:dyDescent="0.3">
      <c r="A91" s="618" t="s">
        <v>191</v>
      </c>
      <c r="B91" s="650"/>
      <c r="C91" s="619">
        <f>SumByColor($A$19,C74:C89)</f>
        <v>0</v>
      </c>
      <c r="D91" s="619"/>
      <c r="E91" s="619"/>
      <c r="F91" s="620">
        <f>SumByColor($A$19,F74:F89)</f>
        <v>0</v>
      </c>
      <c r="G91" s="619"/>
      <c r="H91" s="619">
        <f>SumByColor($A$19,H74:H89)</f>
        <v>0</v>
      </c>
      <c r="I91" s="619"/>
      <c r="J91" s="619"/>
      <c r="K91" s="620">
        <f>SumByColor($A$19,K75:K89)</f>
        <v>0</v>
      </c>
      <c r="L91" s="619"/>
      <c r="M91" s="620">
        <f>SumByColor($A$19,M74:M89)</f>
        <v>0</v>
      </c>
    </row>
    <row r="94" spans="1:13" x14ac:dyDescent="0.25">
      <c r="B94" s="162" t="s">
        <v>113</v>
      </c>
      <c r="C94" s="162" t="s">
        <v>145</v>
      </c>
      <c r="D94" s="163" t="s">
        <v>144</v>
      </c>
      <c r="E94" s="165" t="s">
        <v>146</v>
      </c>
      <c r="F94" s="165" t="s">
        <v>65</v>
      </c>
      <c r="G94" s="177" t="s">
        <v>150</v>
      </c>
      <c r="H94" s="177" t="s">
        <v>88</v>
      </c>
      <c r="I94" s="177" t="s">
        <v>153</v>
      </c>
      <c r="J94" s="177" t="s">
        <v>149</v>
      </c>
      <c r="K94" s="177" t="s">
        <v>646</v>
      </c>
      <c r="L94" s="177" t="s">
        <v>652</v>
      </c>
    </row>
    <row r="95" spans="1:13" x14ac:dyDescent="0.25">
      <c r="B95" s="164"/>
      <c r="C95" s="10"/>
      <c r="D95" s="39"/>
      <c r="E95" s="39"/>
      <c r="F95" s="39"/>
      <c r="G95" s="39"/>
      <c r="H95" s="179"/>
      <c r="I95" s="39"/>
      <c r="J95" s="39"/>
      <c r="K95" s="39"/>
      <c r="L95" s="39"/>
    </row>
    <row r="96" spans="1:13" x14ac:dyDescent="0.25">
      <c r="B96" s="164"/>
      <c r="C96" s="10"/>
      <c r="D96" s="39"/>
      <c r="E96" s="39"/>
      <c r="F96" s="39"/>
      <c r="G96" s="39"/>
      <c r="H96" s="179"/>
      <c r="I96" s="39"/>
      <c r="J96" s="39"/>
      <c r="K96" s="39"/>
      <c r="L96" s="39"/>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155"/>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row r="116" spans="2:12" x14ac:dyDescent="0.25">
      <c r="B116" s="164"/>
      <c r="C116" s="10"/>
      <c r="D116" s="39"/>
      <c r="E116" s="39"/>
      <c r="F116" s="39"/>
      <c r="G116" s="39"/>
      <c r="H116" s="179"/>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2522" priority="39">
      <formula>F51&gt;0</formula>
    </cfRule>
    <cfRule type="expression" dxfId="2521" priority="40">
      <formula>F51&lt;0</formula>
    </cfRule>
  </conditionalFormatting>
  <conditionalFormatting sqref="Q7">
    <cfRule type="expression" dxfId="2520" priority="37">
      <formula>Q7&gt;0</formula>
    </cfRule>
    <cfRule type="expression" dxfId="2519" priority="38">
      <formula>Q7&lt;0</formula>
    </cfRule>
  </conditionalFormatting>
  <conditionalFormatting sqref="Q8">
    <cfRule type="expression" dxfId="2518" priority="35">
      <formula>Q8&gt;0</formula>
    </cfRule>
    <cfRule type="expression" dxfId="2517" priority="36">
      <formula>Q8&lt;0</formula>
    </cfRule>
  </conditionalFormatting>
  <conditionalFormatting sqref="F31:F49">
    <cfRule type="expression" dxfId="2516" priority="33">
      <formula>F31&gt;0</formula>
    </cfRule>
    <cfRule type="expression" dxfId="2515" priority="34">
      <formula>F31&lt;0</formula>
    </cfRule>
  </conditionalFormatting>
  <conditionalFormatting sqref="H31:H49">
    <cfRule type="expression" dxfId="2514" priority="31">
      <formula>H31&gt;0</formula>
    </cfRule>
    <cfRule type="expression" dxfId="2513" priority="32">
      <formula>H31&lt;0</formula>
    </cfRule>
  </conditionalFormatting>
  <conditionalFormatting sqref="Q10">
    <cfRule type="expression" dxfId="2512" priority="29">
      <formula>Q10&gt;0</formula>
    </cfRule>
    <cfRule type="expression" dxfId="2511" priority="30">
      <formula>Q10&lt;0</formula>
    </cfRule>
  </conditionalFormatting>
  <conditionalFormatting sqref="J25:J38">
    <cfRule type="expression" dxfId="2510" priority="27">
      <formula>J25&gt;0</formula>
    </cfRule>
    <cfRule type="expression" dxfId="2509" priority="28">
      <formula>J25&lt;0</formula>
    </cfRule>
  </conditionalFormatting>
  <conditionalFormatting sqref="K38">
    <cfRule type="expression" dxfId="2508" priority="25">
      <formula>K38&gt;0</formula>
    </cfRule>
    <cfRule type="expression" dxfId="2507" priority="26">
      <formula>K38&lt;0</formula>
    </cfRule>
  </conditionalFormatting>
  <conditionalFormatting sqref="L25:L38">
    <cfRule type="expression" dxfId="2506" priority="23">
      <formula>L25&gt;0</formula>
    </cfRule>
    <cfRule type="expression" dxfId="2505" priority="24">
      <formula>L25&lt;0</formula>
    </cfRule>
  </conditionalFormatting>
  <conditionalFormatting sqref="F95:F116">
    <cfRule type="expression" dxfId="2504" priority="21">
      <formula>F95&gt;0</formula>
    </cfRule>
    <cfRule type="expression" dxfId="2503" priority="22">
      <formula>F95&lt;0</formula>
    </cfRule>
  </conditionalFormatting>
  <conditionalFormatting sqref="H95:H116">
    <cfRule type="expression" dxfId="2502" priority="19">
      <formula>H95&gt;0</formula>
    </cfRule>
    <cfRule type="expression" dxfId="2501" priority="20">
      <formula>H95&lt;0</formula>
    </cfRule>
  </conditionalFormatting>
  <conditionalFormatting sqref="J95:J108">
    <cfRule type="expression" dxfId="2500" priority="17">
      <formula>J95&gt;0</formula>
    </cfRule>
    <cfRule type="expression" dxfId="2499" priority="18">
      <formula>J95&lt;0</formula>
    </cfRule>
  </conditionalFormatting>
  <conditionalFormatting sqref="K95:K108">
    <cfRule type="expression" dxfId="2498" priority="15">
      <formula>K95&gt;0</formula>
    </cfRule>
    <cfRule type="expression" dxfId="2497" priority="16">
      <formula>K95&lt;0</formula>
    </cfRule>
  </conditionalFormatting>
  <conditionalFormatting sqref="L95:L108">
    <cfRule type="expression" dxfId="2496" priority="13">
      <formula>L95&gt;0</formula>
    </cfRule>
    <cfRule type="expression" dxfId="2495" priority="14">
      <formula>L95&lt;0</formula>
    </cfRule>
  </conditionalFormatting>
  <conditionalFormatting sqref="F25:F30">
    <cfRule type="expression" dxfId="2494" priority="11">
      <formula>F25&gt;0</formula>
    </cfRule>
    <cfRule type="expression" dxfId="2493" priority="12">
      <formula>F25&lt;0</formula>
    </cfRule>
  </conditionalFormatting>
  <conditionalFormatting sqref="H25:H30">
    <cfRule type="expression" dxfId="2492" priority="9">
      <formula>H25&gt;0</formula>
    </cfRule>
    <cfRule type="expression" dxfId="2491" priority="10">
      <formula>H25&lt;0</formula>
    </cfRule>
  </conditionalFormatting>
  <conditionalFormatting sqref="F50">
    <cfRule type="expression" dxfId="2490" priority="7">
      <formula>F50&gt;0</formula>
    </cfRule>
    <cfRule type="expression" dxfId="2489" priority="8">
      <formula>F50&lt;0</formula>
    </cfRule>
  </conditionalFormatting>
  <conditionalFormatting sqref="H50">
    <cfRule type="expression" dxfId="2488" priority="5">
      <formula>H50&gt;0</formula>
    </cfRule>
    <cfRule type="expression" dxfId="2487" priority="6">
      <formula>H50&lt;0</formula>
    </cfRule>
  </conditionalFormatting>
  <conditionalFormatting sqref="H62:H63 F62:F63">
    <cfRule type="expression" dxfId="2486" priority="3">
      <formula>F62&gt;0</formula>
    </cfRule>
    <cfRule type="expression" dxfId="2485" priority="4">
      <formula>F62&lt;0</formula>
    </cfRule>
  </conditionalFormatting>
  <conditionalFormatting sqref="J60">
    <cfRule type="expression" dxfId="2484" priority="1">
      <formula>J60&gt;0</formula>
    </cfRule>
    <cfRule type="expression" dxfId="2483"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1373</v>
      </c>
      <c r="B2" s="368">
        <v>43507</v>
      </c>
      <c r="C2" s="7">
        <v>100</v>
      </c>
      <c r="D2" s="43">
        <v>40.28</v>
      </c>
      <c r="E2" s="43">
        <v>0</v>
      </c>
      <c r="F2" s="43">
        <f>C2*D2+E2</f>
        <v>4028</v>
      </c>
      <c r="G2" s="368">
        <v>43539</v>
      </c>
      <c r="H2" s="7">
        <v>100</v>
      </c>
      <c r="I2" s="43">
        <v>44.98</v>
      </c>
      <c r="J2" s="43">
        <v>0.06</v>
      </c>
      <c r="K2" s="43">
        <f>H2*I2-J2</f>
        <v>4497.9399999999996</v>
      </c>
      <c r="L2" s="72">
        <v>43448</v>
      </c>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43.32</v>
      </c>
      <c r="T3" s="1"/>
      <c r="U3" s="22"/>
    </row>
    <row r="4" spans="1:21" x14ac:dyDescent="0.25">
      <c r="B4" s="72"/>
      <c r="C4" s="4"/>
      <c r="D4" s="3"/>
      <c r="E4" s="3"/>
      <c r="F4" s="3"/>
      <c r="G4" s="72"/>
      <c r="H4" s="161"/>
      <c r="I4" s="3"/>
      <c r="J4" s="3"/>
      <c r="K4" s="3"/>
      <c r="L4" s="4"/>
      <c r="M4" s="4"/>
      <c r="O4" s="11" t="s">
        <v>66</v>
      </c>
      <c r="Q4" s="54">
        <v>43.32</v>
      </c>
      <c r="R4" s="425">
        <v>-8.6999999999999994E-3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469.9399999999996</v>
      </c>
      <c r="R7">
        <v>0</v>
      </c>
    </row>
    <row r="8" spans="1:21" x14ac:dyDescent="0.25">
      <c r="B8" s="72"/>
      <c r="C8" s="4"/>
      <c r="D8" s="3"/>
      <c r="E8" s="3"/>
      <c r="F8" s="3"/>
      <c r="G8" s="4"/>
      <c r="H8" s="161"/>
      <c r="I8" s="3"/>
      <c r="J8" s="3"/>
      <c r="K8" s="3"/>
      <c r="L8" s="4"/>
      <c r="M8" s="4"/>
      <c r="O8" s="11" t="s">
        <v>179</v>
      </c>
      <c r="P8" s="33"/>
      <c r="Q8" s="2">
        <f>K18+M18-F18+Q2*Q4</f>
        <v>469.9399999999996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7.8485687903970449E-3</v>
      </c>
      <c r="R11">
        <f>0.34</f>
        <v>0.34</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4" t="s">
        <v>78</v>
      </c>
      <c r="P16" s="884"/>
    </row>
    <row r="17" spans="1:16" ht="15.75" thickTop="1" x14ac:dyDescent="0.25">
      <c r="O17" s="81">
        <v>1.1000000000000001</v>
      </c>
      <c r="P17" s="81">
        <f>O17*$Q$4</f>
        <v>47.652000000000001</v>
      </c>
    </row>
    <row r="18" spans="1:16" x14ac:dyDescent="0.25">
      <c r="A18" s="31" t="s">
        <v>81</v>
      </c>
      <c r="B18" s="14"/>
      <c r="C18" s="14">
        <f>SUM(C2:C8)</f>
        <v>100</v>
      </c>
      <c r="D18" s="18"/>
      <c r="E18" s="18"/>
      <c r="F18" s="18">
        <f>SUM(F2:F8)</f>
        <v>4028</v>
      </c>
      <c r="G18" s="14"/>
      <c r="H18" s="71">
        <f>SUM(H2:H5)</f>
        <v>100</v>
      </c>
      <c r="I18" s="18"/>
      <c r="J18" s="18"/>
      <c r="K18" s="18">
        <f>SUM(K2:K5)</f>
        <v>4497.9399999999996</v>
      </c>
      <c r="L18" s="14"/>
      <c r="M18" s="18">
        <f>SUM(M2:M10)</f>
        <v>0</v>
      </c>
      <c r="O18" s="81">
        <v>1.0900000000000001</v>
      </c>
      <c r="P18" s="81">
        <f t="shared" ref="P18:P37" si="0">O18*$Q$4</f>
        <v>47.218800000000002</v>
      </c>
    </row>
    <row r="19" spans="1:16" ht="15.75" thickBot="1" x14ac:dyDescent="0.3">
      <c r="A19" s="277" t="s">
        <v>191</v>
      </c>
      <c r="B19" s="278"/>
      <c r="C19" s="279">
        <f>SumByColor($A$19,C2:C17)</f>
        <v>100</v>
      </c>
      <c r="D19" s="279"/>
      <c r="E19" s="279"/>
      <c r="F19" s="280">
        <f>SumByColor($A$19,F2:F17)</f>
        <v>4028</v>
      </c>
      <c r="G19" s="279"/>
      <c r="H19" s="279">
        <f>SumByColor($A$19,H2:H17)</f>
        <v>100</v>
      </c>
      <c r="I19" s="279"/>
      <c r="J19" s="279"/>
      <c r="K19" s="280">
        <f>SumByColor($A$19,K2:K17)</f>
        <v>4498</v>
      </c>
      <c r="L19" s="279"/>
      <c r="M19" s="280">
        <f>SumByColor($A$19,M2:M17)</f>
        <v>0</v>
      </c>
      <c r="O19" s="81">
        <v>1.08</v>
      </c>
      <c r="P19" s="81">
        <f t="shared" si="0"/>
        <v>46.785600000000002</v>
      </c>
    </row>
    <row r="20" spans="1:16" x14ac:dyDescent="0.25">
      <c r="O20" s="81">
        <v>1.07</v>
      </c>
      <c r="P20" s="81">
        <f t="shared" si="0"/>
        <v>46.352400000000003</v>
      </c>
    </row>
    <row r="21" spans="1:16" x14ac:dyDescent="0.25">
      <c r="O21" s="81">
        <v>1.06</v>
      </c>
      <c r="P21" s="81">
        <f t="shared" si="0"/>
        <v>45.919200000000004</v>
      </c>
    </row>
    <row r="22" spans="1:16" x14ac:dyDescent="0.25">
      <c r="O22" s="81">
        <v>1.05</v>
      </c>
      <c r="P22" s="81">
        <f t="shared" si="0"/>
        <v>45.486000000000004</v>
      </c>
    </row>
    <row r="23" spans="1:16" x14ac:dyDescent="0.25">
      <c r="O23" s="81">
        <v>1.04</v>
      </c>
      <c r="P23" s="81">
        <f t="shared" si="0"/>
        <v>45.052800000000005</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44.619599999999998</v>
      </c>
    </row>
    <row r="25" spans="1:16" x14ac:dyDescent="0.25">
      <c r="B25" s="164">
        <v>43507</v>
      </c>
      <c r="C25" s="10">
        <v>100</v>
      </c>
      <c r="D25" s="39">
        <v>40.28</v>
      </c>
      <c r="E25" s="39">
        <v>40.11</v>
      </c>
      <c r="F25" s="39">
        <f>C25*(E25-D25)</f>
        <v>-17.000000000000171</v>
      </c>
      <c r="G25" s="39">
        <f>D25*C25</f>
        <v>4028</v>
      </c>
      <c r="H25" s="179">
        <f>(E25-D25)/D25</f>
        <v>-4.2204568023833586E-3</v>
      </c>
      <c r="I25" s="39"/>
      <c r="J25" s="39"/>
      <c r="K25" s="39"/>
      <c r="L25" s="39"/>
      <c r="O25" s="81">
        <v>1.02</v>
      </c>
      <c r="P25" s="81">
        <f t="shared" si="0"/>
        <v>44.186399999999999</v>
      </c>
    </row>
    <row r="26" spans="1:16" x14ac:dyDescent="0.25">
      <c r="B26" s="164">
        <v>43508</v>
      </c>
      <c r="C26" s="10">
        <v>100</v>
      </c>
      <c r="D26" s="39">
        <v>40.28</v>
      </c>
      <c r="E26" s="39">
        <v>41.67</v>
      </c>
      <c r="F26" s="39">
        <f>C26*(E26-D26)</f>
        <v>139.00000000000006</v>
      </c>
      <c r="G26" s="39">
        <f>D26*C26</f>
        <v>4028</v>
      </c>
      <c r="H26" s="179">
        <f>(E26-D26)/D26</f>
        <v>3.4508440913604777E-2</v>
      </c>
      <c r="I26" s="39"/>
      <c r="J26" s="39"/>
      <c r="K26" s="39"/>
      <c r="L26" s="39"/>
      <c r="O26" s="81">
        <v>1.01</v>
      </c>
      <c r="P26" s="81">
        <f t="shared" si="0"/>
        <v>43.7532</v>
      </c>
    </row>
    <row r="27" spans="1:16" x14ac:dyDescent="0.25">
      <c r="B27" s="164">
        <v>43513</v>
      </c>
      <c r="C27" s="10">
        <v>100</v>
      </c>
      <c r="D27" s="39">
        <v>40.28</v>
      </c>
      <c r="E27" s="39">
        <v>44.6</v>
      </c>
      <c r="F27" s="39">
        <f>C27*(E27-D27)</f>
        <v>432</v>
      </c>
      <c r="G27" s="39">
        <f>D27*C27</f>
        <v>4028</v>
      </c>
      <c r="H27" s="179">
        <f>(E27-D27)/D27</f>
        <v>0.10724925521350546</v>
      </c>
      <c r="I27" s="39"/>
      <c r="J27" s="39"/>
      <c r="K27" s="39"/>
      <c r="L27" s="39"/>
      <c r="O27" s="81">
        <v>1</v>
      </c>
      <c r="P27" s="81">
        <f t="shared" si="0"/>
        <v>43.32</v>
      </c>
    </row>
    <row r="28" spans="1:16" x14ac:dyDescent="0.25">
      <c r="B28" s="164">
        <v>43535</v>
      </c>
      <c r="C28" s="10">
        <v>100</v>
      </c>
      <c r="D28" s="39">
        <v>40.28</v>
      </c>
      <c r="E28" s="39">
        <v>42.92</v>
      </c>
      <c r="F28" s="39">
        <f>C28*(E28-D28)</f>
        <v>264.00000000000006</v>
      </c>
      <c r="G28" s="39">
        <f>D28*C28</f>
        <v>4028</v>
      </c>
      <c r="H28" s="179">
        <f>(E28-D28)/D28</f>
        <v>6.5541211519364456E-2</v>
      </c>
      <c r="I28" s="39"/>
      <c r="J28" s="39"/>
      <c r="K28" s="39"/>
      <c r="L28" s="39"/>
      <c r="O28" s="81">
        <v>0.99</v>
      </c>
      <c r="P28" s="81">
        <f t="shared" si="0"/>
        <v>42.886800000000001</v>
      </c>
    </row>
    <row r="29" spans="1:16" x14ac:dyDescent="0.25">
      <c r="B29" s="164">
        <v>43539</v>
      </c>
      <c r="C29" s="10">
        <v>0</v>
      </c>
      <c r="D29" s="39">
        <v>40.28</v>
      </c>
      <c r="E29" s="39">
        <v>44.98</v>
      </c>
      <c r="F29" s="39">
        <f>C29*(E29-D29)</f>
        <v>0</v>
      </c>
      <c r="G29" s="39">
        <f>D29*C29</f>
        <v>0</v>
      </c>
      <c r="H29" s="179">
        <f>(E29-D29)/D29</f>
        <v>0.1166832174776563</v>
      </c>
      <c r="I29" s="39"/>
      <c r="J29" s="39">
        <v>469.94</v>
      </c>
      <c r="K29" s="39"/>
      <c r="L29" s="39"/>
      <c r="O29" s="81">
        <v>0.98</v>
      </c>
      <c r="P29" s="81">
        <f t="shared" si="0"/>
        <v>42.453600000000002</v>
      </c>
    </row>
    <row r="30" spans="1:16" x14ac:dyDescent="0.25">
      <c r="B30" s="164"/>
      <c r="C30" s="10"/>
      <c r="D30" s="39"/>
      <c r="E30" s="39"/>
      <c r="F30" s="39"/>
      <c r="G30" s="39"/>
      <c r="H30" s="179"/>
      <c r="I30" s="39"/>
      <c r="J30" s="39"/>
      <c r="K30" s="39"/>
      <c r="L30" s="39"/>
      <c r="O30" s="81">
        <v>0.97</v>
      </c>
      <c r="P30" s="81">
        <f t="shared" si="0"/>
        <v>42.020400000000002</v>
      </c>
    </row>
    <row r="31" spans="1:16" x14ac:dyDescent="0.25">
      <c r="B31" s="164"/>
      <c r="C31" s="10"/>
      <c r="D31" s="39"/>
      <c r="E31" s="39"/>
      <c r="F31" s="39"/>
      <c r="G31" s="39"/>
      <c r="H31" s="179"/>
      <c r="I31" s="39"/>
      <c r="J31" s="39"/>
      <c r="K31" s="39"/>
      <c r="L31" s="39"/>
      <c r="O31" s="81">
        <v>0.96</v>
      </c>
      <c r="P31" s="81">
        <f t="shared" si="0"/>
        <v>41.587199999999996</v>
      </c>
    </row>
    <row r="32" spans="1:16" x14ac:dyDescent="0.25">
      <c r="B32" s="164"/>
      <c r="C32" s="10"/>
      <c r="D32" s="39"/>
      <c r="E32" s="39"/>
      <c r="F32" s="39"/>
      <c r="G32" s="39"/>
      <c r="H32" s="179"/>
      <c r="I32" s="39"/>
      <c r="J32" s="39"/>
      <c r="K32" s="39"/>
      <c r="L32" s="39"/>
      <c r="O32" s="81">
        <v>0.95</v>
      </c>
      <c r="P32" s="81">
        <f t="shared" si="0"/>
        <v>41.153999999999996</v>
      </c>
    </row>
    <row r="33" spans="2:17" x14ac:dyDescent="0.25">
      <c r="B33" s="164"/>
      <c r="C33" s="10"/>
      <c r="D33" s="39"/>
      <c r="E33" s="39"/>
      <c r="F33" s="39"/>
      <c r="G33" s="39"/>
      <c r="H33" s="179"/>
      <c r="I33" s="39"/>
      <c r="J33" s="39"/>
      <c r="K33" s="39"/>
      <c r="L33" s="39"/>
      <c r="O33" s="81">
        <v>0.94</v>
      </c>
      <c r="P33" s="81">
        <f t="shared" si="0"/>
        <v>40.720799999999997</v>
      </c>
    </row>
    <row r="34" spans="2:17" x14ac:dyDescent="0.25">
      <c r="B34" s="164"/>
      <c r="C34" s="10"/>
      <c r="D34" s="39"/>
      <c r="E34" s="39"/>
      <c r="F34" s="39"/>
      <c r="G34" s="39"/>
      <c r="H34" s="179"/>
      <c r="I34" s="39"/>
      <c r="J34" s="39"/>
      <c r="K34" s="39"/>
      <c r="L34" s="39"/>
      <c r="O34" s="81">
        <v>0.93</v>
      </c>
      <c r="P34" s="81">
        <f t="shared" si="0"/>
        <v>40.287600000000005</v>
      </c>
    </row>
    <row r="35" spans="2:17" x14ac:dyDescent="0.25">
      <c r="B35" s="164"/>
      <c r="C35" s="10"/>
      <c r="D35" s="39"/>
      <c r="E35" s="39"/>
      <c r="F35" s="39"/>
      <c r="G35" s="39"/>
      <c r="H35" s="179"/>
      <c r="I35" s="39"/>
      <c r="J35" s="39"/>
      <c r="K35" s="39"/>
      <c r="L35" s="39"/>
      <c r="O35" s="81">
        <v>0.92</v>
      </c>
      <c r="P35" s="81">
        <f t="shared" si="0"/>
        <v>39.854400000000005</v>
      </c>
    </row>
    <row r="36" spans="2:17" x14ac:dyDescent="0.25">
      <c r="B36" s="164"/>
      <c r="C36" s="10"/>
      <c r="D36" s="39"/>
      <c r="E36" s="39"/>
      <c r="F36" s="39"/>
      <c r="G36" s="39"/>
      <c r="H36" s="179"/>
      <c r="I36" s="39"/>
      <c r="J36" s="39"/>
      <c r="K36" s="39"/>
      <c r="L36" s="39"/>
      <c r="O36" s="81">
        <v>0.91</v>
      </c>
      <c r="P36" s="81">
        <f t="shared" si="0"/>
        <v>39.421199999999999</v>
      </c>
    </row>
    <row r="37" spans="2:17" x14ac:dyDescent="0.25">
      <c r="B37" s="164"/>
      <c r="C37" s="10"/>
      <c r="D37" s="39"/>
      <c r="E37" s="39"/>
      <c r="F37" s="39"/>
      <c r="G37" s="39"/>
      <c r="H37" s="179"/>
      <c r="I37" s="39"/>
      <c r="J37" s="39"/>
      <c r="K37" s="39"/>
      <c r="L37" s="39"/>
      <c r="O37" s="81">
        <v>0.9</v>
      </c>
      <c r="P37" s="81">
        <f t="shared" si="0"/>
        <v>38.988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482" priority="35">
      <formula>F47&gt;0</formula>
    </cfRule>
    <cfRule type="expression" dxfId="2481" priority="36">
      <formula>F47&lt;0</formula>
    </cfRule>
  </conditionalFormatting>
  <conditionalFormatting sqref="Q7">
    <cfRule type="expression" dxfId="2480" priority="33">
      <formula>Q7&gt;0</formula>
    </cfRule>
    <cfRule type="expression" dxfId="2479" priority="34">
      <formula>Q7&lt;0</formula>
    </cfRule>
  </conditionalFormatting>
  <conditionalFormatting sqref="Q8">
    <cfRule type="expression" dxfId="2478" priority="31">
      <formula>Q8&gt;0</formula>
    </cfRule>
    <cfRule type="expression" dxfId="2477" priority="32">
      <formula>Q8&lt;0</formula>
    </cfRule>
  </conditionalFormatting>
  <conditionalFormatting sqref="F30:F46">
    <cfRule type="expression" dxfId="2476" priority="29">
      <formula>F30&gt;0</formula>
    </cfRule>
    <cfRule type="expression" dxfId="2475" priority="30">
      <formula>F30&lt;0</formula>
    </cfRule>
  </conditionalFormatting>
  <conditionalFormatting sqref="H30:H46">
    <cfRule type="expression" dxfId="2474" priority="27">
      <formula>H30&gt;0</formula>
    </cfRule>
    <cfRule type="expression" dxfId="2473" priority="28">
      <formula>H30&lt;0</formula>
    </cfRule>
  </conditionalFormatting>
  <conditionalFormatting sqref="Q10">
    <cfRule type="expression" dxfId="2472" priority="25">
      <formula>Q10&gt;0</formula>
    </cfRule>
    <cfRule type="expression" dxfId="2471" priority="26">
      <formula>Q10&lt;0</formula>
    </cfRule>
  </conditionalFormatting>
  <conditionalFormatting sqref="J25:J38">
    <cfRule type="expression" dxfId="2470" priority="23">
      <formula>J25&gt;0</formula>
    </cfRule>
    <cfRule type="expression" dxfId="2469" priority="24">
      <formula>J25&lt;0</formula>
    </cfRule>
  </conditionalFormatting>
  <conditionalFormatting sqref="K25:K38">
    <cfRule type="expression" dxfId="2468" priority="21">
      <formula>K25&gt;0</formula>
    </cfRule>
    <cfRule type="expression" dxfId="2467" priority="22">
      <formula>K25&lt;0</formula>
    </cfRule>
  </conditionalFormatting>
  <conditionalFormatting sqref="L25 L38">
    <cfRule type="expression" dxfId="2466" priority="19">
      <formula>L25&gt;0</formula>
    </cfRule>
    <cfRule type="expression" dxfId="2465" priority="20">
      <formula>L25&lt;0</formula>
    </cfRule>
  </conditionalFormatting>
  <conditionalFormatting sqref="F89:F110">
    <cfRule type="expression" dxfId="2464" priority="17">
      <formula>F89&gt;0</formula>
    </cfRule>
    <cfRule type="expression" dxfId="2463" priority="18">
      <formula>F89&lt;0</formula>
    </cfRule>
  </conditionalFormatting>
  <conditionalFormatting sqref="H89:H110">
    <cfRule type="expression" dxfId="2462" priority="15">
      <formula>H89&gt;0</formula>
    </cfRule>
    <cfRule type="expression" dxfId="2461" priority="16">
      <formula>H89&lt;0</formula>
    </cfRule>
  </conditionalFormatting>
  <conditionalFormatting sqref="J89:J102">
    <cfRule type="expression" dxfId="2460" priority="13">
      <formula>J89&gt;0</formula>
    </cfRule>
    <cfRule type="expression" dxfId="2459" priority="14">
      <formula>J89&lt;0</formula>
    </cfRule>
  </conditionalFormatting>
  <conditionalFormatting sqref="K89:K102">
    <cfRule type="expression" dxfId="2458" priority="11">
      <formula>K89&gt;0</formula>
    </cfRule>
    <cfRule type="expression" dxfId="2457" priority="12">
      <formula>K89&lt;0</formula>
    </cfRule>
  </conditionalFormatting>
  <conditionalFormatting sqref="L89:L102">
    <cfRule type="expression" dxfId="2456" priority="9">
      <formula>L89&gt;0</formula>
    </cfRule>
    <cfRule type="expression" dxfId="2455" priority="10">
      <formula>L89&lt;0</formula>
    </cfRule>
  </conditionalFormatting>
  <conditionalFormatting sqref="F25:F29">
    <cfRule type="expression" dxfId="2454" priority="7">
      <formula>F25&gt;0</formula>
    </cfRule>
    <cfRule type="expression" dxfId="2453" priority="8">
      <formula>F25&lt;0</formula>
    </cfRule>
  </conditionalFormatting>
  <conditionalFormatting sqref="H25:H29">
    <cfRule type="expression" dxfId="2452" priority="5">
      <formula>H25&gt;0</formula>
    </cfRule>
    <cfRule type="expression" dxfId="2451" priority="6">
      <formula>H25&lt;0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1297</v>
      </c>
      <c r="B2" s="368">
        <v>43416</v>
      </c>
      <c r="C2" s="7">
        <v>60</v>
      </c>
      <c r="D2" s="43">
        <v>91.8</v>
      </c>
      <c r="E2" s="43">
        <v>0</v>
      </c>
      <c r="F2" s="43">
        <f>C2*D2+E2</f>
        <v>5508</v>
      </c>
      <c r="G2" s="368">
        <v>43518</v>
      </c>
      <c r="H2" s="7">
        <v>60</v>
      </c>
      <c r="I2" s="43">
        <v>92.6</v>
      </c>
      <c r="J2" s="43">
        <v>7.0000000000000007E-2</v>
      </c>
      <c r="K2" s="43">
        <f>H2*I2-J2</f>
        <v>5555.93</v>
      </c>
      <c r="L2" s="72">
        <v>43448</v>
      </c>
      <c r="M2" s="3">
        <v>27</v>
      </c>
      <c r="O2" s="11" t="s">
        <v>57</v>
      </c>
      <c r="Q2">
        <f>C18-H18</f>
        <v>0</v>
      </c>
      <c r="T2" s="1"/>
    </row>
    <row r="3" spans="1:21" x14ac:dyDescent="0.25">
      <c r="A3" s="22" t="s">
        <v>71</v>
      </c>
      <c r="B3" s="72"/>
      <c r="C3" s="4"/>
      <c r="D3" s="3"/>
      <c r="E3" s="3"/>
      <c r="F3" s="3"/>
      <c r="G3" s="72"/>
      <c r="H3" s="161"/>
      <c r="I3" s="3"/>
      <c r="J3" s="3"/>
      <c r="K3" s="3"/>
      <c r="L3" s="4"/>
      <c r="M3" s="4"/>
      <c r="O3" s="11" t="s">
        <v>58</v>
      </c>
      <c r="Q3" s="178">
        <f>IF(Q2=0, Q4, (F18-K18-M18)/Q2)</f>
        <v>92.52</v>
      </c>
      <c r="T3" s="1"/>
      <c r="U3" s="22"/>
    </row>
    <row r="4" spans="1:21" x14ac:dyDescent="0.25">
      <c r="B4" s="72"/>
      <c r="C4" s="4"/>
      <c r="D4" s="3"/>
      <c r="E4" s="3"/>
      <c r="F4" s="3"/>
      <c r="G4" s="72"/>
      <c r="H4" s="161"/>
      <c r="I4" s="3"/>
      <c r="J4" s="3"/>
      <c r="K4" s="3"/>
      <c r="L4" s="4"/>
      <c r="M4" s="4"/>
      <c r="O4" s="11" t="s">
        <v>66</v>
      </c>
      <c r="Q4" s="54">
        <v>92.52</v>
      </c>
      <c r="R4" s="425">
        <v>-6.9999999999999999E-4</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74.930000000000291</v>
      </c>
      <c r="R7">
        <v>0</v>
      </c>
    </row>
    <row r="8" spans="1:21" x14ac:dyDescent="0.25">
      <c r="B8" s="72"/>
      <c r="C8" s="4"/>
      <c r="D8" s="3"/>
      <c r="E8" s="3"/>
      <c r="F8" s="3"/>
      <c r="G8" s="4"/>
      <c r="H8" s="161"/>
      <c r="I8" s="3"/>
      <c r="J8" s="3"/>
      <c r="K8" s="3"/>
      <c r="L8" s="4"/>
      <c r="M8" s="4"/>
      <c r="O8" s="11" t="s">
        <v>179</v>
      </c>
      <c r="P8" s="33"/>
      <c r="Q8" s="2">
        <f>K18+M18-F18+Q2*Q4</f>
        <v>74.930000000000291</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1.9455252918287938E-2</v>
      </c>
      <c r="R11">
        <v>1.8</v>
      </c>
    </row>
    <row r="12" spans="1:21" x14ac:dyDescent="0.25">
      <c r="H12" s="70"/>
      <c r="O12" s="11" t="s">
        <v>921</v>
      </c>
      <c r="Q12" s="1" t="s">
        <v>1357</v>
      </c>
    </row>
    <row r="13" spans="1:21" x14ac:dyDescent="0.25">
      <c r="H13" s="70"/>
      <c r="O13" s="11" t="s">
        <v>947</v>
      </c>
    </row>
    <row r="14" spans="1:21" x14ac:dyDescent="0.25">
      <c r="H14" s="70"/>
    </row>
    <row r="15" spans="1:21" x14ac:dyDescent="0.25">
      <c r="H15" s="70"/>
    </row>
    <row r="16" spans="1:21" ht="20.25" thickBot="1" x14ac:dyDescent="0.35">
      <c r="H16" s="70"/>
      <c r="O16" s="884" t="s">
        <v>78</v>
      </c>
      <c r="P16" s="884"/>
    </row>
    <row r="17" spans="1:16" ht="15.75" thickTop="1" x14ac:dyDescent="0.25">
      <c r="O17" s="81">
        <v>1.1000000000000001</v>
      </c>
      <c r="P17" s="81">
        <f>O17*$Q$4</f>
        <v>101.77200000000001</v>
      </c>
    </row>
    <row r="18" spans="1:16" x14ac:dyDescent="0.25">
      <c r="A18" s="31" t="s">
        <v>81</v>
      </c>
      <c r="B18" s="14"/>
      <c r="C18" s="14">
        <f>SUM(C2:C8)</f>
        <v>60</v>
      </c>
      <c r="D18" s="18"/>
      <c r="E18" s="18"/>
      <c r="F18" s="18">
        <f>SUM(F2:F8)</f>
        <v>5508</v>
      </c>
      <c r="G18" s="14"/>
      <c r="H18" s="71">
        <f>SUM(H2:H5)</f>
        <v>60</v>
      </c>
      <c r="I18" s="18"/>
      <c r="J18" s="18"/>
      <c r="K18" s="18">
        <f>SUM(K2:K5)</f>
        <v>5555.93</v>
      </c>
      <c r="L18" s="14"/>
      <c r="M18" s="18">
        <f>SUM(M2:M10)</f>
        <v>27</v>
      </c>
      <c r="O18" s="81">
        <v>1.0900000000000001</v>
      </c>
      <c r="P18" s="81">
        <f t="shared" ref="P18:P37" si="0">O18*$Q$4</f>
        <v>100.8468</v>
      </c>
    </row>
    <row r="19" spans="1:16" ht="15.75" thickBot="1" x14ac:dyDescent="0.3">
      <c r="A19" s="277" t="s">
        <v>191</v>
      </c>
      <c r="B19" s="278"/>
      <c r="C19" s="279">
        <f>SumByColor($A$19,C2:C17)</f>
        <v>60</v>
      </c>
      <c r="D19" s="279"/>
      <c r="E19" s="279"/>
      <c r="F19" s="280">
        <f>SumByColor($A$19,F2:F17)</f>
        <v>5508</v>
      </c>
      <c r="G19" s="279"/>
      <c r="H19" s="279">
        <f>SumByColor($A$19,H2:H17)</f>
        <v>60</v>
      </c>
      <c r="I19" s="279"/>
      <c r="J19" s="279"/>
      <c r="K19" s="280">
        <f>SumByColor($A$19,K2:K17)</f>
        <v>5556</v>
      </c>
      <c r="L19" s="279"/>
      <c r="M19" s="280">
        <f>SumByColor($A$19,M2:M17)</f>
        <v>0</v>
      </c>
      <c r="O19" s="81">
        <v>1.08</v>
      </c>
      <c r="P19" s="81">
        <f t="shared" si="0"/>
        <v>99.921599999999998</v>
      </c>
    </row>
    <row r="20" spans="1:16" x14ac:dyDescent="0.25">
      <c r="O20" s="81">
        <v>1.07</v>
      </c>
      <c r="P20" s="81">
        <f t="shared" si="0"/>
        <v>98.996400000000008</v>
      </c>
    </row>
    <row r="21" spans="1:16" x14ac:dyDescent="0.25">
      <c r="O21" s="81">
        <v>1.06</v>
      </c>
      <c r="P21" s="81">
        <f t="shared" si="0"/>
        <v>98.071200000000005</v>
      </c>
    </row>
    <row r="22" spans="1:16" x14ac:dyDescent="0.25">
      <c r="O22" s="81">
        <v>1.05</v>
      </c>
      <c r="P22" s="81">
        <f t="shared" si="0"/>
        <v>97.146000000000001</v>
      </c>
    </row>
    <row r="23" spans="1:16" x14ac:dyDescent="0.25">
      <c r="O23" s="81">
        <v>1.04</v>
      </c>
      <c r="P23" s="81">
        <f t="shared" si="0"/>
        <v>96.220799999999997</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95.295599999999993</v>
      </c>
    </row>
    <row r="25" spans="1:16" x14ac:dyDescent="0.25">
      <c r="B25" s="164">
        <v>43416</v>
      </c>
      <c r="C25" s="10">
        <v>60</v>
      </c>
      <c r="D25" s="39">
        <v>91.8</v>
      </c>
      <c r="E25" s="39">
        <v>89.52</v>
      </c>
      <c r="F25" s="39">
        <f>C25*(E25-D25)</f>
        <v>-136.80000000000007</v>
      </c>
      <c r="G25" s="39">
        <f>D25*C25</f>
        <v>5508</v>
      </c>
      <c r="H25" s="179">
        <f>(E25-D25)/D25</f>
        <v>-2.4836601307189555E-2</v>
      </c>
      <c r="I25" s="39"/>
      <c r="J25" s="39"/>
      <c r="K25" s="39"/>
      <c r="L25" s="39"/>
      <c r="O25" s="81">
        <v>1.02</v>
      </c>
      <c r="P25" s="81">
        <f t="shared" si="0"/>
        <v>94.370400000000004</v>
      </c>
    </row>
    <row r="26" spans="1:16" x14ac:dyDescent="0.25">
      <c r="B26" s="164">
        <v>43448</v>
      </c>
      <c r="C26" s="10">
        <v>60</v>
      </c>
      <c r="D26" s="39">
        <v>91.35</v>
      </c>
      <c r="E26" s="39">
        <v>82.22</v>
      </c>
      <c r="F26" s="39">
        <f>C26*(E26-D26)</f>
        <v>-547.79999999999973</v>
      </c>
      <c r="G26" s="39">
        <f>D26*C26</f>
        <v>5481</v>
      </c>
      <c r="H26" s="179">
        <f>(E26-D26)/D26</f>
        <v>-9.9945265462506802E-2</v>
      </c>
      <c r="I26" s="39"/>
      <c r="J26" s="39"/>
      <c r="K26" s="39"/>
      <c r="L26" s="39"/>
      <c r="O26" s="81">
        <v>1.01</v>
      </c>
      <c r="P26" s="81">
        <f t="shared" si="0"/>
        <v>93.4452</v>
      </c>
    </row>
    <row r="27" spans="1:16" x14ac:dyDescent="0.25">
      <c r="B27" s="164">
        <v>43486</v>
      </c>
      <c r="C27" s="10">
        <v>60</v>
      </c>
      <c r="D27" s="39">
        <v>91.35</v>
      </c>
      <c r="E27" s="39">
        <v>82.21</v>
      </c>
      <c r="F27" s="39">
        <f>C27*(E27-D27)</f>
        <v>-548.40000000000009</v>
      </c>
      <c r="G27" s="39">
        <f>D27*C27</f>
        <v>5481</v>
      </c>
      <c r="H27" s="179">
        <f>(E27-D27)/D27</f>
        <v>-0.10005473453749317</v>
      </c>
      <c r="I27" s="39"/>
      <c r="J27" s="39"/>
      <c r="K27" s="39"/>
      <c r="L27" s="39"/>
      <c r="O27" s="81">
        <v>1</v>
      </c>
      <c r="P27" s="81">
        <f t="shared" si="0"/>
        <v>92.52</v>
      </c>
    </row>
    <row r="28" spans="1:16" x14ac:dyDescent="0.25">
      <c r="B28" s="164">
        <v>43520</v>
      </c>
      <c r="C28" s="10">
        <v>0</v>
      </c>
      <c r="D28" s="39">
        <v>91.35</v>
      </c>
      <c r="E28" s="39">
        <v>92.52</v>
      </c>
      <c r="F28" s="39"/>
      <c r="G28" s="39"/>
      <c r="H28" s="179">
        <f>(E28-D28)/D28</f>
        <v>1.2807881773399034E-2</v>
      </c>
      <c r="I28" s="39"/>
      <c r="J28" s="39">
        <v>74.930000000000007</v>
      </c>
      <c r="K28" s="39"/>
      <c r="L28" s="39"/>
      <c r="O28" s="81">
        <v>0.99</v>
      </c>
      <c r="P28" s="81">
        <f t="shared" si="0"/>
        <v>91.594799999999992</v>
      </c>
    </row>
    <row r="29" spans="1:16" x14ac:dyDescent="0.25">
      <c r="B29" s="164"/>
      <c r="C29" s="10"/>
      <c r="D29" s="39"/>
      <c r="E29" s="39"/>
      <c r="F29" s="39"/>
      <c r="G29" s="39"/>
      <c r="H29" s="179"/>
      <c r="I29" s="39"/>
      <c r="J29" s="39"/>
      <c r="K29" s="39"/>
      <c r="L29" s="39"/>
      <c r="O29" s="81">
        <v>0.98</v>
      </c>
      <c r="P29" s="81">
        <f t="shared" si="0"/>
        <v>90.669599999999988</v>
      </c>
    </row>
    <row r="30" spans="1:16" x14ac:dyDescent="0.25">
      <c r="B30" s="164"/>
      <c r="C30" s="10"/>
      <c r="D30" s="39"/>
      <c r="E30" s="39"/>
      <c r="F30" s="39"/>
      <c r="G30" s="39"/>
      <c r="H30" s="179"/>
      <c r="I30" s="39"/>
      <c r="J30" s="39"/>
      <c r="K30" s="39"/>
      <c r="L30" s="39"/>
      <c r="O30" s="81">
        <v>0.97</v>
      </c>
      <c r="P30" s="81">
        <f t="shared" si="0"/>
        <v>89.744399999999999</v>
      </c>
    </row>
    <row r="31" spans="1:16" x14ac:dyDescent="0.25">
      <c r="B31" s="164"/>
      <c r="C31" s="10"/>
      <c r="D31" s="39"/>
      <c r="E31" s="39"/>
      <c r="F31" s="39"/>
      <c r="G31" s="39"/>
      <c r="H31" s="179"/>
      <c r="I31" s="39"/>
      <c r="J31" s="39"/>
      <c r="K31" s="39"/>
      <c r="L31" s="39"/>
      <c r="O31" s="81">
        <v>0.96</v>
      </c>
      <c r="P31" s="81">
        <f t="shared" si="0"/>
        <v>88.819199999999995</v>
      </c>
    </row>
    <row r="32" spans="1:16" x14ac:dyDescent="0.25">
      <c r="B32" s="164"/>
      <c r="C32" s="10"/>
      <c r="D32" s="39"/>
      <c r="E32" s="39"/>
      <c r="F32" s="39"/>
      <c r="G32" s="39"/>
      <c r="H32" s="179"/>
      <c r="I32" s="39"/>
      <c r="J32" s="39"/>
      <c r="K32" s="39"/>
      <c r="L32" s="39"/>
      <c r="O32" s="81">
        <v>0.95</v>
      </c>
      <c r="P32" s="81">
        <f t="shared" si="0"/>
        <v>87.893999999999991</v>
      </c>
    </row>
    <row r="33" spans="2:17" x14ac:dyDescent="0.25">
      <c r="B33" s="164"/>
      <c r="C33" s="10"/>
      <c r="D33" s="39"/>
      <c r="E33" s="39"/>
      <c r="F33" s="39"/>
      <c r="G33" s="39"/>
      <c r="H33" s="179"/>
      <c r="I33" s="39"/>
      <c r="J33" s="39"/>
      <c r="K33" s="39"/>
      <c r="L33" s="39"/>
      <c r="O33" s="81">
        <v>0.94</v>
      </c>
      <c r="P33" s="81">
        <f t="shared" si="0"/>
        <v>86.968799999999987</v>
      </c>
    </row>
    <row r="34" spans="2:17" x14ac:dyDescent="0.25">
      <c r="B34" s="164"/>
      <c r="C34" s="10"/>
      <c r="D34" s="39"/>
      <c r="E34" s="39"/>
      <c r="F34" s="39"/>
      <c r="G34" s="39"/>
      <c r="H34" s="179"/>
      <c r="I34" s="39"/>
      <c r="J34" s="39"/>
      <c r="K34" s="39"/>
      <c r="L34" s="39"/>
      <c r="O34" s="81">
        <v>0.93</v>
      </c>
      <c r="P34" s="81">
        <f t="shared" si="0"/>
        <v>86.043599999999998</v>
      </c>
    </row>
    <row r="35" spans="2:17" x14ac:dyDescent="0.25">
      <c r="B35" s="164"/>
      <c r="C35" s="10"/>
      <c r="D35" s="39"/>
      <c r="E35" s="39"/>
      <c r="F35" s="39"/>
      <c r="G35" s="39"/>
      <c r="H35" s="179"/>
      <c r="I35" s="39"/>
      <c r="J35" s="39"/>
      <c r="K35" s="39"/>
      <c r="L35" s="39"/>
      <c r="O35" s="81">
        <v>0.92</v>
      </c>
      <c r="P35" s="81">
        <f t="shared" si="0"/>
        <v>85.118399999999994</v>
      </c>
    </row>
    <row r="36" spans="2:17" x14ac:dyDescent="0.25">
      <c r="B36" s="164"/>
      <c r="C36" s="10"/>
      <c r="D36" s="39"/>
      <c r="E36" s="39"/>
      <c r="F36" s="39"/>
      <c r="G36" s="39"/>
      <c r="H36" s="179"/>
      <c r="I36" s="39"/>
      <c r="J36" s="39"/>
      <c r="K36" s="39"/>
      <c r="L36" s="39"/>
      <c r="O36" s="81">
        <v>0.91</v>
      </c>
      <c r="P36" s="81">
        <f t="shared" si="0"/>
        <v>84.193200000000004</v>
      </c>
    </row>
    <row r="37" spans="2:17" x14ac:dyDescent="0.25">
      <c r="B37" s="164"/>
      <c r="C37" s="10"/>
      <c r="D37" s="39"/>
      <c r="E37" s="39"/>
      <c r="F37" s="39"/>
      <c r="G37" s="39"/>
      <c r="H37" s="179"/>
      <c r="I37" s="39"/>
      <c r="J37" s="39"/>
      <c r="K37" s="39"/>
      <c r="L37" s="39"/>
      <c r="O37" s="81">
        <v>0.9</v>
      </c>
      <c r="P37" s="81">
        <f t="shared" si="0"/>
        <v>83.268000000000001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450" priority="35">
      <formula>F47&gt;0</formula>
    </cfRule>
    <cfRule type="expression" dxfId="2449" priority="36">
      <formula>F47&lt;0</formula>
    </cfRule>
  </conditionalFormatting>
  <conditionalFormatting sqref="Q7">
    <cfRule type="expression" dxfId="2448" priority="33">
      <formula>Q7&gt;0</formula>
    </cfRule>
    <cfRule type="expression" dxfId="2447" priority="34">
      <formula>Q7&lt;0</formula>
    </cfRule>
  </conditionalFormatting>
  <conditionalFormatting sqref="Q8">
    <cfRule type="expression" dxfId="2446" priority="31">
      <formula>Q8&gt;0</formula>
    </cfRule>
    <cfRule type="expression" dxfId="2445" priority="32">
      <formula>Q8&lt;0</formula>
    </cfRule>
  </conditionalFormatting>
  <conditionalFormatting sqref="F30:F46">
    <cfRule type="expression" dxfId="2444" priority="29">
      <formula>F30&gt;0</formula>
    </cfRule>
    <cfRule type="expression" dxfId="2443" priority="30">
      <formula>F30&lt;0</formula>
    </cfRule>
  </conditionalFormatting>
  <conditionalFormatting sqref="H30:H46">
    <cfRule type="expression" dxfId="2442" priority="27">
      <formula>H30&gt;0</formula>
    </cfRule>
    <cfRule type="expression" dxfId="2441" priority="28">
      <formula>H30&lt;0</formula>
    </cfRule>
  </conditionalFormatting>
  <conditionalFormatting sqref="Q10">
    <cfRule type="expression" dxfId="2440" priority="25">
      <formula>Q10&gt;0</formula>
    </cfRule>
    <cfRule type="expression" dxfId="2439" priority="26">
      <formula>Q10&lt;0</formula>
    </cfRule>
  </conditionalFormatting>
  <conditionalFormatting sqref="J25:J38">
    <cfRule type="expression" dxfId="2438" priority="23">
      <formula>J25&gt;0</formula>
    </cfRule>
    <cfRule type="expression" dxfId="2437" priority="24">
      <formula>J25&lt;0</formula>
    </cfRule>
  </conditionalFormatting>
  <conditionalFormatting sqref="K25:K38">
    <cfRule type="expression" dxfId="2436" priority="21">
      <formula>K25&gt;0</formula>
    </cfRule>
    <cfRule type="expression" dxfId="2435" priority="22">
      <formula>K25&lt;0</formula>
    </cfRule>
  </conditionalFormatting>
  <conditionalFormatting sqref="L25 L38">
    <cfRule type="expression" dxfId="2434" priority="19">
      <formula>L25&gt;0</formula>
    </cfRule>
    <cfRule type="expression" dxfId="2433" priority="20">
      <formula>L25&lt;0</formula>
    </cfRule>
  </conditionalFormatting>
  <conditionalFormatting sqref="F89:F110">
    <cfRule type="expression" dxfId="2432" priority="17">
      <formula>F89&gt;0</formula>
    </cfRule>
    <cfRule type="expression" dxfId="2431" priority="18">
      <formula>F89&lt;0</formula>
    </cfRule>
  </conditionalFormatting>
  <conditionalFormatting sqref="H89:H110">
    <cfRule type="expression" dxfId="2430" priority="15">
      <formula>H89&gt;0</formula>
    </cfRule>
    <cfRule type="expression" dxfId="2429" priority="16">
      <formula>H89&lt;0</formula>
    </cfRule>
  </conditionalFormatting>
  <conditionalFormatting sqref="J89:J102">
    <cfRule type="expression" dxfId="2428" priority="13">
      <formula>J89&gt;0</formula>
    </cfRule>
    <cfRule type="expression" dxfId="2427" priority="14">
      <formula>J89&lt;0</formula>
    </cfRule>
  </conditionalFormatting>
  <conditionalFormatting sqref="K89:K102">
    <cfRule type="expression" dxfId="2426" priority="11">
      <formula>K89&gt;0</formula>
    </cfRule>
    <cfRule type="expression" dxfId="2425" priority="12">
      <formula>K89&lt;0</formula>
    </cfRule>
  </conditionalFormatting>
  <conditionalFormatting sqref="L89:L102">
    <cfRule type="expression" dxfId="2424" priority="9">
      <formula>L89&gt;0</formula>
    </cfRule>
    <cfRule type="expression" dxfId="2423" priority="10">
      <formula>L89&lt;0</formula>
    </cfRule>
  </conditionalFormatting>
  <conditionalFormatting sqref="F29 F25:F27">
    <cfRule type="expression" dxfId="2422" priority="7">
      <formula>F25&gt;0</formula>
    </cfRule>
    <cfRule type="expression" dxfId="2421" priority="8">
      <formula>F25&lt;0</formula>
    </cfRule>
  </conditionalFormatting>
  <conditionalFormatting sqref="H25:H29">
    <cfRule type="expression" dxfId="2420" priority="5">
      <formula>H25&gt;0</formula>
    </cfRule>
    <cfRule type="expression" dxfId="2419" priority="6">
      <formula>H25&lt;0</formula>
    </cfRule>
  </conditionalFormatting>
  <conditionalFormatting sqref="F28">
    <cfRule type="expression" dxfId="2418" priority="3">
      <formula>F28&gt;0</formula>
    </cfRule>
    <cfRule type="expression" dxfId="2417" priority="4">
      <formula>F28&lt;0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1325</v>
      </c>
      <c r="B2" s="368">
        <v>43440</v>
      </c>
      <c r="C2" s="7">
        <v>100</v>
      </c>
      <c r="D2" s="43">
        <v>43.5</v>
      </c>
      <c r="E2" s="43">
        <v>0</v>
      </c>
      <c r="F2" s="43">
        <f>C2*D2+E2</f>
        <v>4350</v>
      </c>
      <c r="G2" s="368">
        <v>43473</v>
      </c>
      <c r="H2" s="43">
        <v>100</v>
      </c>
      <c r="I2" s="43">
        <v>45.8</v>
      </c>
      <c r="J2" s="43">
        <v>0.06</v>
      </c>
      <c r="K2" s="43">
        <f>I2*H2-J2</f>
        <v>4579.9399999999996</v>
      </c>
      <c r="L2" s="72"/>
      <c r="M2" s="3"/>
      <c r="O2" s="11" t="s">
        <v>57</v>
      </c>
      <c r="Q2">
        <f>C18-H18</f>
        <v>0</v>
      </c>
      <c r="T2" s="1"/>
      <c r="U2" t="s">
        <v>1277</v>
      </c>
    </row>
    <row r="3" spans="1:21" x14ac:dyDescent="0.25">
      <c r="A3" s="22" t="s">
        <v>71</v>
      </c>
      <c r="B3" s="72"/>
      <c r="C3" s="4"/>
      <c r="D3" s="3"/>
      <c r="E3" s="3"/>
      <c r="F3" s="3"/>
      <c r="G3" s="72"/>
      <c r="H3" s="161"/>
      <c r="I3" s="3"/>
      <c r="J3" s="3"/>
      <c r="K3" s="3"/>
      <c r="L3" s="4"/>
      <c r="M3" s="4"/>
      <c r="O3" s="11" t="s">
        <v>58</v>
      </c>
      <c r="Q3" s="178">
        <f>IF(Q2=0, Q4, (F18-K18-M18)/Q2)</f>
        <v>47.8</v>
      </c>
      <c r="T3" s="1"/>
      <c r="U3" s="22"/>
    </row>
    <row r="4" spans="1:21" x14ac:dyDescent="0.25">
      <c r="B4" s="72"/>
      <c r="C4" s="4"/>
      <c r="D4" s="3"/>
      <c r="E4" s="3"/>
      <c r="F4" s="3"/>
      <c r="G4" s="72"/>
      <c r="H4" s="161"/>
      <c r="I4" s="3"/>
      <c r="J4" s="3"/>
      <c r="K4" s="3"/>
      <c r="L4" s="4"/>
      <c r="M4" s="4"/>
      <c r="O4" s="11" t="s">
        <v>66</v>
      </c>
      <c r="Q4" s="54">
        <v>47.8</v>
      </c>
      <c r="R4" s="425">
        <v>2.4500000000000001E-2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229.9399999999996</v>
      </c>
      <c r="R7">
        <v>0</v>
      </c>
    </row>
    <row r="8" spans="1:21" x14ac:dyDescent="0.25">
      <c r="B8" s="72"/>
      <c r="C8" s="4"/>
      <c r="D8" s="3"/>
      <c r="E8" s="3"/>
      <c r="F8" s="3"/>
      <c r="G8" s="4"/>
      <c r="H8" s="161"/>
      <c r="I8" s="3"/>
      <c r="J8" s="3"/>
      <c r="K8" s="3"/>
      <c r="L8" s="4"/>
      <c r="M8" s="4"/>
      <c r="O8" s="11" t="s">
        <v>179</v>
      </c>
      <c r="P8" s="33"/>
      <c r="Q8" s="2">
        <f>K18+M18-F18+Q2*Q4</f>
        <v>229.9399999999996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2.4167364016736404E-2</v>
      </c>
      <c r="R11">
        <f>0.2888*4</f>
        <v>1.1552</v>
      </c>
    </row>
    <row r="12" spans="1:21" x14ac:dyDescent="0.25">
      <c r="H12" s="70"/>
      <c r="O12" s="11" t="s">
        <v>921</v>
      </c>
      <c r="Q12" s="1" t="s">
        <v>1347</v>
      </c>
    </row>
    <row r="13" spans="1:21" x14ac:dyDescent="0.25">
      <c r="H13" s="70"/>
      <c r="O13" s="11" t="s">
        <v>947</v>
      </c>
    </row>
    <row r="14" spans="1:21" x14ac:dyDescent="0.25">
      <c r="H14" s="70"/>
    </row>
    <row r="15" spans="1:21" x14ac:dyDescent="0.25">
      <c r="H15" s="70"/>
    </row>
    <row r="16" spans="1:21" ht="20.25" thickBot="1" x14ac:dyDescent="0.35">
      <c r="H16" s="70"/>
      <c r="O16" s="884" t="s">
        <v>78</v>
      </c>
      <c r="P16" s="884"/>
    </row>
    <row r="17" spans="1:16" ht="15.75" thickTop="1" x14ac:dyDescent="0.25">
      <c r="O17" s="81">
        <v>1.1000000000000001</v>
      </c>
      <c r="P17" s="81">
        <f>O17*$Q$4</f>
        <v>52.58</v>
      </c>
    </row>
    <row r="18" spans="1:16" x14ac:dyDescent="0.25">
      <c r="A18" s="31" t="s">
        <v>81</v>
      </c>
      <c r="B18" s="14"/>
      <c r="C18" s="14">
        <f>SUM(C2:C8)</f>
        <v>100</v>
      </c>
      <c r="D18" s="18"/>
      <c r="E18" s="18"/>
      <c r="F18" s="18">
        <f>SUM(F2:F8)</f>
        <v>4350</v>
      </c>
      <c r="G18" s="14"/>
      <c r="H18" s="71">
        <f>SUM(H2:H5)</f>
        <v>100</v>
      </c>
      <c r="I18" s="18"/>
      <c r="J18" s="18"/>
      <c r="K18" s="18">
        <f>SUM(K2:K5)</f>
        <v>4579.9399999999996</v>
      </c>
      <c r="L18" s="14"/>
      <c r="M18" s="18">
        <f>SUM(M2:M10)</f>
        <v>0</v>
      </c>
      <c r="O18" s="81">
        <v>1.0900000000000001</v>
      </c>
      <c r="P18" s="81">
        <f t="shared" ref="P18:P37" si="0">O18*$Q$4</f>
        <v>52.102000000000004</v>
      </c>
    </row>
    <row r="19" spans="1:16" ht="15.75" thickBot="1" x14ac:dyDescent="0.3">
      <c r="A19" s="277" t="s">
        <v>191</v>
      </c>
      <c r="B19" s="278"/>
      <c r="C19" s="279">
        <f>SumByColor($A$19,C2:C17)</f>
        <v>100</v>
      </c>
      <c r="D19" s="279"/>
      <c r="E19" s="279"/>
      <c r="F19" s="280">
        <f>SumByColor($A$19,F2:F17)</f>
        <v>4350</v>
      </c>
      <c r="G19" s="279"/>
      <c r="H19" s="279">
        <f>SumByColor($A$19,H2:H17)</f>
        <v>100</v>
      </c>
      <c r="I19" s="279"/>
      <c r="J19" s="279"/>
      <c r="K19" s="280">
        <f>SumByColor($A$19,K2:K17)</f>
        <v>4580</v>
      </c>
      <c r="L19" s="279"/>
      <c r="M19" s="280">
        <f>SumByColor($A$19,M2:M17)</f>
        <v>0</v>
      </c>
      <c r="O19" s="81">
        <v>1.08</v>
      </c>
      <c r="P19" s="81">
        <f t="shared" si="0"/>
        <v>51.624000000000002</v>
      </c>
    </row>
    <row r="20" spans="1:16" x14ac:dyDescent="0.25">
      <c r="O20" s="81">
        <v>1.07</v>
      </c>
      <c r="P20" s="81">
        <f t="shared" si="0"/>
        <v>51.146000000000001</v>
      </c>
    </row>
    <row r="21" spans="1:16" x14ac:dyDescent="0.25">
      <c r="O21" s="81">
        <v>1.06</v>
      </c>
      <c r="P21" s="81">
        <f t="shared" si="0"/>
        <v>50.667999999999999</v>
      </c>
    </row>
    <row r="22" spans="1:16" x14ac:dyDescent="0.25">
      <c r="O22" s="81">
        <v>1.05</v>
      </c>
      <c r="P22" s="81">
        <f t="shared" si="0"/>
        <v>50.19</v>
      </c>
    </row>
    <row r="23" spans="1:16" x14ac:dyDescent="0.25">
      <c r="O23" s="81">
        <v>1.04</v>
      </c>
      <c r="P23" s="81">
        <f t="shared" si="0"/>
        <v>49.711999999999996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49.234000000000002</v>
      </c>
    </row>
    <row r="25" spans="1:16" x14ac:dyDescent="0.25">
      <c r="B25" s="164">
        <v>43440</v>
      </c>
      <c r="C25" s="10">
        <v>100</v>
      </c>
      <c r="D25" s="39">
        <v>43.5</v>
      </c>
      <c r="E25" s="39">
        <v>44.6</v>
      </c>
      <c r="F25" s="39">
        <f>C25*(E25-D25)</f>
        <v>110.00000000000014</v>
      </c>
      <c r="G25" s="39">
        <f>D25*C25</f>
        <v>4350</v>
      </c>
      <c r="H25" s="179">
        <f>(E25-D25)/D25</f>
        <v>2.5287356321839115E-2</v>
      </c>
      <c r="I25" s="39"/>
      <c r="J25" s="39"/>
      <c r="K25" s="39"/>
      <c r="L25" s="39"/>
      <c r="O25" s="81">
        <v>1.02</v>
      </c>
      <c r="P25" s="81">
        <f t="shared" si="0"/>
        <v>48.756</v>
      </c>
    </row>
    <row r="26" spans="1:16" x14ac:dyDescent="0.25">
      <c r="B26" s="164">
        <v>43473</v>
      </c>
      <c r="C26" s="10">
        <v>0</v>
      </c>
      <c r="D26" s="39"/>
      <c r="E26" s="39"/>
      <c r="F26" s="39"/>
      <c r="G26" s="39"/>
      <c r="H26" s="179"/>
      <c r="I26" s="39"/>
      <c r="J26" s="39">
        <v>229.94</v>
      </c>
      <c r="K26" s="39"/>
      <c r="L26" s="39"/>
      <c r="O26" s="81">
        <v>1.01</v>
      </c>
      <c r="P26" s="81">
        <f t="shared" si="0"/>
        <v>48.277999999999999</v>
      </c>
    </row>
    <row r="27" spans="1:16" x14ac:dyDescent="0.25">
      <c r="B27" s="164"/>
      <c r="C27" s="10"/>
      <c r="D27" s="39"/>
      <c r="E27" s="39"/>
      <c r="F27" s="39"/>
      <c r="G27" s="39"/>
      <c r="H27" s="179"/>
      <c r="I27" s="39"/>
      <c r="J27" s="39"/>
      <c r="K27" s="39"/>
      <c r="L27" s="39"/>
      <c r="O27" s="81">
        <v>1</v>
      </c>
      <c r="P27" s="81">
        <f t="shared" si="0"/>
        <v>47.8</v>
      </c>
    </row>
    <row r="28" spans="1:16" x14ac:dyDescent="0.25">
      <c r="B28" s="164"/>
      <c r="C28" s="10"/>
      <c r="D28" s="39"/>
      <c r="E28" s="39"/>
      <c r="F28" s="39"/>
      <c r="G28" s="39"/>
      <c r="H28" s="179"/>
      <c r="I28" s="39"/>
      <c r="J28" s="39"/>
      <c r="K28" s="39"/>
      <c r="L28" s="39"/>
      <c r="O28" s="81">
        <v>0.99</v>
      </c>
      <c r="P28" s="81">
        <f t="shared" si="0"/>
        <v>47.321999999999996</v>
      </c>
    </row>
    <row r="29" spans="1:16" x14ac:dyDescent="0.25">
      <c r="B29" s="164"/>
      <c r="C29" s="10"/>
      <c r="D29" s="39"/>
      <c r="E29" s="39"/>
      <c r="F29" s="39"/>
      <c r="G29" s="39"/>
      <c r="H29" s="179"/>
      <c r="I29" s="39"/>
      <c r="J29" s="39"/>
      <c r="K29" s="39"/>
      <c r="L29" s="39"/>
      <c r="O29" s="81">
        <v>0.98</v>
      </c>
      <c r="P29" s="81">
        <f t="shared" si="0"/>
        <v>46.843999999999994</v>
      </c>
    </row>
    <row r="30" spans="1:16" x14ac:dyDescent="0.25">
      <c r="B30" s="164"/>
      <c r="C30" s="10"/>
      <c r="D30" s="39"/>
      <c r="E30" s="39"/>
      <c r="F30" s="39"/>
      <c r="G30" s="39"/>
      <c r="H30" s="179"/>
      <c r="I30" s="39"/>
      <c r="J30" s="39"/>
      <c r="K30" s="39"/>
      <c r="L30" s="39"/>
      <c r="O30" s="81">
        <v>0.97</v>
      </c>
      <c r="P30" s="81">
        <f t="shared" si="0"/>
        <v>46.365999999999993</v>
      </c>
    </row>
    <row r="31" spans="1:16" x14ac:dyDescent="0.25">
      <c r="B31" s="164"/>
      <c r="C31" s="10"/>
      <c r="D31" s="39"/>
      <c r="E31" s="39"/>
      <c r="F31" s="39"/>
      <c r="G31" s="39"/>
      <c r="H31" s="179"/>
      <c r="I31" s="39"/>
      <c r="J31" s="39"/>
      <c r="K31" s="39"/>
      <c r="L31" s="39"/>
      <c r="O31" s="81">
        <v>0.96</v>
      </c>
      <c r="P31" s="81">
        <f t="shared" si="0"/>
        <v>45.887999999999998</v>
      </c>
    </row>
    <row r="32" spans="1:16" x14ac:dyDescent="0.25">
      <c r="B32" s="164"/>
      <c r="C32" s="10"/>
      <c r="D32" s="39"/>
      <c r="E32" s="39"/>
      <c r="F32" s="39"/>
      <c r="G32" s="39"/>
      <c r="H32" s="179"/>
      <c r="I32" s="39"/>
      <c r="J32" s="39"/>
      <c r="K32" s="39"/>
      <c r="L32" s="39"/>
      <c r="O32" s="81">
        <v>0.95</v>
      </c>
      <c r="P32" s="81">
        <f t="shared" si="0"/>
        <v>45.41</v>
      </c>
    </row>
    <row r="33" spans="2:17" x14ac:dyDescent="0.25">
      <c r="B33" s="164"/>
      <c r="C33" s="10"/>
      <c r="D33" s="39"/>
      <c r="E33" s="39"/>
      <c r="F33" s="39"/>
      <c r="G33" s="39"/>
      <c r="H33" s="179"/>
      <c r="I33" s="39"/>
      <c r="J33" s="39"/>
      <c r="K33" s="39"/>
      <c r="L33" s="39"/>
      <c r="O33" s="81">
        <v>0.94</v>
      </c>
      <c r="P33" s="81">
        <f t="shared" si="0"/>
        <v>44.931999999999995</v>
      </c>
    </row>
    <row r="34" spans="2:17" x14ac:dyDescent="0.25">
      <c r="B34" s="164"/>
      <c r="C34" s="10"/>
      <c r="D34" s="39"/>
      <c r="E34" s="39"/>
      <c r="F34" s="39"/>
      <c r="G34" s="39"/>
      <c r="H34" s="179"/>
      <c r="I34" s="39"/>
      <c r="J34" s="39"/>
      <c r="K34" s="39"/>
      <c r="L34" s="39"/>
      <c r="O34" s="81">
        <v>0.93</v>
      </c>
      <c r="P34" s="81">
        <f t="shared" si="0"/>
        <v>44.454000000000001</v>
      </c>
    </row>
    <row r="35" spans="2:17" x14ac:dyDescent="0.25">
      <c r="B35" s="164"/>
      <c r="C35" s="10"/>
      <c r="D35" s="39"/>
      <c r="E35" s="39"/>
      <c r="F35" s="39"/>
      <c r="G35" s="39"/>
      <c r="H35" s="179"/>
      <c r="I35" s="39"/>
      <c r="J35" s="39"/>
      <c r="K35" s="39"/>
      <c r="L35" s="39"/>
      <c r="O35" s="81">
        <v>0.92</v>
      </c>
      <c r="P35" s="81">
        <f t="shared" si="0"/>
        <v>43.975999999999999</v>
      </c>
    </row>
    <row r="36" spans="2:17" x14ac:dyDescent="0.25">
      <c r="B36" s="164"/>
      <c r="C36" s="10"/>
      <c r="D36" s="39"/>
      <c r="E36" s="39"/>
      <c r="F36" s="39"/>
      <c r="G36" s="39"/>
      <c r="H36" s="179"/>
      <c r="I36" s="39"/>
      <c r="J36" s="39"/>
      <c r="K36" s="39"/>
      <c r="L36" s="39"/>
      <c r="O36" s="81">
        <v>0.91</v>
      </c>
      <c r="P36" s="81">
        <f t="shared" si="0"/>
        <v>43.497999999999998</v>
      </c>
    </row>
    <row r="37" spans="2:17" x14ac:dyDescent="0.25">
      <c r="B37" s="164"/>
      <c r="C37" s="10"/>
      <c r="D37" s="39"/>
      <c r="E37" s="39"/>
      <c r="F37" s="39"/>
      <c r="G37" s="39"/>
      <c r="H37" s="179"/>
      <c r="I37" s="39"/>
      <c r="J37" s="39"/>
      <c r="K37" s="39"/>
      <c r="L37" s="39"/>
      <c r="O37" s="81">
        <v>0.9</v>
      </c>
      <c r="P37" s="81">
        <f t="shared" si="0"/>
        <v>43.019999999999996</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416" priority="35">
      <formula>F47&gt;0</formula>
    </cfRule>
    <cfRule type="expression" dxfId="2415" priority="36">
      <formula>F47&lt;0</formula>
    </cfRule>
  </conditionalFormatting>
  <conditionalFormatting sqref="Q7">
    <cfRule type="expression" dxfId="2414" priority="33">
      <formula>Q7&gt;0</formula>
    </cfRule>
    <cfRule type="expression" dxfId="2413" priority="34">
      <formula>Q7&lt;0</formula>
    </cfRule>
  </conditionalFormatting>
  <conditionalFormatting sqref="Q8">
    <cfRule type="expression" dxfId="2412" priority="31">
      <formula>Q8&gt;0</formula>
    </cfRule>
    <cfRule type="expression" dxfId="2411" priority="32">
      <formula>Q8&lt;0</formula>
    </cfRule>
  </conditionalFormatting>
  <conditionalFormatting sqref="F30:F46">
    <cfRule type="expression" dxfId="2410" priority="29">
      <formula>F30&gt;0</formula>
    </cfRule>
    <cfRule type="expression" dxfId="2409" priority="30">
      <formula>F30&lt;0</formula>
    </cfRule>
  </conditionalFormatting>
  <conditionalFormatting sqref="H30:H46">
    <cfRule type="expression" dxfId="2408" priority="27">
      <formula>H30&gt;0</formula>
    </cfRule>
    <cfRule type="expression" dxfId="2407" priority="28">
      <formula>H30&lt;0</formula>
    </cfRule>
  </conditionalFormatting>
  <conditionalFormatting sqref="Q10">
    <cfRule type="expression" dxfId="2406" priority="25">
      <formula>Q10&gt;0</formula>
    </cfRule>
    <cfRule type="expression" dxfId="2405" priority="26">
      <formula>Q10&lt;0</formula>
    </cfRule>
  </conditionalFormatting>
  <conditionalFormatting sqref="J25:J38">
    <cfRule type="expression" dxfId="2404" priority="23">
      <formula>J25&gt;0</formula>
    </cfRule>
    <cfRule type="expression" dxfId="2403" priority="24">
      <formula>J25&lt;0</formula>
    </cfRule>
  </conditionalFormatting>
  <conditionalFormatting sqref="K25:K38">
    <cfRule type="expression" dxfId="2402" priority="21">
      <formula>K25&gt;0</formula>
    </cfRule>
    <cfRule type="expression" dxfId="2401" priority="22">
      <formula>K25&lt;0</formula>
    </cfRule>
  </conditionalFormatting>
  <conditionalFormatting sqref="L25 L38">
    <cfRule type="expression" dxfId="2400" priority="19">
      <formula>L25&gt;0</formula>
    </cfRule>
    <cfRule type="expression" dxfId="2399" priority="20">
      <formula>L25&lt;0</formula>
    </cfRule>
  </conditionalFormatting>
  <conditionalFormatting sqref="F89:F110">
    <cfRule type="expression" dxfId="2398" priority="17">
      <formula>F89&gt;0</formula>
    </cfRule>
    <cfRule type="expression" dxfId="2397" priority="18">
      <formula>F89&lt;0</formula>
    </cfRule>
  </conditionalFormatting>
  <conditionalFormatting sqref="H89:H110">
    <cfRule type="expression" dxfId="2396" priority="15">
      <formula>H89&gt;0</formula>
    </cfRule>
    <cfRule type="expression" dxfId="2395" priority="16">
      <formula>H89&lt;0</formula>
    </cfRule>
  </conditionalFormatting>
  <conditionalFormatting sqref="J89:J102">
    <cfRule type="expression" dxfId="2394" priority="13">
      <formula>J89&gt;0</formula>
    </cfRule>
    <cfRule type="expression" dxfId="2393" priority="14">
      <formula>J89&lt;0</formula>
    </cfRule>
  </conditionalFormatting>
  <conditionalFormatting sqref="K89:K102">
    <cfRule type="expression" dxfId="2392" priority="11">
      <formula>K89&gt;0</formula>
    </cfRule>
    <cfRule type="expression" dxfId="2391" priority="12">
      <formula>K89&lt;0</formula>
    </cfRule>
  </conditionalFormatting>
  <conditionalFormatting sqref="L89:L102">
    <cfRule type="expression" dxfId="2390" priority="9">
      <formula>L89&gt;0</formula>
    </cfRule>
    <cfRule type="expression" dxfId="2389" priority="10">
      <formula>L89&lt;0</formula>
    </cfRule>
  </conditionalFormatting>
  <conditionalFormatting sqref="F29 F25:F26">
    <cfRule type="expression" dxfId="2388" priority="7">
      <formula>F25&gt;0</formula>
    </cfRule>
    <cfRule type="expression" dxfId="2387" priority="8">
      <formula>F25&lt;0</formula>
    </cfRule>
  </conditionalFormatting>
  <conditionalFormatting sqref="H29 H25:H27">
    <cfRule type="expression" dxfId="2386" priority="5">
      <formula>H25&gt;0</formula>
    </cfRule>
    <cfRule type="expression" dxfId="2385" priority="6">
      <formula>H25&lt;0</formula>
    </cfRule>
  </conditionalFormatting>
  <conditionalFormatting sqref="F27:F28">
    <cfRule type="expression" dxfId="2384" priority="3">
      <formula>F27&gt;0</formula>
    </cfRule>
    <cfRule type="expression" dxfId="2383" priority="4">
      <formula>F27&lt;0</formula>
    </cfRule>
  </conditionalFormatting>
  <conditionalFormatting sqref="H28">
    <cfRule type="expression" dxfId="2382" priority="1">
      <formula>H28&gt;0</formula>
    </cfRule>
    <cfRule type="expression" dxfId="2381" priority="2">
      <formula>H28&lt;0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1328</v>
      </c>
      <c r="B2" s="368">
        <v>43451</v>
      </c>
      <c r="C2" s="7">
        <v>25</v>
      </c>
      <c r="D2" s="43">
        <v>137</v>
      </c>
      <c r="E2" s="43">
        <v>0</v>
      </c>
      <c r="F2" s="43">
        <f>C2*D2+E2</f>
        <v>3425</v>
      </c>
      <c r="G2" s="368">
        <v>43483</v>
      </c>
      <c r="H2" s="7">
        <v>25</v>
      </c>
      <c r="I2" s="43">
        <v>147.30000000000001</v>
      </c>
      <c r="J2" s="43">
        <v>0.05</v>
      </c>
      <c r="K2" s="43">
        <f>H2*I2-J2</f>
        <v>3682.4500000000003</v>
      </c>
      <c r="L2" s="72"/>
      <c r="M2" s="3"/>
      <c r="O2" s="11" t="s">
        <v>57</v>
      </c>
      <c r="Q2">
        <f>C18-H18</f>
        <v>0</v>
      </c>
      <c r="T2" s="1"/>
      <c r="U2" t="s">
        <v>1277</v>
      </c>
    </row>
    <row r="3" spans="1:21" x14ac:dyDescent="0.25">
      <c r="A3" s="22" t="s">
        <v>71</v>
      </c>
      <c r="B3" s="72"/>
      <c r="C3" s="4"/>
      <c r="D3" s="3"/>
      <c r="E3" s="3"/>
      <c r="F3" s="3"/>
      <c r="G3" s="72"/>
      <c r="H3" s="161"/>
      <c r="I3" s="3"/>
      <c r="J3" s="3"/>
      <c r="K3" s="3"/>
      <c r="L3" s="4"/>
      <c r="M3" s="4"/>
      <c r="O3" s="11" t="s">
        <v>58</v>
      </c>
      <c r="Q3" s="178">
        <f>IF(Q2=0, Q4, (F18-K18-M18)/Q2)</f>
        <v>147.80000000000001</v>
      </c>
      <c r="T3" s="1"/>
      <c r="U3" s="22"/>
    </row>
    <row r="4" spans="1:21" x14ac:dyDescent="0.25">
      <c r="B4" s="72"/>
      <c r="C4" s="4"/>
      <c r="D4" s="3"/>
      <c r="E4" s="3"/>
      <c r="F4" s="3"/>
      <c r="G4" s="72"/>
      <c r="H4" s="161"/>
      <c r="I4" s="3"/>
      <c r="J4" s="3"/>
      <c r="K4" s="3"/>
      <c r="L4" s="4"/>
      <c r="M4" s="4"/>
      <c r="O4" s="11" t="s">
        <v>66</v>
      </c>
      <c r="Q4" s="54">
        <v>147.80000000000001</v>
      </c>
      <c r="R4" s="425">
        <v>9.1000000000000004E-3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257.45000000000027</v>
      </c>
      <c r="R7">
        <v>0</v>
      </c>
    </row>
    <row r="8" spans="1:21" x14ac:dyDescent="0.25">
      <c r="B8" s="72"/>
      <c r="C8" s="4"/>
      <c r="D8" s="3"/>
      <c r="E8" s="3"/>
      <c r="F8" s="3"/>
      <c r="G8" s="4"/>
      <c r="H8" s="161"/>
      <c r="I8" s="3"/>
      <c r="J8" s="3"/>
      <c r="K8" s="3"/>
      <c r="L8" s="4"/>
      <c r="M8" s="4"/>
      <c r="O8" s="11" t="s">
        <v>179</v>
      </c>
      <c r="P8" s="33"/>
      <c r="Q8" s="2">
        <f>K18+M18-F18+Q2*Q4</f>
        <v>257.45000000000027</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7.8159675236806492E-3</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4" t="s">
        <v>78</v>
      </c>
      <c r="P16" s="884"/>
    </row>
    <row r="17" spans="1:16" ht="15.75" thickTop="1" x14ac:dyDescent="0.25">
      <c r="O17" s="81">
        <v>1.1000000000000001</v>
      </c>
      <c r="P17" s="81">
        <f>O17*$Q$4</f>
        <v>162.58000000000001</v>
      </c>
    </row>
    <row r="18" spans="1:16" x14ac:dyDescent="0.25">
      <c r="A18" s="31" t="s">
        <v>81</v>
      </c>
      <c r="B18" s="14"/>
      <c r="C18" s="14">
        <f>SUM(C2:C8)</f>
        <v>25</v>
      </c>
      <c r="D18" s="18"/>
      <c r="E18" s="18"/>
      <c r="F18" s="18">
        <f>SUM(F2:F8)</f>
        <v>3425</v>
      </c>
      <c r="G18" s="14"/>
      <c r="H18" s="71">
        <f>SUM(H2:H5)</f>
        <v>25</v>
      </c>
      <c r="I18" s="18"/>
      <c r="J18" s="18"/>
      <c r="K18" s="18">
        <f>SUM(K2:K5)</f>
        <v>3682.4500000000003</v>
      </c>
      <c r="L18" s="14"/>
      <c r="M18" s="18">
        <f>SUM(M2:M10)</f>
        <v>0</v>
      </c>
      <c r="O18" s="81">
        <v>1.0900000000000001</v>
      </c>
      <c r="P18" s="81">
        <f t="shared" ref="P18:P37" si="0">O18*$Q$4</f>
        <v>161.10200000000003</v>
      </c>
    </row>
    <row r="19" spans="1:16" ht="15.75" thickBot="1" x14ac:dyDescent="0.3">
      <c r="A19" s="277" t="s">
        <v>191</v>
      </c>
      <c r="B19" s="278"/>
      <c r="C19" s="279">
        <f>SumByColor($A$19,C2:C17)</f>
        <v>25</v>
      </c>
      <c r="D19" s="279"/>
      <c r="E19" s="279"/>
      <c r="F19" s="280">
        <f>SumByColor($A$19,F2:F17)</f>
        <v>3425</v>
      </c>
      <c r="G19" s="279"/>
      <c r="H19" s="279">
        <f>SumByColor($A$19,H2:H17)</f>
        <v>25</v>
      </c>
      <c r="I19" s="279"/>
      <c r="J19" s="279"/>
      <c r="K19" s="280">
        <f>SumByColor($A$19,K2:K17)</f>
        <v>3682</v>
      </c>
      <c r="L19" s="279"/>
      <c r="M19" s="280">
        <f>SumByColor($A$19,M2:M17)</f>
        <v>0</v>
      </c>
      <c r="O19" s="81">
        <v>1.08</v>
      </c>
      <c r="P19" s="81">
        <f t="shared" si="0"/>
        <v>159.62400000000002</v>
      </c>
    </row>
    <row r="20" spans="1:16" x14ac:dyDescent="0.25">
      <c r="O20" s="81">
        <v>1.07</v>
      </c>
      <c r="P20" s="81">
        <f t="shared" si="0"/>
        <v>158.14600000000002</v>
      </c>
    </row>
    <row r="21" spans="1:16" x14ac:dyDescent="0.25">
      <c r="O21" s="81">
        <v>1.06</v>
      </c>
      <c r="P21" s="81">
        <f t="shared" si="0"/>
        <v>156.66800000000001</v>
      </c>
    </row>
    <row r="22" spans="1:16" x14ac:dyDescent="0.25">
      <c r="O22" s="81">
        <v>1.05</v>
      </c>
      <c r="P22" s="81">
        <f t="shared" si="0"/>
        <v>155.19000000000003</v>
      </c>
    </row>
    <row r="23" spans="1:16" x14ac:dyDescent="0.25">
      <c r="O23" s="81">
        <v>1.04</v>
      </c>
      <c r="P23" s="81">
        <f t="shared" si="0"/>
        <v>153.71200000000002</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152.23400000000001</v>
      </c>
    </row>
    <row r="25" spans="1:16" x14ac:dyDescent="0.25">
      <c r="B25" s="164">
        <v>43483</v>
      </c>
      <c r="C25" s="10">
        <v>0</v>
      </c>
      <c r="D25" s="39">
        <v>145.83000000000001</v>
      </c>
      <c r="E25" s="39">
        <v>147.30000000000001</v>
      </c>
      <c r="F25" s="39"/>
      <c r="G25" s="39"/>
      <c r="H25" s="179"/>
      <c r="I25" s="39"/>
      <c r="J25" s="39">
        <v>257.45</v>
      </c>
      <c r="K25" s="39"/>
      <c r="L25" s="39"/>
      <c r="O25" s="81">
        <v>1.02</v>
      </c>
      <c r="P25" s="81">
        <f t="shared" si="0"/>
        <v>150.756</v>
      </c>
    </row>
    <row r="26" spans="1:16" x14ac:dyDescent="0.25">
      <c r="B26" s="164"/>
      <c r="C26" s="10"/>
      <c r="D26" s="39"/>
      <c r="E26" s="39"/>
      <c r="F26" s="39"/>
      <c r="G26" s="39"/>
      <c r="H26" s="179"/>
      <c r="I26" s="39"/>
      <c r="J26" s="39"/>
      <c r="K26" s="39"/>
      <c r="L26" s="39"/>
      <c r="O26" s="81">
        <v>1.01</v>
      </c>
      <c r="P26" s="81">
        <f t="shared" si="0"/>
        <v>149.27800000000002</v>
      </c>
    </row>
    <row r="27" spans="1:16" x14ac:dyDescent="0.25">
      <c r="B27" s="164"/>
      <c r="C27" s="10"/>
      <c r="D27" s="39"/>
      <c r="E27" s="39"/>
      <c r="F27" s="39"/>
      <c r="G27" s="39"/>
      <c r="H27" s="179"/>
      <c r="I27" s="39"/>
      <c r="J27" s="39"/>
      <c r="K27" s="39"/>
      <c r="L27" s="39"/>
      <c r="O27" s="81">
        <v>1</v>
      </c>
      <c r="P27" s="81">
        <f t="shared" si="0"/>
        <v>147.80000000000001</v>
      </c>
    </row>
    <row r="28" spans="1:16" x14ac:dyDescent="0.25">
      <c r="B28" s="164"/>
      <c r="C28" s="10"/>
      <c r="D28" s="39"/>
      <c r="E28" s="39"/>
      <c r="F28" s="39"/>
      <c r="G28" s="39"/>
      <c r="H28" s="179"/>
      <c r="I28" s="39"/>
      <c r="J28" s="39"/>
      <c r="K28" s="39"/>
      <c r="L28" s="39"/>
      <c r="O28" s="81">
        <v>0.99</v>
      </c>
      <c r="P28" s="81">
        <f t="shared" si="0"/>
        <v>146.322</v>
      </c>
    </row>
    <row r="29" spans="1:16" x14ac:dyDescent="0.25">
      <c r="B29" s="164"/>
      <c r="C29" s="10"/>
      <c r="D29" s="39"/>
      <c r="E29" s="39"/>
      <c r="F29" s="39"/>
      <c r="G29" s="39"/>
      <c r="H29" s="179"/>
      <c r="I29" s="39"/>
      <c r="J29" s="39"/>
      <c r="K29" s="39"/>
      <c r="L29" s="39"/>
      <c r="O29" s="81">
        <v>0.98</v>
      </c>
      <c r="P29" s="81">
        <f t="shared" si="0"/>
        <v>144.84400000000002</v>
      </c>
    </row>
    <row r="30" spans="1:16" x14ac:dyDescent="0.25">
      <c r="B30" s="164"/>
      <c r="C30" s="10"/>
      <c r="D30" s="39"/>
      <c r="E30" s="39"/>
      <c r="F30" s="39"/>
      <c r="G30" s="39"/>
      <c r="H30" s="179"/>
      <c r="I30" s="39"/>
      <c r="J30" s="39"/>
      <c r="K30" s="39"/>
      <c r="L30" s="39"/>
      <c r="O30" s="81">
        <v>0.97</v>
      </c>
      <c r="P30" s="81">
        <f t="shared" si="0"/>
        <v>143.36600000000001</v>
      </c>
    </row>
    <row r="31" spans="1:16" x14ac:dyDescent="0.25">
      <c r="B31" s="164"/>
      <c r="C31" s="10"/>
      <c r="D31" s="39"/>
      <c r="E31" s="39"/>
      <c r="F31" s="39"/>
      <c r="G31" s="39"/>
      <c r="H31" s="179"/>
      <c r="I31" s="39"/>
      <c r="J31" s="39"/>
      <c r="K31" s="39"/>
      <c r="L31" s="39"/>
      <c r="O31" s="81">
        <v>0.96</v>
      </c>
      <c r="P31" s="81">
        <f t="shared" si="0"/>
        <v>141.88800000000001</v>
      </c>
    </row>
    <row r="32" spans="1:16" x14ac:dyDescent="0.25">
      <c r="B32" s="164"/>
      <c r="C32" s="10"/>
      <c r="D32" s="39"/>
      <c r="E32" s="39"/>
      <c r="F32" s="39"/>
      <c r="G32" s="39"/>
      <c r="H32" s="179"/>
      <c r="I32" s="39"/>
      <c r="J32" s="39"/>
      <c r="K32" s="39"/>
      <c r="L32" s="39"/>
      <c r="O32" s="81">
        <v>0.95</v>
      </c>
      <c r="P32" s="81">
        <f t="shared" si="0"/>
        <v>140.41</v>
      </c>
    </row>
    <row r="33" spans="2:17" x14ac:dyDescent="0.25">
      <c r="B33" s="164"/>
      <c r="C33" s="10"/>
      <c r="D33" s="39"/>
      <c r="E33" s="39"/>
      <c r="F33" s="39"/>
      <c r="G33" s="39"/>
      <c r="H33" s="179"/>
      <c r="I33" s="39"/>
      <c r="J33" s="39"/>
      <c r="K33" s="39"/>
      <c r="L33" s="39"/>
      <c r="O33" s="81">
        <v>0.94</v>
      </c>
      <c r="P33" s="81">
        <f t="shared" si="0"/>
        <v>138.93200000000002</v>
      </c>
    </row>
    <row r="34" spans="2:17" x14ac:dyDescent="0.25">
      <c r="B34" s="164"/>
      <c r="C34" s="10"/>
      <c r="D34" s="39"/>
      <c r="E34" s="39"/>
      <c r="F34" s="39"/>
      <c r="G34" s="39"/>
      <c r="H34" s="179"/>
      <c r="I34" s="39"/>
      <c r="J34" s="39"/>
      <c r="K34" s="39"/>
      <c r="L34" s="39"/>
      <c r="O34" s="81">
        <v>0.93</v>
      </c>
      <c r="P34" s="81">
        <f t="shared" si="0"/>
        <v>137.45400000000001</v>
      </c>
    </row>
    <row r="35" spans="2:17" x14ac:dyDescent="0.25">
      <c r="B35" s="164"/>
      <c r="C35" s="10"/>
      <c r="D35" s="39"/>
      <c r="E35" s="39"/>
      <c r="F35" s="39"/>
      <c r="G35" s="39"/>
      <c r="H35" s="179"/>
      <c r="I35" s="39"/>
      <c r="J35" s="39"/>
      <c r="K35" s="39"/>
      <c r="L35" s="39"/>
      <c r="O35" s="81">
        <v>0.92</v>
      </c>
      <c r="P35" s="81">
        <f t="shared" si="0"/>
        <v>135.97600000000003</v>
      </c>
    </row>
    <row r="36" spans="2:17" x14ac:dyDescent="0.25">
      <c r="B36" s="164"/>
      <c r="C36" s="10"/>
      <c r="D36" s="39"/>
      <c r="E36" s="39"/>
      <c r="F36" s="39"/>
      <c r="G36" s="39"/>
      <c r="H36" s="179"/>
      <c r="I36" s="39"/>
      <c r="J36" s="39"/>
      <c r="K36" s="39"/>
      <c r="L36" s="39"/>
      <c r="O36" s="81">
        <v>0.91</v>
      </c>
      <c r="P36" s="81">
        <f t="shared" si="0"/>
        <v>134.49800000000002</v>
      </c>
    </row>
    <row r="37" spans="2:17" x14ac:dyDescent="0.25">
      <c r="B37" s="164"/>
      <c r="C37" s="10"/>
      <c r="D37" s="39"/>
      <c r="E37" s="39"/>
      <c r="F37" s="39"/>
      <c r="G37" s="39"/>
      <c r="H37" s="179"/>
      <c r="I37" s="39"/>
      <c r="J37" s="39"/>
      <c r="K37" s="39"/>
      <c r="L37" s="39"/>
      <c r="O37" s="81">
        <v>0.9</v>
      </c>
      <c r="P37" s="81">
        <f t="shared" si="0"/>
        <v>133.02000000000001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380" priority="35">
      <formula>F47&gt;0</formula>
    </cfRule>
    <cfRule type="expression" dxfId="2379" priority="36">
      <formula>F47&lt;0</formula>
    </cfRule>
  </conditionalFormatting>
  <conditionalFormatting sqref="Q7">
    <cfRule type="expression" dxfId="2378" priority="33">
      <formula>Q7&gt;0</formula>
    </cfRule>
    <cfRule type="expression" dxfId="2377" priority="34">
      <formula>Q7&lt;0</formula>
    </cfRule>
  </conditionalFormatting>
  <conditionalFormatting sqref="Q8">
    <cfRule type="expression" dxfId="2376" priority="31">
      <formula>Q8&gt;0</formula>
    </cfRule>
    <cfRule type="expression" dxfId="2375" priority="32">
      <formula>Q8&lt;0</formula>
    </cfRule>
  </conditionalFormatting>
  <conditionalFormatting sqref="F30:F46">
    <cfRule type="expression" dxfId="2374" priority="29">
      <formula>F30&gt;0</formula>
    </cfRule>
    <cfRule type="expression" dxfId="2373" priority="30">
      <formula>F30&lt;0</formula>
    </cfRule>
  </conditionalFormatting>
  <conditionalFormatting sqref="H30:H46">
    <cfRule type="expression" dxfId="2372" priority="27">
      <formula>H30&gt;0</formula>
    </cfRule>
    <cfRule type="expression" dxfId="2371" priority="28">
      <formula>H30&lt;0</formula>
    </cfRule>
  </conditionalFormatting>
  <conditionalFormatting sqref="Q10">
    <cfRule type="expression" dxfId="2370" priority="25">
      <formula>Q10&gt;0</formula>
    </cfRule>
    <cfRule type="expression" dxfId="2369" priority="26">
      <formula>Q10&lt;0</formula>
    </cfRule>
  </conditionalFormatting>
  <conditionalFormatting sqref="J25:J38">
    <cfRule type="expression" dxfId="2368" priority="23">
      <formula>J25&gt;0</formula>
    </cfRule>
    <cfRule type="expression" dxfId="2367" priority="24">
      <formula>J25&lt;0</formula>
    </cfRule>
  </conditionalFormatting>
  <conditionalFormatting sqref="K25:K38">
    <cfRule type="expression" dxfId="2366" priority="21">
      <formula>K25&gt;0</formula>
    </cfRule>
    <cfRule type="expression" dxfId="2365" priority="22">
      <formula>K25&lt;0</formula>
    </cfRule>
  </conditionalFormatting>
  <conditionalFormatting sqref="L25 L38">
    <cfRule type="expression" dxfId="2364" priority="19">
      <formula>L25&gt;0</formula>
    </cfRule>
    <cfRule type="expression" dxfId="2363" priority="20">
      <formula>L25&lt;0</formula>
    </cfRule>
  </conditionalFormatting>
  <conditionalFormatting sqref="F89:F110">
    <cfRule type="expression" dxfId="2362" priority="17">
      <formula>F89&gt;0</formula>
    </cfRule>
    <cfRule type="expression" dxfId="2361" priority="18">
      <formula>F89&lt;0</formula>
    </cfRule>
  </conditionalFormatting>
  <conditionalFormatting sqref="H89:H110">
    <cfRule type="expression" dxfId="2360" priority="15">
      <formula>H89&gt;0</formula>
    </cfRule>
    <cfRule type="expression" dxfId="2359" priority="16">
      <formula>H89&lt;0</formula>
    </cfRule>
  </conditionalFormatting>
  <conditionalFormatting sqref="J89:J102">
    <cfRule type="expression" dxfId="2358" priority="13">
      <formula>J89&gt;0</formula>
    </cfRule>
    <cfRule type="expression" dxfId="2357" priority="14">
      <formula>J89&lt;0</formula>
    </cfRule>
  </conditionalFormatting>
  <conditionalFormatting sqref="K89:K102">
    <cfRule type="expression" dxfId="2356" priority="11">
      <formula>K89&gt;0</formula>
    </cfRule>
    <cfRule type="expression" dxfId="2355" priority="12">
      <formula>K89&lt;0</formula>
    </cfRule>
  </conditionalFormatting>
  <conditionalFormatting sqref="L89:L102">
    <cfRule type="expression" dxfId="2354" priority="9">
      <formula>L89&gt;0</formula>
    </cfRule>
    <cfRule type="expression" dxfId="2353" priority="10">
      <formula>L89&lt;0</formula>
    </cfRule>
  </conditionalFormatting>
  <conditionalFormatting sqref="F29 F25:F26">
    <cfRule type="expression" dxfId="2352" priority="7">
      <formula>F25&gt;0</formula>
    </cfRule>
    <cfRule type="expression" dxfId="2351" priority="8">
      <formula>F25&lt;0</formula>
    </cfRule>
  </conditionalFormatting>
  <conditionalFormatting sqref="H29 H25:H27">
    <cfRule type="expression" dxfId="2350" priority="5">
      <formula>H25&gt;0</formula>
    </cfRule>
    <cfRule type="expression" dxfId="2349" priority="6">
      <formula>H25&lt;0</formula>
    </cfRule>
  </conditionalFormatting>
  <conditionalFormatting sqref="F27:F28">
    <cfRule type="expression" dxfId="2348" priority="3">
      <formula>F27&gt;0</formula>
    </cfRule>
    <cfRule type="expression" dxfId="2347" priority="4">
      <formula>F27&lt;0</formula>
    </cfRule>
  </conditionalFormatting>
  <conditionalFormatting sqref="H28">
    <cfRule type="expression" dxfId="2346" priority="1">
      <formula>H28&gt;0</formula>
    </cfRule>
    <cfRule type="expression" dxfId="2345" priority="2">
      <formula>H28&lt;0</formula>
    </cfRule>
  </conditionalFormatting>
  <hyperlinks>
    <hyperlink ref="A3" location="ACTIVE!A1" display="Back"/>
  </hyperlinks>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1323</v>
      </c>
      <c r="B2" s="368">
        <v>43434</v>
      </c>
      <c r="C2" s="7">
        <v>25</v>
      </c>
      <c r="D2" s="43">
        <v>146.65</v>
      </c>
      <c r="E2" s="43">
        <v>0</v>
      </c>
      <c r="F2" s="43">
        <f>C2*D2+E2</f>
        <v>3666.25</v>
      </c>
      <c r="G2" s="368">
        <v>43552</v>
      </c>
      <c r="H2" s="7">
        <v>25</v>
      </c>
      <c r="I2" s="43">
        <v>150.1</v>
      </c>
      <c r="J2" s="43">
        <v>0.05</v>
      </c>
      <c r="K2" s="43">
        <f>H2*I2-J2</f>
        <v>3752.45</v>
      </c>
      <c r="L2" s="72"/>
      <c r="M2" s="3"/>
      <c r="O2" s="11" t="s">
        <v>57</v>
      </c>
      <c r="Q2">
        <f>C18-H18</f>
        <v>0</v>
      </c>
      <c r="T2" s="1"/>
    </row>
    <row r="3" spans="1:21" x14ac:dyDescent="0.25">
      <c r="A3" s="22" t="s">
        <v>71</v>
      </c>
      <c r="B3" s="117"/>
      <c r="C3" s="4"/>
      <c r="D3" s="3"/>
      <c r="E3" s="3"/>
      <c r="F3" s="3"/>
      <c r="G3" s="72"/>
      <c r="H3" s="161"/>
      <c r="I3" s="3"/>
      <c r="J3" s="3"/>
      <c r="K3" s="3"/>
      <c r="L3" s="4"/>
      <c r="M3" s="4"/>
      <c r="O3" s="11" t="s">
        <v>58</v>
      </c>
      <c r="Q3" s="178">
        <f>IF(Q2=0, Q4, (F18-K18-M18)/Q2)</f>
        <v>152.91</v>
      </c>
      <c r="T3" s="1"/>
    </row>
    <row r="4" spans="1:21" x14ac:dyDescent="0.25">
      <c r="B4" s="72"/>
      <c r="C4" s="4"/>
      <c r="D4" s="3"/>
      <c r="E4" s="3"/>
      <c r="F4" s="3"/>
      <c r="G4" s="72"/>
      <c r="H4" s="161"/>
      <c r="I4" s="3"/>
      <c r="J4" s="3"/>
      <c r="K4" s="3"/>
      <c r="L4" s="4"/>
      <c r="M4" s="4"/>
      <c r="O4" s="11" t="s">
        <v>66</v>
      </c>
      <c r="Q4" s="54">
        <v>152.91</v>
      </c>
      <c r="R4" s="425">
        <v>3.9100000000000003E-2</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86.199999999999818</v>
      </c>
      <c r="R7">
        <v>0</v>
      </c>
      <c r="T7" s="1"/>
    </row>
    <row r="8" spans="1:21" x14ac:dyDescent="0.25">
      <c r="B8" s="72"/>
      <c r="C8" s="4"/>
      <c r="D8" s="3"/>
      <c r="E8" s="3"/>
      <c r="F8" s="3"/>
      <c r="G8" s="72"/>
      <c r="H8" s="161"/>
      <c r="I8" s="3"/>
      <c r="J8" s="3"/>
      <c r="K8" s="3"/>
      <c r="L8" s="4"/>
      <c r="M8" s="4"/>
      <c r="O8" s="11" t="s">
        <v>179</v>
      </c>
      <c r="P8" s="33"/>
      <c r="Q8" s="2">
        <f>K18+M18-F18+Q2*Q4</f>
        <v>86.199999999999818</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5.7550192923942192E-3</v>
      </c>
      <c r="R11">
        <f>0.88/4</f>
        <v>0.22</v>
      </c>
    </row>
    <row r="12" spans="1:21" x14ac:dyDescent="0.25">
      <c r="H12" s="70"/>
      <c r="O12" s="11" t="s">
        <v>921</v>
      </c>
      <c r="Q12" s="1" t="s">
        <v>1341</v>
      </c>
    </row>
    <row r="13" spans="1:21" x14ac:dyDescent="0.25">
      <c r="H13" s="70"/>
      <c r="O13" s="11" t="s">
        <v>947</v>
      </c>
      <c r="Q13" s="2">
        <f>Q4/4.4</f>
        <v>34.752272727272725</v>
      </c>
      <c r="T13" s="1"/>
    </row>
    <row r="14" spans="1:21" x14ac:dyDescent="0.25">
      <c r="H14" s="70"/>
      <c r="O14" s="11" t="s">
        <v>1034</v>
      </c>
      <c r="Q14" s="1"/>
    </row>
    <row r="15" spans="1:21" x14ac:dyDescent="0.25">
      <c r="H15" s="70"/>
    </row>
    <row r="16" spans="1:21" ht="20.25" thickBot="1" x14ac:dyDescent="0.35">
      <c r="H16" s="70"/>
      <c r="O16" s="884" t="s">
        <v>78</v>
      </c>
      <c r="P16" s="884"/>
    </row>
    <row r="17" spans="1:16" ht="15.75" thickTop="1" x14ac:dyDescent="0.25">
      <c r="O17" s="81">
        <v>1.1000000000000001</v>
      </c>
      <c r="P17" s="81">
        <f>O17*$Q$4</f>
        <v>168.20100000000002</v>
      </c>
    </row>
    <row r="18" spans="1:16" x14ac:dyDescent="0.25">
      <c r="A18" s="31" t="s">
        <v>81</v>
      </c>
      <c r="B18" s="14"/>
      <c r="C18" s="14">
        <f>SUM(C2:C9)</f>
        <v>25</v>
      </c>
      <c r="D18" s="18"/>
      <c r="E18" s="18"/>
      <c r="F18" s="18">
        <f>SUM(F2:F9)</f>
        <v>3666.25</v>
      </c>
      <c r="G18" s="14"/>
      <c r="H18" s="71">
        <f>SUM(H2:H8)</f>
        <v>25</v>
      </c>
      <c r="I18" s="18"/>
      <c r="J18" s="18"/>
      <c r="K18" s="18">
        <f>SUM(K2:K8)</f>
        <v>3752.45</v>
      </c>
      <c r="L18" s="14"/>
      <c r="M18" s="18">
        <f>SUM(M2:M10)</f>
        <v>0</v>
      </c>
      <c r="O18" s="81">
        <v>1.0900000000000001</v>
      </c>
      <c r="P18" s="81">
        <f t="shared" ref="P18:P37" si="0">O18*$Q$4</f>
        <v>166.67190000000002</v>
      </c>
    </row>
    <row r="19" spans="1:16" ht="15.75" thickBot="1" x14ac:dyDescent="0.3">
      <c r="A19" s="277" t="s">
        <v>191</v>
      </c>
      <c r="B19" s="278"/>
      <c r="C19" s="279">
        <f>SumByColor($A$19,C2:C17)</f>
        <v>25</v>
      </c>
      <c r="D19" s="279"/>
      <c r="E19" s="279"/>
      <c r="F19" s="280">
        <f>SumByColor($A$19,F2:F17)</f>
        <v>3666</v>
      </c>
      <c r="G19" s="279"/>
      <c r="H19" s="279">
        <f>SumByColor($A$19,H2:H17)</f>
        <v>25</v>
      </c>
      <c r="I19" s="279"/>
      <c r="J19" s="279"/>
      <c r="K19" s="280">
        <f>SumByColor($A$19,K2:K17)</f>
        <v>3752</v>
      </c>
      <c r="L19" s="279"/>
      <c r="M19" s="280">
        <f>SumByColor($A$19,M2:M17)</f>
        <v>0</v>
      </c>
      <c r="O19" s="81">
        <v>1.08</v>
      </c>
      <c r="P19" s="81">
        <f t="shared" si="0"/>
        <v>165.14279999999999</v>
      </c>
    </row>
    <row r="20" spans="1:16" x14ac:dyDescent="0.25">
      <c r="O20" s="81">
        <v>1.07</v>
      </c>
      <c r="P20" s="81">
        <f t="shared" si="0"/>
        <v>163.61369999999999</v>
      </c>
    </row>
    <row r="21" spans="1:16" x14ac:dyDescent="0.25">
      <c r="O21" s="81">
        <v>1.06</v>
      </c>
      <c r="P21" s="81">
        <f t="shared" si="0"/>
        <v>162.08459999999999</v>
      </c>
    </row>
    <row r="22" spans="1:16" x14ac:dyDescent="0.25">
      <c r="O22" s="81">
        <v>1.05</v>
      </c>
      <c r="P22" s="81">
        <f t="shared" si="0"/>
        <v>160.55549999999999</v>
      </c>
    </row>
    <row r="23" spans="1:16" x14ac:dyDescent="0.25">
      <c r="O23" s="81">
        <v>1.04</v>
      </c>
      <c r="P23" s="81">
        <f t="shared" si="0"/>
        <v>159.0264</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157.4973</v>
      </c>
    </row>
    <row r="25" spans="1:16" x14ac:dyDescent="0.25">
      <c r="B25" s="164">
        <v>43434</v>
      </c>
      <c r="C25" s="10">
        <v>25</v>
      </c>
      <c r="D25" s="39">
        <v>146.65</v>
      </c>
      <c r="E25" s="39">
        <v>147.75</v>
      </c>
      <c r="F25" s="39">
        <f>C25*(E25-D25)</f>
        <v>27.499999999999858</v>
      </c>
      <c r="G25" s="39">
        <f>D25*C25</f>
        <v>3666.25</v>
      </c>
      <c r="H25" s="179">
        <f>(E25-D25)/D25</f>
        <v>7.5008523695874142E-3</v>
      </c>
      <c r="I25" s="39"/>
      <c r="J25" s="39"/>
      <c r="K25" s="39"/>
      <c r="L25" s="39"/>
      <c r="O25" s="81">
        <v>1.02</v>
      </c>
      <c r="P25" s="81">
        <f t="shared" si="0"/>
        <v>155.9682</v>
      </c>
    </row>
    <row r="26" spans="1:16" x14ac:dyDescent="0.25">
      <c r="B26" s="164">
        <v>43508</v>
      </c>
      <c r="C26" s="10">
        <v>25</v>
      </c>
      <c r="D26" s="39">
        <v>146.65</v>
      </c>
      <c r="E26" s="39">
        <v>141.38999999999999</v>
      </c>
      <c r="F26" s="39">
        <f>C26*(E26-D26)</f>
        <v>-131.50000000000048</v>
      </c>
      <c r="G26" s="39">
        <f>D26*C26</f>
        <v>3666.25</v>
      </c>
      <c r="H26" s="179">
        <f>(E26-D26)/D26</f>
        <v>-3.5867712240027404E-2</v>
      </c>
      <c r="I26" s="39"/>
      <c r="J26" s="39"/>
      <c r="K26" s="39"/>
      <c r="L26" s="39"/>
      <c r="O26" s="81">
        <v>1.01</v>
      </c>
      <c r="P26" s="81">
        <f t="shared" si="0"/>
        <v>154.4391</v>
      </c>
    </row>
    <row r="27" spans="1:16" x14ac:dyDescent="0.25">
      <c r="B27" s="164">
        <v>43535</v>
      </c>
      <c r="C27" s="10">
        <v>25</v>
      </c>
      <c r="D27" s="39">
        <v>146.65</v>
      </c>
      <c r="E27" s="39">
        <v>132.44</v>
      </c>
      <c r="F27" s="39">
        <f>C27*(E27-D27)</f>
        <v>-355.25000000000023</v>
      </c>
      <c r="G27" s="39">
        <f>D27*C27</f>
        <v>3666.25</v>
      </c>
      <c r="H27" s="179">
        <f>(E27-D27)/D27</f>
        <v>-9.6897374701670688E-2</v>
      </c>
      <c r="I27" s="39"/>
      <c r="J27" s="39"/>
      <c r="K27" s="39"/>
      <c r="L27" s="39"/>
      <c r="O27" s="81">
        <v>1</v>
      </c>
      <c r="P27" s="81">
        <f t="shared" si="0"/>
        <v>152.91</v>
      </c>
    </row>
    <row r="28" spans="1:16" x14ac:dyDescent="0.25">
      <c r="B28" s="164">
        <v>43552</v>
      </c>
      <c r="C28" s="10">
        <v>0</v>
      </c>
      <c r="D28" s="39">
        <v>146.65</v>
      </c>
      <c r="E28" s="39">
        <v>150.1</v>
      </c>
      <c r="F28" s="39"/>
      <c r="G28" s="39">
        <f>D28*C28</f>
        <v>0</v>
      </c>
      <c r="H28" s="179">
        <f>(E28-D28)/D28</f>
        <v>2.3525400613706025E-2</v>
      </c>
      <c r="I28" s="39"/>
      <c r="J28" s="39">
        <v>86.2</v>
      </c>
      <c r="K28" s="39"/>
      <c r="L28" s="39"/>
      <c r="O28" s="81">
        <v>0.99</v>
      </c>
      <c r="P28" s="81">
        <f t="shared" si="0"/>
        <v>151.3809</v>
      </c>
    </row>
    <row r="29" spans="1:16" x14ac:dyDescent="0.25">
      <c r="B29" s="164"/>
      <c r="C29" s="10"/>
      <c r="D29" s="39"/>
      <c r="E29" s="39"/>
      <c r="F29" s="39"/>
      <c r="G29" s="39"/>
      <c r="H29" s="179"/>
      <c r="I29" s="39"/>
      <c r="J29" s="39"/>
      <c r="K29" s="39"/>
      <c r="L29" s="39"/>
      <c r="O29" s="81">
        <v>0.98</v>
      </c>
      <c r="P29" s="81">
        <f t="shared" si="0"/>
        <v>149.8518</v>
      </c>
    </row>
    <row r="30" spans="1:16" x14ac:dyDescent="0.25">
      <c r="B30" s="164"/>
      <c r="C30" s="10"/>
      <c r="D30" s="39"/>
      <c r="E30" s="39"/>
      <c r="F30" s="39"/>
      <c r="G30" s="39"/>
      <c r="H30" s="179"/>
      <c r="I30" s="39"/>
      <c r="J30" s="39"/>
      <c r="K30" s="39"/>
      <c r="L30" s="39"/>
      <c r="O30" s="81">
        <v>0.97</v>
      </c>
      <c r="P30" s="81">
        <f t="shared" si="0"/>
        <v>148.3227</v>
      </c>
    </row>
    <row r="31" spans="1:16" x14ac:dyDescent="0.25">
      <c r="B31" s="164"/>
      <c r="C31" s="10"/>
      <c r="D31" s="39"/>
      <c r="E31" s="39"/>
      <c r="F31" s="39"/>
      <c r="G31" s="39"/>
      <c r="H31" s="179"/>
      <c r="I31" s="39"/>
      <c r="J31" s="39"/>
      <c r="K31" s="39"/>
      <c r="L31" s="39"/>
      <c r="O31" s="81">
        <v>0.96</v>
      </c>
      <c r="P31" s="81">
        <f t="shared" si="0"/>
        <v>146.7936</v>
      </c>
    </row>
    <row r="32" spans="1:16" x14ac:dyDescent="0.25">
      <c r="B32" s="164"/>
      <c r="C32" s="10"/>
      <c r="D32" s="39"/>
      <c r="E32" s="39"/>
      <c r="F32" s="39"/>
      <c r="G32" s="39"/>
      <c r="H32" s="179"/>
      <c r="I32" s="39"/>
      <c r="J32" s="39"/>
      <c r="K32" s="39"/>
      <c r="L32" s="39"/>
      <c r="O32" s="81">
        <v>0.95</v>
      </c>
      <c r="P32" s="81">
        <f t="shared" si="0"/>
        <v>145.2645</v>
      </c>
    </row>
    <row r="33" spans="2:17" x14ac:dyDescent="0.25">
      <c r="B33" s="164"/>
      <c r="C33" s="10"/>
      <c r="D33" s="39"/>
      <c r="E33" s="39"/>
      <c r="F33" s="39"/>
      <c r="G33" s="39"/>
      <c r="H33" s="179"/>
      <c r="I33" s="39"/>
      <c r="J33" s="39"/>
      <c r="K33" s="39"/>
      <c r="L33" s="39"/>
      <c r="O33" s="81">
        <v>0.94</v>
      </c>
      <c r="P33" s="81">
        <f t="shared" si="0"/>
        <v>143.7354</v>
      </c>
    </row>
    <row r="34" spans="2:17" x14ac:dyDescent="0.25">
      <c r="B34" s="164"/>
      <c r="C34" s="10"/>
      <c r="D34" s="39"/>
      <c r="E34" s="39"/>
      <c r="F34" s="39"/>
      <c r="G34" s="39"/>
      <c r="H34" s="179"/>
      <c r="I34" s="39"/>
      <c r="J34" s="39"/>
      <c r="K34" s="39"/>
      <c r="L34" s="39"/>
      <c r="O34" s="81">
        <v>0.93</v>
      </c>
      <c r="P34" s="81">
        <f t="shared" si="0"/>
        <v>142.2063</v>
      </c>
    </row>
    <row r="35" spans="2:17" x14ac:dyDescent="0.25">
      <c r="B35" s="164"/>
      <c r="C35" s="10"/>
      <c r="D35" s="39"/>
      <c r="E35" s="39"/>
      <c r="F35" s="39"/>
      <c r="G35" s="39"/>
      <c r="H35" s="179"/>
      <c r="I35" s="39"/>
      <c r="J35" s="39"/>
      <c r="K35" s="39"/>
      <c r="L35" s="39"/>
      <c r="O35" s="81">
        <v>0.92</v>
      </c>
      <c r="P35" s="81">
        <f t="shared" si="0"/>
        <v>140.6772</v>
      </c>
    </row>
    <row r="36" spans="2:17" x14ac:dyDescent="0.25">
      <c r="B36" s="164"/>
      <c r="C36" s="10"/>
      <c r="D36" s="39"/>
      <c r="E36" s="39"/>
      <c r="F36" s="39"/>
      <c r="G36" s="39"/>
      <c r="H36" s="179"/>
      <c r="I36" s="39"/>
      <c r="J36" s="39"/>
      <c r="K36" s="39"/>
      <c r="L36" s="39"/>
      <c r="O36" s="81">
        <v>0.91</v>
      </c>
      <c r="P36" s="81">
        <f t="shared" si="0"/>
        <v>139.1481</v>
      </c>
    </row>
    <row r="37" spans="2:17" x14ac:dyDescent="0.25">
      <c r="B37" s="164"/>
      <c r="C37" s="10"/>
      <c r="D37" s="39"/>
      <c r="E37" s="39"/>
      <c r="F37" s="39"/>
      <c r="G37" s="39"/>
      <c r="H37" s="179"/>
      <c r="I37" s="39"/>
      <c r="J37" s="39"/>
      <c r="K37" s="39"/>
      <c r="L37" s="39"/>
      <c r="O37" s="81">
        <v>0.9</v>
      </c>
      <c r="P37" s="81">
        <f t="shared" si="0"/>
        <v>137.619</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344" priority="43">
      <formula>F54&gt;0</formula>
    </cfRule>
    <cfRule type="expression" dxfId="2343" priority="44">
      <formula>F54&lt;0</formula>
    </cfRule>
  </conditionalFormatting>
  <conditionalFormatting sqref="Q7">
    <cfRule type="expression" dxfId="2342" priority="41">
      <formula>Q7&gt;0</formula>
    </cfRule>
    <cfRule type="expression" dxfId="2341" priority="42">
      <formula>Q7&lt;0</formula>
    </cfRule>
  </conditionalFormatting>
  <conditionalFormatting sqref="Q8">
    <cfRule type="expression" dxfId="2340" priority="39">
      <formula>Q8&gt;0</formula>
    </cfRule>
    <cfRule type="expression" dxfId="2339" priority="40">
      <formula>Q8&lt;0</formula>
    </cfRule>
  </conditionalFormatting>
  <conditionalFormatting sqref="F33:F36 F38:F53">
    <cfRule type="expression" dxfId="2338" priority="37">
      <formula>F33&gt;0</formula>
    </cfRule>
    <cfRule type="expression" dxfId="2337" priority="38">
      <formula>F33&lt;0</formula>
    </cfRule>
  </conditionalFormatting>
  <conditionalFormatting sqref="H33:H36 H38:H53">
    <cfRule type="expression" dxfId="2336" priority="35">
      <formula>H33&gt;0</formula>
    </cfRule>
    <cfRule type="expression" dxfId="2335" priority="36">
      <formula>H33&lt;0</formula>
    </cfRule>
  </conditionalFormatting>
  <conditionalFormatting sqref="Q10">
    <cfRule type="expression" dxfId="2334" priority="33">
      <formula>Q10&gt;0</formula>
    </cfRule>
    <cfRule type="expression" dxfId="2333" priority="34">
      <formula>Q10&lt;0</formula>
    </cfRule>
  </conditionalFormatting>
  <conditionalFormatting sqref="J25:J37">
    <cfRule type="expression" dxfId="2332" priority="31">
      <formula>J25&gt;0</formula>
    </cfRule>
    <cfRule type="expression" dxfId="2331" priority="32">
      <formula>J25&lt;0</formula>
    </cfRule>
  </conditionalFormatting>
  <conditionalFormatting sqref="K25:K38">
    <cfRule type="expression" dxfId="2330" priority="29">
      <formula>K25&gt;0</formula>
    </cfRule>
    <cfRule type="expression" dxfId="2329" priority="30">
      <formula>K25&lt;0</formula>
    </cfRule>
  </conditionalFormatting>
  <conditionalFormatting sqref="L25">
    <cfRule type="expression" dxfId="2328" priority="27">
      <formula>L25&gt;0</formula>
    </cfRule>
    <cfRule type="expression" dxfId="2327" priority="28">
      <formula>L25&lt;0</formula>
    </cfRule>
  </conditionalFormatting>
  <conditionalFormatting sqref="F89:F110">
    <cfRule type="expression" dxfId="2326" priority="25">
      <formula>F89&gt;0</formula>
    </cfRule>
    <cfRule type="expression" dxfId="2325" priority="26">
      <formula>F89&lt;0</formula>
    </cfRule>
  </conditionalFormatting>
  <conditionalFormatting sqref="H89:H110">
    <cfRule type="expression" dxfId="2324" priority="23">
      <formula>H89&gt;0</formula>
    </cfRule>
    <cfRule type="expression" dxfId="2323" priority="24">
      <formula>H89&lt;0</formula>
    </cfRule>
  </conditionalFormatting>
  <conditionalFormatting sqref="J89:J102">
    <cfRule type="expression" dxfId="2322" priority="21">
      <formula>J89&gt;0</formula>
    </cfRule>
    <cfRule type="expression" dxfId="2321" priority="22">
      <formula>J89&lt;0</formula>
    </cfRule>
  </conditionalFormatting>
  <conditionalFormatting sqref="K89:K102">
    <cfRule type="expression" dxfId="2320" priority="19">
      <formula>K89&gt;0</formula>
    </cfRule>
    <cfRule type="expression" dxfId="2319" priority="20">
      <formula>K89&lt;0</formula>
    </cfRule>
  </conditionalFormatting>
  <conditionalFormatting sqref="L89:L102">
    <cfRule type="expression" dxfId="2318" priority="17">
      <formula>L89&gt;0</formula>
    </cfRule>
    <cfRule type="expression" dxfId="2317" priority="18">
      <formula>L89&lt;0</formula>
    </cfRule>
  </conditionalFormatting>
  <conditionalFormatting sqref="F29:F32">
    <cfRule type="expression" dxfId="2316" priority="15">
      <formula>F29&gt;0</formula>
    </cfRule>
    <cfRule type="expression" dxfId="2315" priority="16">
      <formula>F29&lt;0</formula>
    </cfRule>
  </conditionalFormatting>
  <conditionalFormatting sqref="H29:H32">
    <cfRule type="expression" dxfId="2314" priority="13">
      <formula>H29&gt;0</formula>
    </cfRule>
    <cfRule type="expression" dxfId="2313" priority="14">
      <formula>H29&lt;0</formula>
    </cfRule>
  </conditionalFormatting>
  <conditionalFormatting sqref="F25:F28">
    <cfRule type="expression" dxfId="2312" priority="11">
      <formula>F25&gt;0</formula>
    </cfRule>
    <cfRule type="expression" dxfId="2311" priority="12">
      <formula>F25&lt;0</formula>
    </cfRule>
  </conditionalFormatting>
  <conditionalFormatting sqref="H25:H28">
    <cfRule type="expression" dxfId="2310" priority="9">
      <formula>H25&gt;0</formula>
    </cfRule>
    <cfRule type="expression" dxfId="2309" priority="10">
      <formula>H25&lt;0</formula>
    </cfRule>
  </conditionalFormatting>
  <conditionalFormatting sqref="F37">
    <cfRule type="expression" dxfId="2308" priority="7">
      <formula>F37&gt;0</formula>
    </cfRule>
    <cfRule type="expression" dxfId="2307" priority="8">
      <formula>F37&lt;0</formula>
    </cfRule>
  </conditionalFormatting>
  <conditionalFormatting sqref="H37">
    <cfRule type="expression" dxfId="2306" priority="5">
      <formula>H37&gt;0</formula>
    </cfRule>
    <cfRule type="expression" dxfId="2305" priority="6">
      <formula>H37&lt;0</formula>
    </cfRule>
  </conditionalFormatting>
  <conditionalFormatting sqref="J49">
    <cfRule type="expression" dxfId="2304" priority="3">
      <formula>J49&gt;0</formula>
    </cfRule>
    <cfRule type="expression" dxfId="2303" priority="4">
      <formula>J49&lt;0</formula>
    </cfRule>
  </conditionalFormatting>
  <conditionalFormatting sqref="J38:J48">
    <cfRule type="expression" dxfId="2302" priority="1">
      <formula>J38&gt;0</formula>
    </cfRule>
    <cfRule type="expression" dxfId="2301" priority="2">
      <formula>J38&lt;0</formula>
    </cfRule>
  </conditionalFormatting>
  <hyperlinks>
    <hyperlink ref="A3" location="ACTIVE!A1" display="Back"/>
  </hyperlinks>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1324</v>
      </c>
      <c r="B2" s="368">
        <v>43440</v>
      </c>
      <c r="C2" s="7">
        <v>50</v>
      </c>
      <c r="D2" s="43">
        <v>129</v>
      </c>
      <c r="E2" s="43">
        <v>0</v>
      </c>
      <c r="F2" s="43">
        <f>C2*D2+E2</f>
        <v>6450</v>
      </c>
      <c r="G2" s="406">
        <v>43469</v>
      </c>
      <c r="H2" s="7">
        <v>50</v>
      </c>
      <c r="I2" s="43">
        <v>111.88</v>
      </c>
      <c r="J2" s="43">
        <v>7.0000000000000007E-2</v>
      </c>
      <c r="K2" s="43">
        <f>H2*I2-J2</f>
        <v>5593.93</v>
      </c>
      <c r="L2" s="72"/>
      <c r="M2" s="3"/>
      <c r="O2" s="11" t="s">
        <v>57</v>
      </c>
      <c r="Q2">
        <f>C18-H18</f>
        <v>0</v>
      </c>
      <c r="T2" s="1"/>
      <c r="U2" t="s">
        <v>1277</v>
      </c>
    </row>
    <row r="3" spans="1:21" x14ac:dyDescent="0.25">
      <c r="A3" s="22" t="s">
        <v>71</v>
      </c>
      <c r="B3" s="368">
        <v>43468</v>
      </c>
      <c r="C3" s="7">
        <v>50</v>
      </c>
      <c r="D3" s="43">
        <v>108.8</v>
      </c>
      <c r="E3" s="43">
        <v>0</v>
      </c>
      <c r="F3" s="43">
        <f>C3*D3+E3</f>
        <v>5440</v>
      </c>
      <c r="G3" s="368">
        <v>43508</v>
      </c>
      <c r="H3" s="80">
        <v>50</v>
      </c>
      <c r="I3" s="43">
        <v>148.88</v>
      </c>
      <c r="J3" s="43">
        <v>0.1</v>
      </c>
      <c r="K3" s="43">
        <f>H3*I3-J3</f>
        <v>7443.9</v>
      </c>
      <c r="L3" s="4"/>
      <c r="M3" s="4"/>
      <c r="O3" s="11" t="s">
        <v>58</v>
      </c>
      <c r="Q3" s="178">
        <f>IF(Q2=0, Q4, (F18-K18-M18)/Q2)</f>
        <v>147.15</v>
      </c>
      <c r="T3" s="1"/>
      <c r="U3" s="22"/>
    </row>
    <row r="4" spans="1:21" x14ac:dyDescent="0.25">
      <c r="B4" s="72"/>
      <c r="C4" s="4"/>
      <c r="D4" s="3"/>
      <c r="E4" s="3"/>
      <c r="F4" s="3"/>
      <c r="G4" s="72"/>
      <c r="H4" s="161"/>
      <c r="I4" s="3"/>
      <c r="J4" s="3"/>
      <c r="K4" s="3"/>
      <c r="L4" s="4"/>
      <c r="M4" s="4"/>
      <c r="O4" s="11" t="s">
        <v>66</v>
      </c>
      <c r="Q4" s="54">
        <v>147.15</v>
      </c>
      <c r="R4" s="425">
        <v>7.2099999999999997E-2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1147.83</v>
      </c>
      <c r="R7">
        <v>0</v>
      </c>
    </row>
    <row r="8" spans="1:21" x14ac:dyDescent="0.25">
      <c r="B8" s="72"/>
      <c r="C8" s="4"/>
      <c r="D8" s="3"/>
      <c r="E8" s="3"/>
      <c r="F8" s="3"/>
      <c r="G8" s="4"/>
      <c r="H8" s="161"/>
      <c r="I8" s="3"/>
      <c r="J8" s="3"/>
      <c r="K8" s="3"/>
      <c r="L8" s="4"/>
      <c r="M8" s="4"/>
      <c r="O8" s="11" t="s">
        <v>179</v>
      </c>
      <c r="P8" s="33"/>
      <c r="Q8" s="2">
        <f>K18+M18-F18+Q2*Q4</f>
        <v>1147.83</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7.8504926945293912E-3</v>
      </c>
      <c r="R11">
        <f>0.2888*4</f>
        <v>1.1552</v>
      </c>
    </row>
    <row r="12" spans="1:21" x14ac:dyDescent="0.25">
      <c r="H12" s="70"/>
      <c r="O12" s="11" t="s">
        <v>921</v>
      </c>
      <c r="Q12" s="1" t="s">
        <v>1374</v>
      </c>
    </row>
    <row r="13" spans="1:21" x14ac:dyDescent="0.25">
      <c r="H13" s="70"/>
      <c r="O13" s="11" t="s">
        <v>947</v>
      </c>
    </row>
    <row r="14" spans="1:21" x14ac:dyDescent="0.25">
      <c r="H14" s="70"/>
    </row>
    <row r="15" spans="1:21" x14ac:dyDescent="0.25">
      <c r="H15" s="70"/>
    </row>
    <row r="16" spans="1:21" ht="20.25" thickBot="1" x14ac:dyDescent="0.35">
      <c r="H16" s="70"/>
      <c r="O16" s="884" t="s">
        <v>78</v>
      </c>
      <c r="P16" s="884"/>
    </row>
    <row r="17" spans="1:16" ht="15.75" thickTop="1" x14ac:dyDescent="0.25">
      <c r="O17" s="81">
        <v>1.1000000000000001</v>
      </c>
      <c r="P17" s="81">
        <f>O17*$Q$4</f>
        <v>161.86500000000001</v>
      </c>
    </row>
    <row r="18" spans="1:16" x14ac:dyDescent="0.25">
      <c r="A18" s="31" t="s">
        <v>81</v>
      </c>
      <c r="B18" s="14"/>
      <c r="C18" s="14">
        <f>SUM(C2:C8)</f>
        <v>100</v>
      </c>
      <c r="D18" s="18"/>
      <c r="E18" s="18"/>
      <c r="F18" s="18">
        <f>SUM(F2:F8)</f>
        <v>11890</v>
      </c>
      <c r="G18" s="14"/>
      <c r="H18" s="71">
        <f>SUM(H2:H5)</f>
        <v>100</v>
      </c>
      <c r="I18" s="18"/>
      <c r="J18" s="18"/>
      <c r="K18" s="18">
        <f>SUM(K2:K5)</f>
        <v>13037.83</v>
      </c>
      <c r="L18" s="14"/>
      <c r="M18" s="18">
        <f>SUM(M2:M10)</f>
        <v>0</v>
      </c>
      <c r="O18" s="81">
        <v>1.0900000000000001</v>
      </c>
      <c r="P18" s="81">
        <f t="shared" ref="P18:P37" si="0">O18*$Q$4</f>
        <v>160.39350000000002</v>
      </c>
    </row>
    <row r="19" spans="1:16" ht="15.75" thickBot="1" x14ac:dyDescent="0.3">
      <c r="A19" s="277" t="s">
        <v>191</v>
      </c>
      <c r="B19" s="278"/>
      <c r="C19" s="279">
        <f>SumByColor($A$19,C2:C17)</f>
        <v>100</v>
      </c>
      <c r="D19" s="279"/>
      <c r="E19" s="279"/>
      <c r="F19" s="280">
        <f>SumByColor($A$19,F2:F17)</f>
        <v>11890</v>
      </c>
      <c r="G19" s="279"/>
      <c r="H19" s="279">
        <f>SumByColor($A$19,H2:H17)</f>
        <v>100</v>
      </c>
      <c r="I19" s="279"/>
      <c r="J19" s="279"/>
      <c r="K19" s="280">
        <f>SumByColor($A$19,K2:K17)</f>
        <v>13038</v>
      </c>
      <c r="L19" s="279"/>
      <c r="M19" s="280">
        <f>SumByColor($A$19,M2:M17)</f>
        <v>0</v>
      </c>
      <c r="O19" s="81">
        <v>1.08</v>
      </c>
      <c r="P19" s="81">
        <f t="shared" si="0"/>
        <v>158.92200000000003</v>
      </c>
    </row>
    <row r="20" spans="1:16" x14ac:dyDescent="0.25">
      <c r="O20" s="81">
        <v>1.07</v>
      </c>
      <c r="P20" s="81">
        <f t="shared" si="0"/>
        <v>157.45050000000001</v>
      </c>
    </row>
    <row r="21" spans="1:16" x14ac:dyDescent="0.25">
      <c r="O21" s="81">
        <v>1.06</v>
      </c>
      <c r="P21" s="81">
        <f t="shared" si="0"/>
        <v>155.97900000000001</v>
      </c>
    </row>
    <row r="22" spans="1:16" x14ac:dyDescent="0.25">
      <c r="O22" s="81">
        <v>1.05</v>
      </c>
      <c r="P22" s="81">
        <f t="shared" si="0"/>
        <v>154.50750000000002</v>
      </c>
    </row>
    <row r="23" spans="1:16" x14ac:dyDescent="0.25">
      <c r="O23" s="81">
        <v>1.04</v>
      </c>
      <c r="P23" s="81">
        <f t="shared" si="0"/>
        <v>153.036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151.56450000000001</v>
      </c>
    </row>
    <row r="25" spans="1:16" x14ac:dyDescent="0.25">
      <c r="B25" s="164">
        <v>43440</v>
      </c>
      <c r="C25" s="10">
        <v>50</v>
      </c>
      <c r="D25" s="39">
        <v>129</v>
      </c>
      <c r="E25" s="39">
        <v>131.38</v>
      </c>
      <c r="F25" s="39">
        <f>C25*(E25-D25)</f>
        <v>118.99999999999977</v>
      </c>
      <c r="G25" s="39">
        <f>D25*C25</f>
        <v>6450</v>
      </c>
      <c r="H25" s="179">
        <f>(E25-D25)/D25</f>
        <v>1.8449612403100741E-2</v>
      </c>
      <c r="I25" s="39"/>
      <c r="J25" s="39"/>
      <c r="K25" s="39"/>
      <c r="L25" s="39"/>
      <c r="O25" s="81">
        <v>1.02</v>
      </c>
      <c r="P25" s="81">
        <f t="shared" si="0"/>
        <v>150.09300000000002</v>
      </c>
    </row>
    <row r="26" spans="1:16" x14ac:dyDescent="0.25">
      <c r="B26" s="164">
        <v>43468</v>
      </c>
      <c r="C26" s="10">
        <v>100</v>
      </c>
      <c r="D26" s="39">
        <v>118.9</v>
      </c>
      <c r="E26" s="39">
        <v>108.6</v>
      </c>
      <c r="F26" s="39">
        <f>C26*(E26-D26)</f>
        <v>-1030.0000000000011</v>
      </c>
      <c r="G26" s="39">
        <f>D26*C26</f>
        <v>11890</v>
      </c>
      <c r="H26" s="179">
        <f>(E26-D26)/D26</f>
        <v>-8.662741799831801E-2</v>
      </c>
      <c r="I26" s="39"/>
      <c r="J26" s="39"/>
      <c r="K26" s="39"/>
      <c r="L26" s="39"/>
      <c r="O26" s="81">
        <v>1.01</v>
      </c>
      <c r="P26" s="81">
        <f t="shared" si="0"/>
        <v>148.6215</v>
      </c>
    </row>
    <row r="27" spans="1:16" x14ac:dyDescent="0.25">
      <c r="B27" s="164">
        <v>43469</v>
      </c>
      <c r="C27" s="10">
        <v>50</v>
      </c>
      <c r="D27" s="39">
        <v>125.92140000000001</v>
      </c>
      <c r="E27" s="39">
        <v>114.72</v>
      </c>
      <c r="F27" s="39">
        <f>C27*(E27-D27)</f>
        <v>-560.07000000000039</v>
      </c>
      <c r="G27" s="39">
        <f>D27*C27</f>
        <v>6296.0700000000006</v>
      </c>
      <c r="H27" s="179">
        <f>(E27-D27)/D27</f>
        <v>-8.8955491282657326E-2</v>
      </c>
      <c r="I27" s="39"/>
      <c r="J27" s="39"/>
      <c r="K27" s="39"/>
      <c r="L27" s="39"/>
      <c r="O27" s="81">
        <v>1</v>
      </c>
      <c r="P27" s="81">
        <f t="shared" si="0"/>
        <v>147.15</v>
      </c>
    </row>
    <row r="28" spans="1:16" x14ac:dyDescent="0.25">
      <c r="B28" s="164">
        <v>43492</v>
      </c>
      <c r="C28" s="10">
        <v>50</v>
      </c>
      <c r="D28" s="39">
        <v>125.92</v>
      </c>
      <c r="E28" s="39">
        <v>135.30000000000001</v>
      </c>
      <c r="F28" s="39">
        <f>C28*(E28-D28)</f>
        <v>469.00000000000045</v>
      </c>
      <c r="G28" s="39">
        <f>D28*C28</f>
        <v>6296</v>
      </c>
      <c r="H28" s="179">
        <f>(E28-D28)/D28</f>
        <v>7.4491740787801852E-2</v>
      </c>
      <c r="I28" s="39"/>
      <c r="J28" s="39"/>
      <c r="K28" s="39"/>
      <c r="L28" s="39"/>
      <c r="O28" s="81">
        <v>0.99</v>
      </c>
      <c r="P28" s="81">
        <f t="shared" si="0"/>
        <v>145.67850000000001</v>
      </c>
    </row>
    <row r="29" spans="1:16" x14ac:dyDescent="0.25">
      <c r="B29" s="164">
        <v>43508</v>
      </c>
      <c r="C29" s="10">
        <v>0</v>
      </c>
      <c r="D29" s="39">
        <v>125.92</v>
      </c>
      <c r="E29" s="39">
        <v>147.15</v>
      </c>
      <c r="F29" s="39">
        <f>C29*(E29-D29)</f>
        <v>0</v>
      </c>
      <c r="G29" s="39">
        <f>D29*C29</f>
        <v>0</v>
      </c>
      <c r="H29" s="179">
        <f>(E29-D29)/D29</f>
        <v>0.16859911054637869</v>
      </c>
      <c r="I29" s="39"/>
      <c r="J29" s="778">
        <v>1147.83</v>
      </c>
      <c r="K29" s="39"/>
      <c r="L29" s="39"/>
      <c r="O29" s="81">
        <v>0.98</v>
      </c>
      <c r="P29" s="81">
        <f t="shared" si="0"/>
        <v>144.20699999999999</v>
      </c>
    </row>
    <row r="30" spans="1:16" x14ac:dyDescent="0.25">
      <c r="B30" s="164"/>
      <c r="C30" s="10"/>
      <c r="D30" s="39"/>
      <c r="E30" s="39"/>
      <c r="F30" s="39"/>
      <c r="G30" s="39"/>
      <c r="H30" s="179"/>
      <c r="I30" s="39"/>
      <c r="J30" s="39"/>
      <c r="K30" s="39"/>
      <c r="L30" s="39"/>
      <c r="O30" s="81">
        <v>0.97</v>
      </c>
      <c r="P30" s="81">
        <f t="shared" si="0"/>
        <v>142.7355</v>
      </c>
    </row>
    <row r="31" spans="1:16" x14ac:dyDescent="0.25">
      <c r="B31" s="164"/>
      <c r="C31" s="10"/>
      <c r="D31" s="39"/>
      <c r="E31" s="39"/>
      <c r="F31" s="39"/>
      <c r="G31" s="39"/>
      <c r="H31" s="179"/>
      <c r="I31" s="39"/>
      <c r="J31" s="39"/>
      <c r="K31" s="39"/>
      <c r="L31" s="39"/>
      <c r="O31" s="81">
        <v>0.96</v>
      </c>
      <c r="P31" s="81">
        <f t="shared" si="0"/>
        <v>141.26400000000001</v>
      </c>
    </row>
    <row r="32" spans="1:16" x14ac:dyDescent="0.25">
      <c r="B32" s="164"/>
      <c r="C32" s="10"/>
      <c r="D32" s="39"/>
      <c r="E32" s="39"/>
      <c r="F32" s="39"/>
      <c r="G32" s="39"/>
      <c r="H32" s="179"/>
      <c r="I32" s="39"/>
      <c r="J32" s="39"/>
      <c r="K32" s="39"/>
      <c r="L32" s="39"/>
      <c r="O32" s="81">
        <v>0.95</v>
      </c>
      <c r="P32" s="81">
        <f t="shared" si="0"/>
        <v>139.79249999999999</v>
      </c>
    </row>
    <row r="33" spans="2:17" x14ac:dyDescent="0.25">
      <c r="B33" s="164"/>
      <c r="C33" s="10"/>
      <c r="D33" s="39"/>
      <c r="E33" s="39"/>
      <c r="F33" s="39"/>
      <c r="G33" s="39"/>
      <c r="H33" s="179"/>
      <c r="I33" s="39"/>
      <c r="J33" s="39"/>
      <c r="K33" s="39"/>
      <c r="L33" s="39"/>
      <c r="O33" s="81">
        <v>0.94</v>
      </c>
      <c r="P33" s="81">
        <f t="shared" si="0"/>
        <v>138.321</v>
      </c>
    </row>
    <row r="34" spans="2:17" x14ac:dyDescent="0.25">
      <c r="B34" s="164"/>
      <c r="C34" s="10"/>
      <c r="D34" s="39"/>
      <c r="E34" s="39"/>
      <c r="F34" s="39"/>
      <c r="G34" s="39"/>
      <c r="H34" s="179"/>
      <c r="I34" s="39"/>
      <c r="J34" s="39"/>
      <c r="K34" s="39"/>
      <c r="L34" s="39"/>
      <c r="O34" s="81">
        <v>0.93</v>
      </c>
      <c r="P34" s="81">
        <f t="shared" si="0"/>
        <v>136.84950000000001</v>
      </c>
    </row>
    <row r="35" spans="2:17" x14ac:dyDescent="0.25">
      <c r="B35" s="164"/>
      <c r="C35" s="10"/>
      <c r="D35" s="39"/>
      <c r="E35" s="39"/>
      <c r="F35" s="39"/>
      <c r="G35" s="39"/>
      <c r="H35" s="179"/>
      <c r="I35" s="39"/>
      <c r="J35" s="39"/>
      <c r="K35" s="39"/>
      <c r="L35" s="39"/>
      <c r="O35" s="81">
        <v>0.92</v>
      </c>
      <c r="P35" s="81">
        <f t="shared" si="0"/>
        <v>135.37800000000001</v>
      </c>
    </row>
    <row r="36" spans="2:17" x14ac:dyDescent="0.25">
      <c r="B36" s="164"/>
      <c r="C36" s="10"/>
      <c r="D36" s="39"/>
      <c r="E36" s="39"/>
      <c r="F36" s="39"/>
      <c r="G36" s="39"/>
      <c r="H36" s="179"/>
      <c r="I36" s="39"/>
      <c r="J36" s="39"/>
      <c r="K36" s="39"/>
      <c r="L36" s="39"/>
      <c r="O36" s="81">
        <v>0.91</v>
      </c>
      <c r="P36" s="81">
        <f t="shared" si="0"/>
        <v>133.90650000000002</v>
      </c>
    </row>
    <row r="37" spans="2:17" x14ac:dyDescent="0.25">
      <c r="B37" s="164"/>
      <c r="C37" s="10"/>
      <c r="D37" s="39"/>
      <c r="E37" s="39"/>
      <c r="F37" s="39"/>
      <c r="G37" s="39"/>
      <c r="H37" s="179"/>
      <c r="I37" s="39"/>
      <c r="J37" s="39"/>
      <c r="K37" s="39"/>
      <c r="L37" s="39"/>
      <c r="O37" s="81">
        <v>0.9</v>
      </c>
      <c r="P37" s="81">
        <f t="shared" si="0"/>
        <v>132.435</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300" priority="35">
      <formula>F47&gt;0</formula>
    </cfRule>
    <cfRule type="expression" dxfId="2299" priority="36">
      <formula>F47&lt;0</formula>
    </cfRule>
  </conditionalFormatting>
  <conditionalFormatting sqref="Q7">
    <cfRule type="expression" dxfId="2298" priority="33">
      <formula>Q7&gt;0</formula>
    </cfRule>
    <cfRule type="expression" dxfId="2297" priority="34">
      <formula>Q7&lt;0</formula>
    </cfRule>
  </conditionalFormatting>
  <conditionalFormatting sqref="Q8">
    <cfRule type="expression" dxfId="2296" priority="31">
      <formula>Q8&gt;0</formula>
    </cfRule>
    <cfRule type="expression" dxfId="2295" priority="32">
      <formula>Q8&lt;0</formula>
    </cfRule>
  </conditionalFormatting>
  <conditionalFormatting sqref="F30:F46">
    <cfRule type="expression" dxfId="2294" priority="29">
      <formula>F30&gt;0</formula>
    </cfRule>
    <cfRule type="expression" dxfId="2293" priority="30">
      <formula>F30&lt;0</formula>
    </cfRule>
  </conditionalFormatting>
  <conditionalFormatting sqref="H30:H46">
    <cfRule type="expression" dxfId="2292" priority="27">
      <formula>H30&gt;0</formula>
    </cfRule>
    <cfRule type="expression" dxfId="2291" priority="28">
      <formula>H30&lt;0</formula>
    </cfRule>
  </conditionalFormatting>
  <conditionalFormatting sqref="Q10">
    <cfRule type="expression" dxfId="2290" priority="25">
      <formula>Q10&gt;0</formula>
    </cfRule>
    <cfRule type="expression" dxfId="2289" priority="26">
      <formula>Q10&lt;0</formula>
    </cfRule>
  </conditionalFormatting>
  <conditionalFormatting sqref="J25:J38">
    <cfRule type="expression" dxfId="2288" priority="23">
      <formula>J25&gt;0</formula>
    </cfRule>
    <cfRule type="expression" dxfId="2287" priority="24">
      <formula>J25&lt;0</formula>
    </cfRule>
  </conditionalFormatting>
  <conditionalFormatting sqref="K25:K38">
    <cfRule type="expression" dxfId="2286" priority="21">
      <formula>K25&gt;0</formula>
    </cfRule>
    <cfRule type="expression" dxfId="2285" priority="22">
      <formula>K25&lt;0</formula>
    </cfRule>
  </conditionalFormatting>
  <conditionalFormatting sqref="L25 L38">
    <cfRule type="expression" dxfId="2284" priority="19">
      <formula>L25&gt;0</formula>
    </cfRule>
    <cfRule type="expression" dxfId="2283" priority="20">
      <formula>L25&lt;0</formula>
    </cfRule>
  </conditionalFormatting>
  <conditionalFormatting sqref="F89:F110">
    <cfRule type="expression" dxfId="2282" priority="17">
      <formula>F89&gt;0</formula>
    </cfRule>
    <cfRule type="expression" dxfId="2281" priority="18">
      <formula>F89&lt;0</formula>
    </cfRule>
  </conditionalFormatting>
  <conditionalFormatting sqref="H89:H110">
    <cfRule type="expression" dxfId="2280" priority="15">
      <formula>H89&gt;0</formula>
    </cfRule>
    <cfRule type="expression" dxfId="2279" priority="16">
      <formula>H89&lt;0</formula>
    </cfRule>
  </conditionalFormatting>
  <conditionalFormatting sqref="J89:J102">
    <cfRule type="expression" dxfId="2278" priority="13">
      <formula>J89&gt;0</formula>
    </cfRule>
    <cfRule type="expression" dxfId="2277" priority="14">
      <formula>J89&lt;0</formula>
    </cfRule>
  </conditionalFormatting>
  <conditionalFormatting sqref="K89:K102">
    <cfRule type="expression" dxfId="2276" priority="11">
      <formula>K89&gt;0</formula>
    </cfRule>
    <cfRule type="expression" dxfId="2275" priority="12">
      <formula>K89&lt;0</formula>
    </cfRule>
  </conditionalFormatting>
  <conditionalFormatting sqref="L89:L102">
    <cfRule type="expression" dxfId="2274" priority="9">
      <formula>L89&gt;0</formula>
    </cfRule>
    <cfRule type="expression" dxfId="2273" priority="10">
      <formula>L89&lt;0</formula>
    </cfRule>
  </conditionalFormatting>
  <conditionalFormatting sqref="F25:F29">
    <cfRule type="expression" dxfId="2272" priority="7">
      <formula>F25&gt;0</formula>
    </cfRule>
    <cfRule type="expression" dxfId="2271" priority="8">
      <formula>F25&lt;0</formula>
    </cfRule>
  </conditionalFormatting>
  <conditionalFormatting sqref="H25:H29">
    <cfRule type="expression" dxfId="2270" priority="5">
      <formula>H25&gt;0</formula>
    </cfRule>
    <cfRule type="expression" dxfId="2269" priority="6">
      <formula>H25&lt;0</formula>
    </cfRule>
  </conditionalFormatting>
  <hyperlinks>
    <hyperlink ref="A3" location="ACTIVE!A1" display="Back"/>
  </hyperlinks>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8" t="s">
        <v>1327</v>
      </c>
      <c r="C2" s="7">
        <v>200</v>
      </c>
      <c r="D2" s="43">
        <v>12.68</v>
      </c>
      <c r="E2" s="43">
        <v>0</v>
      </c>
      <c r="F2" s="43">
        <f>C2*D2+E2</f>
        <v>2536</v>
      </c>
      <c r="G2" s="368">
        <v>43447</v>
      </c>
      <c r="H2" s="80">
        <v>200</v>
      </c>
      <c r="I2" s="43">
        <v>11.48</v>
      </c>
      <c r="J2" s="43">
        <v>0.03</v>
      </c>
      <c r="K2" s="43">
        <f>H2*I2-J2</f>
        <v>2295.9699999999998</v>
      </c>
      <c r="L2" s="72">
        <v>43469</v>
      </c>
      <c r="M2" s="43">
        <v>12.5</v>
      </c>
      <c r="O2" s="11" t="s">
        <v>57</v>
      </c>
      <c r="Q2">
        <f>C18-H18</f>
        <v>0</v>
      </c>
      <c r="T2" s="1"/>
      <c r="U2" t="s">
        <v>1333</v>
      </c>
    </row>
    <row r="3" spans="1:21" x14ac:dyDescent="0.25">
      <c r="A3" s="22" t="s">
        <v>71</v>
      </c>
      <c r="B3" s="498" t="s">
        <v>1332</v>
      </c>
      <c r="C3" s="7">
        <v>200</v>
      </c>
      <c r="D3" s="43">
        <v>11.18</v>
      </c>
      <c r="E3" s="43">
        <v>0</v>
      </c>
      <c r="F3" s="43">
        <f>C3*D3+E3</f>
        <v>2236</v>
      </c>
      <c r="G3" s="368">
        <v>43454</v>
      </c>
      <c r="H3" s="80">
        <v>200</v>
      </c>
      <c r="I3" s="43">
        <v>10.92</v>
      </c>
      <c r="J3" s="43">
        <v>0.03</v>
      </c>
      <c r="K3" s="43">
        <f>H3*I3-J3</f>
        <v>2183.9699999999998</v>
      </c>
      <c r="L3" s="4"/>
      <c r="M3" s="4"/>
      <c r="O3" s="11" t="s">
        <v>58</v>
      </c>
      <c r="Q3" s="178">
        <f>IF(Q2=0, Q4, (F18-K18-M18)/Q2)</f>
        <v>13.54</v>
      </c>
      <c r="T3" s="1"/>
      <c r="U3" t="s">
        <v>1334</v>
      </c>
    </row>
    <row r="4" spans="1:21" x14ac:dyDescent="0.25">
      <c r="B4" s="368">
        <v>43457</v>
      </c>
      <c r="C4" s="7">
        <v>200</v>
      </c>
      <c r="D4" s="43">
        <v>10.53</v>
      </c>
      <c r="E4" s="43">
        <v>0</v>
      </c>
      <c r="F4" s="43">
        <f>C4*D4+E4</f>
        <v>2106</v>
      </c>
      <c r="G4" s="368">
        <v>43490</v>
      </c>
      <c r="H4" s="80">
        <v>200</v>
      </c>
      <c r="I4" s="43">
        <v>14.28</v>
      </c>
      <c r="J4" s="43">
        <v>0.04</v>
      </c>
      <c r="K4" s="43">
        <f>H4*I4-J4</f>
        <v>2855.96</v>
      </c>
      <c r="L4" s="4"/>
      <c r="M4" s="4"/>
      <c r="O4" s="11" t="s">
        <v>66</v>
      </c>
      <c r="Q4" s="54">
        <v>13.54</v>
      </c>
      <c r="R4" s="425">
        <v>4.7E-2</v>
      </c>
      <c r="T4" s="693"/>
      <c r="U4" s="30" t="s">
        <v>1336</v>
      </c>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470.39999999999964</v>
      </c>
      <c r="R7">
        <v>0</v>
      </c>
      <c r="T7" s="1"/>
    </row>
    <row r="8" spans="1:21" x14ac:dyDescent="0.25">
      <c r="B8" s="72"/>
      <c r="C8" s="4"/>
      <c r="D8" s="3"/>
      <c r="E8" s="3"/>
      <c r="F8" s="3"/>
      <c r="G8" s="72"/>
      <c r="H8" s="161"/>
      <c r="I8" s="3"/>
      <c r="J8" s="3"/>
      <c r="K8" s="3"/>
      <c r="L8" s="4"/>
      <c r="M8" s="4"/>
      <c r="O8" s="11" t="s">
        <v>179</v>
      </c>
      <c r="P8" s="33"/>
      <c r="Q8" s="2">
        <f>K18+M18-F18+Q2*Q4</f>
        <v>470.39999999999964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R11/Q4*4</f>
        <v>1.8463810930576072E-2</v>
      </c>
      <c r="R11">
        <f>0.25/4</f>
        <v>6.25E-2</v>
      </c>
    </row>
    <row r="12" spans="1:21" x14ac:dyDescent="0.25">
      <c r="H12" s="70"/>
      <c r="O12" s="11" t="s">
        <v>921</v>
      </c>
      <c r="Q12" s="1" t="s">
        <v>1380</v>
      </c>
    </row>
    <row r="13" spans="1:21" x14ac:dyDescent="0.25">
      <c r="H13" s="70"/>
      <c r="O13" s="11" t="s">
        <v>947</v>
      </c>
      <c r="Q13" s="2">
        <f>Q4/R13</f>
        <v>10.029629629629628</v>
      </c>
      <c r="R13">
        <v>1.35</v>
      </c>
      <c r="T13" s="1"/>
    </row>
    <row r="14" spans="1:21" x14ac:dyDescent="0.25">
      <c r="H14" s="70"/>
      <c r="O14" s="11" t="s">
        <v>1034</v>
      </c>
      <c r="Q14" s="1">
        <v>43461</v>
      </c>
    </row>
    <row r="15" spans="1:21" x14ac:dyDescent="0.25">
      <c r="H15" s="70"/>
    </row>
    <row r="16" spans="1:21" ht="20.25" thickBot="1" x14ac:dyDescent="0.35">
      <c r="H16" s="70"/>
      <c r="O16" s="884" t="s">
        <v>78</v>
      </c>
      <c r="P16" s="884"/>
    </row>
    <row r="17" spans="1:16" ht="15.75" thickTop="1" x14ac:dyDescent="0.25">
      <c r="O17" s="81">
        <v>1.1000000000000001</v>
      </c>
      <c r="P17" s="81">
        <f>O17*$Q$4</f>
        <v>14.894</v>
      </c>
    </row>
    <row r="18" spans="1:16" x14ac:dyDescent="0.25">
      <c r="A18" s="31" t="s">
        <v>81</v>
      </c>
      <c r="B18" s="14"/>
      <c r="C18" s="14">
        <f>SUM(C2:C9)</f>
        <v>600</v>
      </c>
      <c r="D18" s="18"/>
      <c r="E18" s="18"/>
      <c r="F18" s="18">
        <f>SUM(F2:F9)</f>
        <v>6878</v>
      </c>
      <c r="G18" s="14"/>
      <c r="H18" s="71">
        <f>SUM(H2:H8)</f>
        <v>600</v>
      </c>
      <c r="I18" s="18"/>
      <c r="J18" s="18"/>
      <c r="K18" s="18">
        <f>SUM(K2:K8)</f>
        <v>7335.9</v>
      </c>
      <c r="L18" s="14"/>
      <c r="M18" s="18">
        <f>SUM(M2:M10)</f>
        <v>12.5</v>
      </c>
      <c r="O18" s="81">
        <v>1.0900000000000001</v>
      </c>
      <c r="P18" s="81">
        <f t="shared" ref="P18:P37" si="0">O18*$Q$4</f>
        <v>14.758599999999999</v>
      </c>
    </row>
    <row r="19" spans="1:16" ht="15.75" thickBot="1" x14ac:dyDescent="0.3">
      <c r="A19" s="277" t="s">
        <v>191</v>
      </c>
      <c r="B19" s="278"/>
      <c r="C19" s="279">
        <f>SumByColor($A$19,C2:C17)</f>
        <v>600</v>
      </c>
      <c r="D19" s="279"/>
      <c r="E19" s="279"/>
      <c r="F19" s="280">
        <f>SumByColor($A$19,F2:F17)</f>
        <v>6878</v>
      </c>
      <c r="G19" s="279"/>
      <c r="H19" s="279">
        <f>SumByColor($A$19,H2:H17)</f>
        <v>600</v>
      </c>
      <c r="I19" s="279"/>
      <c r="J19" s="279"/>
      <c r="K19" s="280">
        <f>SumByColor($A$19,K2:K17)</f>
        <v>7336</v>
      </c>
      <c r="L19" s="279"/>
      <c r="M19" s="280">
        <f>SumByColor($A$19,M2:M17)</f>
        <v>12</v>
      </c>
      <c r="O19" s="81">
        <v>1.08</v>
      </c>
      <c r="P19" s="81">
        <f t="shared" si="0"/>
        <v>14.623200000000001</v>
      </c>
    </row>
    <row r="20" spans="1:16" x14ac:dyDescent="0.25">
      <c r="O20" s="81">
        <v>1.07</v>
      </c>
      <c r="P20" s="81">
        <f t="shared" si="0"/>
        <v>14.4878</v>
      </c>
    </row>
    <row r="21" spans="1:16" x14ac:dyDescent="0.25">
      <c r="O21" s="81">
        <v>1.06</v>
      </c>
      <c r="P21" s="81">
        <f t="shared" si="0"/>
        <v>14.352399999999999</v>
      </c>
    </row>
    <row r="22" spans="1:16" x14ac:dyDescent="0.25">
      <c r="O22" s="81">
        <v>1.05</v>
      </c>
      <c r="P22" s="81">
        <f t="shared" si="0"/>
        <v>14.217000000000001</v>
      </c>
    </row>
    <row r="23" spans="1:16" x14ac:dyDescent="0.25">
      <c r="O23" s="81">
        <v>1.04</v>
      </c>
      <c r="P23" s="81">
        <f t="shared" si="0"/>
        <v>14.0816</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13.946199999999999</v>
      </c>
    </row>
    <row r="25" spans="1:16" x14ac:dyDescent="0.25">
      <c r="B25" s="164">
        <v>43444</v>
      </c>
      <c r="C25" s="10">
        <v>200</v>
      </c>
      <c r="D25" s="39">
        <v>12.68</v>
      </c>
      <c r="E25" s="39">
        <v>12.1</v>
      </c>
      <c r="F25" s="39">
        <f>C25*(E25-D25)</f>
        <v>-116.00000000000001</v>
      </c>
      <c r="G25" s="39">
        <f>D25*C25</f>
        <v>2536</v>
      </c>
      <c r="H25" s="179">
        <f>(E25-D25)/D25</f>
        <v>-4.5741324921135654E-2</v>
      </c>
      <c r="I25" s="39"/>
      <c r="J25" s="39"/>
      <c r="K25" s="39"/>
      <c r="L25" s="39"/>
      <c r="O25" s="81">
        <v>1.02</v>
      </c>
      <c r="P25" s="81">
        <f t="shared" si="0"/>
        <v>13.810799999999999</v>
      </c>
    </row>
    <row r="26" spans="1:16" x14ac:dyDescent="0.25">
      <c r="B26" s="164">
        <v>43447</v>
      </c>
      <c r="C26" s="10">
        <v>200</v>
      </c>
      <c r="D26" s="39">
        <v>12.3802</v>
      </c>
      <c r="E26" s="39">
        <v>11.44</v>
      </c>
      <c r="F26" s="39">
        <f>C26*(E26-D26)</f>
        <v>-188.04000000000016</v>
      </c>
      <c r="G26" s="39">
        <f>D26*C26</f>
        <v>2476.04</v>
      </c>
      <c r="H26" s="179">
        <f>(E26-D26)/D26</f>
        <v>-7.5943845818322864E-2</v>
      </c>
      <c r="I26" s="39"/>
      <c r="J26" s="39"/>
      <c r="K26" s="39"/>
      <c r="L26" s="39"/>
      <c r="O26" s="81">
        <v>1.01</v>
      </c>
      <c r="P26" s="81">
        <f t="shared" si="0"/>
        <v>13.6754</v>
      </c>
    </row>
    <row r="27" spans="1:16" x14ac:dyDescent="0.25">
      <c r="B27" s="164">
        <v>43454</v>
      </c>
      <c r="C27" s="10">
        <v>0</v>
      </c>
      <c r="D27" s="39">
        <v>12.38</v>
      </c>
      <c r="E27" s="39">
        <v>10.92</v>
      </c>
      <c r="F27" s="39"/>
      <c r="G27" s="39"/>
      <c r="H27" s="179"/>
      <c r="I27" s="39"/>
      <c r="J27" s="39">
        <v>-292.06</v>
      </c>
      <c r="K27" s="39"/>
      <c r="L27" s="39"/>
      <c r="O27" s="81">
        <v>1</v>
      </c>
      <c r="P27" s="81">
        <f t="shared" si="0"/>
        <v>13.54</v>
      </c>
    </row>
    <row r="28" spans="1:16" x14ac:dyDescent="0.25">
      <c r="B28" s="164">
        <v>43457</v>
      </c>
      <c r="C28" s="10">
        <v>200</v>
      </c>
      <c r="D28" s="39">
        <v>11.9903</v>
      </c>
      <c r="E28" s="39">
        <v>10.24</v>
      </c>
      <c r="F28" s="39">
        <f>C28*(E28-D28)</f>
        <v>-350.05999999999983</v>
      </c>
      <c r="G28" s="39">
        <f>D28*C28</f>
        <v>2398.06</v>
      </c>
      <c r="H28" s="179">
        <f>(E28-D28)/D28</f>
        <v>-0.14597633086745113</v>
      </c>
      <c r="I28" s="39"/>
      <c r="J28" s="39"/>
      <c r="K28" s="39"/>
      <c r="L28" s="39"/>
      <c r="O28" s="81">
        <v>0.99</v>
      </c>
      <c r="P28" s="81">
        <f t="shared" si="0"/>
        <v>13.404599999999999</v>
      </c>
    </row>
    <row r="29" spans="1:16" x14ac:dyDescent="0.25">
      <c r="B29" s="164">
        <v>43467</v>
      </c>
      <c r="C29" s="10">
        <v>200</v>
      </c>
      <c r="D29" s="39">
        <v>11.99</v>
      </c>
      <c r="E29" s="39">
        <v>11.25</v>
      </c>
      <c r="F29" s="39">
        <f>C29*(E29-D29)</f>
        <v>-148.00000000000006</v>
      </c>
      <c r="G29" s="39">
        <f>D29*C29</f>
        <v>2398</v>
      </c>
      <c r="H29" s="179">
        <f>(E29-D29)/D29</f>
        <v>-6.1718098415346138E-2</v>
      </c>
      <c r="I29" s="39"/>
      <c r="J29" s="39"/>
      <c r="K29" s="39"/>
      <c r="L29" s="39"/>
      <c r="O29" s="81">
        <v>0.98</v>
      </c>
      <c r="P29" s="81">
        <f t="shared" si="0"/>
        <v>13.2692</v>
      </c>
    </row>
    <row r="30" spans="1:16" x14ac:dyDescent="0.25">
      <c r="B30" s="164">
        <v>43469</v>
      </c>
      <c r="C30" s="10">
        <v>200</v>
      </c>
      <c r="D30" s="39">
        <v>11.9278</v>
      </c>
      <c r="E30" s="39">
        <v>11.78</v>
      </c>
      <c r="F30" s="101">
        <f>C30*(E30-D30)</f>
        <v>-29.560000000000031</v>
      </c>
      <c r="G30" s="39">
        <f>D30*C30</f>
        <v>2385.56</v>
      </c>
      <c r="H30" s="179">
        <f>(E30-D30)/D30</f>
        <v>-1.2391220510068928E-2</v>
      </c>
      <c r="I30" s="39"/>
      <c r="J30" s="39"/>
      <c r="K30" s="39"/>
      <c r="L30" s="39"/>
      <c r="O30" s="81">
        <v>0.97</v>
      </c>
      <c r="P30" s="81">
        <f t="shared" si="0"/>
        <v>13.133799999999999</v>
      </c>
    </row>
    <row r="31" spans="1:16" x14ac:dyDescent="0.25">
      <c r="B31" s="164">
        <v>43490</v>
      </c>
      <c r="C31" s="10">
        <v>0</v>
      </c>
      <c r="D31" s="39">
        <v>11.93</v>
      </c>
      <c r="E31" s="39">
        <v>14.04</v>
      </c>
      <c r="F31" s="39"/>
      <c r="G31" s="39">
        <f>D31*C31</f>
        <v>0</v>
      </c>
      <c r="H31" s="179"/>
      <c r="I31" s="39"/>
      <c r="J31" s="39">
        <v>470.4</v>
      </c>
      <c r="K31" s="39"/>
      <c r="L31" s="39"/>
      <c r="O31" s="81">
        <v>0.96</v>
      </c>
      <c r="P31" s="81">
        <f t="shared" si="0"/>
        <v>12.998399999999998</v>
      </c>
    </row>
    <row r="32" spans="1:16" x14ac:dyDescent="0.25">
      <c r="B32" s="164"/>
      <c r="C32" s="10"/>
      <c r="D32" s="39"/>
      <c r="E32" s="39"/>
      <c r="F32" s="39"/>
      <c r="G32" s="39"/>
      <c r="H32" s="179"/>
      <c r="I32" s="39"/>
      <c r="J32" s="39"/>
      <c r="K32" s="39"/>
      <c r="L32" s="39"/>
      <c r="O32" s="81">
        <v>0.95</v>
      </c>
      <c r="P32" s="81">
        <f t="shared" si="0"/>
        <v>12.862999999999998</v>
      </c>
    </row>
    <row r="33" spans="2:21" x14ac:dyDescent="0.25">
      <c r="B33" s="164"/>
      <c r="C33" s="10"/>
      <c r="D33" s="39"/>
      <c r="E33" s="39"/>
      <c r="F33" s="39"/>
      <c r="G33" s="39"/>
      <c r="H33" s="179"/>
      <c r="I33" s="39"/>
      <c r="J33" s="39"/>
      <c r="K33" s="39"/>
      <c r="L33" s="39"/>
      <c r="O33" s="81">
        <v>0.94</v>
      </c>
      <c r="P33" s="81">
        <f t="shared" si="0"/>
        <v>12.727599999999999</v>
      </c>
    </row>
    <row r="34" spans="2:21" x14ac:dyDescent="0.25">
      <c r="B34" s="164"/>
      <c r="C34" s="10"/>
      <c r="D34" s="39"/>
      <c r="E34" s="39"/>
      <c r="F34" s="39"/>
      <c r="G34" s="39"/>
      <c r="H34" s="179"/>
      <c r="I34" s="39"/>
      <c r="J34" s="39"/>
      <c r="K34" s="39"/>
      <c r="L34" s="39"/>
      <c r="O34" s="81">
        <v>0.93</v>
      </c>
      <c r="P34" s="81">
        <f t="shared" si="0"/>
        <v>12.5922</v>
      </c>
    </row>
    <row r="35" spans="2:21" x14ac:dyDescent="0.25">
      <c r="B35" s="164"/>
      <c r="C35" s="10"/>
      <c r="D35" s="39"/>
      <c r="E35" s="39"/>
      <c r="F35" s="39"/>
      <c r="G35" s="39"/>
      <c r="H35" s="179"/>
      <c r="I35" s="39"/>
      <c r="J35" s="39"/>
      <c r="K35" s="39"/>
      <c r="L35" s="39"/>
      <c r="O35" s="81">
        <v>0.92</v>
      </c>
      <c r="P35" s="81">
        <f t="shared" si="0"/>
        <v>12.456799999999999</v>
      </c>
    </row>
    <row r="36" spans="2:21" x14ac:dyDescent="0.25">
      <c r="B36" s="164"/>
      <c r="C36" s="10"/>
      <c r="D36" s="39"/>
      <c r="E36" s="39"/>
      <c r="F36" s="39"/>
      <c r="G36" s="39"/>
      <c r="H36" s="179"/>
      <c r="I36" s="39"/>
      <c r="J36" s="39"/>
      <c r="K36" s="39"/>
      <c r="L36" s="39"/>
      <c r="O36" s="81">
        <v>0.91</v>
      </c>
      <c r="P36" s="81">
        <f t="shared" si="0"/>
        <v>12.321399999999999</v>
      </c>
    </row>
    <row r="37" spans="2:21" x14ac:dyDescent="0.25">
      <c r="B37" s="164"/>
      <c r="C37" s="10"/>
      <c r="D37" s="39"/>
      <c r="E37" s="39"/>
      <c r="F37" s="39"/>
      <c r="G37" s="39"/>
      <c r="H37" s="179"/>
      <c r="I37" s="39"/>
      <c r="J37" s="39"/>
      <c r="K37" s="39"/>
      <c r="L37" s="39"/>
      <c r="O37" s="81">
        <v>0.9</v>
      </c>
      <c r="P37" s="81">
        <f t="shared" si="0"/>
        <v>12.186</v>
      </c>
    </row>
    <row r="38" spans="2:21" x14ac:dyDescent="0.25">
      <c r="B38" s="164"/>
      <c r="C38" s="10"/>
      <c r="D38" s="39"/>
      <c r="E38" s="39"/>
      <c r="F38" s="39"/>
      <c r="G38" s="39"/>
      <c r="H38" s="179"/>
      <c r="I38" s="39"/>
      <c r="J38" s="39"/>
      <c r="K38" s="39"/>
      <c r="L38" s="39"/>
    </row>
    <row r="39" spans="2:21" x14ac:dyDescent="0.25">
      <c r="B39" s="164"/>
      <c r="C39" s="10"/>
      <c r="D39" s="39"/>
      <c r="E39" s="39"/>
      <c r="F39" s="39"/>
      <c r="G39" s="39"/>
      <c r="H39" s="179"/>
      <c r="I39" s="39"/>
      <c r="J39" s="39"/>
      <c r="K39" s="39"/>
      <c r="L39" s="39"/>
      <c r="T39" s="1">
        <v>43447</v>
      </c>
      <c r="U39" t="s">
        <v>1335</v>
      </c>
    </row>
    <row r="40" spans="2:21" x14ac:dyDescent="0.25">
      <c r="B40" s="164"/>
      <c r="C40" s="10"/>
      <c r="D40" s="39"/>
      <c r="E40" s="39"/>
      <c r="F40" s="39"/>
      <c r="G40" s="39"/>
      <c r="H40" s="179"/>
      <c r="I40" s="39"/>
      <c r="J40" s="39"/>
      <c r="K40" s="39"/>
      <c r="L40" s="39"/>
    </row>
    <row r="41" spans="2:21" x14ac:dyDescent="0.25">
      <c r="B41" s="164"/>
      <c r="C41" s="10"/>
      <c r="D41" s="39"/>
      <c r="E41" s="39"/>
      <c r="F41" s="39"/>
      <c r="G41" s="39"/>
      <c r="H41" s="179"/>
      <c r="I41" s="39"/>
      <c r="J41" s="39"/>
      <c r="K41" s="39"/>
      <c r="L41" s="39"/>
      <c r="Q41" s="2"/>
    </row>
    <row r="42" spans="2:21" x14ac:dyDescent="0.25">
      <c r="B42" s="164"/>
      <c r="C42" s="10"/>
      <c r="D42" s="39"/>
      <c r="E42" s="39"/>
      <c r="F42" s="39"/>
      <c r="G42" s="39"/>
      <c r="H42" s="179"/>
      <c r="I42" s="39"/>
      <c r="J42" s="39"/>
      <c r="K42" s="39"/>
      <c r="L42" s="39"/>
      <c r="Q42" s="2"/>
    </row>
    <row r="43" spans="2:21" x14ac:dyDescent="0.25">
      <c r="B43" s="164"/>
      <c r="C43" s="10"/>
      <c r="D43" s="39"/>
      <c r="E43" s="39"/>
      <c r="F43" s="39"/>
      <c r="G43" s="39"/>
      <c r="H43" s="179"/>
      <c r="I43" s="39"/>
      <c r="J43" s="39"/>
      <c r="K43" s="39"/>
      <c r="L43" s="39"/>
      <c r="Q43" s="2"/>
    </row>
    <row r="44" spans="2:21" x14ac:dyDescent="0.25">
      <c r="B44" s="164"/>
      <c r="C44" s="10"/>
      <c r="D44" s="39"/>
      <c r="E44" s="39"/>
      <c r="F44" s="39"/>
      <c r="G44" s="39"/>
      <c r="H44" s="179"/>
      <c r="I44" s="39"/>
      <c r="J44" s="39"/>
      <c r="K44" s="39"/>
      <c r="L44" s="39"/>
      <c r="Q44" s="2"/>
    </row>
    <row r="45" spans="2:21" x14ac:dyDescent="0.25">
      <c r="B45" s="164"/>
      <c r="C45" s="10"/>
      <c r="D45" s="39"/>
      <c r="E45" s="39"/>
      <c r="F45" s="778"/>
      <c r="G45" s="39"/>
      <c r="H45" s="179"/>
      <c r="I45" s="39"/>
      <c r="J45" s="39"/>
      <c r="K45" s="39"/>
      <c r="L45" s="39"/>
      <c r="Q45" s="2"/>
    </row>
    <row r="46" spans="2:21" x14ac:dyDescent="0.25">
      <c r="B46" s="164"/>
      <c r="C46" s="10"/>
      <c r="D46" s="39"/>
      <c r="E46" s="39"/>
      <c r="F46" s="39"/>
      <c r="G46" s="39"/>
      <c r="H46" s="179"/>
      <c r="I46" s="39"/>
      <c r="J46" s="39"/>
      <c r="K46" s="39"/>
      <c r="L46" s="39"/>
      <c r="Q46" s="2"/>
    </row>
    <row r="47" spans="2:21" x14ac:dyDescent="0.25">
      <c r="B47" s="164"/>
      <c r="C47" s="10"/>
      <c r="D47" s="39"/>
      <c r="E47" s="39"/>
      <c r="F47" s="39"/>
      <c r="G47" s="39"/>
      <c r="H47" s="179"/>
      <c r="I47" s="39"/>
      <c r="J47" s="39"/>
      <c r="K47" s="39"/>
      <c r="L47" s="39"/>
      <c r="Q47" s="2"/>
    </row>
    <row r="48" spans="2:21"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268" priority="47">
      <formula>F54&gt;0</formula>
    </cfRule>
    <cfRule type="expression" dxfId="2267" priority="48">
      <formula>F54&lt;0</formula>
    </cfRule>
  </conditionalFormatting>
  <conditionalFormatting sqref="Q7">
    <cfRule type="expression" dxfId="2266" priority="45">
      <formula>Q7&gt;0</formula>
    </cfRule>
    <cfRule type="expression" dxfId="2265" priority="46">
      <formula>Q7&lt;0</formula>
    </cfRule>
  </conditionalFormatting>
  <conditionalFormatting sqref="Q8">
    <cfRule type="expression" dxfId="2264" priority="43">
      <formula>Q8&gt;0</formula>
    </cfRule>
    <cfRule type="expression" dxfId="2263" priority="44">
      <formula>Q8&lt;0</formula>
    </cfRule>
  </conditionalFormatting>
  <conditionalFormatting sqref="F33:F36 F38:F53">
    <cfRule type="expression" dxfId="2262" priority="41">
      <formula>F33&gt;0</formula>
    </cfRule>
    <cfRule type="expression" dxfId="2261" priority="42">
      <formula>F33&lt;0</formula>
    </cfRule>
  </conditionalFormatting>
  <conditionalFormatting sqref="H33:H36 H38:H53">
    <cfRule type="expression" dxfId="2260" priority="39">
      <formula>H33&gt;0</formula>
    </cfRule>
    <cfRule type="expression" dxfId="2259" priority="40">
      <formula>H33&lt;0</formula>
    </cfRule>
  </conditionalFormatting>
  <conditionalFormatting sqref="Q10">
    <cfRule type="expression" dxfId="2258" priority="37">
      <formula>Q10&gt;0</formula>
    </cfRule>
    <cfRule type="expression" dxfId="2257" priority="38">
      <formula>Q10&lt;0</formula>
    </cfRule>
  </conditionalFormatting>
  <conditionalFormatting sqref="J25:J37">
    <cfRule type="expression" dxfId="2256" priority="35">
      <formula>J25&gt;0</formula>
    </cfRule>
    <cfRule type="expression" dxfId="2255" priority="36">
      <formula>J25&lt;0</formula>
    </cfRule>
  </conditionalFormatting>
  <conditionalFormatting sqref="K25:K38">
    <cfRule type="expression" dxfId="2254" priority="33">
      <formula>K25&gt;0</formula>
    </cfRule>
    <cfRule type="expression" dxfId="2253" priority="34">
      <formula>K25&lt;0</formula>
    </cfRule>
  </conditionalFormatting>
  <conditionalFormatting sqref="L25">
    <cfRule type="expression" dxfId="2252" priority="31">
      <formula>L25&gt;0</formula>
    </cfRule>
    <cfRule type="expression" dxfId="2251" priority="32">
      <formula>L25&lt;0</formula>
    </cfRule>
  </conditionalFormatting>
  <conditionalFormatting sqref="F89:F110">
    <cfRule type="expression" dxfId="2250" priority="29">
      <formula>F89&gt;0</formula>
    </cfRule>
    <cfRule type="expression" dxfId="2249" priority="30">
      <formula>F89&lt;0</formula>
    </cfRule>
  </conditionalFormatting>
  <conditionalFormatting sqref="H89:H110">
    <cfRule type="expression" dxfId="2248" priority="27">
      <formula>H89&gt;0</formula>
    </cfRule>
    <cfRule type="expression" dxfId="2247" priority="28">
      <formula>H89&lt;0</formula>
    </cfRule>
  </conditionalFormatting>
  <conditionalFormatting sqref="J89:J102">
    <cfRule type="expression" dxfId="2246" priority="25">
      <formula>J89&gt;0</formula>
    </cfRule>
    <cfRule type="expression" dxfId="2245" priority="26">
      <formula>J89&lt;0</formula>
    </cfRule>
  </conditionalFormatting>
  <conditionalFormatting sqref="K89:K102">
    <cfRule type="expression" dxfId="2244" priority="23">
      <formula>K89&gt;0</formula>
    </cfRule>
    <cfRule type="expression" dxfId="2243" priority="24">
      <formula>K89&lt;0</formula>
    </cfRule>
  </conditionalFormatting>
  <conditionalFormatting sqref="L89:L102">
    <cfRule type="expression" dxfId="2242" priority="21">
      <formula>L89&gt;0</formula>
    </cfRule>
    <cfRule type="expression" dxfId="2241" priority="22">
      <formula>L89&lt;0</formula>
    </cfRule>
  </conditionalFormatting>
  <conditionalFormatting sqref="F30:F32">
    <cfRule type="expression" dxfId="2240" priority="19">
      <formula>F30&gt;0</formula>
    </cfRule>
    <cfRule type="expression" dxfId="2239" priority="20">
      <formula>F30&lt;0</formula>
    </cfRule>
  </conditionalFormatting>
  <conditionalFormatting sqref="H30:H32">
    <cfRule type="expression" dxfId="2238" priority="17">
      <formula>H30&gt;0</formula>
    </cfRule>
    <cfRule type="expression" dxfId="2237" priority="18">
      <formula>H30&lt;0</formula>
    </cfRule>
  </conditionalFormatting>
  <conditionalFormatting sqref="F25:F27">
    <cfRule type="expression" dxfId="2236" priority="15">
      <formula>F25&gt;0</formula>
    </cfRule>
    <cfRule type="expression" dxfId="2235" priority="16">
      <formula>F25&lt;0</formula>
    </cfRule>
  </conditionalFormatting>
  <conditionalFormatting sqref="H25:H27">
    <cfRule type="expression" dxfId="2234" priority="13">
      <formula>H25&gt;0</formula>
    </cfRule>
    <cfRule type="expression" dxfId="2233" priority="14">
      <formula>H25&lt;0</formula>
    </cfRule>
  </conditionalFormatting>
  <conditionalFormatting sqref="F37">
    <cfRule type="expression" dxfId="2232" priority="11">
      <formula>F37&gt;0</formula>
    </cfRule>
    <cfRule type="expression" dxfId="2231" priority="12">
      <formula>F37&lt;0</formula>
    </cfRule>
  </conditionalFormatting>
  <conditionalFormatting sqref="H37">
    <cfRule type="expression" dxfId="2230" priority="9">
      <formula>H37&gt;0</formula>
    </cfRule>
    <cfRule type="expression" dxfId="2229" priority="10">
      <formula>H37&lt;0</formula>
    </cfRule>
  </conditionalFormatting>
  <conditionalFormatting sqref="J49">
    <cfRule type="expression" dxfId="2228" priority="7">
      <formula>J49&gt;0</formula>
    </cfRule>
    <cfRule type="expression" dxfId="2227" priority="8">
      <formula>J49&lt;0</formula>
    </cfRule>
  </conditionalFormatting>
  <conditionalFormatting sqref="J38:J48">
    <cfRule type="expression" dxfId="2226" priority="5">
      <formula>J38&gt;0</formula>
    </cfRule>
    <cfRule type="expression" dxfId="2225" priority="6">
      <formula>J38&lt;0</formula>
    </cfRule>
  </conditionalFormatting>
  <conditionalFormatting sqref="F28:F29">
    <cfRule type="expression" dxfId="2224" priority="3">
      <formula>F28&gt;0</formula>
    </cfRule>
    <cfRule type="expression" dxfId="2223" priority="4">
      <formula>F28&lt;0</formula>
    </cfRule>
  </conditionalFormatting>
  <conditionalFormatting sqref="H28:H29">
    <cfRule type="expression" dxfId="2222" priority="1">
      <formula>H28&gt;0</formula>
    </cfRule>
    <cfRule type="expression" dxfId="2221"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1016</v>
      </c>
      <c r="B2" s="368">
        <v>43222</v>
      </c>
      <c r="C2" s="7">
        <v>50</v>
      </c>
      <c r="D2" s="43">
        <v>49.18</v>
      </c>
      <c r="E2" s="43">
        <v>0</v>
      </c>
      <c r="F2" s="43">
        <f>C2*D2+E2</f>
        <v>2459</v>
      </c>
      <c r="G2" s="368">
        <v>43259</v>
      </c>
      <c r="H2" s="7">
        <v>50</v>
      </c>
      <c r="I2" s="43">
        <v>50.66</v>
      </c>
      <c r="J2" s="43">
        <v>-0.13</v>
      </c>
      <c r="K2" s="43">
        <f>H2*I2-J2</f>
        <v>2533.13</v>
      </c>
      <c r="L2" s="72">
        <v>43271</v>
      </c>
      <c r="M2" s="43">
        <v>39.380000000000003</v>
      </c>
      <c r="O2" s="11" t="s">
        <v>57</v>
      </c>
      <c r="Q2">
        <f>C18-H18</f>
        <v>0</v>
      </c>
      <c r="T2" s="1"/>
      <c r="U2" t="s">
        <v>1017</v>
      </c>
    </row>
    <row r="3" spans="1:21" x14ac:dyDescent="0.25">
      <c r="A3" s="22" t="s">
        <v>71</v>
      </c>
      <c r="B3" s="368">
        <v>43222</v>
      </c>
      <c r="C3" s="7">
        <v>100</v>
      </c>
      <c r="D3" s="43">
        <v>49.18</v>
      </c>
      <c r="E3" s="43">
        <v>0</v>
      </c>
      <c r="F3" s="43">
        <f>C3*D3+E3</f>
        <v>4918</v>
      </c>
      <c r="G3" s="368">
        <v>43291</v>
      </c>
      <c r="H3" s="80">
        <v>100</v>
      </c>
      <c r="I3" s="43">
        <v>52.63</v>
      </c>
      <c r="J3" s="43">
        <v>7.0000000000000007E-2</v>
      </c>
      <c r="K3" s="43">
        <f>H3*I3-J3</f>
        <v>5262.93</v>
      </c>
      <c r="L3" s="4"/>
      <c r="M3" s="4"/>
      <c r="O3" s="11" t="s">
        <v>58</v>
      </c>
      <c r="Q3" s="178">
        <f>IF(Q2=0, Q4, (F18-K18-M18)/Q2)</f>
        <v>52.42</v>
      </c>
      <c r="T3" s="1"/>
      <c r="U3" s="22" t="s">
        <v>1050</v>
      </c>
    </row>
    <row r="4" spans="1:21" x14ac:dyDescent="0.25">
      <c r="B4" s="72"/>
      <c r="C4" s="4"/>
      <c r="D4" s="3"/>
      <c r="E4" s="3"/>
      <c r="F4" s="3"/>
      <c r="G4" s="72"/>
      <c r="H4" s="161"/>
      <c r="I4" s="3"/>
      <c r="J4" s="3"/>
      <c r="K4" s="3"/>
      <c r="L4" s="4"/>
      <c r="M4" s="4"/>
      <c r="O4" s="11" t="s">
        <v>66</v>
      </c>
      <c r="Q4" s="54">
        <v>52.42</v>
      </c>
      <c r="R4" s="425">
        <v>4.1999999999999997E-3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458.44000000000051</v>
      </c>
      <c r="R7">
        <v>0</v>
      </c>
    </row>
    <row r="8" spans="1:21" x14ac:dyDescent="0.25">
      <c r="B8" s="72"/>
      <c r="C8" s="4"/>
      <c r="D8" s="3"/>
      <c r="E8" s="3"/>
      <c r="F8" s="3"/>
      <c r="G8" s="4"/>
      <c r="H8" s="161"/>
      <c r="I8" s="3"/>
      <c r="J8" s="3"/>
      <c r="K8" s="3"/>
      <c r="L8" s="4"/>
      <c r="M8" s="4"/>
      <c r="O8" s="11" t="s">
        <v>179</v>
      </c>
      <c r="P8" s="33"/>
      <c r="Q8" s="2">
        <f>K18+M18-F18+Q2*Q4</f>
        <v>458.44000000000051</v>
      </c>
      <c r="T8" s="1"/>
    </row>
    <row r="9" spans="1:21" x14ac:dyDescent="0.25">
      <c r="B9" s="4"/>
      <c r="C9" s="4"/>
      <c r="D9" s="3"/>
      <c r="E9" s="3"/>
      <c r="F9" s="3"/>
      <c r="G9" s="4"/>
      <c r="H9" s="161"/>
      <c r="I9" s="3"/>
      <c r="J9" s="3"/>
      <c r="K9" s="3"/>
      <c r="L9" s="4"/>
      <c r="M9" s="4"/>
      <c r="O9" s="11" t="s">
        <v>204</v>
      </c>
      <c r="Q9" s="134">
        <f>IF(Q2=0, 0, Q8/Q6)</f>
        <v>0</v>
      </c>
      <c r="T9" s="156"/>
      <c r="U9" t="s">
        <v>1049</v>
      </c>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2.8615032430370085E-2</v>
      </c>
      <c r="R11">
        <v>1.5</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4" t="s">
        <v>78</v>
      </c>
      <c r="P16" s="884"/>
    </row>
    <row r="17" spans="1:21" ht="15.75" thickTop="1" x14ac:dyDescent="0.25">
      <c r="O17" s="81">
        <v>1.1000000000000001</v>
      </c>
      <c r="P17" s="81">
        <f>O17*$Q$4</f>
        <v>57.662000000000006</v>
      </c>
    </row>
    <row r="18" spans="1:21" x14ac:dyDescent="0.25">
      <c r="A18" s="31" t="s">
        <v>81</v>
      </c>
      <c r="B18" s="14"/>
      <c r="C18" s="14">
        <f>SUM(C2:C8)</f>
        <v>150</v>
      </c>
      <c r="D18" s="18"/>
      <c r="E18" s="18"/>
      <c r="F18" s="18">
        <f>SUM(F2:F8)</f>
        <v>7377</v>
      </c>
      <c r="G18" s="14"/>
      <c r="H18" s="71">
        <f>SUM(H2:H5)</f>
        <v>150</v>
      </c>
      <c r="I18" s="18"/>
      <c r="J18" s="18"/>
      <c r="K18" s="18">
        <f>SUM(K2:K5)</f>
        <v>7796.06</v>
      </c>
      <c r="L18" s="14"/>
      <c r="M18" s="18">
        <f>SUM(M2:M10)</f>
        <v>39.380000000000003</v>
      </c>
      <c r="O18" s="81">
        <v>1.0900000000000001</v>
      </c>
      <c r="P18" s="81">
        <f t="shared" ref="P18:P37" si="0">O18*$Q$4</f>
        <v>57.137800000000006</v>
      </c>
    </row>
    <row r="19" spans="1:21" ht="15.75" thickBot="1" x14ac:dyDescent="0.3">
      <c r="A19" s="277" t="s">
        <v>191</v>
      </c>
      <c r="B19" s="278"/>
      <c r="C19" s="279">
        <f>SumByColor($A$19,C2:C17)</f>
        <v>150</v>
      </c>
      <c r="D19" s="279"/>
      <c r="E19" s="279"/>
      <c r="F19" s="280">
        <f>SumByColor($A$19,F2:F17)</f>
        <v>7377</v>
      </c>
      <c r="G19" s="279"/>
      <c r="H19" s="279">
        <f>SumByColor($A$19,H2:H17)</f>
        <v>150</v>
      </c>
      <c r="I19" s="279"/>
      <c r="J19" s="279"/>
      <c r="K19" s="280">
        <f>SumByColor($A$19,K2:K17)</f>
        <v>7796</v>
      </c>
      <c r="L19" s="279"/>
      <c r="M19" s="280">
        <f>SumByColor($A$19,M2:M17)</f>
        <v>39</v>
      </c>
      <c r="O19" s="81">
        <v>1.08</v>
      </c>
      <c r="P19" s="81">
        <f t="shared" si="0"/>
        <v>56.613600000000005</v>
      </c>
    </row>
    <row r="20" spans="1:21" x14ac:dyDescent="0.25">
      <c r="O20" s="81">
        <v>1.07</v>
      </c>
      <c r="P20" s="81">
        <f t="shared" si="0"/>
        <v>56.089400000000005</v>
      </c>
    </row>
    <row r="21" spans="1:21" x14ac:dyDescent="0.25">
      <c r="O21" s="81">
        <v>1.06</v>
      </c>
      <c r="P21" s="81">
        <f t="shared" si="0"/>
        <v>55.565200000000004</v>
      </c>
    </row>
    <row r="22" spans="1:21" x14ac:dyDescent="0.25">
      <c r="O22" s="81">
        <v>1.05</v>
      </c>
      <c r="P22" s="81">
        <f t="shared" si="0"/>
        <v>55.041000000000004</v>
      </c>
    </row>
    <row r="23" spans="1:21" x14ac:dyDescent="0.25">
      <c r="O23" s="81">
        <v>1.04</v>
      </c>
      <c r="P23" s="81">
        <f t="shared" si="0"/>
        <v>54.516800000000003</v>
      </c>
    </row>
    <row r="24" spans="1:21"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53.992600000000003</v>
      </c>
    </row>
    <row r="25" spans="1:21" x14ac:dyDescent="0.25">
      <c r="B25" s="164">
        <v>43222</v>
      </c>
      <c r="C25" s="10">
        <v>150</v>
      </c>
      <c r="D25" s="39">
        <v>49.18</v>
      </c>
      <c r="E25" s="39">
        <v>49.03</v>
      </c>
      <c r="F25" s="39">
        <f>C25*(E25-D25)</f>
        <v>-22.499999999999787</v>
      </c>
      <c r="G25" s="39">
        <f>D25*C25</f>
        <v>7377</v>
      </c>
      <c r="H25" s="179">
        <f>(E25-D25)/D25</f>
        <v>-3.0500203334688611E-3</v>
      </c>
      <c r="I25" s="39"/>
      <c r="J25" s="39"/>
      <c r="K25" s="39"/>
      <c r="L25" s="39"/>
      <c r="O25" s="81">
        <v>1.02</v>
      </c>
      <c r="P25" s="81">
        <f t="shared" si="0"/>
        <v>53.468400000000003</v>
      </c>
    </row>
    <row r="26" spans="1:21" x14ac:dyDescent="0.25">
      <c r="B26" s="164">
        <v>43259</v>
      </c>
      <c r="C26" s="10">
        <v>100</v>
      </c>
      <c r="D26" s="39">
        <v>48.438699999999997</v>
      </c>
      <c r="E26" s="39">
        <v>50.83</v>
      </c>
      <c r="F26" s="39">
        <v>239.13</v>
      </c>
      <c r="G26" s="39">
        <f>D26*C26</f>
        <v>4843.87</v>
      </c>
      <c r="H26" s="179">
        <f>(E26-D26)/D26</f>
        <v>4.9367551152281156E-2</v>
      </c>
      <c r="I26" s="39"/>
      <c r="J26" s="39"/>
      <c r="K26" s="39"/>
      <c r="L26" s="39"/>
      <c r="O26" s="81">
        <v>1.01</v>
      </c>
      <c r="P26" s="81">
        <f t="shared" si="0"/>
        <v>52.944200000000002</v>
      </c>
    </row>
    <row r="27" spans="1:21" x14ac:dyDescent="0.25">
      <c r="B27" s="164">
        <v>43271</v>
      </c>
      <c r="C27" s="10">
        <v>100</v>
      </c>
      <c r="D27" s="39">
        <v>48.044899999999998</v>
      </c>
      <c r="E27" s="39">
        <v>51.11</v>
      </c>
      <c r="F27" s="39">
        <v>240.13</v>
      </c>
      <c r="G27" s="39">
        <f>D27*C27</f>
        <v>4804.49</v>
      </c>
      <c r="H27" s="179">
        <f>(E27-D27)/D27</f>
        <v>6.3796573621758002E-2</v>
      </c>
      <c r="I27" s="39"/>
      <c r="J27" s="39"/>
      <c r="K27" s="39"/>
      <c r="L27" s="39"/>
      <c r="O27" s="81">
        <v>1</v>
      </c>
      <c r="P27" s="81">
        <f t="shared" si="0"/>
        <v>52.42</v>
      </c>
    </row>
    <row r="28" spans="1:21" x14ac:dyDescent="0.25">
      <c r="B28" s="164">
        <v>43291</v>
      </c>
      <c r="C28" s="10">
        <v>0</v>
      </c>
      <c r="D28" s="39"/>
      <c r="E28" s="39">
        <v>52.63</v>
      </c>
      <c r="F28" s="39">
        <v>458.44</v>
      </c>
      <c r="G28" s="39"/>
      <c r="H28" s="179"/>
      <c r="I28" s="39"/>
      <c r="J28" s="39"/>
      <c r="K28" s="39"/>
      <c r="L28" s="39"/>
      <c r="O28" s="81">
        <v>0.99</v>
      </c>
      <c r="P28" s="81">
        <f t="shared" si="0"/>
        <v>51.895800000000001</v>
      </c>
      <c r="U28" t="s">
        <v>1048</v>
      </c>
    </row>
    <row r="29" spans="1:21" x14ac:dyDescent="0.25">
      <c r="B29" s="164"/>
      <c r="C29" s="10"/>
      <c r="D29" s="39"/>
      <c r="E29" s="39"/>
      <c r="F29" s="39"/>
      <c r="G29" s="39"/>
      <c r="H29" s="179"/>
      <c r="I29" s="39"/>
      <c r="J29" s="39"/>
      <c r="K29" s="39"/>
      <c r="L29" s="39"/>
      <c r="O29" s="81">
        <v>0.98</v>
      </c>
      <c r="P29" s="81">
        <f t="shared" si="0"/>
        <v>51.371600000000001</v>
      </c>
    </row>
    <row r="30" spans="1:21" x14ac:dyDescent="0.25">
      <c r="B30" s="164"/>
      <c r="C30" s="10"/>
      <c r="D30" s="39"/>
      <c r="E30" s="39"/>
      <c r="F30" s="39"/>
      <c r="G30" s="39"/>
      <c r="H30" s="179"/>
      <c r="I30" s="39"/>
      <c r="J30" s="39"/>
      <c r="K30" s="39"/>
      <c r="L30" s="39"/>
      <c r="O30" s="81">
        <v>0.97</v>
      </c>
      <c r="P30" s="81">
        <f t="shared" si="0"/>
        <v>50.8474</v>
      </c>
    </row>
    <row r="31" spans="1:21" x14ac:dyDescent="0.25">
      <c r="B31" s="164"/>
      <c r="C31" s="10"/>
      <c r="D31" s="39"/>
      <c r="E31" s="39"/>
      <c r="F31" s="39"/>
      <c r="G31" s="39"/>
      <c r="H31" s="179"/>
      <c r="I31" s="39"/>
      <c r="J31" s="39"/>
      <c r="K31" s="39"/>
      <c r="L31" s="39"/>
      <c r="O31" s="81">
        <v>0.96</v>
      </c>
      <c r="P31" s="81">
        <f t="shared" si="0"/>
        <v>50.3232</v>
      </c>
    </row>
    <row r="32" spans="1:21" x14ac:dyDescent="0.25">
      <c r="B32" s="164"/>
      <c r="C32" s="10"/>
      <c r="D32" s="39"/>
      <c r="E32" s="39"/>
      <c r="F32" s="39"/>
      <c r="G32" s="39"/>
      <c r="H32" s="179"/>
      <c r="I32" s="39"/>
      <c r="J32" s="39"/>
      <c r="K32" s="39"/>
      <c r="L32" s="39"/>
      <c r="O32" s="81">
        <v>0.95</v>
      </c>
      <c r="P32" s="81">
        <f t="shared" si="0"/>
        <v>49.798999999999999</v>
      </c>
    </row>
    <row r="33" spans="2:17" x14ac:dyDescent="0.25">
      <c r="B33" s="164"/>
      <c r="C33" s="10"/>
      <c r="D33" s="39"/>
      <c r="E33" s="39"/>
      <c r="F33" s="39"/>
      <c r="G33" s="39"/>
      <c r="H33" s="179"/>
      <c r="I33" s="39"/>
      <c r="J33" s="39"/>
      <c r="K33" s="39"/>
      <c r="L33" s="39"/>
      <c r="O33" s="81">
        <v>0.94</v>
      </c>
      <c r="P33" s="81">
        <f t="shared" si="0"/>
        <v>49.274799999999999</v>
      </c>
    </row>
    <row r="34" spans="2:17" x14ac:dyDescent="0.25">
      <c r="B34" s="164"/>
      <c r="C34" s="10"/>
      <c r="D34" s="39"/>
      <c r="E34" s="39"/>
      <c r="F34" s="39"/>
      <c r="G34" s="39"/>
      <c r="H34" s="179"/>
      <c r="I34" s="39"/>
      <c r="J34" s="39"/>
      <c r="K34" s="39"/>
      <c r="L34" s="39"/>
      <c r="O34" s="81">
        <v>0.93</v>
      </c>
      <c r="P34" s="81">
        <f t="shared" si="0"/>
        <v>48.750600000000006</v>
      </c>
    </row>
    <row r="35" spans="2:17" x14ac:dyDescent="0.25">
      <c r="B35" s="164"/>
      <c r="C35" s="10"/>
      <c r="D35" s="39"/>
      <c r="E35" s="39"/>
      <c r="F35" s="39"/>
      <c r="G35" s="39"/>
      <c r="H35" s="179"/>
      <c r="I35" s="39"/>
      <c r="J35" s="39"/>
      <c r="K35" s="39"/>
      <c r="L35" s="39"/>
      <c r="O35" s="81">
        <v>0.92</v>
      </c>
      <c r="P35" s="81">
        <f t="shared" si="0"/>
        <v>48.226400000000005</v>
      </c>
    </row>
    <row r="36" spans="2:17" x14ac:dyDescent="0.25">
      <c r="B36" s="164"/>
      <c r="C36" s="10"/>
      <c r="D36" s="39"/>
      <c r="E36" s="39"/>
      <c r="F36" s="39"/>
      <c r="G36" s="39"/>
      <c r="H36" s="179"/>
      <c r="I36" s="39"/>
      <c r="J36" s="39"/>
      <c r="K36" s="39"/>
      <c r="L36" s="39"/>
      <c r="O36" s="81">
        <v>0.91</v>
      </c>
      <c r="P36" s="81">
        <f t="shared" si="0"/>
        <v>47.702200000000005</v>
      </c>
    </row>
    <row r="37" spans="2:17" x14ac:dyDescent="0.25">
      <c r="B37" s="164"/>
      <c r="C37" s="10"/>
      <c r="D37" s="39"/>
      <c r="E37" s="39"/>
      <c r="F37" s="39"/>
      <c r="G37" s="39"/>
      <c r="H37" s="179"/>
      <c r="I37" s="39"/>
      <c r="J37" s="39"/>
      <c r="K37" s="39"/>
      <c r="L37" s="39"/>
      <c r="O37" s="81">
        <v>0.9</v>
      </c>
      <c r="P37" s="81">
        <f t="shared" si="0"/>
        <v>47.178000000000004</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220" priority="35">
      <formula>F47&gt;0</formula>
    </cfRule>
    <cfRule type="expression" dxfId="2219" priority="36">
      <formula>F47&lt;0</formula>
    </cfRule>
  </conditionalFormatting>
  <conditionalFormatting sqref="Q7">
    <cfRule type="expression" dxfId="2218" priority="33">
      <formula>Q7&gt;0</formula>
    </cfRule>
    <cfRule type="expression" dxfId="2217" priority="34">
      <formula>Q7&lt;0</formula>
    </cfRule>
  </conditionalFormatting>
  <conditionalFormatting sqref="Q8">
    <cfRule type="expression" dxfId="2216" priority="31">
      <formula>Q8&gt;0</formula>
    </cfRule>
    <cfRule type="expression" dxfId="2215" priority="32">
      <formula>Q8&lt;0</formula>
    </cfRule>
  </conditionalFormatting>
  <conditionalFormatting sqref="F30:F46">
    <cfRule type="expression" dxfId="2214" priority="29">
      <formula>F30&gt;0</formula>
    </cfRule>
    <cfRule type="expression" dxfId="2213" priority="30">
      <formula>F30&lt;0</formula>
    </cfRule>
  </conditionalFormatting>
  <conditionalFormatting sqref="H30:H46">
    <cfRule type="expression" dxfId="2212" priority="27">
      <formula>H30&gt;0</formula>
    </cfRule>
    <cfRule type="expression" dxfId="2211" priority="28">
      <formula>H30&lt;0</formula>
    </cfRule>
  </conditionalFormatting>
  <conditionalFormatting sqref="Q10">
    <cfRule type="expression" dxfId="2210" priority="25">
      <formula>Q10&gt;0</formula>
    </cfRule>
    <cfRule type="expression" dxfId="2209" priority="26">
      <formula>Q10&lt;0</formula>
    </cfRule>
  </conditionalFormatting>
  <conditionalFormatting sqref="J25:J38">
    <cfRule type="expression" dxfId="2208" priority="23">
      <formula>J25&gt;0</formula>
    </cfRule>
    <cfRule type="expression" dxfId="2207" priority="24">
      <formula>J25&lt;0</formula>
    </cfRule>
  </conditionalFormatting>
  <conditionalFormatting sqref="K25:K38">
    <cfRule type="expression" dxfId="2206" priority="21">
      <formula>K25&gt;0</formula>
    </cfRule>
    <cfRule type="expression" dxfId="2205" priority="22">
      <formula>K25&lt;0</formula>
    </cfRule>
  </conditionalFormatting>
  <conditionalFormatting sqref="L25 L38">
    <cfRule type="expression" dxfId="2204" priority="19">
      <formula>L25&gt;0</formula>
    </cfRule>
    <cfRule type="expression" dxfId="2203" priority="20">
      <formula>L25&lt;0</formula>
    </cfRule>
  </conditionalFormatting>
  <conditionalFormatting sqref="F89:F110">
    <cfRule type="expression" dxfId="2202" priority="17">
      <formula>F89&gt;0</formula>
    </cfRule>
    <cfRule type="expression" dxfId="2201" priority="18">
      <formula>F89&lt;0</formula>
    </cfRule>
  </conditionalFormatting>
  <conditionalFormatting sqref="H89:H110">
    <cfRule type="expression" dxfId="2200" priority="15">
      <formula>H89&gt;0</formula>
    </cfRule>
    <cfRule type="expression" dxfId="2199" priority="16">
      <formula>H89&lt;0</formula>
    </cfRule>
  </conditionalFormatting>
  <conditionalFormatting sqref="J89:J102">
    <cfRule type="expression" dxfId="2198" priority="13">
      <formula>J89&gt;0</formula>
    </cfRule>
    <cfRule type="expression" dxfId="2197" priority="14">
      <formula>J89&lt;0</formula>
    </cfRule>
  </conditionalFormatting>
  <conditionalFormatting sqref="K89:K102">
    <cfRule type="expression" dxfId="2196" priority="11">
      <formula>K89&gt;0</formula>
    </cfRule>
    <cfRule type="expression" dxfId="2195" priority="12">
      <formula>K89&lt;0</formula>
    </cfRule>
  </conditionalFormatting>
  <conditionalFormatting sqref="L89:L102">
    <cfRule type="expression" dxfId="2194" priority="9">
      <formula>L89&gt;0</formula>
    </cfRule>
    <cfRule type="expression" dxfId="2193" priority="10">
      <formula>L89&lt;0</formula>
    </cfRule>
  </conditionalFormatting>
  <conditionalFormatting sqref="F25 F29">
    <cfRule type="expression" dxfId="2192" priority="7">
      <formula>F25&gt;0</formula>
    </cfRule>
    <cfRule type="expression" dxfId="2191" priority="8">
      <formula>F25&lt;0</formula>
    </cfRule>
  </conditionalFormatting>
  <conditionalFormatting sqref="H29 H25:H27">
    <cfRule type="expression" dxfId="2190" priority="5">
      <formula>H25&gt;0</formula>
    </cfRule>
    <cfRule type="expression" dxfId="2189" priority="6">
      <formula>H25&lt;0</formula>
    </cfRule>
  </conditionalFormatting>
  <conditionalFormatting sqref="F26:F28">
    <cfRule type="expression" dxfId="2188" priority="3">
      <formula>F26&gt;0</formula>
    </cfRule>
    <cfRule type="expression" dxfId="2187" priority="4">
      <formula>F26&lt;0</formula>
    </cfRule>
  </conditionalFormatting>
  <conditionalFormatting sqref="H28">
    <cfRule type="expression" dxfId="2186" priority="1">
      <formula>H28&gt;0</formula>
    </cfRule>
    <cfRule type="expression" dxfId="2185"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08"/>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33"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44" t="s">
        <v>70</v>
      </c>
    </row>
    <row r="2" spans="1:39" x14ac:dyDescent="0.25">
      <c r="A2" s="6" t="s">
        <v>193</v>
      </c>
      <c r="B2" s="406">
        <v>42718</v>
      </c>
      <c r="C2" s="7">
        <v>200</v>
      </c>
      <c r="D2" s="77">
        <v>34.78</v>
      </c>
      <c r="E2" s="43">
        <v>0</v>
      </c>
      <c r="F2" s="43">
        <f t="shared" ref="F2:F37" si="0">D2*C2+E2</f>
        <v>6956</v>
      </c>
      <c r="G2" s="406">
        <v>42782</v>
      </c>
      <c r="H2" s="7">
        <v>200</v>
      </c>
      <c r="I2" s="43">
        <v>34.200000000000003</v>
      </c>
      <c r="J2" s="43">
        <v>0.15</v>
      </c>
      <c r="K2" s="43">
        <f t="shared" ref="K2:K41" si="1">I2*H2-J2</f>
        <v>6839.8500000000013</v>
      </c>
      <c r="L2" s="72">
        <v>42795</v>
      </c>
      <c r="M2" s="43">
        <v>72</v>
      </c>
      <c r="N2" s="4"/>
      <c r="O2" s="11" t="s">
        <v>57</v>
      </c>
      <c r="Q2" s="4">
        <f>C59-H59</f>
        <v>0</v>
      </c>
      <c r="T2" s="745" t="s">
        <v>339</v>
      </c>
      <c r="W2" s="134"/>
      <c r="X2" s="660"/>
      <c r="Y2"/>
      <c r="AA2" s="2"/>
      <c r="AD2" s="2"/>
      <c r="AG2" s="2"/>
      <c r="AI2" s="2"/>
      <c r="AM2" s="2"/>
    </row>
    <row r="3" spans="1:39" x14ac:dyDescent="0.25">
      <c r="A3" s="22" t="s">
        <v>71</v>
      </c>
      <c r="B3" s="406">
        <v>42738</v>
      </c>
      <c r="C3" s="7">
        <v>100</v>
      </c>
      <c r="D3" s="77">
        <v>33.78</v>
      </c>
      <c r="E3" s="43">
        <v>0</v>
      </c>
      <c r="F3" s="43">
        <f t="shared" si="0"/>
        <v>3378</v>
      </c>
      <c r="G3" s="368">
        <v>42809</v>
      </c>
      <c r="H3" s="7">
        <v>200</v>
      </c>
      <c r="I3" s="43">
        <v>29.02</v>
      </c>
      <c r="J3" s="43">
        <v>0.13</v>
      </c>
      <c r="K3" s="43">
        <f t="shared" si="1"/>
        <v>5803.87</v>
      </c>
      <c r="L3" s="72">
        <v>42846</v>
      </c>
      <c r="M3" s="43">
        <v>3.9</v>
      </c>
      <c r="N3" s="4"/>
      <c r="O3" s="11" t="s">
        <v>58</v>
      </c>
      <c r="Q3" s="396">
        <f>IF(Q2=0, Q4, (F59-K59-M59)/Q2)</f>
        <v>28.26</v>
      </c>
      <c r="T3" s="733" t="s">
        <v>450</v>
      </c>
      <c r="W3" s="134"/>
      <c r="Y3"/>
      <c r="AA3" s="2"/>
      <c r="AD3" s="2"/>
      <c r="AG3" s="2"/>
      <c r="AI3" s="2"/>
    </row>
    <row r="4" spans="1:39" x14ac:dyDescent="0.25">
      <c r="B4" s="406">
        <v>42754</v>
      </c>
      <c r="C4" s="7">
        <v>100</v>
      </c>
      <c r="D4" s="77">
        <v>34.270000000000003</v>
      </c>
      <c r="E4" s="43">
        <v>0</v>
      </c>
      <c r="F4" s="43">
        <f t="shared" si="0"/>
        <v>3427.0000000000005</v>
      </c>
      <c r="G4" s="368">
        <v>42944</v>
      </c>
      <c r="H4" s="80">
        <v>100</v>
      </c>
      <c r="I4" s="43">
        <v>24.27</v>
      </c>
      <c r="J4" s="43">
        <v>0.06</v>
      </c>
      <c r="K4" s="43">
        <f t="shared" si="1"/>
        <v>2426.94</v>
      </c>
      <c r="L4" s="72">
        <v>42888</v>
      </c>
      <c r="M4" s="43">
        <v>180</v>
      </c>
      <c r="N4" s="4"/>
      <c r="O4" s="11" t="s">
        <v>66</v>
      </c>
      <c r="Q4" s="398">
        <v>28.26</v>
      </c>
      <c r="R4" s="179">
        <v>-3.3E-3</v>
      </c>
      <c r="T4" s="34" t="s">
        <v>648</v>
      </c>
      <c r="U4" s="22" t="s">
        <v>647</v>
      </c>
      <c r="Y4"/>
      <c r="AA4" s="2"/>
      <c r="AD4" s="2"/>
      <c r="AG4" s="2"/>
      <c r="AI4" s="2"/>
    </row>
    <row r="5" spans="1:39" x14ac:dyDescent="0.25">
      <c r="B5" s="406">
        <v>42762</v>
      </c>
      <c r="C5" s="7">
        <v>100</v>
      </c>
      <c r="D5" s="77">
        <v>33.1</v>
      </c>
      <c r="E5" s="43">
        <v>0</v>
      </c>
      <c r="F5" s="43">
        <f t="shared" si="0"/>
        <v>3310</v>
      </c>
      <c r="G5" s="368">
        <v>42986</v>
      </c>
      <c r="H5" s="80">
        <v>1000</v>
      </c>
      <c r="I5" s="43">
        <v>21.13</v>
      </c>
      <c r="J5" s="43">
        <v>2.4900000000000002</v>
      </c>
      <c r="K5" s="43">
        <f t="shared" si="1"/>
        <v>21127.51</v>
      </c>
      <c r="L5" s="72">
        <v>42979</v>
      </c>
      <c r="M5" s="43">
        <v>237.5</v>
      </c>
      <c r="N5" s="4"/>
      <c r="O5" s="11" t="s">
        <v>67</v>
      </c>
      <c r="Q5" s="3">
        <f>Q4*Q2</f>
        <v>0</v>
      </c>
      <c r="W5" s="134"/>
      <c r="Y5"/>
      <c r="AA5" s="2"/>
      <c r="AD5" s="2"/>
      <c r="AG5" s="2"/>
      <c r="AI5" s="2"/>
    </row>
    <row r="6" spans="1:39" x14ac:dyDescent="0.25">
      <c r="B6" s="406">
        <v>42773</v>
      </c>
      <c r="C6" s="7">
        <v>100</v>
      </c>
      <c r="D6" s="77">
        <v>33.08</v>
      </c>
      <c r="E6" s="43">
        <v>0</v>
      </c>
      <c r="F6" s="43">
        <f t="shared" si="0"/>
        <v>3308</v>
      </c>
      <c r="G6" s="368">
        <v>43011</v>
      </c>
      <c r="H6" s="80">
        <v>200</v>
      </c>
      <c r="I6" s="43">
        <v>20.6</v>
      </c>
      <c r="J6" s="43">
        <v>0.1</v>
      </c>
      <c r="K6" s="43">
        <f t="shared" si="1"/>
        <v>4119.8999999999996</v>
      </c>
      <c r="L6" s="1">
        <v>43070</v>
      </c>
      <c r="M6" s="43">
        <v>250</v>
      </c>
      <c r="O6" s="11" t="s">
        <v>64</v>
      </c>
      <c r="Q6" s="2">
        <f>Q3*Q2</f>
        <v>0</v>
      </c>
      <c r="T6" s="733" t="s">
        <v>988</v>
      </c>
      <c r="U6" t="s">
        <v>990</v>
      </c>
      <c r="W6" s="134"/>
      <c r="Y6"/>
      <c r="AA6" s="2"/>
      <c r="AD6" s="2"/>
      <c r="AG6" s="2"/>
      <c r="AI6" s="2"/>
    </row>
    <row r="7" spans="1:39" x14ac:dyDescent="0.25">
      <c r="B7" s="406">
        <v>42788</v>
      </c>
      <c r="C7" s="7">
        <v>200</v>
      </c>
      <c r="D7" s="77">
        <v>33.08</v>
      </c>
      <c r="E7" s="43">
        <v>0</v>
      </c>
      <c r="F7" s="43">
        <f t="shared" si="0"/>
        <v>6616</v>
      </c>
      <c r="G7" s="368">
        <v>43056</v>
      </c>
      <c r="H7" s="80">
        <v>200</v>
      </c>
      <c r="I7" s="43">
        <v>22.58</v>
      </c>
      <c r="J7" s="43">
        <v>0.1</v>
      </c>
      <c r="K7" s="43">
        <f t="shared" si="1"/>
        <v>4515.8999999999996</v>
      </c>
      <c r="L7" s="1">
        <v>43160</v>
      </c>
      <c r="M7" s="43">
        <v>225</v>
      </c>
      <c r="O7" s="11" t="s">
        <v>177</v>
      </c>
      <c r="Q7" s="2">
        <f>Q10+Q8</f>
        <v>7073.2700000000987</v>
      </c>
      <c r="R7">
        <v>0</v>
      </c>
      <c r="T7" s="733" t="s">
        <v>1112</v>
      </c>
      <c r="U7" t="s">
        <v>1113</v>
      </c>
      <c r="W7" s="134"/>
      <c r="Y7"/>
      <c r="AA7" s="2"/>
      <c r="AD7" s="2"/>
      <c r="AG7" s="2"/>
      <c r="AI7" s="2"/>
    </row>
    <row r="8" spans="1:39" x14ac:dyDescent="0.25">
      <c r="B8" s="406">
        <v>42793</v>
      </c>
      <c r="C8" s="7">
        <v>200</v>
      </c>
      <c r="D8" s="77">
        <v>32.18</v>
      </c>
      <c r="E8" s="43">
        <v>0</v>
      </c>
      <c r="F8" s="43">
        <f t="shared" si="0"/>
        <v>6436</v>
      </c>
      <c r="G8" s="406">
        <v>43069</v>
      </c>
      <c r="H8" s="80">
        <v>100</v>
      </c>
      <c r="I8" s="43">
        <v>26.44</v>
      </c>
      <c r="J8" s="43">
        <v>0.06</v>
      </c>
      <c r="K8" s="43">
        <f t="shared" si="1"/>
        <v>2643.94</v>
      </c>
      <c r="L8" s="1">
        <v>43252</v>
      </c>
      <c r="M8" s="43">
        <v>250</v>
      </c>
      <c r="O8" s="11" t="s">
        <v>179</v>
      </c>
      <c r="P8" s="33"/>
      <c r="Q8" s="2">
        <f>K59+M59-F59+Q2*Q4</f>
        <v>5325.3000000001048</v>
      </c>
      <c r="T8" s="733" t="s">
        <v>1233</v>
      </c>
      <c r="U8" t="s">
        <v>1246</v>
      </c>
      <c r="W8" s="134"/>
      <c r="Y8"/>
      <c r="AA8" s="2"/>
      <c r="AD8" s="2"/>
      <c r="AG8" s="2"/>
      <c r="AI8" s="2"/>
    </row>
    <row r="9" spans="1:39" x14ac:dyDescent="0.25">
      <c r="B9" s="406">
        <v>42796</v>
      </c>
      <c r="C9" s="7">
        <v>200</v>
      </c>
      <c r="D9" s="77">
        <v>31.08</v>
      </c>
      <c r="E9" s="43">
        <v>0</v>
      </c>
      <c r="F9" s="43">
        <f t="shared" si="0"/>
        <v>6216</v>
      </c>
      <c r="G9" s="406">
        <v>43069</v>
      </c>
      <c r="H9" s="80">
        <v>100</v>
      </c>
      <c r="I9" s="43">
        <v>27.08</v>
      </c>
      <c r="J9" s="43">
        <v>0.06</v>
      </c>
      <c r="K9" s="43">
        <f t="shared" si="1"/>
        <v>2707.94</v>
      </c>
      <c r="L9" s="1">
        <v>43347</v>
      </c>
      <c r="M9" s="43">
        <v>42</v>
      </c>
      <c r="O9" s="11" t="s">
        <v>204</v>
      </c>
      <c r="Q9" s="179">
        <f>IF(Q2=0, 0, Q8/Q6)</f>
        <v>0</v>
      </c>
      <c r="T9" s="733" t="s">
        <v>506</v>
      </c>
      <c r="W9" s="134"/>
      <c r="Y9"/>
      <c r="AA9" s="2"/>
      <c r="AD9" s="2"/>
      <c r="AG9" s="2"/>
      <c r="AI9" s="2"/>
    </row>
    <row r="10" spans="1:39" x14ac:dyDescent="0.25">
      <c r="B10" s="406">
        <v>42796</v>
      </c>
      <c r="C10" s="7">
        <v>200</v>
      </c>
      <c r="D10" s="77">
        <v>30.58</v>
      </c>
      <c r="E10" s="43">
        <v>0</v>
      </c>
      <c r="F10" s="43">
        <f t="shared" si="0"/>
        <v>6116</v>
      </c>
      <c r="G10" s="406">
        <v>43087</v>
      </c>
      <c r="H10" s="80">
        <v>100</v>
      </c>
      <c r="I10" s="43">
        <v>27.05</v>
      </c>
      <c r="J10" s="43">
        <v>0.06</v>
      </c>
      <c r="K10" s="43">
        <f t="shared" si="1"/>
        <v>2704.94</v>
      </c>
      <c r="O10" s="11" t="s">
        <v>203</v>
      </c>
      <c r="P10" s="33"/>
      <c r="Q10" s="2">
        <f>M277</f>
        <v>1747.9699999999939</v>
      </c>
      <c r="W10" s="134"/>
      <c r="Y10"/>
      <c r="AA10" s="2"/>
      <c r="AD10" s="2"/>
      <c r="AG10" s="2"/>
      <c r="AI10" s="2"/>
    </row>
    <row r="11" spans="1:39" x14ac:dyDescent="0.25">
      <c r="B11" s="406">
        <v>42796</v>
      </c>
      <c r="C11" s="7">
        <v>200</v>
      </c>
      <c r="D11" s="77">
        <v>30.38</v>
      </c>
      <c r="E11" s="43">
        <v>0</v>
      </c>
      <c r="F11" s="43">
        <f t="shared" si="0"/>
        <v>6076</v>
      </c>
      <c r="G11" s="406">
        <v>43089</v>
      </c>
      <c r="H11" s="80">
        <v>100</v>
      </c>
      <c r="I11" s="43">
        <v>27.32</v>
      </c>
      <c r="J11" s="43">
        <v>-0.12</v>
      </c>
      <c r="K11" s="43">
        <f t="shared" si="1"/>
        <v>2732.12</v>
      </c>
      <c r="O11" s="11" t="s">
        <v>175</v>
      </c>
      <c r="P11" s="33"/>
      <c r="Q11" s="134">
        <f>R11*4/Q4</f>
        <v>1.9815994338287332E-2</v>
      </c>
      <c r="R11">
        <v>0.14000000000000001</v>
      </c>
      <c r="T11" s="733">
        <v>43095</v>
      </c>
      <c r="U11" t="s">
        <v>759</v>
      </c>
      <c r="W11" s="134"/>
      <c r="Y11"/>
      <c r="AA11" s="2"/>
      <c r="AD11" s="2"/>
      <c r="AG11" s="2"/>
      <c r="AI11" s="2"/>
    </row>
    <row r="12" spans="1:39" x14ac:dyDescent="0.25">
      <c r="B12" s="406">
        <v>42797</v>
      </c>
      <c r="C12" s="7">
        <v>100</v>
      </c>
      <c r="D12" s="77">
        <v>30.055</v>
      </c>
      <c r="E12" s="43">
        <v>0</v>
      </c>
      <c r="F12" s="43">
        <f t="shared" si="0"/>
        <v>3005.5</v>
      </c>
      <c r="G12" s="406">
        <v>43091</v>
      </c>
      <c r="H12" s="80">
        <v>100</v>
      </c>
      <c r="I12" s="43">
        <v>28.2</v>
      </c>
      <c r="J12" s="43">
        <v>7.0000000000000007E-2</v>
      </c>
      <c r="K12" s="43">
        <f t="shared" si="1"/>
        <v>2819.93</v>
      </c>
      <c r="O12" s="11" t="s">
        <v>921</v>
      </c>
      <c r="Q12" s="29" t="s">
        <v>1285</v>
      </c>
      <c r="U12" t="s">
        <v>765</v>
      </c>
      <c r="W12" s="134"/>
      <c r="Y12"/>
      <c r="AA12" s="2"/>
      <c r="AD12" s="2"/>
      <c r="AG12" s="2"/>
      <c r="AI12" s="2"/>
    </row>
    <row r="13" spans="1:39" x14ac:dyDescent="0.25">
      <c r="B13" s="406">
        <v>42808</v>
      </c>
      <c r="C13" s="7">
        <v>200</v>
      </c>
      <c r="D13" s="77">
        <v>28.32</v>
      </c>
      <c r="E13" s="43">
        <v>0</v>
      </c>
      <c r="F13" s="43">
        <f t="shared" si="0"/>
        <v>5664</v>
      </c>
      <c r="G13" s="406">
        <v>43102</v>
      </c>
      <c r="H13" s="80">
        <v>100</v>
      </c>
      <c r="I13" s="43">
        <v>28.08</v>
      </c>
      <c r="J13" s="43">
        <v>0.06</v>
      </c>
      <c r="K13" s="43">
        <f t="shared" si="1"/>
        <v>2807.94</v>
      </c>
      <c r="O13" s="11" t="s">
        <v>989</v>
      </c>
      <c r="Q13" s="2">
        <f>Q4/(2+2.15)*2</f>
        <v>13.619277108433735</v>
      </c>
      <c r="W13" s="134"/>
      <c r="Y13"/>
      <c r="AA13" s="2"/>
      <c r="AD13" s="2"/>
      <c r="AG13" s="2"/>
      <c r="AI13" s="2"/>
    </row>
    <row r="14" spans="1:39" x14ac:dyDescent="0.25">
      <c r="B14" s="406">
        <v>42901</v>
      </c>
      <c r="C14" s="7">
        <v>100</v>
      </c>
      <c r="D14" s="77">
        <v>26.98</v>
      </c>
      <c r="E14" s="43">
        <v>0</v>
      </c>
      <c r="F14" s="43">
        <f t="shared" si="0"/>
        <v>2698</v>
      </c>
      <c r="G14" s="406">
        <v>43105</v>
      </c>
      <c r="H14" s="80">
        <v>400</v>
      </c>
      <c r="I14" s="43">
        <v>27.42</v>
      </c>
      <c r="J14" s="43">
        <v>0.25</v>
      </c>
      <c r="K14" s="43">
        <f t="shared" si="1"/>
        <v>10967.75</v>
      </c>
      <c r="O14" s="11" t="s">
        <v>1012</v>
      </c>
      <c r="Q14" s="29">
        <v>43358</v>
      </c>
      <c r="T14" s="733">
        <v>43102</v>
      </c>
      <c r="U14" t="s">
        <v>822</v>
      </c>
      <c r="W14" s="134"/>
      <c r="Y14"/>
      <c r="AA14" s="2"/>
      <c r="AD14" s="2"/>
      <c r="AG14" s="2"/>
      <c r="AI14" s="2"/>
    </row>
    <row r="15" spans="1:39" x14ac:dyDescent="0.25">
      <c r="B15" s="406">
        <v>42901</v>
      </c>
      <c r="C15" s="7">
        <v>200</v>
      </c>
      <c r="D15" s="77">
        <v>24.38</v>
      </c>
      <c r="E15" s="43">
        <v>0</v>
      </c>
      <c r="F15" s="43">
        <f t="shared" si="0"/>
        <v>4876</v>
      </c>
      <c r="G15" s="406">
        <v>43112</v>
      </c>
      <c r="H15" s="80">
        <v>100</v>
      </c>
      <c r="I15" s="43">
        <v>28.6</v>
      </c>
      <c r="J15" s="43">
        <v>7.0000000000000007E-2</v>
      </c>
      <c r="K15" s="43">
        <f t="shared" si="1"/>
        <v>2859.93</v>
      </c>
      <c r="U15" t="s">
        <v>810</v>
      </c>
      <c r="W15" s="134"/>
      <c r="Y15"/>
      <c r="AA15" s="2"/>
      <c r="AD15" s="2"/>
      <c r="AG15" s="2"/>
      <c r="AI15" s="2"/>
    </row>
    <row r="16" spans="1:39" x14ac:dyDescent="0.25">
      <c r="B16" s="406">
        <v>42904</v>
      </c>
      <c r="C16" s="7">
        <v>200</v>
      </c>
      <c r="D16" s="77">
        <v>21.6</v>
      </c>
      <c r="E16" s="43">
        <v>0</v>
      </c>
      <c r="F16" s="43">
        <f t="shared" si="0"/>
        <v>4320</v>
      </c>
      <c r="G16" s="406">
        <v>43119</v>
      </c>
      <c r="H16" s="80">
        <v>300</v>
      </c>
      <c r="I16" s="43">
        <v>29.8</v>
      </c>
      <c r="J16" s="43">
        <v>0.21</v>
      </c>
      <c r="K16" s="43">
        <f t="shared" si="1"/>
        <v>8939.7900000000009</v>
      </c>
      <c r="O16" s="609"/>
      <c r="W16" s="134"/>
      <c r="Y16"/>
      <c r="AA16" s="2"/>
      <c r="AD16" s="2"/>
      <c r="AG16" s="2"/>
      <c r="AI16" s="2"/>
    </row>
    <row r="17" spans="2:39" x14ac:dyDescent="0.25">
      <c r="B17" s="406">
        <v>42962</v>
      </c>
      <c r="C17" s="7">
        <v>100</v>
      </c>
      <c r="D17" s="77">
        <v>23.27</v>
      </c>
      <c r="E17" s="43">
        <v>-0.26</v>
      </c>
      <c r="F17" s="43">
        <f t="shared" si="0"/>
        <v>2326.7399999999998</v>
      </c>
      <c r="G17" s="406">
        <v>43125</v>
      </c>
      <c r="H17" s="80">
        <v>300</v>
      </c>
      <c r="I17" s="43">
        <v>30.5</v>
      </c>
      <c r="J17" s="43">
        <v>0.21</v>
      </c>
      <c r="K17" s="43">
        <f t="shared" si="1"/>
        <v>9149.7900000000009</v>
      </c>
      <c r="O17" s="609"/>
      <c r="T17" s="733">
        <v>43104</v>
      </c>
      <c r="U17" t="s">
        <v>820</v>
      </c>
      <c r="W17" s="134"/>
      <c r="Y17"/>
      <c r="AA17" s="2"/>
      <c r="AD17" s="2"/>
      <c r="AG17" s="2"/>
      <c r="AI17" s="2"/>
      <c r="AM17" s="2"/>
    </row>
    <row r="18" spans="2:39" x14ac:dyDescent="0.25">
      <c r="B18" s="406">
        <v>42986</v>
      </c>
      <c r="C18" s="7">
        <v>100</v>
      </c>
      <c r="D18" s="77">
        <v>21.62</v>
      </c>
      <c r="E18" s="43">
        <v>0</v>
      </c>
      <c r="F18" s="43">
        <f t="shared" si="0"/>
        <v>2162</v>
      </c>
      <c r="G18" s="406">
        <v>43126</v>
      </c>
      <c r="H18" s="80">
        <v>200</v>
      </c>
      <c r="I18" s="43">
        <v>30.8</v>
      </c>
      <c r="J18" s="43">
        <v>0.14000000000000001</v>
      </c>
      <c r="K18" s="43">
        <f t="shared" si="1"/>
        <v>6159.86</v>
      </c>
      <c r="O18" s="609"/>
      <c r="U18" t="s">
        <v>821</v>
      </c>
      <c r="W18" s="134"/>
      <c r="AA18" s="2"/>
      <c r="AD18" s="2"/>
      <c r="AG18" s="2"/>
      <c r="AI18" s="2"/>
    </row>
    <row r="19" spans="2:39" x14ac:dyDescent="0.25">
      <c r="B19" s="406">
        <v>42986</v>
      </c>
      <c r="C19" s="7">
        <v>200</v>
      </c>
      <c r="D19" s="77">
        <v>20.85</v>
      </c>
      <c r="E19" s="43">
        <v>0</v>
      </c>
      <c r="F19" s="43">
        <f t="shared" si="0"/>
        <v>4170</v>
      </c>
      <c r="G19" s="406">
        <v>43182</v>
      </c>
      <c r="H19" s="80">
        <v>1000</v>
      </c>
      <c r="I19" s="43">
        <v>24.22</v>
      </c>
      <c r="J19" s="43">
        <v>0.56000000000000005</v>
      </c>
      <c r="K19" s="43">
        <f t="shared" si="1"/>
        <v>24219.439999999999</v>
      </c>
      <c r="O19" s="609"/>
      <c r="T19" s="733">
        <v>43105</v>
      </c>
      <c r="U19" t="s">
        <v>826</v>
      </c>
      <c r="W19" s="134"/>
      <c r="AA19" s="2"/>
      <c r="AD19" s="2"/>
      <c r="AG19" s="2"/>
      <c r="AI19" s="2"/>
    </row>
    <row r="20" spans="2:39" x14ac:dyDescent="0.25">
      <c r="B20" s="406">
        <v>42986</v>
      </c>
      <c r="C20" s="7">
        <v>700</v>
      </c>
      <c r="D20" s="77">
        <v>20.75</v>
      </c>
      <c r="E20" s="43">
        <v>0</v>
      </c>
      <c r="F20" s="43">
        <f t="shared" si="0"/>
        <v>14525</v>
      </c>
      <c r="G20" s="406">
        <v>43188</v>
      </c>
      <c r="H20" s="80">
        <v>200</v>
      </c>
      <c r="I20" s="43">
        <v>23.91</v>
      </c>
      <c r="J20" s="43">
        <v>0.11</v>
      </c>
      <c r="K20" s="43">
        <f t="shared" si="1"/>
        <v>4781.8900000000003</v>
      </c>
      <c r="O20" s="609"/>
      <c r="W20" s="134"/>
      <c r="AA20" s="2"/>
      <c r="AD20" s="2"/>
      <c r="AG20" s="2"/>
      <c r="AI20" s="2"/>
    </row>
    <row r="21" spans="2:39" x14ac:dyDescent="0.25">
      <c r="B21" s="406">
        <v>42999</v>
      </c>
      <c r="C21" s="7">
        <v>200</v>
      </c>
      <c r="D21" s="77">
        <v>20.25</v>
      </c>
      <c r="E21" s="43">
        <v>0</v>
      </c>
      <c r="F21" s="43">
        <f t="shared" si="0"/>
        <v>4050</v>
      </c>
      <c r="G21" s="406">
        <v>43194</v>
      </c>
      <c r="H21" s="80">
        <v>300</v>
      </c>
      <c r="I21" s="43">
        <v>24.08</v>
      </c>
      <c r="J21" s="43">
        <v>0.17</v>
      </c>
      <c r="K21" s="43">
        <f t="shared" si="1"/>
        <v>7223.829999999999</v>
      </c>
      <c r="T21" s="733">
        <v>43112</v>
      </c>
      <c r="U21" t="s">
        <v>834</v>
      </c>
      <c r="W21" s="134"/>
      <c r="AA21" s="2"/>
      <c r="AD21" s="2"/>
      <c r="AG21" s="2"/>
      <c r="AI21" s="2"/>
    </row>
    <row r="22" spans="2:39" ht="20.25" thickBot="1" x14ac:dyDescent="0.35">
      <c r="B22" s="406">
        <v>43095</v>
      </c>
      <c r="C22" s="7">
        <v>100</v>
      </c>
      <c r="D22" s="77">
        <v>27.61</v>
      </c>
      <c r="E22" s="43">
        <v>0</v>
      </c>
      <c r="F22" s="43">
        <f t="shared" si="0"/>
        <v>2761</v>
      </c>
      <c r="G22" s="406">
        <v>43208</v>
      </c>
      <c r="H22" s="80">
        <v>500</v>
      </c>
      <c r="I22" s="43">
        <v>24.68</v>
      </c>
      <c r="J22" s="43">
        <v>0.28999999999999998</v>
      </c>
      <c r="K22" s="43">
        <f t="shared" si="1"/>
        <v>12339.71</v>
      </c>
      <c r="O22" s="884" t="s">
        <v>78</v>
      </c>
      <c r="P22" s="884"/>
      <c r="U22" t="s">
        <v>835</v>
      </c>
      <c r="W22" s="134"/>
      <c r="AA22" s="2"/>
      <c r="AD22" s="2"/>
      <c r="AG22" s="2"/>
      <c r="AI22" s="2"/>
    </row>
    <row r="23" spans="2:39" ht="15.75" thickTop="1" x14ac:dyDescent="0.25">
      <c r="B23" s="406">
        <v>43104</v>
      </c>
      <c r="C23" s="7">
        <v>200</v>
      </c>
      <c r="D23" s="77">
        <v>27.105</v>
      </c>
      <c r="E23" s="43">
        <v>0</v>
      </c>
      <c r="F23" s="43">
        <f t="shared" si="0"/>
        <v>5421</v>
      </c>
      <c r="G23" s="406">
        <v>43210</v>
      </c>
      <c r="H23" s="80">
        <v>500</v>
      </c>
      <c r="I23" s="43">
        <v>24.88</v>
      </c>
      <c r="J23" s="43">
        <v>0.28999999999999998</v>
      </c>
      <c r="K23" s="43">
        <f t="shared" si="1"/>
        <v>12439.71</v>
      </c>
      <c r="O23" s="81">
        <v>1.1000000000000001</v>
      </c>
      <c r="P23" s="81">
        <f>O23*$Q$4</f>
        <v>31.086000000000006</v>
      </c>
      <c r="Q23" s="2"/>
      <c r="W23" s="134"/>
      <c r="AA23" s="2"/>
      <c r="AD23" s="2"/>
      <c r="AG23" s="2"/>
      <c r="AI23" s="2"/>
    </row>
    <row r="24" spans="2:39" x14ac:dyDescent="0.25">
      <c r="B24" s="406">
        <v>43104</v>
      </c>
      <c r="C24" s="7">
        <v>200</v>
      </c>
      <c r="D24" s="77">
        <v>26.73</v>
      </c>
      <c r="E24" s="43">
        <v>0</v>
      </c>
      <c r="F24" s="43">
        <f t="shared" si="0"/>
        <v>5346</v>
      </c>
      <c r="G24" s="406">
        <v>43213</v>
      </c>
      <c r="H24" s="80">
        <v>300</v>
      </c>
      <c r="I24" s="43">
        <v>24.79</v>
      </c>
      <c r="J24" s="43">
        <v>0.17</v>
      </c>
      <c r="K24" s="43">
        <f t="shared" si="1"/>
        <v>7436.83</v>
      </c>
      <c r="O24" s="81">
        <v>1.0900000000000001</v>
      </c>
      <c r="P24" s="81">
        <f t="shared" ref="P24:P43" si="2">O24*$Q$4</f>
        <v>30.803400000000003</v>
      </c>
      <c r="Q24" s="2"/>
      <c r="T24" s="733">
        <v>43126</v>
      </c>
      <c r="U24" t="s">
        <v>885</v>
      </c>
      <c r="W24" s="134"/>
      <c r="AA24" s="2"/>
      <c r="AD24" s="2"/>
      <c r="AG24" s="2"/>
      <c r="AI24" s="2"/>
    </row>
    <row r="25" spans="2:39" x14ac:dyDescent="0.25">
      <c r="B25" s="406">
        <v>43112</v>
      </c>
      <c r="C25" s="7">
        <v>100</v>
      </c>
      <c r="D25" s="77">
        <v>28.18</v>
      </c>
      <c r="E25" s="43">
        <v>0</v>
      </c>
      <c r="F25" s="43">
        <f t="shared" si="0"/>
        <v>2818</v>
      </c>
      <c r="G25" s="406">
        <v>43214</v>
      </c>
      <c r="H25" s="80">
        <v>500</v>
      </c>
      <c r="I25" s="43">
        <v>25.28</v>
      </c>
      <c r="J25" s="43">
        <v>0.28999999999999998</v>
      </c>
      <c r="K25" s="43">
        <f t="shared" si="1"/>
        <v>12639.71</v>
      </c>
      <c r="O25" s="81">
        <v>1.08</v>
      </c>
      <c r="P25" s="81">
        <f t="shared" si="2"/>
        <v>30.520800000000005</v>
      </c>
      <c r="Q25" s="2"/>
      <c r="U25" t="s">
        <v>886</v>
      </c>
      <c r="W25" s="134"/>
      <c r="AA25" s="2"/>
      <c r="AD25" s="2"/>
      <c r="AG25" s="2"/>
      <c r="AI25" s="2"/>
    </row>
    <row r="26" spans="2:39" x14ac:dyDescent="0.25">
      <c r="B26" s="406">
        <v>43122</v>
      </c>
      <c r="C26" s="7">
        <v>300</v>
      </c>
      <c r="D26" s="77">
        <v>29.28</v>
      </c>
      <c r="E26" s="43">
        <v>0</v>
      </c>
      <c r="F26" s="43">
        <f t="shared" si="0"/>
        <v>8784</v>
      </c>
      <c r="G26" s="406">
        <v>43220</v>
      </c>
      <c r="H26" s="80">
        <v>200</v>
      </c>
      <c r="I26" s="43">
        <v>25.88</v>
      </c>
      <c r="J26" s="43">
        <v>0.12</v>
      </c>
      <c r="K26" s="43">
        <f t="shared" si="1"/>
        <v>5175.88</v>
      </c>
      <c r="O26" s="81">
        <v>1.07</v>
      </c>
      <c r="P26" s="81">
        <f t="shared" si="2"/>
        <v>30.238200000000003</v>
      </c>
      <c r="Q26" s="2"/>
      <c r="W26" s="134"/>
      <c r="AA26" s="2"/>
      <c r="AD26" s="2"/>
      <c r="AG26" s="2"/>
      <c r="AI26" s="2"/>
    </row>
    <row r="27" spans="2:39" x14ac:dyDescent="0.25">
      <c r="B27" s="406">
        <v>43131</v>
      </c>
      <c r="C27" s="7">
        <v>500</v>
      </c>
      <c r="D27" s="43">
        <v>30.25</v>
      </c>
      <c r="E27" s="43">
        <v>0</v>
      </c>
      <c r="F27" s="43">
        <f t="shared" si="0"/>
        <v>15125</v>
      </c>
      <c r="G27" s="406">
        <v>43237</v>
      </c>
      <c r="H27" s="80">
        <v>300</v>
      </c>
      <c r="I27" s="43">
        <v>25.75</v>
      </c>
      <c r="J27" s="43">
        <v>0.18</v>
      </c>
      <c r="K27" s="43">
        <f t="shared" si="1"/>
        <v>7724.82</v>
      </c>
      <c r="O27" s="81">
        <v>1.06</v>
      </c>
      <c r="P27" s="81">
        <f t="shared" si="2"/>
        <v>29.955600000000004</v>
      </c>
      <c r="Q27" s="2"/>
      <c r="T27" s="734">
        <v>43153</v>
      </c>
      <c r="U27" t="s">
        <v>925</v>
      </c>
      <c r="W27" s="134"/>
      <c r="AA27" s="2"/>
      <c r="AD27" s="2"/>
      <c r="AG27" s="2"/>
      <c r="AI27" s="2"/>
    </row>
    <row r="28" spans="2:39" x14ac:dyDescent="0.25">
      <c r="B28" s="406">
        <v>43133</v>
      </c>
      <c r="C28" s="7">
        <v>200</v>
      </c>
      <c r="D28" s="43">
        <v>29.3</v>
      </c>
      <c r="E28" s="43">
        <v>0</v>
      </c>
      <c r="F28" s="43">
        <f t="shared" si="0"/>
        <v>5860</v>
      </c>
      <c r="G28" s="406">
        <v>43259</v>
      </c>
      <c r="H28" s="80">
        <v>200</v>
      </c>
      <c r="I28" s="43">
        <v>25.36</v>
      </c>
      <c r="J28" s="43">
        <v>7.0000000000000007E-2</v>
      </c>
      <c r="K28" s="43">
        <f t="shared" si="1"/>
        <v>5071.93</v>
      </c>
      <c r="O28" s="81">
        <v>1.05</v>
      </c>
      <c r="P28" s="81">
        <f t="shared" si="2"/>
        <v>29.673000000000002</v>
      </c>
      <c r="Q28" s="2"/>
      <c r="T28" s="734"/>
      <c r="W28" s="134"/>
      <c r="AA28" s="2"/>
      <c r="AD28" s="2"/>
      <c r="AG28" s="2"/>
      <c r="AI28" s="2"/>
    </row>
    <row r="29" spans="2:39" x14ac:dyDescent="0.25">
      <c r="B29" s="406">
        <v>43137</v>
      </c>
      <c r="C29" s="7">
        <v>300</v>
      </c>
      <c r="D29" s="43">
        <v>27.5</v>
      </c>
      <c r="E29" s="43">
        <v>0</v>
      </c>
      <c r="F29" s="43">
        <f t="shared" si="0"/>
        <v>8250</v>
      </c>
      <c r="G29" s="406">
        <v>43264</v>
      </c>
      <c r="H29" s="80">
        <v>500</v>
      </c>
      <c r="I29" s="43">
        <v>26.18</v>
      </c>
      <c r="J29" s="43">
        <v>0.17</v>
      </c>
      <c r="K29" s="43">
        <f t="shared" si="1"/>
        <v>13089.83</v>
      </c>
      <c r="O29" s="81">
        <v>1.04</v>
      </c>
      <c r="P29" s="81">
        <f t="shared" si="2"/>
        <v>29.390400000000003</v>
      </c>
      <c r="Q29" s="2"/>
      <c r="T29" s="734">
        <v>43161</v>
      </c>
      <c r="U29" t="s">
        <v>924</v>
      </c>
      <c r="W29" s="134"/>
      <c r="AA29" s="2"/>
      <c r="AD29" s="2"/>
      <c r="AG29" s="2"/>
      <c r="AI29" s="2"/>
    </row>
    <row r="30" spans="2:39" x14ac:dyDescent="0.25">
      <c r="B30" s="406">
        <v>43166</v>
      </c>
      <c r="C30" s="7">
        <v>200</v>
      </c>
      <c r="D30" s="43">
        <v>26.28</v>
      </c>
      <c r="E30" s="43">
        <v>0</v>
      </c>
      <c r="F30" s="43">
        <f t="shared" si="0"/>
        <v>5256</v>
      </c>
      <c r="G30" s="406">
        <v>43269</v>
      </c>
      <c r="H30" s="80">
        <v>220</v>
      </c>
      <c r="I30" s="43">
        <v>26.18</v>
      </c>
      <c r="J30" s="43">
        <v>7.0000000000000007E-2</v>
      </c>
      <c r="K30" s="43">
        <f t="shared" si="1"/>
        <v>5759.5300000000007</v>
      </c>
      <c r="O30" s="81">
        <v>1.03</v>
      </c>
      <c r="P30" s="81">
        <f t="shared" si="2"/>
        <v>29.107800000000001</v>
      </c>
      <c r="Q30" s="2"/>
      <c r="T30" s="734"/>
      <c r="W30" s="134"/>
      <c r="AA30" s="2"/>
      <c r="AD30" s="2"/>
      <c r="AG30" s="2"/>
      <c r="AI30" s="2"/>
    </row>
    <row r="31" spans="2:39" x14ac:dyDescent="0.25">
      <c r="B31" s="406">
        <v>43167</v>
      </c>
      <c r="C31" s="7">
        <v>300</v>
      </c>
      <c r="D31" s="43">
        <v>24.13</v>
      </c>
      <c r="E31" s="43">
        <v>-1.17</v>
      </c>
      <c r="F31" s="43">
        <f t="shared" si="0"/>
        <v>7237.83</v>
      </c>
      <c r="G31" s="406">
        <v>43272</v>
      </c>
      <c r="H31" s="80">
        <v>300</v>
      </c>
      <c r="I31" s="43">
        <v>28.98</v>
      </c>
      <c r="J31" s="43">
        <v>0.11</v>
      </c>
      <c r="K31" s="43">
        <f t="shared" si="1"/>
        <v>8693.89</v>
      </c>
      <c r="O31" s="81">
        <v>1.02</v>
      </c>
      <c r="P31" s="81">
        <f t="shared" si="2"/>
        <v>28.825200000000002</v>
      </c>
      <c r="Q31" s="2"/>
      <c r="T31" s="734">
        <v>43167</v>
      </c>
      <c r="U31" t="s">
        <v>950</v>
      </c>
      <c r="W31" s="134"/>
      <c r="AA31" s="2"/>
      <c r="AD31" s="2"/>
      <c r="AG31" s="2"/>
      <c r="AI31" s="2"/>
    </row>
    <row r="32" spans="2:39" x14ac:dyDescent="0.25">
      <c r="B32" s="406">
        <v>43167</v>
      </c>
      <c r="C32" s="7">
        <v>200</v>
      </c>
      <c r="D32" s="43">
        <v>23.08</v>
      </c>
      <c r="E32" s="43">
        <v>0</v>
      </c>
      <c r="F32" s="43">
        <f t="shared" si="0"/>
        <v>4616</v>
      </c>
      <c r="G32" s="406">
        <v>43273</v>
      </c>
      <c r="H32" s="80">
        <v>500</v>
      </c>
      <c r="I32" s="43">
        <v>29.98</v>
      </c>
      <c r="J32" s="43">
        <v>0.19</v>
      </c>
      <c r="K32" s="43">
        <f t="shared" si="1"/>
        <v>14989.81</v>
      </c>
      <c r="O32" s="81">
        <v>1.01</v>
      </c>
      <c r="P32" s="81">
        <f t="shared" si="2"/>
        <v>28.5426</v>
      </c>
      <c r="Q32" s="2"/>
      <c r="W32" s="134"/>
      <c r="AA32" s="2"/>
      <c r="AD32" s="2"/>
      <c r="AG32" s="2"/>
      <c r="AI32" s="2"/>
      <c r="AM32" s="2"/>
    </row>
    <row r="33" spans="1:39" x14ac:dyDescent="0.25">
      <c r="B33" s="406">
        <v>43167</v>
      </c>
      <c r="C33" s="7">
        <v>500</v>
      </c>
      <c r="D33" s="43">
        <v>22.95</v>
      </c>
      <c r="E33" s="43">
        <v>0</v>
      </c>
      <c r="F33" s="43">
        <f t="shared" si="0"/>
        <v>11475</v>
      </c>
      <c r="G33" s="406">
        <v>43273</v>
      </c>
      <c r="H33" s="80">
        <v>500</v>
      </c>
      <c r="I33" s="43">
        <v>29.19</v>
      </c>
      <c r="J33" s="43">
        <v>0.19</v>
      </c>
      <c r="K33" s="43">
        <f t="shared" si="1"/>
        <v>14594.81</v>
      </c>
      <c r="O33" s="81">
        <v>1</v>
      </c>
      <c r="P33" s="81">
        <f t="shared" si="2"/>
        <v>28.26</v>
      </c>
      <c r="Q33" s="2"/>
      <c r="T33" s="733">
        <v>43196</v>
      </c>
      <c r="U33" t="s">
        <v>943</v>
      </c>
      <c r="W33" s="134"/>
      <c r="AA33" s="2"/>
      <c r="AD33" s="2"/>
      <c r="AG33" s="2"/>
      <c r="AI33" s="2"/>
    </row>
    <row r="34" spans="1:39" x14ac:dyDescent="0.25">
      <c r="B34" s="406">
        <v>43182</v>
      </c>
      <c r="C34" s="7">
        <v>500</v>
      </c>
      <c r="D34" s="43">
        <v>23.5</v>
      </c>
      <c r="E34" s="43">
        <v>0</v>
      </c>
      <c r="F34" s="43">
        <f t="shared" si="0"/>
        <v>11750</v>
      </c>
      <c r="G34" s="406">
        <v>43320</v>
      </c>
      <c r="H34" s="80">
        <v>600</v>
      </c>
      <c r="I34" s="43">
        <v>30.37</v>
      </c>
      <c r="J34" s="43">
        <v>0.24</v>
      </c>
      <c r="K34" s="43">
        <f t="shared" si="1"/>
        <v>18221.759999999998</v>
      </c>
      <c r="O34" s="81">
        <v>0.99</v>
      </c>
      <c r="P34" s="81">
        <f t="shared" si="2"/>
        <v>27.977400000000003</v>
      </c>
      <c r="Q34" s="2"/>
      <c r="U34" t="s">
        <v>965</v>
      </c>
      <c r="W34" s="134"/>
      <c r="AA34" s="2"/>
      <c r="AD34" s="2"/>
      <c r="AG34" s="2"/>
      <c r="AI34" s="2"/>
    </row>
    <row r="35" spans="1:39" x14ac:dyDescent="0.25">
      <c r="B35" s="406">
        <v>43182</v>
      </c>
      <c r="C35" s="7">
        <v>500</v>
      </c>
      <c r="D35" s="43">
        <v>23.28</v>
      </c>
      <c r="E35" s="43">
        <v>0</v>
      </c>
      <c r="F35" s="43">
        <f t="shared" si="0"/>
        <v>11640</v>
      </c>
      <c r="G35" s="406">
        <v>43320</v>
      </c>
      <c r="H35" s="80">
        <v>900</v>
      </c>
      <c r="I35" s="43">
        <v>30.55</v>
      </c>
      <c r="J35" s="43">
        <v>0.36</v>
      </c>
      <c r="K35" s="43">
        <f t="shared" si="1"/>
        <v>27494.639999999999</v>
      </c>
      <c r="O35" s="81">
        <v>0.98</v>
      </c>
      <c r="P35" s="81">
        <f t="shared" si="2"/>
        <v>27.694800000000001</v>
      </c>
      <c r="Q35" s="2"/>
      <c r="T35" s="733">
        <v>43200</v>
      </c>
      <c r="U35" t="s">
        <v>980</v>
      </c>
      <c r="W35" s="134"/>
      <c r="AA35" s="2"/>
      <c r="AD35" s="2"/>
      <c r="AG35" s="2"/>
      <c r="AI35" s="2"/>
    </row>
    <row r="36" spans="1:39" x14ac:dyDescent="0.25">
      <c r="B36" s="406">
        <v>43209</v>
      </c>
      <c r="C36" s="7">
        <v>500</v>
      </c>
      <c r="D36" s="43">
        <v>24.18</v>
      </c>
      <c r="E36" s="43">
        <v>0</v>
      </c>
      <c r="F36" s="43">
        <f t="shared" si="0"/>
        <v>12090</v>
      </c>
      <c r="G36" s="406">
        <v>43360</v>
      </c>
      <c r="H36" s="80">
        <v>100</v>
      </c>
      <c r="I36" s="43">
        <v>28.9</v>
      </c>
      <c r="J36" s="43">
        <v>0.04</v>
      </c>
      <c r="K36" s="43">
        <f t="shared" si="1"/>
        <v>2889.96</v>
      </c>
      <c r="O36" s="81">
        <v>0.97</v>
      </c>
      <c r="P36" s="81">
        <f t="shared" si="2"/>
        <v>27.412200000000002</v>
      </c>
      <c r="T36" s="733">
        <v>43203</v>
      </c>
      <c r="U36" t="s">
        <v>979</v>
      </c>
      <c r="W36" s="134"/>
      <c r="AA36" s="2"/>
      <c r="AD36" s="2"/>
      <c r="AG36" s="2"/>
      <c r="AI36" s="2"/>
    </row>
    <row r="37" spans="1:39" x14ac:dyDescent="0.25">
      <c r="B37" s="406">
        <v>43210</v>
      </c>
      <c r="C37" s="7">
        <v>220</v>
      </c>
      <c r="D37" s="43">
        <v>24.28</v>
      </c>
      <c r="E37" s="43">
        <v>0</v>
      </c>
      <c r="F37" s="43">
        <f t="shared" si="0"/>
        <v>5341.6</v>
      </c>
      <c r="G37" s="406">
        <v>43361</v>
      </c>
      <c r="H37" s="80">
        <v>100</v>
      </c>
      <c r="I37" s="43">
        <v>29.28</v>
      </c>
      <c r="J37" s="43">
        <v>0.04</v>
      </c>
      <c r="K37" s="43">
        <f t="shared" si="1"/>
        <v>2927.96</v>
      </c>
      <c r="O37" s="81">
        <v>0.96</v>
      </c>
      <c r="P37" s="81">
        <f t="shared" si="2"/>
        <v>27.1296</v>
      </c>
      <c r="W37" s="134"/>
      <c r="AA37" s="2"/>
      <c r="AD37" s="2"/>
      <c r="AG37" s="2"/>
      <c r="AI37" s="2"/>
    </row>
    <row r="38" spans="1:39" x14ac:dyDescent="0.25">
      <c r="B38" s="406">
        <v>43210</v>
      </c>
      <c r="C38" s="7">
        <v>80</v>
      </c>
      <c r="D38" s="43">
        <v>24.28</v>
      </c>
      <c r="E38" s="43">
        <v>0</v>
      </c>
      <c r="F38" s="43">
        <f t="shared" ref="F38:F48" si="3">D38*C38+E38</f>
        <v>1942.4</v>
      </c>
      <c r="G38" s="406">
        <v>43364</v>
      </c>
      <c r="H38" s="80">
        <v>100</v>
      </c>
      <c r="I38" s="43">
        <v>29.92</v>
      </c>
      <c r="J38" s="43">
        <v>0.04</v>
      </c>
      <c r="K38" s="43">
        <f t="shared" si="1"/>
        <v>2991.96</v>
      </c>
      <c r="O38" s="81">
        <v>0.95</v>
      </c>
      <c r="P38" s="81">
        <f t="shared" si="2"/>
        <v>26.847000000000001</v>
      </c>
      <c r="T38" s="733">
        <v>43210</v>
      </c>
      <c r="U38" t="s">
        <v>985</v>
      </c>
      <c r="W38" s="134"/>
      <c r="AA38" s="2"/>
      <c r="AD38" s="2"/>
      <c r="AG38" s="2"/>
      <c r="AI38" s="2"/>
    </row>
    <row r="39" spans="1:39" x14ac:dyDescent="0.25">
      <c r="B39" s="406">
        <v>43210</v>
      </c>
      <c r="C39" s="7">
        <v>200</v>
      </c>
      <c r="D39" s="43">
        <v>24.28</v>
      </c>
      <c r="E39" s="43">
        <v>0</v>
      </c>
      <c r="F39" s="43">
        <f t="shared" si="3"/>
        <v>4856</v>
      </c>
      <c r="G39" s="406">
        <v>43402</v>
      </c>
      <c r="H39" s="80">
        <v>300</v>
      </c>
      <c r="I39" s="43">
        <v>28.78</v>
      </c>
      <c r="J39" s="43">
        <v>0.11</v>
      </c>
      <c r="K39" s="43">
        <f t="shared" si="1"/>
        <v>8633.89</v>
      </c>
      <c r="O39" s="81">
        <v>0.94</v>
      </c>
      <c r="P39" s="81">
        <f t="shared" si="2"/>
        <v>26.564399999999999</v>
      </c>
      <c r="U39" t="s">
        <v>986</v>
      </c>
      <c r="W39" s="134"/>
      <c r="AA39" s="2"/>
      <c r="AD39" s="2"/>
      <c r="AG39" s="2"/>
      <c r="AI39" s="2"/>
    </row>
    <row r="40" spans="1:39" x14ac:dyDescent="0.25">
      <c r="B40" s="406">
        <v>43220</v>
      </c>
      <c r="C40" s="7">
        <v>200</v>
      </c>
      <c r="D40" s="43">
        <v>25.4</v>
      </c>
      <c r="E40" s="43">
        <v>0</v>
      </c>
      <c r="F40" s="43">
        <f t="shared" si="3"/>
        <v>5080</v>
      </c>
      <c r="G40" s="762">
        <v>43410</v>
      </c>
      <c r="H40" s="80">
        <v>100</v>
      </c>
      <c r="I40" s="43">
        <v>30.85</v>
      </c>
      <c r="J40" s="43">
        <v>0.04</v>
      </c>
      <c r="K40" s="43">
        <f t="shared" si="1"/>
        <v>3084.96</v>
      </c>
      <c r="O40" s="81">
        <v>0.93</v>
      </c>
      <c r="P40" s="81">
        <f t="shared" si="2"/>
        <v>26.281800000000004</v>
      </c>
      <c r="W40" s="134"/>
      <c r="AA40" s="2"/>
      <c r="AD40" s="2"/>
      <c r="AG40" s="2"/>
      <c r="AI40" s="2"/>
    </row>
    <row r="41" spans="1:39" x14ac:dyDescent="0.25">
      <c r="B41" s="406">
        <v>43221</v>
      </c>
      <c r="C41" s="7">
        <v>300</v>
      </c>
      <c r="D41" s="77">
        <v>24.65</v>
      </c>
      <c r="E41" s="43">
        <v>0</v>
      </c>
      <c r="F41" s="43">
        <f t="shared" si="3"/>
        <v>7395</v>
      </c>
      <c r="G41" s="406">
        <v>43416</v>
      </c>
      <c r="H41" s="80">
        <v>200</v>
      </c>
      <c r="I41" s="43">
        <v>31.98</v>
      </c>
      <c r="J41" s="43">
        <v>0.08</v>
      </c>
      <c r="K41" s="43">
        <f t="shared" si="1"/>
        <v>6395.92</v>
      </c>
      <c r="O41" s="81">
        <v>0.92</v>
      </c>
      <c r="P41" s="81">
        <f t="shared" si="2"/>
        <v>25.999200000000002</v>
      </c>
      <c r="W41" s="134"/>
      <c r="AA41" s="2"/>
      <c r="AD41" s="2"/>
      <c r="AG41" s="2"/>
      <c r="AI41" s="2"/>
    </row>
    <row r="42" spans="1:39" x14ac:dyDescent="0.25">
      <c r="B42" s="406">
        <v>43237</v>
      </c>
      <c r="C42" s="7">
        <v>300</v>
      </c>
      <c r="D42" s="43">
        <v>25.27</v>
      </c>
      <c r="E42" s="43">
        <v>0</v>
      </c>
      <c r="F42" s="43">
        <f t="shared" si="3"/>
        <v>7581</v>
      </c>
      <c r="G42" s="407"/>
      <c r="O42" s="81">
        <v>0.91</v>
      </c>
      <c r="P42" s="81">
        <f t="shared" si="2"/>
        <v>25.716600000000003</v>
      </c>
      <c r="T42" s="733">
        <v>43214</v>
      </c>
      <c r="U42" t="s">
        <v>991</v>
      </c>
      <c r="W42" s="134"/>
      <c r="AA42" s="2"/>
      <c r="AD42" s="2"/>
      <c r="AG42" s="2"/>
      <c r="AI42" s="2"/>
    </row>
    <row r="43" spans="1:39" x14ac:dyDescent="0.25">
      <c r="B43" s="406">
        <v>43243</v>
      </c>
      <c r="C43" s="7">
        <v>200</v>
      </c>
      <c r="D43" s="77">
        <v>24.57</v>
      </c>
      <c r="E43" s="43">
        <v>0</v>
      </c>
      <c r="F43" s="43">
        <f t="shared" si="3"/>
        <v>4914</v>
      </c>
      <c r="G43" s="29"/>
      <c r="O43" s="81">
        <v>0.9</v>
      </c>
      <c r="P43" s="81">
        <f t="shared" si="2"/>
        <v>25.434000000000001</v>
      </c>
      <c r="T43" s="733">
        <v>43221</v>
      </c>
      <c r="U43" t="s">
        <v>1030</v>
      </c>
      <c r="W43" s="134"/>
      <c r="AA43" s="2"/>
      <c r="AD43" s="2"/>
      <c r="AG43" s="2"/>
      <c r="AI43" s="2"/>
    </row>
    <row r="44" spans="1:39" x14ac:dyDescent="0.25">
      <c r="A44" t="s">
        <v>1106</v>
      </c>
      <c r="B44" s="406">
        <v>43266</v>
      </c>
      <c r="C44" s="7">
        <v>20</v>
      </c>
      <c r="D44" s="43">
        <v>25.78</v>
      </c>
      <c r="E44" s="43">
        <v>0</v>
      </c>
      <c r="F44" s="43">
        <f t="shared" si="3"/>
        <v>515.6</v>
      </c>
      <c r="G44" s="29"/>
      <c r="T44" s="734">
        <v>43223</v>
      </c>
      <c r="U44" t="s">
        <v>1028</v>
      </c>
      <c r="W44" s="134"/>
      <c r="AA44" s="2"/>
      <c r="AD44" s="2"/>
      <c r="AG44" s="2"/>
      <c r="AI44" s="2"/>
    </row>
    <row r="45" spans="1:39" x14ac:dyDescent="0.25">
      <c r="B45" s="406">
        <v>43266</v>
      </c>
      <c r="C45" s="7">
        <v>200</v>
      </c>
      <c r="D45" s="43">
        <v>25.78</v>
      </c>
      <c r="E45" s="43">
        <v>0</v>
      </c>
      <c r="F45" s="43">
        <f t="shared" si="3"/>
        <v>5156</v>
      </c>
      <c r="G45" s="29"/>
      <c r="W45" s="134"/>
      <c r="AA45" s="2"/>
      <c r="AD45" s="2"/>
      <c r="AG45" s="2"/>
      <c r="AI45" s="2"/>
    </row>
    <row r="46" spans="1:39" x14ac:dyDescent="0.25">
      <c r="B46" s="406">
        <v>43272</v>
      </c>
      <c r="C46" s="7">
        <v>300</v>
      </c>
      <c r="D46" s="43">
        <v>27.98</v>
      </c>
      <c r="E46" s="43">
        <v>0</v>
      </c>
      <c r="F46" s="43">
        <f t="shared" si="3"/>
        <v>8394</v>
      </c>
      <c r="G46" s="29"/>
      <c r="T46" s="733">
        <v>43224</v>
      </c>
      <c r="U46" s="405" t="s">
        <v>1029</v>
      </c>
      <c r="W46" s="134"/>
      <c r="AA46" s="2"/>
      <c r="AD46" s="2"/>
      <c r="AG46" s="2"/>
      <c r="AI46" s="2"/>
    </row>
    <row r="47" spans="1:39" x14ac:dyDescent="0.25">
      <c r="B47" s="406">
        <v>43273</v>
      </c>
      <c r="C47" s="80">
        <v>1000</v>
      </c>
      <c r="D47" s="43">
        <v>29.06</v>
      </c>
      <c r="E47" s="43">
        <v>0</v>
      </c>
      <c r="F47" s="43">
        <f t="shared" si="3"/>
        <v>29060</v>
      </c>
      <c r="G47" s="29"/>
      <c r="W47" s="134"/>
      <c r="AA47" s="2"/>
      <c r="AD47" s="2"/>
      <c r="AG47" s="2"/>
      <c r="AI47" s="2"/>
      <c r="AM47" s="2"/>
    </row>
    <row r="48" spans="1:39" x14ac:dyDescent="0.25">
      <c r="B48" s="406">
        <v>43321</v>
      </c>
      <c r="C48" s="7">
        <v>200</v>
      </c>
      <c r="D48" s="77">
        <v>29.88</v>
      </c>
      <c r="E48" s="43">
        <v>0</v>
      </c>
      <c r="F48" s="43">
        <f t="shared" si="3"/>
        <v>5976</v>
      </c>
      <c r="G48" s="29"/>
      <c r="T48" s="733">
        <v>43236</v>
      </c>
      <c r="U48" t="s">
        <v>1053</v>
      </c>
      <c r="W48" s="134"/>
      <c r="AA48" s="2"/>
      <c r="AD48" s="2"/>
      <c r="AG48" s="2"/>
      <c r="AI48" s="2"/>
    </row>
    <row r="49" spans="1:39" x14ac:dyDescent="0.25">
      <c r="B49" s="406">
        <v>43321</v>
      </c>
      <c r="C49" s="7">
        <v>100</v>
      </c>
      <c r="D49" s="77">
        <v>29.88</v>
      </c>
      <c r="E49" s="43">
        <v>0</v>
      </c>
      <c r="F49" s="43">
        <f t="shared" ref="F49:F54" si="4">D49*C49+E49</f>
        <v>2988</v>
      </c>
      <c r="G49" s="29"/>
      <c r="T49" s="752">
        <v>43237</v>
      </c>
      <c r="U49" t="s">
        <v>987</v>
      </c>
      <c r="W49" s="134"/>
      <c r="AA49" s="2"/>
      <c r="AD49" s="2"/>
      <c r="AG49" s="2"/>
      <c r="AI49" s="2"/>
    </row>
    <row r="50" spans="1:39" x14ac:dyDescent="0.25">
      <c r="B50" s="406">
        <v>43356</v>
      </c>
      <c r="C50" s="7">
        <v>200</v>
      </c>
      <c r="D50" s="43">
        <v>28.5</v>
      </c>
      <c r="E50" s="43">
        <v>0</v>
      </c>
      <c r="F50" s="43">
        <f t="shared" si="4"/>
        <v>5700</v>
      </c>
      <c r="G50" s="29"/>
      <c r="U50" t="s">
        <v>1055</v>
      </c>
      <c r="W50" s="134"/>
      <c r="AA50" s="2"/>
      <c r="AD50" s="2"/>
      <c r="AG50" s="2"/>
      <c r="AI50" s="2"/>
    </row>
    <row r="51" spans="1:39" x14ac:dyDescent="0.25">
      <c r="B51" s="406">
        <v>43357</v>
      </c>
      <c r="C51" s="7">
        <v>100</v>
      </c>
      <c r="D51" s="77">
        <v>27.85</v>
      </c>
      <c r="E51" s="43">
        <v>0</v>
      </c>
      <c r="F51" s="43">
        <f t="shared" si="4"/>
        <v>2785</v>
      </c>
      <c r="G51" s="29"/>
      <c r="U51" t="s">
        <v>1057</v>
      </c>
      <c r="W51" s="134"/>
      <c r="AA51" s="2"/>
      <c r="AD51" s="2"/>
      <c r="AG51" s="2"/>
      <c r="AI51" s="2"/>
    </row>
    <row r="52" spans="1:39" x14ac:dyDescent="0.25">
      <c r="A52" s="889" t="s">
        <v>1283</v>
      </c>
      <c r="B52" s="406">
        <v>43377</v>
      </c>
      <c r="C52" s="7">
        <v>100</v>
      </c>
      <c r="D52" s="77">
        <v>28.88</v>
      </c>
      <c r="E52" s="43">
        <v>0</v>
      </c>
      <c r="F52" s="43">
        <f t="shared" si="4"/>
        <v>2888</v>
      </c>
      <c r="G52" s="29"/>
      <c r="AA52" s="2"/>
      <c r="AD52" s="2"/>
      <c r="AG52" s="2"/>
      <c r="AI52" s="2"/>
    </row>
    <row r="53" spans="1:39" x14ac:dyDescent="0.25">
      <c r="A53" s="889"/>
      <c r="B53" s="406">
        <v>43382</v>
      </c>
      <c r="C53" s="7">
        <v>100</v>
      </c>
      <c r="D53" s="43">
        <v>27.72</v>
      </c>
      <c r="E53" s="43">
        <v>0</v>
      </c>
      <c r="F53" s="43">
        <f t="shared" si="4"/>
        <v>2772</v>
      </c>
      <c r="G53" s="29"/>
      <c r="T53" s="733">
        <v>43243</v>
      </c>
      <c r="U53" t="s">
        <v>1068</v>
      </c>
      <c r="AA53" s="2"/>
      <c r="AD53" s="2"/>
      <c r="AG53" s="2"/>
      <c r="AI53" s="2"/>
    </row>
    <row r="54" spans="1:39" x14ac:dyDescent="0.25">
      <c r="A54" s="889"/>
      <c r="B54" s="406">
        <v>43384</v>
      </c>
      <c r="C54" s="7">
        <v>100</v>
      </c>
      <c r="D54" s="77">
        <v>26.75</v>
      </c>
      <c r="E54" s="43">
        <v>0</v>
      </c>
      <c r="F54" s="43">
        <f t="shared" si="4"/>
        <v>2675</v>
      </c>
      <c r="G54" s="29"/>
      <c r="AA54" s="2"/>
      <c r="AD54" s="2"/>
      <c r="AG54" s="2"/>
      <c r="AI54" s="2"/>
    </row>
    <row r="55" spans="1:39" x14ac:dyDescent="0.25">
      <c r="B55" s="29"/>
      <c r="C55" s="4"/>
      <c r="D55" s="3"/>
      <c r="E55" s="3"/>
      <c r="F55" s="3"/>
      <c r="G55" s="29"/>
      <c r="AA55" s="2"/>
      <c r="AD55" s="2"/>
      <c r="AG55" s="2"/>
      <c r="AI55" s="2"/>
    </row>
    <row r="56" spans="1:39" x14ac:dyDescent="0.25">
      <c r="B56" s="29"/>
      <c r="D56" s="78"/>
      <c r="G56" s="29"/>
      <c r="T56" s="734">
        <v>43272</v>
      </c>
      <c r="U56" t="s">
        <v>82</v>
      </c>
      <c r="AA56" s="2"/>
      <c r="AD56" s="2"/>
      <c r="AG56" s="2"/>
      <c r="AI56" s="2"/>
    </row>
    <row r="57" spans="1:39" x14ac:dyDescent="0.25">
      <c r="B57" s="29"/>
      <c r="C57" s="4"/>
      <c r="D57" s="3"/>
      <c r="E57" s="3"/>
      <c r="F57" s="3"/>
      <c r="G57" s="29"/>
      <c r="U57" t="s">
        <v>1122</v>
      </c>
      <c r="AA57" s="2"/>
      <c r="AD57" s="2"/>
      <c r="AG57" s="2"/>
      <c r="AI57" s="2"/>
    </row>
    <row r="58" spans="1:39" x14ac:dyDescent="0.25">
      <c r="B58" s="29"/>
      <c r="D58" s="78"/>
      <c r="G58" s="29"/>
      <c r="AA58" s="2"/>
      <c r="AD58" s="2"/>
      <c r="AG58" s="2"/>
      <c r="AI58" s="2"/>
    </row>
    <row r="59" spans="1:39" x14ac:dyDescent="0.25">
      <c r="A59" s="31" t="s">
        <v>81</v>
      </c>
      <c r="B59" s="14"/>
      <c r="C59" s="14">
        <f>SUM(C2:C58)</f>
        <v>12220</v>
      </c>
      <c r="D59" s="18"/>
      <c r="E59" s="18"/>
      <c r="F59" s="18">
        <f>SUM(F2:F58)</f>
        <v>324085.67</v>
      </c>
      <c r="G59" s="14"/>
      <c r="H59" s="14">
        <f>SUM(H2:H58)</f>
        <v>12220</v>
      </c>
      <c r="I59" s="18"/>
      <c r="J59" s="18"/>
      <c r="K59" s="18">
        <f>SUM(K2:K58)</f>
        <v>328150.57000000007</v>
      </c>
      <c r="L59" s="14"/>
      <c r="M59" s="18">
        <f>SUM(M2:M58)</f>
        <v>1260.4000000000001</v>
      </c>
      <c r="T59" s="733">
        <v>43273</v>
      </c>
      <c r="U59" t="s">
        <v>1107</v>
      </c>
      <c r="AA59" s="2"/>
      <c r="AD59" s="2"/>
      <c r="AG59" s="2"/>
      <c r="AI59" s="2"/>
    </row>
    <row r="60" spans="1:39" ht="15.75" thickBot="1" x14ac:dyDescent="0.3">
      <c r="A60" s="277" t="s">
        <v>191</v>
      </c>
      <c r="B60" s="278"/>
      <c r="C60" s="279">
        <f>SumByColor($A$60,C2:C58)</f>
        <v>12220</v>
      </c>
      <c r="D60" s="279"/>
      <c r="E60" s="279"/>
      <c r="F60" s="280">
        <f>SumByColor($A$60,F2:F58)</f>
        <v>324086</v>
      </c>
      <c r="G60" s="280"/>
      <c r="H60" s="671">
        <f>SumByColor($A$60,H2:H58)</f>
        <v>12220</v>
      </c>
      <c r="I60" s="279"/>
      <c r="J60" s="279"/>
      <c r="K60" s="280">
        <f>SumByColor($A$60,K2:K58)</f>
        <v>328156</v>
      </c>
      <c r="L60" s="279"/>
      <c r="M60" s="280">
        <f>SumByColor($A$60,M2:M58)</f>
        <v>1261</v>
      </c>
      <c r="AA60" s="2"/>
      <c r="AD60" s="2"/>
      <c r="AG60" s="2"/>
      <c r="AI60" s="2"/>
    </row>
    <row r="61" spans="1:39" x14ac:dyDescent="0.25">
      <c r="T61" s="733">
        <v>43274</v>
      </c>
      <c r="U61" t="s">
        <v>1108</v>
      </c>
      <c r="AA61" s="2"/>
      <c r="AD61" s="2"/>
      <c r="AG61" s="2"/>
      <c r="AI61" s="2"/>
    </row>
    <row r="62" spans="1:39" x14ac:dyDescent="0.25">
      <c r="U62" t="s">
        <v>1109</v>
      </c>
      <c r="AA62" s="2"/>
      <c r="AD62" s="2"/>
      <c r="AG62" s="2"/>
      <c r="AI62" s="2"/>
      <c r="AM62" s="2"/>
    </row>
    <row r="63" spans="1:39" x14ac:dyDescent="0.25">
      <c r="AA63" s="2"/>
      <c r="AD63" s="2"/>
      <c r="AG63" s="2"/>
      <c r="AI63" s="2"/>
    </row>
    <row r="64" spans="1:39" x14ac:dyDescent="0.25">
      <c r="T64" s="733">
        <v>43284</v>
      </c>
      <c r="U64" t="s">
        <v>1119</v>
      </c>
    </row>
    <row r="65" spans="1:21" x14ac:dyDescent="0.25">
      <c r="B65" s="162" t="s">
        <v>113</v>
      </c>
      <c r="C65" s="162" t="s">
        <v>145</v>
      </c>
      <c r="D65" s="163" t="s">
        <v>144</v>
      </c>
      <c r="E65" s="165" t="s">
        <v>146</v>
      </c>
      <c r="F65" s="165" t="s">
        <v>65</v>
      </c>
      <c r="G65" s="177" t="s">
        <v>150</v>
      </c>
      <c r="H65" s="177" t="s">
        <v>88</v>
      </c>
      <c r="I65" s="177" t="s">
        <v>153</v>
      </c>
      <c r="J65" s="177" t="s">
        <v>487</v>
      </c>
      <c r="K65" s="177" t="s">
        <v>149</v>
      </c>
      <c r="L65" s="177" t="s">
        <v>705</v>
      </c>
      <c r="U65" t="s">
        <v>1120</v>
      </c>
    </row>
    <row r="66" spans="1:21" x14ac:dyDescent="0.25">
      <c r="A66" t="s">
        <v>328</v>
      </c>
      <c r="B66" s="164">
        <v>42754</v>
      </c>
      <c r="C66" s="10">
        <v>400</v>
      </c>
      <c r="D66" s="39">
        <v>34.402500000000003</v>
      </c>
      <c r="E66" s="39">
        <v>34.26</v>
      </c>
      <c r="F66" s="39">
        <f t="shared" ref="F66:F72" si="5">C66*(E66-D66)</f>
        <v>-57.00000000000216</v>
      </c>
      <c r="G66" s="39">
        <f t="shared" ref="G66:G72" si="6">D66*C66</f>
        <v>13761.000000000002</v>
      </c>
      <c r="H66" s="179">
        <f t="shared" ref="H66:H72" si="7">(E66-D66)/D66</f>
        <v>-4.1421408327884717E-3</v>
      </c>
      <c r="I66" s="39">
        <v>34</v>
      </c>
      <c r="J66" s="39"/>
      <c r="K66" s="39">
        <f t="shared" ref="K66:K116" si="8">F66+$Q$10</f>
        <v>1690.9699999999916</v>
      </c>
      <c r="L66" s="39"/>
    </row>
    <row r="67" spans="1:21" x14ac:dyDescent="0.25">
      <c r="A67" t="s">
        <v>328</v>
      </c>
      <c r="B67" s="164">
        <v>42760</v>
      </c>
      <c r="C67" s="10">
        <v>400</v>
      </c>
      <c r="D67" s="39">
        <v>34.402500000000003</v>
      </c>
      <c r="E67" s="39">
        <v>33.47</v>
      </c>
      <c r="F67" s="39">
        <f t="shared" si="5"/>
        <v>-373.00000000000182</v>
      </c>
      <c r="G67" s="39">
        <f t="shared" si="6"/>
        <v>13761.000000000002</v>
      </c>
      <c r="H67" s="179">
        <f t="shared" si="7"/>
        <v>-2.7105588256667524E-2</v>
      </c>
      <c r="I67" s="39"/>
      <c r="J67" s="39"/>
      <c r="K67" s="39">
        <f t="shared" si="8"/>
        <v>1374.9699999999921</v>
      </c>
      <c r="L67" s="39"/>
      <c r="T67" s="733">
        <v>43307</v>
      </c>
      <c r="U67" t="s">
        <v>1194</v>
      </c>
    </row>
    <row r="68" spans="1:21" x14ac:dyDescent="0.25">
      <c r="A68" t="s">
        <v>358</v>
      </c>
      <c r="B68" s="164">
        <v>42762</v>
      </c>
      <c r="C68" s="10">
        <v>500</v>
      </c>
      <c r="D68" s="39">
        <v>34.142000000000003</v>
      </c>
      <c r="E68" s="39">
        <v>33.36</v>
      </c>
      <c r="F68" s="39">
        <f t="shared" si="5"/>
        <v>-391.00000000000182</v>
      </c>
      <c r="G68" s="39">
        <f t="shared" si="6"/>
        <v>17071</v>
      </c>
      <c r="H68" s="179">
        <f t="shared" si="7"/>
        <v>-2.2904340694745579E-2</v>
      </c>
      <c r="I68" s="39">
        <v>33.75</v>
      </c>
      <c r="J68" s="39"/>
      <c r="K68" s="39">
        <f t="shared" si="8"/>
        <v>1356.9699999999921</v>
      </c>
      <c r="L68" s="39"/>
    </row>
    <row r="69" spans="1:21" x14ac:dyDescent="0.25">
      <c r="A69" t="s">
        <v>382</v>
      </c>
      <c r="B69" s="164">
        <v>42770</v>
      </c>
      <c r="C69" s="10">
        <v>500</v>
      </c>
      <c r="D69" s="39">
        <v>34.142000000000003</v>
      </c>
      <c r="E69" s="39">
        <v>34.020000000000003</v>
      </c>
      <c r="F69" s="39">
        <f t="shared" si="5"/>
        <v>-60.999999999999943</v>
      </c>
      <c r="G69" s="39">
        <f t="shared" si="6"/>
        <v>17071</v>
      </c>
      <c r="H69" s="179">
        <f t="shared" si="7"/>
        <v>-3.5733114638861192E-3</v>
      </c>
      <c r="I69" s="39"/>
      <c r="J69" s="39"/>
      <c r="K69" s="39">
        <f t="shared" si="8"/>
        <v>1686.9699999999939</v>
      </c>
      <c r="L69" s="39"/>
      <c r="T69" s="733">
        <v>43320</v>
      </c>
      <c r="U69" t="s">
        <v>1217</v>
      </c>
    </row>
    <row r="70" spans="1:21" x14ac:dyDescent="0.25">
      <c r="A70" t="s">
        <v>398</v>
      </c>
      <c r="B70" s="164">
        <v>42773</v>
      </c>
      <c r="C70" s="10">
        <v>600</v>
      </c>
      <c r="D70" s="39">
        <v>33.965000000000003</v>
      </c>
      <c r="E70" s="39">
        <v>33.08</v>
      </c>
      <c r="F70" s="39">
        <f t="shared" si="5"/>
        <v>-531.00000000000307</v>
      </c>
      <c r="G70" s="39">
        <f t="shared" si="6"/>
        <v>20379.000000000004</v>
      </c>
      <c r="H70" s="179">
        <f t="shared" si="7"/>
        <v>-2.6056234358899016E-2</v>
      </c>
      <c r="I70" s="39"/>
      <c r="J70" s="39"/>
      <c r="K70" s="39">
        <f t="shared" si="8"/>
        <v>1216.9699999999907</v>
      </c>
      <c r="L70" s="39"/>
    </row>
    <row r="71" spans="1:21" x14ac:dyDescent="0.25">
      <c r="A71" t="s">
        <v>359</v>
      </c>
      <c r="B71" s="164">
        <v>42778</v>
      </c>
      <c r="C71" s="10">
        <v>600</v>
      </c>
      <c r="D71" s="39">
        <v>33.965000000000003</v>
      </c>
      <c r="E71" s="39">
        <v>33.479999999999997</v>
      </c>
      <c r="F71" s="39">
        <f t="shared" si="5"/>
        <v>-291.00000000000392</v>
      </c>
      <c r="G71" s="39">
        <f t="shared" si="6"/>
        <v>20379.000000000004</v>
      </c>
      <c r="H71" s="179">
        <f t="shared" si="7"/>
        <v>-1.4279405270131208E-2</v>
      </c>
      <c r="I71" s="39"/>
      <c r="J71" s="39"/>
      <c r="K71" s="39">
        <f t="shared" si="8"/>
        <v>1456.96999999999</v>
      </c>
      <c r="L71" s="39"/>
      <c r="T71" s="733">
        <v>43356</v>
      </c>
      <c r="U71" t="s">
        <v>1267</v>
      </c>
    </row>
    <row r="72" spans="1:21" x14ac:dyDescent="0.25">
      <c r="A72" t="s">
        <v>422</v>
      </c>
      <c r="B72" s="164">
        <v>42782</v>
      </c>
      <c r="C72" s="10">
        <v>400</v>
      </c>
      <c r="D72" s="39">
        <v>33.847900000000003</v>
      </c>
      <c r="E72" s="39">
        <v>33.94</v>
      </c>
      <c r="F72" s="39">
        <f t="shared" si="5"/>
        <v>36.839999999997985</v>
      </c>
      <c r="G72" s="39">
        <f t="shared" si="6"/>
        <v>13539.160000000002</v>
      </c>
      <c r="H72" s="179">
        <f t="shared" si="7"/>
        <v>2.7209959849797166E-3</v>
      </c>
      <c r="I72" s="39" t="s">
        <v>430</v>
      </c>
      <c r="J72" s="39"/>
      <c r="K72" s="39">
        <f t="shared" si="8"/>
        <v>1784.8099999999918</v>
      </c>
      <c r="L72" s="39"/>
      <c r="T72" s="734">
        <v>43377</v>
      </c>
      <c r="U72" t="s">
        <v>1152</v>
      </c>
    </row>
    <row r="73" spans="1:21" x14ac:dyDescent="0.25">
      <c r="A73" t="s">
        <v>329</v>
      </c>
      <c r="B73" s="164">
        <v>42788</v>
      </c>
      <c r="C73" s="7">
        <v>600</v>
      </c>
      <c r="D73" s="43">
        <v>33.591920000000002</v>
      </c>
      <c r="E73" s="39">
        <v>33.229999999999997</v>
      </c>
      <c r="F73" s="39">
        <f t="shared" ref="F73:F104" si="9">C73*(E73-D73)</f>
        <v>-217.15200000000294</v>
      </c>
      <c r="G73" s="39">
        <f t="shared" ref="G73:G104" si="10">D73*C73</f>
        <v>20155.152000000002</v>
      </c>
      <c r="H73" s="179">
        <f t="shared" ref="H73:H104" si="11">(E73-D73)/D73</f>
        <v>-1.0774019466586158E-2</v>
      </c>
      <c r="I73" s="39">
        <v>33</v>
      </c>
      <c r="J73" s="39"/>
      <c r="K73" s="39">
        <f t="shared" si="8"/>
        <v>1530.8179999999909</v>
      </c>
      <c r="L73" s="39"/>
    </row>
    <row r="74" spans="1:21" x14ac:dyDescent="0.25">
      <c r="A74" t="s">
        <v>453</v>
      </c>
      <c r="B74" s="164">
        <v>42793</v>
      </c>
      <c r="C74" s="10">
        <v>800</v>
      </c>
      <c r="D74" s="39">
        <v>33.238900000000001</v>
      </c>
      <c r="E74" s="39">
        <v>32.22</v>
      </c>
      <c r="F74" s="39">
        <f t="shared" si="9"/>
        <v>-815.12000000000171</v>
      </c>
      <c r="G74" s="39">
        <f t="shared" si="10"/>
        <v>26591.120000000003</v>
      </c>
      <c r="H74" s="179">
        <f t="shared" si="11"/>
        <v>-3.0653842335336072E-2</v>
      </c>
      <c r="I74" s="39"/>
      <c r="J74" s="39"/>
      <c r="K74" s="39">
        <f t="shared" si="8"/>
        <v>932.84999999999218</v>
      </c>
      <c r="L74" s="39"/>
      <c r="T74" s="752">
        <v>43402</v>
      </c>
      <c r="U74" t="s">
        <v>1286</v>
      </c>
    </row>
    <row r="75" spans="1:21" x14ac:dyDescent="0.25">
      <c r="A75" t="s">
        <v>458</v>
      </c>
      <c r="B75" s="164">
        <v>42796</v>
      </c>
      <c r="C75" s="10">
        <v>1400</v>
      </c>
      <c r="D75" s="39">
        <v>32.090800000000002</v>
      </c>
      <c r="E75" s="39">
        <v>30.67</v>
      </c>
      <c r="F75" s="39">
        <f t="shared" si="9"/>
        <v>-1989.12</v>
      </c>
      <c r="G75" s="39">
        <f t="shared" si="10"/>
        <v>44927.12</v>
      </c>
      <c r="H75" s="179">
        <f t="shared" si="11"/>
        <v>-4.4274371470951167E-2</v>
      </c>
      <c r="I75" s="39"/>
      <c r="J75" s="39"/>
      <c r="K75" s="39">
        <f t="shared" si="8"/>
        <v>-241.150000000006</v>
      </c>
      <c r="L75" s="39"/>
    </row>
    <row r="76" spans="1:21" x14ac:dyDescent="0.25">
      <c r="A76">
        <v>300</v>
      </c>
      <c r="B76" s="164">
        <v>42798</v>
      </c>
      <c r="C76" s="395">
        <v>1500</v>
      </c>
      <c r="D76" s="397">
        <v>31.954999999999998</v>
      </c>
      <c r="E76" s="39">
        <v>29.63</v>
      </c>
      <c r="F76" s="39">
        <f t="shared" si="9"/>
        <v>-3487.4999999999991</v>
      </c>
      <c r="G76" s="39">
        <f t="shared" si="10"/>
        <v>47932.5</v>
      </c>
      <c r="H76" s="179">
        <f t="shared" si="11"/>
        <v>-7.2758566734470329E-2</v>
      </c>
      <c r="I76" s="39"/>
      <c r="J76" s="39"/>
      <c r="K76" s="39">
        <f t="shared" si="8"/>
        <v>-1739.5300000000052</v>
      </c>
      <c r="L76" s="39"/>
    </row>
    <row r="77" spans="1:21" x14ac:dyDescent="0.25">
      <c r="A77">
        <v>400</v>
      </c>
      <c r="B77" s="164">
        <v>42808</v>
      </c>
      <c r="C77" s="10">
        <v>1700</v>
      </c>
      <c r="D77" s="39">
        <v>31.527000000000001</v>
      </c>
      <c r="E77" s="39">
        <v>28.7</v>
      </c>
      <c r="F77" s="39">
        <f t="shared" si="9"/>
        <v>-4805.9000000000033</v>
      </c>
      <c r="G77" s="39">
        <f t="shared" si="10"/>
        <v>53595.9</v>
      </c>
      <c r="H77" s="179">
        <f t="shared" si="11"/>
        <v>-8.9669172455355772E-2</v>
      </c>
      <c r="I77" s="39"/>
      <c r="J77" s="39">
        <v>23.65</v>
      </c>
      <c r="K77" s="39">
        <f t="shared" si="8"/>
        <v>-3057.9300000000094</v>
      </c>
      <c r="L77" s="39"/>
    </row>
    <row r="78" spans="1:21" x14ac:dyDescent="0.25">
      <c r="A78">
        <v>200</v>
      </c>
      <c r="B78" s="164">
        <v>42809</v>
      </c>
      <c r="C78" s="10">
        <v>1500</v>
      </c>
      <c r="D78" s="39">
        <v>31.861999999999998</v>
      </c>
      <c r="E78" s="39">
        <v>28.84</v>
      </c>
      <c r="F78" s="39">
        <f t="shared" si="9"/>
        <v>-4532.9999999999973</v>
      </c>
      <c r="G78" s="39">
        <f t="shared" si="10"/>
        <v>47793</v>
      </c>
      <c r="H78" s="179">
        <f t="shared" si="11"/>
        <v>-9.4846525641830354E-2</v>
      </c>
      <c r="I78" s="39"/>
      <c r="J78" s="39">
        <v>25.81</v>
      </c>
      <c r="K78" s="39">
        <f t="shared" si="8"/>
        <v>-2785.0300000000034</v>
      </c>
      <c r="L78" s="39"/>
    </row>
    <row r="79" spans="1:21" x14ac:dyDescent="0.25">
      <c r="A79">
        <v>400</v>
      </c>
      <c r="B79" s="164">
        <v>42819</v>
      </c>
      <c r="C79" s="10">
        <v>1500</v>
      </c>
      <c r="D79" s="39">
        <v>31.861999999999998</v>
      </c>
      <c r="E79" s="39">
        <v>29.1</v>
      </c>
      <c r="F79" s="39">
        <f t="shared" si="9"/>
        <v>-4142.9999999999955</v>
      </c>
      <c r="G79" s="39">
        <f t="shared" si="10"/>
        <v>47793</v>
      </c>
      <c r="H79" s="179">
        <f t="shared" si="11"/>
        <v>-8.6686334818906446E-2</v>
      </c>
      <c r="I79" s="39"/>
      <c r="J79" s="39"/>
      <c r="K79" s="39">
        <f t="shared" si="8"/>
        <v>-2395.0300000000016</v>
      </c>
      <c r="L79" s="39"/>
    </row>
    <row r="80" spans="1:21" x14ac:dyDescent="0.25">
      <c r="A80">
        <v>1500</v>
      </c>
      <c r="B80" s="164">
        <v>42862</v>
      </c>
      <c r="C80" s="10">
        <v>1500</v>
      </c>
      <c r="D80" s="39">
        <v>31.86</v>
      </c>
      <c r="E80" s="39">
        <v>29.35</v>
      </c>
      <c r="F80" s="39">
        <f t="shared" si="9"/>
        <v>-3764.9999999999968</v>
      </c>
      <c r="G80" s="39">
        <f t="shared" si="10"/>
        <v>47790</v>
      </c>
      <c r="H80" s="179">
        <f t="shared" si="11"/>
        <v>-7.878217200251092E-2</v>
      </c>
      <c r="I80" s="39"/>
      <c r="J80" s="39"/>
      <c r="K80" s="39">
        <f t="shared" si="8"/>
        <v>-2017.0300000000029</v>
      </c>
      <c r="L80" s="39"/>
    </row>
    <row r="81" spans="1:13" x14ac:dyDescent="0.25">
      <c r="A81">
        <v>1500</v>
      </c>
      <c r="B81" s="164">
        <v>42877</v>
      </c>
      <c r="C81" s="10">
        <v>1500</v>
      </c>
      <c r="D81" s="39">
        <v>31.86</v>
      </c>
      <c r="E81" s="39">
        <v>29.23</v>
      </c>
      <c r="F81" s="39">
        <f t="shared" si="9"/>
        <v>-3944.9999999999986</v>
      </c>
      <c r="G81" s="39">
        <f t="shared" si="10"/>
        <v>47790</v>
      </c>
      <c r="H81" s="179">
        <f t="shared" si="11"/>
        <v>-8.2548650345260488E-2</v>
      </c>
      <c r="I81" s="39">
        <v>31</v>
      </c>
      <c r="J81" s="39"/>
      <c r="K81" s="39">
        <f t="shared" si="8"/>
        <v>-2197.0300000000047</v>
      </c>
      <c r="L81" s="39"/>
    </row>
    <row r="82" spans="1:13" x14ac:dyDescent="0.25">
      <c r="A82">
        <v>1500</v>
      </c>
      <c r="B82" s="164">
        <v>42901</v>
      </c>
      <c r="C82" s="10">
        <v>1800</v>
      </c>
      <c r="D82" s="39">
        <v>30.6572</v>
      </c>
      <c r="E82" s="39">
        <v>24.18</v>
      </c>
      <c r="F82" s="39">
        <f t="shared" si="9"/>
        <v>-11658.96</v>
      </c>
      <c r="G82" s="39">
        <f t="shared" si="10"/>
        <v>55182.96</v>
      </c>
      <c r="H82" s="179">
        <f t="shared" si="11"/>
        <v>-0.21127826415980586</v>
      </c>
      <c r="I82" s="39">
        <v>30</v>
      </c>
      <c r="J82" s="39"/>
      <c r="K82" s="39">
        <f t="shared" si="8"/>
        <v>-9910.9900000000052</v>
      </c>
      <c r="L82" s="39"/>
    </row>
    <row r="83" spans="1:13" x14ac:dyDescent="0.25">
      <c r="A83">
        <v>1500</v>
      </c>
      <c r="B83" s="164">
        <v>42904</v>
      </c>
      <c r="C83" s="10">
        <v>2000</v>
      </c>
      <c r="D83" s="39">
        <v>29.751439999999999</v>
      </c>
      <c r="E83" s="39">
        <v>22.29</v>
      </c>
      <c r="F83" s="39">
        <f t="shared" si="9"/>
        <v>-14922.88</v>
      </c>
      <c r="G83" s="39">
        <f t="shared" si="10"/>
        <v>59502.879999999997</v>
      </c>
      <c r="H83" s="179">
        <f t="shared" si="11"/>
        <v>-0.25079256667912547</v>
      </c>
      <c r="I83" s="39"/>
      <c r="J83" s="39"/>
      <c r="K83" s="39">
        <f t="shared" si="8"/>
        <v>-13174.910000000005</v>
      </c>
      <c r="L83" s="39"/>
    </row>
    <row r="84" spans="1:13" x14ac:dyDescent="0.25">
      <c r="B84" s="164">
        <v>42939</v>
      </c>
      <c r="C84" s="10">
        <v>2000</v>
      </c>
      <c r="D84" s="39">
        <v>29.751439999999999</v>
      </c>
      <c r="E84" s="39">
        <v>23.26</v>
      </c>
      <c r="F84" s="39">
        <f t="shared" si="9"/>
        <v>-12982.879999999994</v>
      </c>
      <c r="G84" s="39">
        <f t="shared" si="10"/>
        <v>59502.879999999997</v>
      </c>
      <c r="H84" s="179">
        <f t="shared" si="11"/>
        <v>-0.21818910277956285</v>
      </c>
      <c r="I84" s="39"/>
      <c r="J84" s="39"/>
      <c r="K84" s="39">
        <f t="shared" si="8"/>
        <v>-11234.91</v>
      </c>
      <c r="L84" s="39"/>
    </row>
    <row r="85" spans="1:13" x14ac:dyDescent="0.25">
      <c r="A85">
        <v>1900</v>
      </c>
      <c r="B85" s="164">
        <v>42944</v>
      </c>
      <c r="C85" s="10">
        <v>1900</v>
      </c>
      <c r="D85" s="39">
        <v>30.03997</v>
      </c>
      <c r="E85" s="39">
        <v>24.28</v>
      </c>
      <c r="F85" s="39">
        <f t="shared" si="9"/>
        <v>-10943.942999999997</v>
      </c>
      <c r="G85" s="39">
        <f t="shared" si="10"/>
        <v>57075.942999999999</v>
      </c>
      <c r="H85" s="179">
        <f t="shared" si="11"/>
        <v>-0.1917435336986022</v>
      </c>
      <c r="I85" s="39"/>
      <c r="J85" s="39"/>
      <c r="K85" s="39">
        <f t="shared" si="8"/>
        <v>-9195.9730000000036</v>
      </c>
      <c r="L85" s="39"/>
    </row>
    <row r="86" spans="1:13" x14ac:dyDescent="0.25">
      <c r="A86">
        <v>1900</v>
      </c>
      <c r="B86" s="164">
        <v>42962</v>
      </c>
      <c r="C86" s="10">
        <v>2000</v>
      </c>
      <c r="D86" s="39">
        <v>29.7</v>
      </c>
      <c r="E86" s="39">
        <v>25.28</v>
      </c>
      <c r="F86" s="39">
        <f t="shared" si="9"/>
        <v>-8839.9999999999964</v>
      </c>
      <c r="G86" s="39">
        <f t="shared" si="10"/>
        <v>59400</v>
      </c>
      <c r="H86" s="179">
        <f t="shared" si="11"/>
        <v>-0.14882154882154877</v>
      </c>
      <c r="I86" s="39"/>
      <c r="J86" s="39"/>
      <c r="K86" s="39">
        <f t="shared" si="8"/>
        <v>-7092.0300000000025</v>
      </c>
      <c r="L86" s="39"/>
    </row>
    <row r="87" spans="1:13" x14ac:dyDescent="0.25">
      <c r="A87">
        <v>1900</v>
      </c>
      <c r="B87" s="164">
        <v>42980</v>
      </c>
      <c r="C87" s="10">
        <v>2000</v>
      </c>
      <c r="D87" s="39">
        <v>29.582999999999998</v>
      </c>
      <c r="E87" s="39">
        <v>22.42</v>
      </c>
      <c r="F87" s="39">
        <f t="shared" si="9"/>
        <v>-14325.999999999993</v>
      </c>
      <c r="G87" s="39">
        <f t="shared" si="10"/>
        <v>59166</v>
      </c>
      <c r="H87" s="179">
        <f t="shared" si="11"/>
        <v>-0.24213230571612065</v>
      </c>
      <c r="I87" s="39"/>
      <c r="J87" s="39"/>
      <c r="K87" s="39">
        <f t="shared" si="8"/>
        <v>-12578.029999999999</v>
      </c>
      <c r="L87" s="39"/>
      <c r="M87" t="s">
        <v>184</v>
      </c>
    </row>
    <row r="88" spans="1:13" x14ac:dyDescent="0.25">
      <c r="A88">
        <v>1300</v>
      </c>
      <c r="B88" s="164">
        <v>42986</v>
      </c>
      <c r="C88" s="10">
        <v>2400</v>
      </c>
      <c r="D88" s="39">
        <v>28.047699999999999</v>
      </c>
      <c r="E88" s="39">
        <v>21.08</v>
      </c>
      <c r="F88" s="39">
        <f t="shared" si="9"/>
        <v>-16722.480000000003</v>
      </c>
      <c r="G88" s="39">
        <f t="shared" si="10"/>
        <v>67314.48</v>
      </c>
      <c r="H88" s="179">
        <f t="shared" si="11"/>
        <v>-0.24842322186845983</v>
      </c>
      <c r="I88" s="39"/>
      <c r="J88" s="39"/>
      <c r="K88" s="39">
        <f t="shared" si="8"/>
        <v>-14974.510000000009</v>
      </c>
      <c r="L88" s="39"/>
    </row>
    <row r="89" spans="1:13" x14ac:dyDescent="0.25">
      <c r="A89">
        <v>900</v>
      </c>
      <c r="B89" s="164">
        <v>42986</v>
      </c>
      <c r="C89" s="10">
        <v>2000</v>
      </c>
      <c r="D89" s="39">
        <v>29.446999999999999</v>
      </c>
      <c r="E89" s="39">
        <v>21.135000000000002</v>
      </c>
      <c r="F89" s="39">
        <f t="shared" si="9"/>
        <v>-16623.999999999996</v>
      </c>
      <c r="G89" s="39">
        <f t="shared" si="10"/>
        <v>58894</v>
      </c>
      <c r="H89" s="179">
        <f t="shared" si="11"/>
        <v>-0.28226984073080441</v>
      </c>
      <c r="I89" s="39">
        <v>29</v>
      </c>
      <c r="J89" s="39"/>
      <c r="K89" s="39">
        <f t="shared" si="8"/>
        <v>-14876.030000000002</v>
      </c>
      <c r="L89" s="39">
        <f>21.06/2.025</f>
        <v>10.4</v>
      </c>
    </row>
    <row r="90" spans="1:13" x14ac:dyDescent="0.25">
      <c r="A90">
        <v>1000</v>
      </c>
      <c r="B90" s="164">
        <v>42996</v>
      </c>
      <c r="C90" s="10">
        <v>2000</v>
      </c>
      <c r="D90" s="39">
        <v>29.446999999999999</v>
      </c>
      <c r="E90" s="39">
        <v>21.44</v>
      </c>
      <c r="F90" s="39">
        <f t="shared" si="9"/>
        <v>-16013.999999999996</v>
      </c>
      <c r="G90" s="39">
        <f t="shared" si="10"/>
        <v>58894</v>
      </c>
      <c r="H90" s="179">
        <f t="shared" si="11"/>
        <v>-0.27191224912554751</v>
      </c>
      <c r="I90" s="39"/>
      <c r="J90" s="39"/>
      <c r="K90" s="39">
        <f t="shared" si="8"/>
        <v>-14266.030000000002</v>
      </c>
      <c r="L90" s="39"/>
    </row>
    <row r="91" spans="1:13" x14ac:dyDescent="0.25">
      <c r="A91">
        <v>1000</v>
      </c>
      <c r="B91" s="164">
        <v>42999</v>
      </c>
      <c r="C91" s="10">
        <v>2200</v>
      </c>
      <c r="D91" s="39">
        <v>28.6112</v>
      </c>
      <c r="E91" s="39">
        <v>20.22</v>
      </c>
      <c r="F91" s="39">
        <f t="shared" si="9"/>
        <v>-18460.640000000003</v>
      </c>
      <c r="G91" s="39">
        <f t="shared" si="10"/>
        <v>62944.639999999999</v>
      </c>
      <c r="H91" s="179">
        <f t="shared" si="11"/>
        <v>-0.29328374902136228</v>
      </c>
      <c r="I91" s="39"/>
      <c r="J91" s="39"/>
      <c r="K91" s="39">
        <f t="shared" si="8"/>
        <v>-16712.670000000009</v>
      </c>
      <c r="L91" s="39"/>
    </row>
    <row r="92" spans="1:13" x14ac:dyDescent="0.25">
      <c r="A92">
        <v>800</v>
      </c>
      <c r="B92" s="164">
        <v>43011</v>
      </c>
      <c r="C92" s="10">
        <v>2000</v>
      </c>
      <c r="D92" s="39">
        <v>29.411999999999999</v>
      </c>
      <c r="E92" s="39">
        <v>20.56</v>
      </c>
      <c r="F92" s="39">
        <f t="shared" si="9"/>
        <v>-17704</v>
      </c>
      <c r="G92" s="39">
        <f t="shared" si="10"/>
        <v>58824</v>
      </c>
      <c r="H92" s="179">
        <f t="shared" si="11"/>
        <v>-0.30096559227526182</v>
      </c>
      <c r="I92" s="39"/>
      <c r="J92" s="39"/>
      <c r="K92" s="39">
        <f t="shared" si="8"/>
        <v>-15956.030000000006</v>
      </c>
      <c r="L92" s="39"/>
    </row>
    <row r="93" spans="1:13" x14ac:dyDescent="0.25">
      <c r="A93">
        <v>1800</v>
      </c>
      <c r="B93" s="164">
        <v>43023</v>
      </c>
      <c r="C93" s="10">
        <v>2000</v>
      </c>
      <c r="D93" s="39">
        <v>29.411999999999999</v>
      </c>
      <c r="E93" s="39">
        <v>21.3</v>
      </c>
      <c r="F93" s="39">
        <f t="shared" si="9"/>
        <v>-16223.999999999996</v>
      </c>
      <c r="G93" s="39">
        <f t="shared" si="10"/>
        <v>58824</v>
      </c>
      <c r="H93" s="179">
        <f t="shared" si="11"/>
        <v>-0.27580579355365153</v>
      </c>
      <c r="I93" s="39"/>
      <c r="J93" s="39">
        <v>54.85</v>
      </c>
      <c r="K93" s="39">
        <f t="shared" si="8"/>
        <v>-14476.030000000002</v>
      </c>
      <c r="L93" s="39"/>
    </row>
    <row r="94" spans="1:13" x14ac:dyDescent="0.25">
      <c r="A94">
        <v>2000</v>
      </c>
      <c r="B94" s="164">
        <v>43031</v>
      </c>
      <c r="C94" s="10">
        <v>2000</v>
      </c>
      <c r="D94" s="39">
        <v>29.411999999999999</v>
      </c>
      <c r="E94" s="39">
        <v>21.35</v>
      </c>
      <c r="F94" s="39">
        <f t="shared" si="9"/>
        <v>-16123.999999999995</v>
      </c>
      <c r="G94" s="39">
        <f t="shared" si="10"/>
        <v>58824</v>
      </c>
      <c r="H94" s="179">
        <f t="shared" si="11"/>
        <v>-0.27410580715354271</v>
      </c>
      <c r="I94" s="39"/>
      <c r="J94" s="39"/>
      <c r="K94" s="39">
        <f t="shared" si="8"/>
        <v>-14376.03</v>
      </c>
      <c r="L94" s="39"/>
    </row>
    <row r="95" spans="1:13" x14ac:dyDescent="0.25">
      <c r="A95">
        <v>2000</v>
      </c>
      <c r="B95" s="164">
        <v>43050</v>
      </c>
      <c r="C95" s="10">
        <v>2000</v>
      </c>
      <c r="D95" s="39">
        <v>29.411999999999999</v>
      </c>
      <c r="E95" s="39">
        <v>22.08</v>
      </c>
      <c r="F95" s="39">
        <f t="shared" si="9"/>
        <v>-14664.000000000002</v>
      </c>
      <c r="G95" s="39">
        <f t="shared" si="10"/>
        <v>58824</v>
      </c>
      <c r="H95" s="179">
        <f t="shared" si="11"/>
        <v>-0.24928600571195433</v>
      </c>
      <c r="I95" s="39"/>
      <c r="J95" s="39"/>
      <c r="K95" s="39">
        <f t="shared" si="8"/>
        <v>-12916.030000000008</v>
      </c>
      <c r="L95" s="39"/>
    </row>
    <row r="96" spans="1:13" x14ac:dyDescent="0.25">
      <c r="A96">
        <v>1800</v>
      </c>
      <c r="B96" s="164">
        <v>43056</v>
      </c>
      <c r="C96" s="10">
        <v>1800</v>
      </c>
      <c r="D96" s="39">
        <v>30.172000000000001</v>
      </c>
      <c r="E96" s="39">
        <v>23.41</v>
      </c>
      <c r="F96" s="39">
        <f t="shared" si="9"/>
        <v>-12171.6</v>
      </c>
      <c r="G96" s="39">
        <f t="shared" si="10"/>
        <v>54309.599999999999</v>
      </c>
      <c r="H96" s="179">
        <f t="shared" si="11"/>
        <v>-0.22411507357815194</v>
      </c>
      <c r="I96" s="39"/>
      <c r="J96" s="39"/>
      <c r="K96" s="39">
        <f t="shared" si="8"/>
        <v>-10423.630000000006</v>
      </c>
      <c r="L96" s="39"/>
    </row>
    <row r="97" spans="1:13" x14ac:dyDescent="0.25">
      <c r="A97">
        <v>1700</v>
      </c>
      <c r="B97" s="164">
        <v>43069</v>
      </c>
      <c r="C97" s="10">
        <v>1700</v>
      </c>
      <c r="D97" s="39">
        <v>30.390999999999998</v>
      </c>
      <c r="E97" s="39">
        <v>26.44</v>
      </c>
      <c r="F97" s="39">
        <f t="shared" si="9"/>
        <v>-6716.6999999999953</v>
      </c>
      <c r="G97" s="39">
        <f t="shared" si="10"/>
        <v>51664.7</v>
      </c>
      <c r="H97" s="179">
        <f t="shared" si="11"/>
        <v>-0.13000559376131082</v>
      </c>
      <c r="I97" s="39"/>
      <c r="J97" s="39"/>
      <c r="K97" s="39">
        <f t="shared" si="8"/>
        <v>-4968.7300000000014</v>
      </c>
      <c r="L97" s="39"/>
    </row>
    <row r="98" spans="1:13" x14ac:dyDescent="0.25">
      <c r="A98">
        <v>1600</v>
      </c>
      <c r="B98" s="164">
        <v>43069</v>
      </c>
      <c r="C98" s="10">
        <v>1600</v>
      </c>
      <c r="D98" s="39">
        <v>30.597999999999999</v>
      </c>
      <c r="E98" s="39">
        <v>27.08</v>
      </c>
      <c r="F98" s="39">
        <f t="shared" si="9"/>
        <v>-5628.8000000000011</v>
      </c>
      <c r="G98" s="39">
        <f t="shared" si="10"/>
        <v>48956.799999999996</v>
      </c>
      <c r="H98" s="179">
        <f t="shared" si="11"/>
        <v>-0.11497483495653313</v>
      </c>
      <c r="I98" s="39"/>
      <c r="J98" s="39"/>
      <c r="K98" s="39">
        <f t="shared" si="8"/>
        <v>-3880.8300000000072</v>
      </c>
      <c r="L98" s="39"/>
    </row>
    <row r="99" spans="1:13" x14ac:dyDescent="0.25">
      <c r="A99">
        <v>1600</v>
      </c>
      <c r="B99" s="164">
        <v>43072</v>
      </c>
      <c r="C99" s="10">
        <v>1600</v>
      </c>
      <c r="D99" s="39">
        <v>30.4419</v>
      </c>
      <c r="E99" s="39">
        <v>25.67</v>
      </c>
      <c r="F99" s="39">
        <f t="shared" si="9"/>
        <v>-7635.0399999999981</v>
      </c>
      <c r="G99" s="39">
        <f t="shared" si="10"/>
        <v>48707.040000000001</v>
      </c>
      <c r="H99" s="179">
        <f t="shared" si="11"/>
        <v>-0.15675434187747803</v>
      </c>
      <c r="I99" s="39"/>
      <c r="J99" s="39"/>
      <c r="K99" s="39">
        <f t="shared" si="8"/>
        <v>-5887.0700000000043</v>
      </c>
      <c r="L99" s="39"/>
    </row>
    <row r="100" spans="1:13" x14ac:dyDescent="0.25">
      <c r="A100">
        <v>1600</v>
      </c>
      <c r="B100" s="164">
        <v>43077</v>
      </c>
      <c r="C100" s="10">
        <v>1600</v>
      </c>
      <c r="D100" s="39">
        <v>30.4419</v>
      </c>
      <c r="E100" s="39">
        <v>26.68</v>
      </c>
      <c r="F100" s="39">
        <f t="shared" si="9"/>
        <v>-6019.0400000000009</v>
      </c>
      <c r="G100" s="39">
        <f t="shared" si="10"/>
        <v>48707.040000000001</v>
      </c>
      <c r="H100" s="179">
        <f t="shared" si="11"/>
        <v>-0.12357638649361573</v>
      </c>
      <c r="I100" s="39"/>
      <c r="J100" s="39"/>
      <c r="K100" s="39">
        <f t="shared" si="8"/>
        <v>-4271.070000000007</v>
      </c>
      <c r="L100" s="39"/>
    </row>
    <row r="101" spans="1:13" x14ac:dyDescent="0.25">
      <c r="A101">
        <v>1500</v>
      </c>
      <c r="B101" s="164">
        <v>43087</v>
      </c>
      <c r="C101" s="10">
        <v>1500</v>
      </c>
      <c r="D101" s="39">
        <v>30.667999999999999</v>
      </c>
      <c r="E101" s="39">
        <v>27.05</v>
      </c>
      <c r="F101" s="39">
        <f t="shared" si="9"/>
        <v>-5426.9999999999982</v>
      </c>
      <c r="G101" s="39">
        <f t="shared" si="10"/>
        <v>46002</v>
      </c>
      <c r="H101" s="179">
        <f t="shared" si="11"/>
        <v>-0.11797313160297374</v>
      </c>
      <c r="I101" s="173" t="s">
        <v>750</v>
      </c>
      <c r="J101" s="39"/>
      <c r="K101" s="39">
        <f t="shared" si="8"/>
        <v>-3679.0300000000043</v>
      </c>
      <c r="L101" s="39"/>
    </row>
    <row r="102" spans="1:13" x14ac:dyDescent="0.25">
      <c r="A102">
        <v>1400</v>
      </c>
      <c r="B102" s="164">
        <v>43089</v>
      </c>
      <c r="C102" s="10">
        <v>1400</v>
      </c>
      <c r="D102" s="39">
        <v>30.907</v>
      </c>
      <c r="E102" s="39">
        <v>27.32</v>
      </c>
      <c r="F102" s="39">
        <f t="shared" si="9"/>
        <v>-5021.7999999999993</v>
      </c>
      <c r="G102" s="39">
        <f t="shared" si="10"/>
        <v>43269.8</v>
      </c>
      <c r="H102" s="179">
        <f t="shared" si="11"/>
        <v>-0.11605785097227164</v>
      </c>
      <c r="I102" s="39"/>
      <c r="J102" s="39"/>
      <c r="K102" s="39">
        <f t="shared" si="8"/>
        <v>-3273.8300000000054</v>
      </c>
      <c r="L102" s="39"/>
    </row>
    <row r="103" spans="1:13" x14ac:dyDescent="0.25">
      <c r="A103">
        <v>1300</v>
      </c>
      <c r="B103" s="164">
        <v>43091</v>
      </c>
      <c r="C103" s="10">
        <v>1300</v>
      </c>
      <c r="D103" s="39">
        <v>31.114999999999998</v>
      </c>
      <c r="E103" s="39">
        <v>28.25</v>
      </c>
      <c r="F103" s="39">
        <f t="shared" si="9"/>
        <v>-3724.4999999999982</v>
      </c>
      <c r="G103" s="39">
        <f t="shared" si="10"/>
        <v>40449.5</v>
      </c>
      <c r="H103" s="179">
        <f t="shared" si="11"/>
        <v>-9.2077775992286628E-2</v>
      </c>
      <c r="I103" s="39"/>
      <c r="J103" s="39"/>
      <c r="K103" s="39">
        <f t="shared" si="8"/>
        <v>-1976.5300000000043</v>
      </c>
      <c r="L103" s="39"/>
    </row>
    <row r="104" spans="1:13" x14ac:dyDescent="0.25">
      <c r="A104">
        <v>1300</v>
      </c>
      <c r="B104" s="164">
        <v>43095</v>
      </c>
      <c r="C104" s="10">
        <v>1400</v>
      </c>
      <c r="D104" s="39">
        <v>30.864999999999998</v>
      </c>
      <c r="E104" s="39">
        <v>27.8</v>
      </c>
      <c r="F104" s="39">
        <f t="shared" si="9"/>
        <v>-4290.9999999999964</v>
      </c>
      <c r="G104" s="39">
        <f t="shared" si="10"/>
        <v>43211</v>
      </c>
      <c r="H104" s="179">
        <f t="shared" si="11"/>
        <v>-9.9303418111129041E-2</v>
      </c>
      <c r="I104" s="39"/>
      <c r="J104" s="39">
        <v>68.33</v>
      </c>
      <c r="K104" s="39">
        <f t="shared" si="8"/>
        <v>-2543.0300000000025</v>
      </c>
      <c r="L104" s="39"/>
    </row>
    <row r="105" spans="1:13" x14ac:dyDescent="0.25">
      <c r="A105">
        <v>1200</v>
      </c>
      <c r="B105" s="164">
        <v>43102</v>
      </c>
      <c r="C105" s="10">
        <v>1300</v>
      </c>
      <c r="D105" s="39">
        <v>31.079000000000001</v>
      </c>
      <c r="E105" s="39">
        <v>28.3</v>
      </c>
      <c r="F105" s="39">
        <f t="shared" ref="F105:F136" si="12">C105*(E105-D105)</f>
        <v>-3612.7</v>
      </c>
      <c r="G105" s="39">
        <f t="shared" ref="G105:G136" si="13">D105*C105</f>
        <v>40402.700000000004</v>
      </c>
      <c r="H105" s="179">
        <f t="shared" ref="H105:H136" si="14">(E105-D105)/D105</f>
        <v>-8.9417291418642811E-2</v>
      </c>
      <c r="I105" s="39"/>
      <c r="J105" s="39"/>
      <c r="K105" s="39">
        <f t="shared" si="8"/>
        <v>-1864.7300000000059</v>
      </c>
      <c r="L105" s="39"/>
    </row>
    <row r="106" spans="1:13" x14ac:dyDescent="0.25">
      <c r="A106">
        <v>1200</v>
      </c>
      <c r="B106" s="164">
        <v>43103</v>
      </c>
      <c r="C106" s="10">
        <v>1300</v>
      </c>
      <c r="D106" s="39">
        <v>31.079000000000001</v>
      </c>
      <c r="E106" s="39">
        <v>27.85</v>
      </c>
      <c r="F106" s="39">
        <f t="shared" si="12"/>
        <v>-4197.6999999999989</v>
      </c>
      <c r="G106" s="39">
        <f t="shared" si="13"/>
        <v>40402.700000000004</v>
      </c>
      <c r="H106" s="179">
        <f t="shared" si="14"/>
        <v>-0.10389652176710959</v>
      </c>
      <c r="I106" s="39"/>
      <c r="J106" s="39">
        <v>64.55</v>
      </c>
      <c r="K106" s="39">
        <f t="shared" si="8"/>
        <v>-2449.730000000005</v>
      </c>
      <c r="L106" s="39"/>
    </row>
    <row r="107" spans="1:13" x14ac:dyDescent="0.25">
      <c r="A107">
        <v>1200</v>
      </c>
      <c r="B107" s="164">
        <v>43104</v>
      </c>
      <c r="C107" s="395">
        <v>1500</v>
      </c>
      <c r="D107" s="397">
        <v>30.548999999999999</v>
      </c>
      <c r="E107" s="39">
        <v>27.11</v>
      </c>
      <c r="F107" s="39">
        <f t="shared" si="12"/>
        <v>-5158.5</v>
      </c>
      <c r="G107" s="39">
        <f t="shared" si="13"/>
        <v>45823.5</v>
      </c>
      <c r="H107" s="179">
        <f t="shared" si="14"/>
        <v>-0.11257324298667715</v>
      </c>
      <c r="I107" s="39">
        <v>30.5</v>
      </c>
      <c r="J107" s="39"/>
      <c r="K107" s="39">
        <f t="shared" si="8"/>
        <v>-3410.5300000000061</v>
      </c>
      <c r="L107" s="39"/>
    </row>
    <row r="108" spans="1:13" x14ac:dyDescent="0.25">
      <c r="A108">
        <v>1200</v>
      </c>
      <c r="B108" s="164">
        <v>43104</v>
      </c>
      <c r="C108" s="10">
        <v>1700</v>
      </c>
      <c r="D108" s="39">
        <v>30.1</v>
      </c>
      <c r="E108" s="39">
        <v>26.73</v>
      </c>
      <c r="F108" s="39">
        <f t="shared" si="12"/>
        <v>-5729.0000000000018</v>
      </c>
      <c r="G108" s="39">
        <f t="shared" si="13"/>
        <v>51170</v>
      </c>
      <c r="H108" s="179">
        <f t="shared" si="14"/>
        <v>-0.11196013289036548</v>
      </c>
      <c r="I108" s="39"/>
      <c r="J108" s="39"/>
      <c r="K108" s="39">
        <f t="shared" si="8"/>
        <v>-3981.0300000000079</v>
      </c>
      <c r="L108" s="39"/>
    </row>
    <row r="109" spans="1:13" x14ac:dyDescent="0.25">
      <c r="A109">
        <v>800</v>
      </c>
      <c r="B109" s="164">
        <v>43105</v>
      </c>
      <c r="C109" s="10">
        <v>1300</v>
      </c>
      <c r="D109" s="39">
        <v>30.925000000000001</v>
      </c>
      <c r="E109" s="39">
        <v>27.32</v>
      </c>
      <c r="F109" s="39">
        <f t="shared" si="12"/>
        <v>-4686.5000000000009</v>
      </c>
      <c r="G109" s="39">
        <f t="shared" si="13"/>
        <v>40202.5</v>
      </c>
      <c r="H109" s="179">
        <f t="shared" si="14"/>
        <v>-0.1165723524656427</v>
      </c>
      <c r="I109" s="39"/>
      <c r="J109" s="39"/>
      <c r="K109" s="39">
        <f t="shared" si="8"/>
        <v>-2938.530000000007</v>
      </c>
      <c r="L109" s="39"/>
      <c r="M109" t="s">
        <v>823</v>
      </c>
    </row>
    <row r="110" spans="1:13" x14ac:dyDescent="0.25">
      <c r="A110">
        <v>800</v>
      </c>
      <c r="B110" s="164">
        <v>43108</v>
      </c>
      <c r="C110" s="10">
        <v>1300</v>
      </c>
      <c r="D110" s="39">
        <v>30.925000000000001</v>
      </c>
      <c r="E110" s="39">
        <v>27.97</v>
      </c>
      <c r="F110" s="39">
        <f t="shared" si="12"/>
        <v>-3841.5000000000023</v>
      </c>
      <c r="G110" s="39">
        <f t="shared" si="13"/>
        <v>40202.5</v>
      </c>
      <c r="H110" s="179">
        <f t="shared" si="14"/>
        <v>-9.5553759094583732E-2</v>
      </c>
      <c r="I110" s="39"/>
      <c r="J110" s="39"/>
      <c r="K110" s="39">
        <f t="shared" si="8"/>
        <v>-2093.5300000000084</v>
      </c>
      <c r="L110" s="39"/>
    </row>
    <row r="111" spans="1:13" x14ac:dyDescent="0.25">
      <c r="A111">
        <v>700</v>
      </c>
      <c r="B111" s="164">
        <v>43112</v>
      </c>
      <c r="C111" s="10">
        <v>1300</v>
      </c>
      <c r="D111" s="39">
        <v>30.893000000000001</v>
      </c>
      <c r="E111" s="39">
        <v>28.14</v>
      </c>
      <c r="F111" s="39">
        <f t="shared" si="12"/>
        <v>-3578.9</v>
      </c>
      <c r="G111" s="39">
        <f t="shared" si="13"/>
        <v>40160.9</v>
      </c>
      <c r="H111" s="179">
        <f t="shared" si="14"/>
        <v>-8.9114038779011431E-2</v>
      </c>
      <c r="I111" s="39"/>
      <c r="J111" s="39">
        <v>62.75</v>
      </c>
      <c r="K111" s="39">
        <f t="shared" si="8"/>
        <v>-1830.9300000000062</v>
      </c>
      <c r="L111" s="39"/>
    </row>
    <row r="112" spans="1:13" x14ac:dyDescent="0.25">
      <c r="A112">
        <v>700</v>
      </c>
      <c r="B112" s="164">
        <v>43117</v>
      </c>
      <c r="C112" s="10">
        <v>1300</v>
      </c>
      <c r="D112" s="39">
        <v>30.893000000000001</v>
      </c>
      <c r="E112" s="39">
        <v>28.67</v>
      </c>
      <c r="F112" s="39">
        <f t="shared" si="12"/>
        <v>-2889.8999999999987</v>
      </c>
      <c r="G112" s="39">
        <f t="shared" si="13"/>
        <v>40160.9</v>
      </c>
      <c r="H112" s="179">
        <f t="shared" si="14"/>
        <v>-7.1958048748907488E-2</v>
      </c>
      <c r="I112" s="39"/>
      <c r="J112" s="39"/>
      <c r="K112" s="39">
        <f t="shared" si="8"/>
        <v>-1141.9300000000048</v>
      </c>
      <c r="L112" s="39"/>
    </row>
    <row r="113" spans="1:12" x14ac:dyDescent="0.25">
      <c r="A113">
        <v>400</v>
      </c>
      <c r="B113" s="164">
        <v>43119</v>
      </c>
      <c r="C113" s="10">
        <v>1000</v>
      </c>
      <c r="D113" s="39">
        <v>31.22</v>
      </c>
      <c r="E113" s="39">
        <v>29.72</v>
      </c>
      <c r="F113" s="39">
        <f t="shared" si="12"/>
        <v>-1500</v>
      </c>
      <c r="G113" s="39">
        <f t="shared" si="13"/>
        <v>31220</v>
      </c>
      <c r="H113" s="179">
        <f t="shared" si="14"/>
        <v>-4.8046124279308135E-2</v>
      </c>
      <c r="I113" s="39"/>
      <c r="J113" s="39">
        <v>73.25</v>
      </c>
      <c r="K113" s="39">
        <f t="shared" si="8"/>
        <v>247.96999999999389</v>
      </c>
      <c r="L113" s="39"/>
    </row>
    <row r="114" spans="1:12" x14ac:dyDescent="0.25">
      <c r="A114">
        <v>400</v>
      </c>
      <c r="B114" s="164">
        <v>43122</v>
      </c>
      <c r="C114" s="10">
        <v>1300</v>
      </c>
      <c r="D114" s="39">
        <v>30.7728</v>
      </c>
      <c r="E114" s="39">
        <v>29.63</v>
      </c>
      <c r="F114" s="39">
        <f t="shared" si="12"/>
        <v>-1485.6400000000015</v>
      </c>
      <c r="G114" s="39">
        <f t="shared" si="13"/>
        <v>40004.639999999999</v>
      </c>
      <c r="H114" s="179">
        <f t="shared" si="14"/>
        <v>-3.7136692143711368E-2</v>
      </c>
      <c r="I114" s="39"/>
      <c r="J114" s="39"/>
      <c r="K114" s="39">
        <f t="shared" si="8"/>
        <v>262.32999999999242</v>
      </c>
      <c r="L114" s="39"/>
    </row>
    <row r="115" spans="1:12" x14ac:dyDescent="0.25">
      <c r="A115">
        <v>400</v>
      </c>
      <c r="B115" s="164">
        <v>43123</v>
      </c>
      <c r="C115" s="10">
        <v>1300</v>
      </c>
      <c r="D115" s="39">
        <v>30.7728</v>
      </c>
      <c r="E115" s="39">
        <v>29.31</v>
      </c>
      <c r="F115" s="39">
        <f t="shared" si="12"/>
        <v>-1901.6400000000019</v>
      </c>
      <c r="G115" s="39">
        <f t="shared" si="13"/>
        <v>40004.639999999999</v>
      </c>
      <c r="H115" s="179">
        <f t="shared" si="14"/>
        <v>-4.7535485883637547E-2</v>
      </c>
      <c r="I115" s="39"/>
      <c r="J115" s="39">
        <v>67.23</v>
      </c>
      <c r="K115" s="39">
        <f t="shared" si="8"/>
        <v>-153.67000000000803</v>
      </c>
      <c r="L115" s="39"/>
    </row>
    <row r="116" spans="1:12" x14ac:dyDescent="0.25">
      <c r="A116">
        <v>100</v>
      </c>
      <c r="B116" s="164">
        <v>43125</v>
      </c>
      <c r="C116" s="10">
        <v>1000</v>
      </c>
      <c r="D116" s="39">
        <v>30.855</v>
      </c>
      <c r="E116" s="39">
        <v>30.26</v>
      </c>
      <c r="F116" s="39">
        <f t="shared" si="12"/>
        <v>-594.99999999999886</v>
      </c>
      <c r="G116" s="39">
        <f t="shared" si="13"/>
        <v>30855</v>
      </c>
      <c r="H116" s="179">
        <f t="shared" si="14"/>
        <v>-1.9283746556473792E-2</v>
      </c>
      <c r="I116" s="39"/>
      <c r="J116" s="39"/>
      <c r="K116" s="39">
        <f t="shared" si="8"/>
        <v>1152.969999999995</v>
      </c>
      <c r="L116" s="39"/>
    </row>
    <row r="117" spans="1:12" x14ac:dyDescent="0.25">
      <c r="A117">
        <v>0</v>
      </c>
      <c r="B117" s="164">
        <v>43126</v>
      </c>
      <c r="C117" s="10">
        <v>800</v>
      </c>
      <c r="D117" s="39">
        <v>30.868680000000001</v>
      </c>
      <c r="E117" s="39">
        <v>30.88</v>
      </c>
      <c r="F117" s="39">
        <f t="shared" si="12"/>
        <v>9.055999999998221</v>
      </c>
      <c r="G117" s="39">
        <f t="shared" si="13"/>
        <v>24694.944</v>
      </c>
      <c r="H117" s="179">
        <f t="shared" si="14"/>
        <v>3.6671474128462171E-4</v>
      </c>
      <c r="I117" s="39"/>
      <c r="J117" s="39">
        <v>76.23</v>
      </c>
      <c r="K117" s="39">
        <f t="shared" ref="K117:K154" si="15">F117+$Q$10</f>
        <v>1757.0259999999921</v>
      </c>
      <c r="L117" s="39"/>
    </row>
    <row r="118" spans="1:12" x14ac:dyDescent="0.25">
      <c r="A118">
        <v>0</v>
      </c>
      <c r="B118" s="164">
        <v>43131</v>
      </c>
      <c r="C118" s="10">
        <v>1300</v>
      </c>
      <c r="D118" s="39">
        <v>30.63</v>
      </c>
      <c r="E118" s="39">
        <v>30.36</v>
      </c>
      <c r="F118" s="39">
        <f t="shared" si="12"/>
        <v>-350.99999999999943</v>
      </c>
      <c r="G118" s="39">
        <f t="shared" si="13"/>
        <v>39819</v>
      </c>
      <c r="H118" s="179">
        <f t="shared" si="14"/>
        <v>-8.8148873653280963E-3</v>
      </c>
      <c r="I118" s="39"/>
      <c r="J118" s="39"/>
      <c r="K118" s="39">
        <f t="shared" si="15"/>
        <v>1396.9699999999943</v>
      </c>
      <c r="L118" s="39"/>
    </row>
    <row r="119" spans="1:12" x14ac:dyDescent="0.25">
      <c r="B119" s="164">
        <v>43133</v>
      </c>
      <c r="C119" s="395">
        <v>1500</v>
      </c>
      <c r="D119" s="397">
        <v>30.452999999999999</v>
      </c>
      <c r="E119" s="39">
        <v>29.34</v>
      </c>
      <c r="F119" s="39">
        <f t="shared" si="12"/>
        <v>-1669.4999999999993</v>
      </c>
      <c r="G119" s="39">
        <f t="shared" si="13"/>
        <v>45679.5</v>
      </c>
      <c r="H119" s="179">
        <f t="shared" si="14"/>
        <v>-3.6548123337602191E-2</v>
      </c>
      <c r="I119" s="173" t="s">
        <v>894</v>
      </c>
      <c r="J119" s="39"/>
      <c r="K119" s="39">
        <f t="shared" si="15"/>
        <v>78.46999999999457</v>
      </c>
      <c r="L119" s="39"/>
    </row>
    <row r="120" spans="1:12" x14ac:dyDescent="0.25">
      <c r="A120">
        <v>400</v>
      </c>
      <c r="B120" s="164">
        <v>43137</v>
      </c>
      <c r="C120" s="10">
        <v>1800</v>
      </c>
      <c r="D120" s="39">
        <v>29.96</v>
      </c>
      <c r="E120" s="39">
        <v>29.07</v>
      </c>
      <c r="F120" s="39">
        <f t="shared" si="12"/>
        <v>-1602.0000000000009</v>
      </c>
      <c r="G120" s="39">
        <f t="shared" si="13"/>
        <v>53928</v>
      </c>
      <c r="H120" s="179">
        <f t="shared" si="14"/>
        <v>-2.9706275033377857E-2</v>
      </c>
      <c r="I120" s="39"/>
      <c r="J120" s="39"/>
      <c r="K120" s="39">
        <f t="shared" si="15"/>
        <v>145.96999999999298</v>
      </c>
      <c r="L120" s="39"/>
    </row>
    <row r="121" spans="1:12" x14ac:dyDescent="0.25">
      <c r="A121">
        <v>400</v>
      </c>
      <c r="B121" s="164">
        <v>43139</v>
      </c>
      <c r="C121" s="10">
        <v>1800</v>
      </c>
      <c r="D121" s="39">
        <v>29.96</v>
      </c>
      <c r="E121" s="39">
        <v>27.57</v>
      </c>
      <c r="F121" s="39">
        <f t="shared" si="12"/>
        <v>-4302.0000000000009</v>
      </c>
      <c r="G121" s="39">
        <f t="shared" si="13"/>
        <v>53928</v>
      </c>
      <c r="H121" s="179">
        <f t="shared" si="14"/>
        <v>-7.977303070761016E-2</v>
      </c>
      <c r="I121" s="39"/>
      <c r="J121" s="39"/>
      <c r="K121" s="39">
        <f t="shared" si="15"/>
        <v>-2554.030000000007</v>
      </c>
      <c r="L121" s="39"/>
    </row>
    <row r="122" spans="1:12" x14ac:dyDescent="0.25">
      <c r="A122">
        <v>500</v>
      </c>
      <c r="B122" s="164">
        <v>43146</v>
      </c>
      <c r="C122" s="10">
        <v>1800</v>
      </c>
      <c r="D122" s="39">
        <v>29.96</v>
      </c>
      <c r="E122" s="39">
        <v>28.79</v>
      </c>
      <c r="F122" s="39">
        <f t="shared" si="12"/>
        <v>-2106.0000000000032</v>
      </c>
      <c r="G122" s="39">
        <f t="shared" si="13"/>
        <v>53928</v>
      </c>
      <c r="H122" s="179">
        <f t="shared" si="14"/>
        <v>-3.905206942590126E-2</v>
      </c>
      <c r="I122" s="39"/>
      <c r="J122" s="39"/>
      <c r="K122" s="39">
        <f t="shared" si="15"/>
        <v>-358.0300000000093</v>
      </c>
      <c r="L122" s="39"/>
    </row>
    <row r="123" spans="1:12" x14ac:dyDescent="0.25">
      <c r="A123">
        <v>500</v>
      </c>
      <c r="B123" s="164">
        <v>43151</v>
      </c>
      <c r="C123" s="10">
        <v>1800</v>
      </c>
      <c r="D123" s="39">
        <v>29.96</v>
      </c>
      <c r="E123" s="39">
        <v>27.49</v>
      </c>
      <c r="F123" s="39">
        <f t="shared" si="12"/>
        <v>-4446.0000000000045</v>
      </c>
      <c r="G123" s="39">
        <f t="shared" si="13"/>
        <v>53928</v>
      </c>
      <c r="H123" s="179">
        <f t="shared" si="14"/>
        <v>-8.2443257676902609E-2</v>
      </c>
      <c r="I123" s="39"/>
      <c r="J123" s="39"/>
      <c r="K123" s="39">
        <f t="shared" si="15"/>
        <v>-2698.0300000000107</v>
      </c>
      <c r="L123" s="39"/>
    </row>
    <row r="124" spans="1:12" x14ac:dyDescent="0.25">
      <c r="A124">
        <v>1500</v>
      </c>
      <c r="B124" s="164">
        <v>43165</v>
      </c>
      <c r="C124" s="10">
        <v>1800</v>
      </c>
      <c r="D124" s="39">
        <v>29.835999999999999</v>
      </c>
      <c r="E124" s="39">
        <v>28.01</v>
      </c>
      <c r="F124" s="39">
        <f t="shared" si="12"/>
        <v>-3286.7999999999947</v>
      </c>
      <c r="G124" s="39">
        <f t="shared" si="13"/>
        <v>53704.799999999996</v>
      </c>
      <c r="H124" s="179">
        <f t="shared" si="14"/>
        <v>-6.1201233409304098E-2</v>
      </c>
      <c r="I124" s="39"/>
      <c r="J124" s="39"/>
      <c r="K124" s="39">
        <f t="shared" si="15"/>
        <v>-1538.8300000000008</v>
      </c>
      <c r="L124" s="39"/>
    </row>
    <row r="125" spans="1:12" x14ac:dyDescent="0.25">
      <c r="B125" s="164">
        <v>43166</v>
      </c>
      <c r="C125" s="10">
        <v>2000</v>
      </c>
      <c r="D125" s="39">
        <v>29.48</v>
      </c>
      <c r="E125" s="39">
        <v>26.59</v>
      </c>
      <c r="F125" s="39">
        <f t="shared" si="12"/>
        <v>-5780.0000000000009</v>
      </c>
      <c r="G125" s="39">
        <f t="shared" si="13"/>
        <v>58960</v>
      </c>
      <c r="H125" s="179">
        <f t="shared" si="14"/>
        <v>-9.803256445047491E-2</v>
      </c>
      <c r="I125" s="39"/>
      <c r="J125" s="39"/>
      <c r="K125" s="39">
        <f t="shared" si="15"/>
        <v>-4032.030000000007</v>
      </c>
      <c r="L125" s="39"/>
    </row>
    <row r="126" spans="1:12" x14ac:dyDescent="0.25">
      <c r="B126" s="164">
        <v>43167</v>
      </c>
      <c r="C126" s="10">
        <v>2300</v>
      </c>
      <c r="D126" s="39">
        <v>28.782</v>
      </c>
      <c r="E126" s="39">
        <v>22.98</v>
      </c>
      <c r="F126" s="39">
        <f t="shared" si="12"/>
        <v>-13344.599999999999</v>
      </c>
      <c r="G126" s="39">
        <f t="shared" si="13"/>
        <v>66198.600000000006</v>
      </c>
      <c r="H126" s="179">
        <f t="shared" si="14"/>
        <v>-0.20158432353554304</v>
      </c>
      <c r="I126" s="39"/>
      <c r="J126" s="39"/>
      <c r="K126" s="39">
        <f t="shared" si="15"/>
        <v>-11596.630000000005</v>
      </c>
      <c r="L126" s="39"/>
    </row>
    <row r="127" spans="1:12" x14ac:dyDescent="0.25">
      <c r="B127" s="164">
        <v>43167</v>
      </c>
      <c r="C127" s="10">
        <v>2500</v>
      </c>
      <c r="D127" s="39">
        <v>28.326000000000001</v>
      </c>
      <c r="E127" s="39">
        <v>22.98</v>
      </c>
      <c r="F127" s="39">
        <f t="shared" si="12"/>
        <v>-13365</v>
      </c>
      <c r="G127" s="39">
        <f t="shared" si="13"/>
        <v>70815</v>
      </c>
      <c r="H127" s="179">
        <f t="shared" si="14"/>
        <v>-0.18873120101673374</v>
      </c>
      <c r="I127" s="39"/>
      <c r="J127" s="39"/>
      <c r="K127" s="39">
        <f t="shared" si="15"/>
        <v>-11617.030000000006</v>
      </c>
      <c r="L127" s="39"/>
    </row>
    <row r="128" spans="1:12" x14ac:dyDescent="0.25">
      <c r="A128">
        <v>1500</v>
      </c>
      <c r="B128" s="164">
        <v>43167</v>
      </c>
      <c r="C128" s="10">
        <v>3000</v>
      </c>
      <c r="D128" s="39">
        <v>27.43</v>
      </c>
      <c r="E128" s="39">
        <v>22.98</v>
      </c>
      <c r="F128" s="39">
        <f t="shared" si="12"/>
        <v>-13349.999999999998</v>
      </c>
      <c r="G128" s="39">
        <f t="shared" si="13"/>
        <v>82290</v>
      </c>
      <c r="H128" s="179">
        <f t="shared" si="14"/>
        <v>-0.16223113379511481</v>
      </c>
      <c r="I128" s="39"/>
      <c r="J128" s="39"/>
      <c r="K128" s="39">
        <f t="shared" si="15"/>
        <v>-11602.030000000004</v>
      </c>
      <c r="L128" s="39"/>
    </row>
    <row r="129" spans="1:12" x14ac:dyDescent="0.25">
      <c r="A129">
        <v>1800</v>
      </c>
      <c r="B129" s="164">
        <v>43168</v>
      </c>
      <c r="C129" s="10">
        <v>3000</v>
      </c>
      <c r="D129" s="39">
        <v>27.43</v>
      </c>
      <c r="E129" s="39">
        <v>24.08</v>
      </c>
      <c r="F129" s="39">
        <f t="shared" si="12"/>
        <v>-10050.000000000004</v>
      </c>
      <c r="G129" s="39">
        <f t="shared" si="13"/>
        <v>82290</v>
      </c>
      <c r="H129" s="179">
        <f t="shared" si="14"/>
        <v>-0.12212905577834493</v>
      </c>
      <c r="I129" s="39"/>
      <c r="J129" s="39"/>
      <c r="K129" s="39">
        <f t="shared" si="15"/>
        <v>-8302.0300000000097</v>
      </c>
      <c r="L129" s="39"/>
    </row>
    <row r="130" spans="1:12" x14ac:dyDescent="0.25">
      <c r="A130">
        <v>800</v>
      </c>
      <c r="B130" s="164">
        <v>43182</v>
      </c>
      <c r="C130" s="10">
        <v>3000</v>
      </c>
      <c r="D130" s="39">
        <v>27.152999999999999</v>
      </c>
      <c r="E130" s="39">
        <v>23.28</v>
      </c>
      <c r="F130" s="39">
        <f t="shared" si="12"/>
        <v>-11618.999999999993</v>
      </c>
      <c r="G130" s="39">
        <f t="shared" si="13"/>
        <v>81459</v>
      </c>
      <c r="H130" s="179">
        <f t="shared" si="14"/>
        <v>-0.1426361727985857</v>
      </c>
      <c r="I130" s="39">
        <v>27</v>
      </c>
      <c r="J130" s="39"/>
      <c r="K130" s="39">
        <f t="shared" si="15"/>
        <v>-9871.0299999999988</v>
      </c>
      <c r="L130" s="39"/>
    </row>
    <row r="131" spans="1:12" x14ac:dyDescent="0.25">
      <c r="A131">
        <v>600</v>
      </c>
      <c r="B131" s="164">
        <v>43188</v>
      </c>
      <c r="C131" s="10">
        <v>2800</v>
      </c>
      <c r="D131" s="39">
        <v>27.385000000000002</v>
      </c>
      <c r="E131" s="39">
        <v>23.94</v>
      </c>
      <c r="F131" s="39">
        <f t="shared" si="12"/>
        <v>-9646</v>
      </c>
      <c r="G131" s="39">
        <f t="shared" si="13"/>
        <v>76678</v>
      </c>
      <c r="H131" s="179">
        <f t="shared" si="14"/>
        <v>-0.12579879496074495</v>
      </c>
      <c r="I131" s="39"/>
      <c r="J131" s="39"/>
      <c r="K131" s="39">
        <f t="shared" si="15"/>
        <v>-7898.0300000000061</v>
      </c>
      <c r="L131" s="39"/>
    </row>
    <row r="132" spans="1:12" x14ac:dyDescent="0.25">
      <c r="A132">
        <v>300</v>
      </c>
      <c r="B132" s="164">
        <v>43194</v>
      </c>
      <c r="C132" s="10">
        <v>2500</v>
      </c>
      <c r="D132" s="39">
        <v>27.78</v>
      </c>
      <c r="E132" s="39">
        <v>24.08</v>
      </c>
      <c r="F132" s="39">
        <f t="shared" si="12"/>
        <v>-9250.0000000000073</v>
      </c>
      <c r="G132" s="39">
        <f t="shared" si="13"/>
        <v>69450</v>
      </c>
      <c r="H132" s="179">
        <f t="shared" si="14"/>
        <v>-0.13318934485241191</v>
      </c>
      <c r="I132" s="39"/>
      <c r="J132" s="39"/>
      <c r="K132" s="39">
        <f t="shared" si="15"/>
        <v>-7502.0300000000134</v>
      </c>
      <c r="L132" s="39"/>
    </row>
    <row r="133" spans="1:12" x14ac:dyDescent="0.25">
      <c r="A133">
        <v>1500</v>
      </c>
      <c r="B133" s="164">
        <v>43196</v>
      </c>
      <c r="C133" s="10">
        <v>2500</v>
      </c>
      <c r="D133" s="39">
        <v>27.78</v>
      </c>
      <c r="E133" s="39">
        <v>23.77</v>
      </c>
      <c r="F133" s="39">
        <f t="shared" si="12"/>
        <v>-10025.000000000004</v>
      </c>
      <c r="G133" s="39">
        <f t="shared" si="13"/>
        <v>69450</v>
      </c>
      <c r="H133" s="179">
        <f t="shared" si="14"/>
        <v>-0.14434845212383016</v>
      </c>
      <c r="I133" s="39"/>
      <c r="J133" s="39">
        <v>42</v>
      </c>
      <c r="K133" s="39">
        <f t="shared" si="15"/>
        <v>-8277.0300000000097</v>
      </c>
      <c r="L133" s="39">
        <v>11.6</v>
      </c>
    </row>
    <row r="134" spans="1:12" x14ac:dyDescent="0.25">
      <c r="A134">
        <v>1000</v>
      </c>
      <c r="B134" s="164">
        <v>43208</v>
      </c>
      <c r="C134" s="10">
        <v>2000</v>
      </c>
      <c r="D134" s="39">
        <v>28.556999999999999</v>
      </c>
      <c r="E134" s="39">
        <v>24.58</v>
      </c>
      <c r="F134" s="39">
        <f t="shared" si="12"/>
        <v>-7954.0000000000009</v>
      </c>
      <c r="G134" s="39">
        <f t="shared" si="13"/>
        <v>57114</v>
      </c>
      <c r="H134" s="179">
        <f t="shared" si="14"/>
        <v>-0.13926532899114055</v>
      </c>
      <c r="I134" s="39"/>
      <c r="J134" s="39"/>
      <c r="K134" s="39">
        <f t="shared" si="15"/>
        <v>-6206.030000000007</v>
      </c>
      <c r="L134" s="39"/>
    </row>
    <row r="135" spans="1:12" x14ac:dyDescent="0.25">
      <c r="A135">
        <v>1000</v>
      </c>
      <c r="B135" s="164">
        <v>43209</v>
      </c>
      <c r="C135" s="10">
        <v>2500</v>
      </c>
      <c r="D135" s="39">
        <v>27.681999999999999</v>
      </c>
      <c r="E135" s="39">
        <v>24.18</v>
      </c>
      <c r="F135" s="39">
        <f t="shared" si="12"/>
        <v>-8754.9999999999964</v>
      </c>
      <c r="G135" s="39">
        <f t="shared" si="13"/>
        <v>69205</v>
      </c>
      <c r="H135" s="179">
        <f t="shared" si="14"/>
        <v>-0.12650820027454659</v>
      </c>
      <c r="I135" s="39"/>
      <c r="J135" s="39"/>
      <c r="K135" s="39">
        <f t="shared" si="15"/>
        <v>-7007.0300000000025</v>
      </c>
      <c r="L135" s="39"/>
    </row>
    <row r="136" spans="1:12" x14ac:dyDescent="0.25">
      <c r="A136">
        <v>500</v>
      </c>
      <c r="B136" s="164">
        <v>43210</v>
      </c>
      <c r="C136" s="10">
        <v>2000</v>
      </c>
      <c r="D136" s="39">
        <v>28.3826</v>
      </c>
      <c r="E136" s="39">
        <v>24.88</v>
      </c>
      <c r="F136" s="39">
        <f t="shared" si="12"/>
        <v>-7005.2000000000025</v>
      </c>
      <c r="G136" s="39">
        <f t="shared" si="13"/>
        <v>56765.2</v>
      </c>
      <c r="H136" s="179">
        <f t="shared" si="14"/>
        <v>-0.12340659418094188</v>
      </c>
      <c r="I136" s="39"/>
      <c r="J136" s="39"/>
      <c r="K136" s="39">
        <f t="shared" si="15"/>
        <v>-5257.2300000000087</v>
      </c>
      <c r="L136" s="39"/>
    </row>
    <row r="137" spans="1:12" x14ac:dyDescent="0.25">
      <c r="A137">
        <v>1500</v>
      </c>
      <c r="B137" s="164">
        <v>43211</v>
      </c>
      <c r="C137" s="10">
        <v>2500</v>
      </c>
      <c r="D137" s="39">
        <v>27.562000000000001</v>
      </c>
      <c r="E137" s="39">
        <v>24.28</v>
      </c>
      <c r="F137" s="39">
        <f t="shared" ref="F137:F159" si="16">C137*(E137-D137)</f>
        <v>-8205</v>
      </c>
      <c r="G137" s="39">
        <f t="shared" ref="G137:G159" si="17">D137*C137</f>
        <v>68905</v>
      </c>
      <c r="H137" s="179">
        <f t="shared" ref="H137:H159" si="18">(E137-D137)/D137</f>
        <v>-0.11907699005877657</v>
      </c>
      <c r="I137" s="39">
        <v>27</v>
      </c>
      <c r="J137" s="39"/>
      <c r="K137" s="39">
        <f t="shared" si="15"/>
        <v>-6457.0300000000061</v>
      </c>
      <c r="L137" s="39">
        <v>11.77</v>
      </c>
    </row>
    <row r="138" spans="1:12" x14ac:dyDescent="0.25">
      <c r="A138">
        <v>1200</v>
      </c>
      <c r="B138" s="164">
        <v>43213</v>
      </c>
      <c r="C138" s="10">
        <v>2200</v>
      </c>
      <c r="D138" s="39">
        <v>27.94</v>
      </c>
      <c r="E138" s="39">
        <v>24.79</v>
      </c>
      <c r="F138" s="39">
        <f t="shared" si="16"/>
        <v>-6930.0000000000045</v>
      </c>
      <c r="G138" s="39">
        <f t="shared" si="17"/>
        <v>61468</v>
      </c>
      <c r="H138" s="179">
        <f t="shared" si="18"/>
        <v>-0.11274158911954195</v>
      </c>
      <c r="I138" s="39"/>
      <c r="J138" s="39"/>
      <c r="K138" s="39">
        <f t="shared" si="15"/>
        <v>-5182.0300000000107</v>
      </c>
      <c r="L138" s="39"/>
    </row>
    <row r="139" spans="1:12" x14ac:dyDescent="0.25">
      <c r="A139">
        <v>700</v>
      </c>
      <c r="B139" s="164">
        <v>43214</v>
      </c>
      <c r="C139" s="10">
        <v>1700</v>
      </c>
      <c r="D139" s="39">
        <v>28.72</v>
      </c>
      <c r="E139" s="39">
        <v>25.38</v>
      </c>
      <c r="F139" s="39">
        <f t="shared" si="16"/>
        <v>-5678</v>
      </c>
      <c r="G139" s="39">
        <f t="shared" si="17"/>
        <v>48824</v>
      </c>
      <c r="H139" s="179">
        <f t="shared" si="18"/>
        <v>-0.11629526462395544</v>
      </c>
      <c r="I139" s="39"/>
      <c r="J139" s="39"/>
      <c r="K139" s="39">
        <f t="shared" si="15"/>
        <v>-3930.0300000000061</v>
      </c>
      <c r="L139" s="39"/>
    </row>
    <row r="140" spans="1:12" x14ac:dyDescent="0.25">
      <c r="A140">
        <v>500</v>
      </c>
      <c r="B140" s="164">
        <v>43220</v>
      </c>
      <c r="C140" s="395">
        <v>1500</v>
      </c>
      <c r="D140" s="397">
        <v>29.102</v>
      </c>
      <c r="E140" s="39">
        <v>25.19</v>
      </c>
      <c r="F140" s="39">
        <f t="shared" si="16"/>
        <v>-5867.9999999999982</v>
      </c>
      <c r="G140" s="39">
        <f t="shared" si="17"/>
        <v>43653</v>
      </c>
      <c r="H140" s="179">
        <f t="shared" si="18"/>
        <v>-0.13442375094495221</v>
      </c>
      <c r="I140" s="39"/>
      <c r="J140" s="39"/>
      <c r="K140" s="39">
        <f t="shared" si="15"/>
        <v>-4120.0300000000043</v>
      </c>
      <c r="L140" s="39"/>
    </row>
    <row r="141" spans="1:12" x14ac:dyDescent="0.25">
      <c r="A141">
        <v>500</v>
      </c>
      <c r="B141" s="164">
        <v>43220</v>
      </c>
      <c r="C141" s="10">
        <v>1700</v>
      </c>
      <c r="D141" s="39">
        <v>28.666</v>
      </c>
      <c r="E141" s="39">
        <v>25.19</v>
      </c>
      <c r="F141" s="39">
        <f t="shared" si="16"/>
        <v>-5909.1999999999989</v>
      </c>
      <c r="G141" s="39">
        <f t="shared" si="17"/>
        <v>48732.2</v>
      </c>
      <c r="H141" s="179">
        <f t="shared" si="18"/>
        <v>-0.12125863392171908</v>
      </c>
      <c r="I141" s="39"/>
      <c r="J141" s="39"/>
      <c r="K141" s="39">
        <f t="shared" si="15"/>
        <v>-4161.230000000005</v>
      </c>
      <c r="L141" s="39"/>
    </row>
    <row r="142" spans="1:12" x14ac:dyDescent="0.25">
      <c r="A142">
        <v>500</v>
      </c>
      <c r="B142" s="164">
        <v>43221</v>
      </c>
      <c r="C142" s="10">
        <v>2000</v>
      </c>
      <c r="D142" s="39">
        <v>28.064</v>
      </c>
      <c r="E142" s="39">
        <v>24.76</v>
      </c>
      <c r="F142" s="39">
        <f t="shared" si="16"/>
        <v>-6607.9999999999973</v>
      </c>
      <c r="G142" s="39">
        <f t="shared" si="17"/>
        <v>56128</v>
      </c>
      <c r="H142" s="179">
        <f t="shared" si="18"/>
        <v>-0.11773090079817554</v>
      </c>
      <c r="I142" s="39"/>
      <c r="J142" s="39"/>
      <c r="K142" s="39">
        <f t="shared" si="15"/>
        <v>-4860.0300000000034</v>
      </c>
      <c r="L142" s="39">
        <v>12.08</v>
      </c>
    </row>
    <row r="143" spans="1:12" x14ac:dyDescent="0.25">
      <c r="A143">
        <v>500</v>
      </c>
      <c r="B143" s="164">
        <v>43226</v>
      </c>
      <c r="C143" s="10">
        <v>2000</v>
      </c>
      <c r="D143" s="39">
        <v>28.06</v>
      </c>
      <c r="E143" s="39">
        <v>24.14</v>
      </c>
      <c r="F143" s="39">
        <f t="shared" si="16"/>
        <v>-7839.9999999999964</v>
      </c>
      <c r="G143" s="39">
        <f t="shared" si="17"/>
        <v>56120</v>
      </c>
      <c r="H143" s="179">
        <f t="shared" si="18"/>
        <v>-0.13970064148253736</v>
      </c>
      <c r="I143" s="39"/>
      <c r="J143" s="39">
        <v>44.98</v>
      </c>
      <c r="K143" s="39">
        <f t="shared" si="15"/>
        <v>-6092.0300000000025</v>
      </c>
      <c r="L143" s="39">
        <v>11.78</v>
      </c>
    </row>
    <row r="144" spans="1:12" x14ac:dyDescent="0.25">
      <c r="A144">
        <v>500</v>
      </c>
      <c r="B144" s="164">
        <v>43233</v>
      </c>
      <c r="C144" s="10">
        <v>2000</v>
      </c>
      <c r="D144" s="39">
        <v>28.06</v>
      </c>
      <c r="E144" s="39">
        <v>24.57</v>
      </c>
      <c r="F144" s="39">
        <f t="shared" si="16"/>
        <v>-6979.9999999999973</v>
      </c>
      <c r="G144" s="39">
        <f t="shared" si="17"/>
        <v>56120</v>
      </c>
      <c r="H144" s="179">
        <f t="shared" si="18"/>
        <v>-0.12437633642195291</v>
      </c>
      <c r="I144" s="39"/>
      <c r="J144" s="39">
        <v>51.33</v>
      </c>
      <c r="K144" s="39">
        <f t="shared" si="15"/>
        <v>-5232.0300000000034</v>
      </c>
      <c r="L144" s="39">
        <v>11.99</v>
      </c>
    </row>
    <row r="145" spans="1:12" x14ac:dyDescent="0.25">
      <c r="A145">
        <v>200</v>
      </c>
      <c r="B145" s="164">
        <v>43237</v>
      </c>
      <c r="C145" s="10">
        <v>2000</v>
      </c>
      <c r="D145" s="39">
        <v>27.992000000000001</v>
      </c>
      <c r="E145" s="39">
        <v>25.3</v>
      </c>
      <c r="F145" s="39">
        <f t="shared" si="16"/>
        <v>-5384</v>
      </c>
      <c r="G145" s="39">
        <f t="shared" si="17"/>
        <v>55984</v>
      </c>
      <c r="H145" s="179">
        <f t="shared" si="18"/>
        <v>-9.617033438125179E-2</v>
      </c>
      <c r="I145" s="39"/>
      <c r="J145" s="39"/>
      <c r="K145" s="39">
        <f t="shared" si="15"/>
        <v>-3636.0300000000061</v>
      </c>
      <c r="L145" s="39"/>
    </row>
    <row r="146" spans="1:12" x14ac:dyDescent="0.25">
      <c r="A146">
        <v>1200</v>
      </c>
      <c r="B146" s="164">
        <v>43239</v>
      </c>
      <c r="C146" s="10">
        <v>2000</v>
      </c>
      <c r="D146" s="39">
        <v>27.992000000000001</v>
      </c>
      <c r="E146" s="39">
        <v>24.89</v>
      </c>
      <c r="F146" s="39">
        <f t="shared" si="16"/>
        <v>-6204.0000000000009</v>
      </c>
      <c r="G146" s="39">
        <f t="shared" si="17"/>
        <v>55984</v>
      </c>
      <c r="H146" s="179">
        <f t="shared" si="18"/>
        <v>-0.11081737639325523</v>
      </c>
      <c r="I146" s="39"/>
      <c r="J146" s="39"/>
      <c r="K146" s="39">
        <f t="shared" si="15"/>
        <v>-4456.030000000007</v>
      </c>
      <c r="L146" s="39">
        <v>12.14</v>
      </c>
    </row>
    <row r="147" spans="1:12" x14ac:dyDescent="0.25">
      <c r="A147">
        <v>1200</v>
      </c>
      <c r="B147" s="164">
        <v>43241</v>
      </c>
      <c r="C147" s="10">
        <v>2000</v>
      </c>
      <c r="D147" s="39">
        <v>27.992000000000001</v>
      </c>
      <c r="E147" s="39">
        <v>24.77</v>
      </c>
      <c r="F147" s="39">
        <f t="shared" si="16"/>
        <v>-6444.0000000000027</v>
      </c>
      <c r="G147" s="39">
        <f t="shared" si="17"/>
        <v>55984</v>
      </c>
      <c r="H147" s="179">
        <f t="shared" si="18"/>
        <v>-0.11510431551871968</v>
      </c>
      <c r="I147" s="39"/>
      <c r="J147" s="39"/>
      <c r="K147" s="39">
        <f t="shared" si="15"/>
        <v>-4696.0300000000088</v>
      </c>
      <c r="L147" s="39">
        <v>12.08</v>
      </c>
    </row>
    <row r="148" spans="1:12" x14ac:dyDescent="0.25">
      <c r="A148">
        <v>1200</v>
      </c>
      <c r="B148" s="164">
        <v>43243</v>
      </c>
      <c r="C148" s="10">
        <v>2200</v>
      </c>
      <c r="D148" s="39">
        <v>27.68</v>
      </c>
      <c r="E148" s="39">
        <v>24.57</v>
      </c>
      <c r="F148" s="39">
        <f t="shared" si="16"/>
        <v>-6841.9999999999991</v>
      </c>
      <c r="G148" s="39">
        <f t="shared" si="17"/>
        <v>60896</v>
      </c>
      <c r="H148" s="179">
        <f t="shared" si="18"/>
        <v>-0.11235549132947975</v>
      </c>
      <c r="I148" s="39"/>
      <c r="J148" s="39"/>
      <c r="K148" s="39">
        <f t="shared" si="15"/>
        <v>-5094.0300000000052</v>
      </c>
      <c r="L148" s="39">
        <v>11.99</v>
      </c>
    </row>
    <row r="149" spans="1:12" x14ac:dyDescent="0.25">
      <c r="A149">
        <v>1700</v>
      </c>
      <c r="B149" s="164">
        <v>43252</v>
      </c>
      <c r="C149" s="10">
        <v>2200</v>
      </c>
      <c r="D149" s="39">
        <v>27.567</v>
      </c>
      <c r="E149" s="39">
        <v>24.42</v>
      </c>
      <c r="F149" s="39">
        <f t="shared" si="16"/>
        <v>-6923.3999999999969</v>
      </c>
      <c r="G149" s="39">
        <f t="shared" si="17"/>
        <v>60647.4</v>
      </c>
      <c r="H149" s="179">
        <f t="shared" si="18"/>
        <v>-0.11415823266949608</v>
      </c>
      <c r="I149" s="39"/>
      <c r="J149" s="39"/>
      <c r="K149" s="39">
        <f t="shared" si="15"/>
        <v>-5175.430000000003</v>
      </c>
      <c r="L149" s="39">
        <v>11.91</v>
      </c>
    </row>
    <row r="150" spans="1:12" x14ac:dyDescent="0.25">
      <c r="A150">
        <v>1500</v>
      </c>
      <c r="B150" s="164">
        <v>43259</v>
      </c>
      <c r="C150" s="10">
        <v>2000</v>
      </c>
      <c r="D150" s="39">
        <v>27.788</v>
      </c>
      <c r="E150" s="39">
        <v>25.36</v>
      </c>
      <c r="F150" s="39">
        <f t="shared" si="16"/>
        <v>-4856.0000000000018</v>
      </c>
      <c r="G150" s="39">
        <f t="shared" si="17"/>
        <v>55576</v>
      </c>
      <c r="H150" s="179">
        <f t="shared" si="18"/>
        <v>-8.7375845688786549E-2</v>
      </c>
      <c r="I150" s="39"/>
      <c r="J150" s="39"/>
      <c r="K150" s="39">
        <f t="shared" si="15"/>
        <v>-3108.0300000000079</v>
      </c>
      <c r="L150" s="39">
        <v>12.37</v>
      </c>
    </row>
    <row r="151" spans="1:12" x14ac:dyDescent="0.25">
      <c r="A151">
        <v>1000</v>
      </c>
      <c r="B151" s="164">
        <v>43264</v>
      </c>
      <c r="C151" s="395">
        <v>1500</v>
      </c>
      <c r="D151" s="397">
        <v>28.324000000000002</v>
      </c>
      <c r="E151" s="39">
        <v>26.01</v>
      </c>
      <c r="F151" s="39">
        <f t="shared" si="16"/>
        <v>-3471</v>
      </c>
      <c r="G151" s="39">
        <f t="shared" si="17"/>
        <v>42486</v>
      </c>
      <c r="H151" s="179">
        <f t="shared" si="18"/>
        <v>-8.1697500353057478E-2</v>
      </c>
      <c r="I151" s="757" t="s">
        <v>1098</v>
      </c>
      <c r="J151" s="39"/>
      <c r="K151" s="39">
        <f t="shared" si="15"/>
        <v>-1723.0300000000061</v>
      </c>
      <c r="L151" s="39">
        <v>12.69</v>
      </c>
    </row>
    <row r="152" spans="1:12" x14ac:dyDescent="0.25">
      <c r="A152">
        <v>1000</v>
      </c>
      <c r="B152" s="164">
        <v>43266</v>
      </c>
      <c r="C152" s="10">
        <v>1720</v>
      </c>
      <c r="D152" s="39">
        <v>27.998699999999999</v>
      </c>
      <c r="E152" s="39">
        <v>25.88</v>
      </c>
      <c r="F152" s="39">
        <f t="shared" si="16"/>
        <v>-3644.1640000000007</v>
      </c>
      <c r="G152" s="39">
        <f t="shared" si="17"/>
        <v>48157.763999999996</v>
      </c>
      <c r="H152" s="179">
        <f t="shared" si="18"/>
        <v>-7.5671370456485504E-2</v>
      </c>
      <c r="I152" s="39"/>
      <c r="J152" s="39"/>
      <c r="K152" s="39">
        <f t="shared" si="15"/>
        <v>-1896.1940000000068</v>
      </c>
      <c r="L152" s="39">
        <v>12.62</v>
      </c>
    </row>
    <row r="153" spans="1:12" x14ac:dyDescent="0.25">
      <c r="A153">
        <v>1080</v>
      </c>
      <c r="B153" s="164">
        <v>43269</v>
      </c>
      <c r="C153" s="395">
        <v>1500</v>
      </c>
      <c r="D153" s="397">
        <v>28.265499999999999</v>
      </c>
      <c r="E153" s="39">
        <v>26.009899999999998</v>
      </c>
      <c r="F153" s="39">
        <f t="shared" si="16"/>
        <v>-3383.4000000000019</v>
      </c>
      <c r="G153" s="39">
        <f t="shared" si="17"/>
        <v>42398.25</v>
      </c>
      <c r="H153" s="179">
        <f t="shared" si="18"/>
        <v>-7.9800463462525034E-2</v>
      </c>
      <c r="I153" s="39"/>
      <c r="J153" s="39"/>
      <c r="K153" s="39">
        <f t="shared" si="15"/>
        <v>-1635.430000000008</v>
      </c>
      <c r="L153" s="39">
        <v>12.69</v>
      </c>
    </row>
    <row r="154" spans="1:12" x14ac:dyDescent="0.25">
      <c r="A154">
        <v>780</v>
      </c>
      <c r="B154" s="164">
        <v>43271</v>
      </c>
      <c r="C154" s="395">
        <v>1500</v>
      </c>
      <c r="D154" s="397">
        <v>28.0626</v>
      </c>
      <c r="E154" s="39">
        <v>28.73</v>
      </c>
      <c r="F154" s="39">
        <f t="shared" si="16"/>
        <v>1001.100000000001</v>
      </c>
      <c r="G154" s="39">
        <f t="shared" si="17"/>
        <v>42093.9</v>
      </c>
      <c r="H154" s="179">
        <f t="shared" si="18"/>
        <v>2.3782543313876855E-2</v>
      </c>
      <c r="I154" s="39"/>
      <c r="J154" s="39"/>
      <c r="K154" s="39">
        <f t="shared" si="15"/>
        <v>2749.0699999999952</v>
      </c>
      <c r="L154" s="39">
        <v>14.01</v>
      </c>
    </row>
    <row r="155" spans="1:12" x14ac:dyDescent="0.25">
      <c r="A155">
        <v>-220</v>
      </c>
      <c r="B155" s="164">
        <v>43273</v>
      </c>
      <c r="C155" s="395">
        <v>1500</v>
      </c>
      <c r="D155" s="397">
        <v>27.71583</v>
      </c>
      <c r="E155" s="39">
        <v>29.69</v>
      </c>
      <c r="F155" s="39">
        <f t="shared" si="16"/>
        <v>2961.2550000000015</v>
      </c>
      <c r="G155" s="39">
        <f t="shared" si="17"/>
        <v>41573.745000000003</v>
      </c>
      <c r="H155" s="179">
        <f t="shared" si="18"/>
        <v>7.1228969148677879E-2</v>
      </c>
      <c r="I155" s="39"/>
      <c r="J155" s="39"/>
      <c r="K155" s="39">
        <f t="shared" ref="K155:K166" si="19">F155+$Q$10</f>
        <v>4709.2249999999949</v>
      </c>
      <c r="L155" s="39">
        <v>14.48</v>
      </c>
    </row>
    <row r="156" spans="1:12" x14ac:dyDescent="0.25">
      <c r="A156">
        <v>0</v>
      </c>
      <c r="B156" s="164">
        <v>43278</v>
      </c>
      <c r="C156" s="10">
        <v>1500</v>
      </c>
      <c r="D156" s="39">
        <v>27.72</v>
      </c>
      <c r="E156" s="39">
        <v>29.01</v>
      </c>
      <c r="F156" s="39">
        <f t="shared" si="16"/>
        <v>1935.0000000000041</v>
      </c>
      <c r="G156" s="39">
        <f t="shared" si="17"/>
        <v>41580</v>
      </c>
      <c r="H156" s="179">
        <f t="shared" si="18"/>
        <v>4.6536796536796633E-2</v>
      </c>
      <c r="I156" s="39"/>
      <c r="J156" s="39"/>
      <c r="K156" s="39">
        <f t="shared" si="19"/>
        <v>3682.969999999998</v>
      </c>
      <c r="L156" s="39">
        <v>14.15</v>
      </c>
    </row>
    <row r="157" spans="1:12" x14ac:dyDescent="0.25">
      <c r="A157">
        <v>0</v>
      </c>
      <c r="B157" s="164">
        <v>43285</v>
      </c>
      <c r="C157" s="10">
        <v>1500</v>
      </c>
      <c r="D157" s="39">
        <v>27.72</v>
      </c>
      <c r="E157" s="39">
        <v>28.7</v>
      </c>
      <c r="F157" s="39">
        <f t="shared" si="16"/>
        <v>1470.0000000000007</v>
      </c>
      <c r="G157" s="39">
        <f t="shared" si="17"/>
        <v>41580</v>
      </c>
      <c r="H157" s="179">
        <f t="shared" si="18"/>
        <v>3.5353535353535373E-2</v>
      </c>
      <c r="I157" s="39"/>
      <c r="J157" s="39"/>
      <c r="K157" s="39">
        <f t="shared" si="19"/>
        <v>3217.9699999999948</v>
      </c>
      <c r="L157" s="39">
        <v>13.88</v>
      </c>
    </row>
    <row r="158" spans="1:12" x14ac:dyDescent="0.25">
      <c r="A158">
        <v>0</v>
      </c>
      <c r="B158" s="164">
        <v>43288</v>
      </c>
      <c r="C158" s="10">
        <v>1500</v>
      </c>
      <c r="D158" s="39">
        <v>27.72</v>
      </c>
      <c r="E158" s="39">
        <v>29.1</v>
      </c>
      <c r="F158" s="39">
        <f t="shared" si="16"/>
        <v>2070.0000000000036</v>
      </c>
      <c r="G158" s="39">
        <f t="shared" si="17"/>
        <v>41580</v>
      </c>
      <c r="H158" s="179">
        <f t="shared" si="18"/>
        <v>4.9783549783549881E-2</v>
      </c>
      <c r="I158" s="39"/>
      <c r="J158" s="39"/>
      <c r="K158" s="39">
        <f t="shared" si="19"/>
        <v>3817.9699999999975</v>
      </c>
      <c r="L158" s="39">
        <v>14.03</v>
      </c>
    </row>
    <row r="159" spans="1:12" x14ac:dyDescent="0.25">
      <c r="A159">
        <v>200</v>
      </c>
      <c r="B159" s="164">
        <v>43296</v>
      </c>
      <c r="C159" s="10">
        <v>1500</v>
      </c>
      <c r="D159" s="39">
        <v>27.72</v>
      </c>
      <c r="E159" s="39">
        <v>28.05</v>
      </c>
      <c r="F159" s="39">
        <f t="shared" si="16"/>
        <v>495.00000000000279</v>
      </c>
      <c r="G159" s="39">
        <f t="shared" si="17"/>
        <v>41580</v>
      </c>
      <c r="H159" s="179">
        <f t="shared" si="18"/>
        <v>1.1904761904761972E-2</v>
      </c>
      <c r="I159" s="39"/>
      <c r="J159" s="39"/>
      <c r="K159" s="39">
        <f t="shared" si="19"/>
        <v>2242.9699999999966</v>
      </c>
      <c r="L159" s="39">
        <v>13.52</v>
      </c>
    </row>
    <row r="160" spans="1:12" x14ac:dyDescent="0.25">
      <c r="A160">
        <v>1500</v>
      </c>
      <c r="B160" s="164">
        <v>43310</v>
      </c>
      <c r="C160" s="10">
        <v>1500</v>
      </c>
      <c r="D160" s="39">
        <v>27.72</v>
      </c>
      <c r="E160" s="39">
        <v>28.7</v>
      </c>
      <c r="F160" s="39">
        <f t="shared" ref="F160:F165" si="20">C160*(E160-D160)</f>
        <v>1470.0000000000007</v>
      </c>
      <c r="G160" s="39">
        <f t="shared" ref="G160:G165" si="21">D160*C160</f>
        <v>41580</v>
      </c>
      <c r="H160" s="179">
        <f t="shared" ref="H160:H165" si="22">(E160-D160)/D160</f>
        <v>3.5353535353535373E-2</v>
      </c>
      <c r="I160" s="39"/>
      <c r="J160" s="39"/>
      <c r="K160" s="39">
        <f t="shared" si="19"/>
        <v>3217.9699999999948</v>
      </c>
      <c r="L160" s="39">
        <v>13.83</v>
      </c>
    </row>
    <row r="161" spans="1:12" x14ac:dyDescent="0.25">
      <c r="A161">
        <v>1500</v>
      </c>
      <c r="B161" s="164">
        <v>43312</v>
      </c>
      <c r="C161" s="10">
        <v>1500</v>
      </c>
      <c r="D161" s="39">
        <v>27.72</v>
      </c>
      <c r="E161" s="39">
        <v>29</v>
      </c>
      <c r="F161" s="39">
        <f t="shared" si="20"/>
        <v>1920.0000000000018</v>
      </c>
      <c r="G161" s="39">
        <f t="shared" si="21"/>
        <v>41580</v>
      </c>
      <c r="H161" s="179">
        <f t="shared" si="22"/>
        <v>4.6176046176046218E-2</v>
      </c>
      <c r="I161" s="39"/>
      <c r="J161" s="39"/>
      <c r="K161" s="39">
        <f t="shared" si="19"/>
        <v>3667.9699999999957</v>
      </c>
      <c r="L161" s="39">
        <v>13.98</v>
      </c>
    </row>
    <row r="162" spans="1:12" x14ac:dyDescent="0.25">
      <c r="A162">
        <v>1500</v>
      </c>
      <c r="B162" s="164">
        <v>43316</v>
      </c>
      <c r="C162" s="10">
        <v>1500</v>
      </c>
      <c r="D162" s="39">
        <v>27.72</v>
      </c>
      <c r="E162" s="39">
        <v>29.93</v>
      </c>
      <c r="F162" s="39">
        <f t="shared" si="20"/>
        <v>3315.0000000000014</v>
      </c>
      <c r="G162" s="39">
        <f t="shared" si="21"/>
        <v>41580</v>
      </c>
      <c r="H162" s="179">
        <f t="shared" si="22"/>
        <v>7.9725829725829755E-2</v>
      </c>
      <c r="I162" s="39"/>
      <c r="J162" s="39"/>
      <c r="K162" s="39">
        <f t="shared" si="19"/>
        <v>5062.9699999999957</v>
      </c>
      <c r="L162" s="39">
        <v>14.42</v>
      </c>
    </row>
    <row r="163" spans="1:12" x14ac:dyDescent="0.25">
      <c r="A163">
        <v>0</v>
      </c>
      <c r="B163" s="164">
        <v>43320</v>
      </c>
      <c r="C163" s="10">
        <v>0</v>
      </c>
      <c r="D163" s="39">
        <v>27.72</v>
      </c>
      <c r="E163" s="39">
        <v>30.61</v>
      </c>
      <c r="F163" s="39">
        <f t="shared" si="20"/>
        <v>0</v>
      </c>
      <c r="G163" s="39">
        <f t="shared" si="21"/>
        <v>0</v>
      </c>
      <c r="H163" s="179">
        <f t="shared" si="22"/>
        <v>0.10425685425685428</v>
      </c>
      <c r="I163" s="39"/>
      <c r="J163" s="39"/>
      <c r="K163" s="39">
        <v>5063</v>
      </c>
      <c r="L163" s="39">
        <v>14.75</v>
      </c>
    </row>
    <row r="164" spans="1:12" x14ac:dyDescent="0.25">
      <c r="A164">
        <v>0</v>
      </c>
      <c r="B164" s="164">
        <v>43321</v>
      </c>
      <c r="C164" s="185">
        <v>300</v>
      </c>
      <c r="D164" s="186">
        <v>16.07</v>
      </c>
      <c r="E164" s="39">
        <v>29.82</v>
      </c>
      <c r="F164" s="39">
        <f t="shared" si="20"/>
        <v>4125</v>
      </c>
      <c r="G164" s="39">
        <f t="shared" si="21"/>
        <v>4821</v>
      </c>
      <c r="H164" s="179">
        <f t="shared" si="22"/>
        <v>0.85563161169881763</v>
      </c>
      <c r="I164" s="39"/>
      <c r="J164" s="39"/>
      <c r="K164" s="39">
        <f t="shared" si="19"/>
        <v>5872.9699999999939</v>
      </c>
      <c r="L164" s="39">
        <v>14.37</v>
      </c>
    </row>
    <row r="165" spans="1:12" x14ac:dyDescent="0.25">
      <c r="A165">
        <v>0</v>
      </c>
      <c r="B165" s="164">
        <v>43328</v>
      </c>
      <c r="C165" s="10">
        <v>300</v>
      </c>
      <c r="D165" s="39">
        <v>16.07</v>
      </c>
      <c r="E165" s="39">
        <v>30.53</v>
      </c>
      <c r="F165" s="39">
        <f t="shared" si="20"/>
        <v>4338</v>
      </c>
      <c r="G165" s="39">
        <f t="shared" si="21"/>
        <v>4821</v>
      </c>
      <c r="H165" s="179">
        <f t="shared" si="22"/>
        <v>0.89981331673926579</v>
      </c>
      <c r="I165" s="39"/>
      <c r="J165" s="39"/>
      <c r="K165" s="39">
        <f t="shared" si="19"/>
        <v>6085.9699999999939</v>
      </c>
      <c r="L165" s="39"/>
    </row>
    <row r="166" spans="1:12" x14ac:dyDescent="0.25">
      <c r="A166">
        <v>0</v>
      </c>
      <c r="B166" s="164">
        <v>43329</v>
      </c>
      <c r="C166" s="10">
        <v>300</v>
      </c>
      <c r="D166" s="39">
        <v>16.07</v>
      </c>
      <c r="E166" s="39">
        <v>31.35</v>
      </c>
      <c r="F166" s="39">
        <f t="shared" ref="F166:F178" si="23">C166*(E166-D166)</f>
        <v>4584</v>
      </c>
      <c r="G166" s="39">
        <f t="shared" ref="G166:G178" si="24">D166*C166</f>
        <v>4821</v>
      </c>
      <c r="H166" s="179">
        <f t="shared" ref="H166:H178" si="25">(E166-D166)/D166</f>
        <v>0.95084007467330434</v>
      </c>
      <c r="I166" s="39"/>
      <c r="J166" s="39"/>
      <c r="K166" s="39">
        <f t="shared" si="19"/>
        <v>6331.9699999999939</v>
      </c>
      <c r="L166" s="39"/>
    </row>
    <row r="167" spans="1:12" x14ac:dyDescent="0.25">
      <c r="A167">
        <v>0</v>
      </c>
      <c r="B167" s="164">
        <v>43341</v>
      </c>
      <c r="C167" s="10">
        <v>300</v>
      </c>
      <c r="D167" s="39">
        <v>16.07</v>
      </c>
      <c r="E167" s="39">
        <v>30.68</v>
      </c>
      <c r="F167" s="39">
        <f t="shared" si="23"/>
        <v>4383</v>
      </c>
      <c r="G167" s="39">
        <f t="shared" si="24"/>
        <v>4821</v>
      </c>
      <c r="H167" s="179">
        <f t="shared" si="25"/>
        <v>0.90914747977597998</v>
      </c>
      <c r="I167" s="39"/>
      <c r="J167" s="39"/>
      <c r="K167" s="39">
        <f t="shared" ref="K167:K173" si="26">F167+$Q$10</f>
        <v>6130.9699999999939</v>
      </c>
      <c r="L167" s="39">
        <v>14.79</v>
      </c>
    </row>
    <row r="168" spans="1:12" x14ac:dyDescent="0.25">
      <c r="A168" s="1">
        <v>43353</v>
      </c>
      <c r="B168" s="164">
        <v>43343</v>
      </c>
      <c r="C168" s="10">
        <v>300</v>
      </c>
      <c r="D168" s="39">
        <v>16.07</v>
      </c>
      <c r="E168" s="39">
        <v>31.5</v>
      </c>
      <c r="F168" s="39">
        <f t="shared" si="23"/>
        <v>4629</v>
      </c>
      <c r="G168" s="39">
        <f t="shared" si="24"/>
        <v>4821</v>
      </c>
      <c r="H168" s="179">
        <f t="shared" si="25"/>
        <v>0.96017423771001864</v>
      </c>
      <c r="I168" s="39"/>
      <c r="J168" s="39"/>
      <c r="K168" s="778">
        <f t="shared" si="26"/>
        <v>6376.9699999999939</v>
      </c>
      <c r="L168" s="39">
        <v>15.18</v>
      </c>
    </row>
    <row r="169" spans="1:12" x14ac:dyDescent="0.25">
      <c r="A169" s="1">
        <v>43353</v>
      </c>
      <c r="B169" s="164">
        <v>43347</v>
      </c>
      <c r="C169" s="10">
        <v>300</v>
      </c>
      <c r="D169" s="39">
        <v>15.930999999999999</v>
      </c>
      <c r="E169" s="39">
        <v>31.9</v>
      </c>
      <c r="F169" s="39">
        <f t="shared" si="23"/>
        <v>4790.7</v>
      </c>
      <c r="G169" s="39">
        <f t="shared" si="24"/>
        <v>4779.3</v>
      </c>
      <c r="H169" s="179">
        <f t="shared" si="25"/>
        <v>1.0023852865482392</v>
      </c>
      <c r="I169" s="39"/>
      <c r="J169" s="39"/>
      <c r="K169" s="778">
        <f t="shared" si="26"/>
        <v>6538.6699999999937</v>
      </c>
      <c r="L169" s="39">
        <v>15.37</v>
      </c>
    </row>
    <row r="170" spans="1:12" x14ac:dyDescent="0.25">
      <c r="A170">
        <v>300</v>
      </c>
      <c r="B170" s="164">
        <v>43355</v>
      </c>
      <c r="C170" s="185">
        <v>300</v>
      </c>
      <c r="D170" s="186">
        <v>15.930999999999999</v>
      </c>
      <c r="E170" s="39">
        <v>31.73</v>
      </c>
      <c r="F170" s="39">
        <f t="shared" si="23"/>
        <v>4739.7000000000007</v>
      </c>
      <c r="G170" s="39">
        <f t="shared" si="24"/>
        <v>4779.3</v>
      </c>
      <c r="H170" s="179">
        <f t="shared" si="25"/>
        <v>0.99171426777980054</v>
      </c>
      <c r="I170" s="39"/>
      <c r="J170" s="39"/>
      <c r="K170" s="778">
        <f t="shared" si="26"/>
        <v>6487.6699999999946</v>
      </c>
      <c r="L170" s="39"/>
    </row>
    <row r="171" spans="1:12" x14ac:dyDescent="0.25">
      <c r="A171">
        <v>300</v>
      </c>
      <c r="B171" s="164">
        <v>43356</v>
      </c>
      <c r="C171" s="10">
        <v>500</v>
      </c>
      <c r="D171" s="39">
        <v>20.9587</v>
      </c>
      <c r="E171" s="39">
        <v>28.58</v>
      </c>
      <c r="F171" s="39">
        <f t="shared" si="23"/>
        <v>3810.6499999999992</v>
      </c>
      <c r="G171" s="39">
        <f t="shared" si="24"/>
        <v>10479.35</v>
      </c>
      <c r="H171" s="179">
        <f t="shared" si="25"/>
        <v>0.36363419486895648</v>
      </c>
      <c r="I171" s="39"/>
      <c r="J171" s="39"/>
      <c r="K171" s="39">
        <f t="shared" si="26"/>
        <v>5558.6199999999935</v>
      </c>
      <c r="L171" s="39">
        <v>13.77</v>
      </c>
    </row>
    <row r="172" spans="1:12" x14ac:dyDescent="0.25">
      <c r="A172">
        <v>300</v>
      </c>
      <c r="B172" s="164">
        <v>43357</v>
      </c>
      <c r="C172" s="7">
        <v>600</v>
      </c>
      <c r="D172" s="43">
        <v>22.106999999999999</v>
      </c>
      <c r="E172" s="39">
        <v>27.8</v>
      </c>
      <c r="F172" s="39">
        <f t="shared" si="23"/>
        <v>3415.8000000000006</v>
      </c>
      <c r="G172" s="39">
        <f t="shared" si="24"/>
        <v>13264.199999999999</v>
      </c>
      <c r="H172" s="179">
        <f t="shared" si="25"/>
        <v>0.25752024245714034</v>
      </c>
      <c r="I172" s="39"/>
      <c r="J172" s="39"/>
      <c r="K172" s="39">
        <f t="shared" si="26"/>
        <v>5163.769999999995</v>
      </c>
      <c r="L172" s="39">
        <v>13.4</v>
      </c>
    </row>
    <row r="173" spans="1:12" x14ac:dyDescent="0.25">
      <c r="A173">
        <v>200</v>
      </c>
      <c r="B173" s="164">
        <v>43360</v>
      </c>
      <c r="C173" s="10">
        <v>500</v>
      </c>
      <c r="D173" s="39">
        <v>20.748999999999999</v>
      </c>
      <c r="E173" s="39">
        <v>28.84</v>
      </c>
      <c r="F173" s="39">
        <f t="shared" si="23"/>
        <v>4045.5000000000005</v>
      </c>
      <c r="G173" s="39">
        <f t="shared" si="24"/>
        <v>10374.5</v>
      </c>
      <c r="H173" s="179">
        <f t="shared" si="25"/>
        <v>0.38994650344594928</v>
      </c>
      <c r="I173" s="39"/>
      <c r="J173" s="39"/>
      <c r="K173" s="39">
        <f t="shared" si="26"/>
        <v>5793.4699999999939</v>
      </c>
      <c r="L173" s="39">
        <v>13.9</v>
      </c>
    </row>
    <row r="174" spans="1:12" x14ac:dyDescent="0.25">
      <c r="A174">
        <v>100</v>
      </c>
      <c r="B174" s="164">
        <v>43361</v>
      </c>
      <c r="C174" s="10">
        <v>400</v>
      </c>
      <c r="D174" s="39">
        <v>18.616</v>
      </c>
      <c r="E174" s="39">
        <v>29.29</v>
      </c>
      <c r="F174" s="39">
        <f t="shared" si="23"/>
        <v>4269.5999999999995</v>
      </c>
      <c r="G174" s="39">
        <f t="shared" si="24"/>
        <v>7446.4</v>
      </c>
      <c r="H174" s="179">
        <f t="shared" si="25"/>
        <v>0.57337773957885685</v>
      </c>
      <c r="I174" s="39"/>
      <c r="J174" s="39"/>
      <c r="K174" s="39">
        <f t="shared" ref="K174:K180" si="27">F174+$Q$10</f>
        <v>6017.5699999999933</v>
      </c>
      <c r="L174" s="39">
        <v>14.12</v>
      </c>
    </row>
    <row r="175" spans="1:12" x14ac:dyDescent="0.25">
      <c r="A175">
        <v>0</v>
      </c>
      <c r="B175" s="164">
        <v>43364</v>
      </c>
      <c r="C175" s="185">
        <v>300</v>
      </c>
      <c r="D175" s="186">
        <v>14.8482</v>
      </c>
      <c r="E175" s="39">
        <v>29.95</v>
      </c>
      <c r="F175" s="39">
        <f t="shared" si="23"/>
        <v>4530.54</v>
      </c>
      <c r="G175" s="39">
        <f t="shared" si="24"/>
        <v>4454.46</v>
      </c>
      <c r="H175" s="179">
        <f t="shared" si="25"/>
        <v>1.0170795113212374</v>
      </c>
      <c r="I175" s="39">
        <v>14</v>
      </c>
      <c r="J175" s="39"/>
      <c r="K175" s="39">
        <f t="shared" si="27"/>
        <v>6278.5099999999939</v>
      </c>
      <c r="L175" s="39">
        <v>14.43</v>
      </c>
    </row>
    <row r="176" spans="1:12" x14ac:dyDescent="0.25">
      <c r="A176">
        <v>0</v>
      </c>
      <c r="B176" s="164">
        <v>43377</v>
      </c>
      <c r="C176" s="10">
        <v>400</v>
      </c>
      <c r="D176" s="39">
        <v>18.356000000000002</v>
      </c>
      <c r="E176" s="39">
        <v>28.88</v>
      </c>
      <c r="F176" s="39">
        <f t="shared" si="23"/>
        <v>4209.5999999999985</v>
      </c>
      <c r="G176" s="39">
        <f t="shared" si="24"/>
        <v>7342.4000000000005</v>
      </c>
      <c r="H176" s="179">
        <f t="shared" si="25"/>
        <v>0.57332752233602069</v>
      </c>
      <c r="I176" s="39"/>
      <c r="J176" s="39"/>
      <c r="K176" s="39">
        <f t="shared" si="27"/>
        <v>5957.5699999999924</v>
      </c>
      <c r="L176" s="39">
        <v>13.92</v>
      </c>
    </row>
    <row r="177" spans="1:12" x14ac:dyDescent="0.25">
      <c r="A177">
        <v>0</v>
      </c>
      <c r="B177" s="164">
        <v>43382</v>
      </c>
      <c r="C177" s="10">
        <v>500</v>
      </c>
      <c r="D177" s="39">
        <v>20.228999999999999</v>
      </c>
      <c r="E177" s="39">
        <v>27.92</v>
      </c>
      <c r="F177" s="39">
        <f t="shared" si="23"/>
        <v>3845.5000000000014</v>
      </c>
      <c r="G177" s="39">
        <f t="shared" si="24"/>
        <v>10114.5</v>
      </c>
      <c r="H177" s="179">
        <f t="shared" si="25"/>
        <v>0.38019674724405572</v>
      </c>
      <c r="I177" s="39"/>
      <c r="J177" s="39"/>
      <c r="K177" s="39">
        <f t="shared" si="27"/>
        <v>5593.4699999999957</v>
      </c>
      <c r="L177" s="39">
        <v>13.46</v>
      </c>
    </row>
    <row r="178" spans="1:12" x14ac:dyDescent="0.25">
      <c r="A178">
        <v>0</v>
      </c>
      <c r="B178" s="164">
        <v>43384</v>
      </c>
      <c r="C178" s="7">
        <v>600</v>
      </c>
      <c r="D178" s="43">
        <v>21.315999999999999</v>
      </c>
      <c r="E178" s="39">
        <v>26.74</v>
      </c>
      <c r="F178" s="39">
        <f t="shared" si="23"/>
        <v>3254.3999999999996</v>
      </c>
      <c r="G178" s="39">
        <f t="shared" si="24"/>
        <v>12789.599999999999</v>
      </c>
      <c r="H178" s="179">
        <f t="shared" si="25"/>
        <v>0.25445674610621127</v>
      </c>
      <c r="I178" s="39"/>
      <c r="J178" s="39"/>
      <c r="K178" s="39">
        <f t="shared" si="27"/>
        <v>5002.3699999999935</v>
      </c>
      <c r="L178" s="39">
        <v>12.89</v>
      </c>
    </row>
    <row r="179" spans="1:12" x14ac:dyDescent="0.25">
      <c r="A179">
        <v>0</v>
      </c>
      <c r="B179" s="164">
        <v>43402</v>
      </c>
      <c r="C179" s="185">
        <v>300</v>
      </c>
      <c r="D179" s="186">
        <v>13.852</v>
      </c>
      <c r="E179" s="39">
        <v>28.23</v>
      </c>
      <c r="F179" s="39">
        <f>C179*(E179-D179)</f>
        <v>4313.3999999999996</v>
      </c>
      <c r="G179" s="39">
        <f>D179*C179</f>
        <v>4155.6000000000004</v>
      </c>
      <c r="H179" s="179">
        <f>(E179-D179)/D179</f>
        <v>1.0379728559052843</v>
      </c>
      <c r="I179" s="39"/>
      <c r="J179" s="39"/>
      <c r="K179" s="39">
        <f t="shared" si="27"/>
        <v>6061.3699999999935</v>
      </c>
      <c r="L179" s="39">
        <v>13.6</v>
      </c>
    </row>
    <row r="180" spans="1:12" x14ac:dyDescent="0.25">
      <c r="A180">
        <v>0</v>
      </c>
      <c r="B180" s="164">
        <v>43410</v>
      </c>
      <c r="C180" s="10">
        <v>200</v>
      </c>
      <c r="D180" s="39">
        <v>5.3531000000000004</v>
      </c>
      <c r="E180" s="39">
        <v>30.83</v>
      </c>
      <c r="F180" s="39">
        <f>C180*(E180-D180)</f>
        <v>5095.3799999999992</v>
      </c>
      <c r="G180" s="39">
        <f>D180*C180</f>
        <v>1070.6200000000001</v>
      </c>
      <c r="H180" s="179">
        <f>(E180-D180)/D180</f>
        <v>4.7592796697240844</v>
      </c>
      <c r="I180" s="39"/>
      <c r="J180" s="39"/>
      <c r="K180" s="778">
        <f t="shared" si="27"/>
        <v>6843.3499999999931</v>
      </c>
      <c r="L180" s="39">
        <v>14.86</v>
      </c>
    </row>
    <row r="181" spans="1:12" x14ac:dyDescent="0.25">
      <c r="A181">
        <v>0</v>
      </c>
      <c r="B181" s="164">
        <v>43416</v>
      </c>
      <c r="C181" s="10">
        <v>0</v>
      </c>
      <c r="D181" s="39">
        <v>5.35</v>
      </c>
      <c r="E181" s="39">
        <v>31.37</v>
      </c>
      <c r="F181" s="39">
        <f>C181*(E181-D181)</f>
        <v>0</v>
      </c>
      <c r="G181" s="39">
        <f>D181*C181</f>
        <v>0</v>
      </c>
      <c r="H181" s="179">
        <f>(E181-D181)/D181</f>
        <v>4.8635514018691595</v>
      </c>
      <c r="I181" s="39"/>
      <c r="J181" s="39"/>
      <c r="K181" s="778">
        <v>7073.27</v>
      </c>
      <c r="L181" s="39">
        <v>15.12</v>
      </c>
    </row>
    <row r="182" spans="1:12" x14ac:dyDescent="0.25">
      <c r="B182" s="10"/>
      <c r="C182" s="10"/>
      <c r="D182" s="39"/>
      <c r="E182" s="39"/>
      <c r="F182" s="39"/>
      <c r="G182" s="39"/>
      <c r="H182" s="179"/>
      <c r="I182" s="39"/>
      <c r="J182" s="39"/>
      <c r="K182" s="39"/>
      <c r="L182" s="39"/>
    </row>
    <row r="183" spans="1:12" x14ac:dyDescent="0.25">
      <c r="B183" s="10"/>
      <c r="C183" s="10"/>
      <c r="D183" s="39"/>
      <c r="E183" s="39"/>
      <c r="F183" s="39"/>
      <c r="G183" s="39"/>
      <c r="H183" s="179"/>
      <c r="I183" s="39"/>
      <c r="J183" s="39"/>
      <c r="K183" s="39"/>
      <c r="L183" s="39"/>
    </row>
    <row r="184" spans="1:12" x14ac:dyDescent="0.25">
      <c r="B184" s="10"/>
      <c r="C184" s="10"/>
      <c r="D184" s="39"/>
      <c r="E184" s="39"/>
      <c r="F184" s="39"/>
      <c r="G184" s="39"/>
      <c r="H184" s="179"/>
      <c r="I184" s="39"/>
      <c r="J184" s="39"/>
      <c r="K184" s="39"/>
      <c r="L184" s="39"/>
    </row>
    <row r="185" spans="1:12" x14ac:dyDescent="0.25">
      <c r="B185" s="10"/>
      <c r="C185" s="10"/>
      <c r="D185" s="39"/>
      <c r="E185" s="39"/>
      <c r="F185" s="39"/>
      <c r="G185" s="39"/>
      <c r="H185" s="179"/>
      <c r="I185" s="39"/>
      <c r="J185" s="39"/>
      <c r="K185" s="39"/>
      <c r="L185" s="39"/>
    </row>
    <row r="186" spans="1:12" x14ac:dyDescent="0.25">
      <c r="B186" s="10"/>
      <c r="C186" s="10"/>
      <c r="D186" s="39"/>
      <c r="E186" s="39"/>
      <c r="F186" s="39"/>
      <c r="G186" s="39"/>
      <c r="H186" s="179"/>
      <c r="I186" s="39"/>
      <c r="J186" s="39"/>
      <c r="K186" s="39"/>
      <c r="L186" s="39"/>
    </row>
    <row r="187" spans="1:12" x14ac:dyDescent="0.25">
      <c r="B187" s="10"/>
      <c r="C187" s="10"/>
      <c r="D187" s="39"/>
      <c r="E187" s="39"/>
      <c r="F187" s="39"/>
      <c r="G187" s="39"/>
      <c r="H187" s="179"/>
      <c r="I187" s="39"/>
      <c r="J187" s="39"/>
      <c r="K187" s="39"/>
      <c r="L187" s="39"/>
    </row>
    <row r="189" spans="1:12" x14ac:dyDescent="0.25">
      <c r="B189" s="297">
        <v>42484</v>
      </c>
      <c r="C189" s="298">
        <v>100</v>
      </c>
      <c r="D189" s="299">
        <v>35.917999999999999</v>
      </c>
      <c r="E189" s="299">
        <v>35.58</v>
      </c>
      <c r="F189" s="299">
        <f t="shared" ref="F189:F202" si="28">C189*(E189-D189)</f>
        <v>-33.800000000000097</v>
      </c>
      <c r="G189" s="299">
        <f t="shared" ref="G189:G202" si="29">D189*C189</f>
        <v>3591.7999999999997</v>
      </c>
      <c r="H189" s="300">
        <f t="shared" ref="H189:H202" si="30">(E189-D189)/D189</f>
        <v>-9.410323514672336E-3</v>
      </c>
      <c r="I189" s="299"/>
    </row>
    <row r="190" spans="1:12" x14ac:dyDescent="0.25">
      <c r="B190" s="297">
        <v>42485</v>
      </c>
      <c r="C190" s="298">
        <v>100</v>
      </c>
      <c r="D190" s="299">
        <v>35.917999999999999</v>
      </c>
      <c r="E190" s="299">
        <v>36.770000000000003</v>
      </c>
      <c r="F190" s="299">
        <f t="shared" si="28"/>
        <v>85.200000000000387</v>
      </c>
      <c r="G190" s="299">
        <f t="shared" si="29"/>
        <v>3591.7999999999997</v>
      </c>
      <c r="H190" s="300">
        <f t="shared" si="30"/>
        <v>2.3720697143493622E-2</v>
      </c>
      <c r="I190" s="299"/>
    </row>
    <row r="191" spans="1:12" x14ac:dyDescent="0.25">
      <c r="B191" s="297">
        <v>42498</v>
      </c>
      <c r="C191" s="298">
        <v>100</v>
      </c>
      <c r="D191" s="299">
        <v>35.917999999999999</v>
      </c>
      <c r="E191" s="299">
        <v>34.549999999999997</v>
      </c>
      <c r="F191" s="299">
        <f t="shared" si="28"/>
        <v>-136.80000000000021</v>
      </c>
      <c r="G191" s="299">
        <f t="shared" si="29"/>
        <v>3591.7999999999997</v>
      </c>
      <c r="H191" s="300">
        <f t="shared" si="30"/>
        <v>-3.8086753159975562E-2</v>
      </c>
      <c r="I191" s="299"/>
    </row>
    <row r="192" spans="1:12" x14ac:dyDescent="0.25">
      <c r="B192" s="297">
        <v>42508</v>
      </c>
      <c r="C192" s="298">
        <v>140</v>
      </c>
      <c r="D192" s="299">
        <v>35.423999999999999</v>
      </c>
      <c r="E192" s="299">
        <v>34.369999999999997</v>
      </c>
      <c r="F192" s="299">
        <f t="shared" si="28"/>
        <v>-147.56000000000029</v>
      </c>
      <c r="G192" s="299">
        <f t="shared" si="29"/>
        <v>4959.3599999999997</v>
      </c>
      <c r="H192" s="300">
        <f t="shared" si="30"/>
        <v>-2.9753839205058776E-2</v>
      </c>
      <c r="I192" s="299"/>
    </row>
    <row r="193" spans="2:9" x14ac:dyDescent="0.25">
      <c r="B193" s="297">
        <v>42509</v>
      </c>
      <c r="C193" s="298">
        <v>240</v>
      </c>
      <c r="D193" s="299">
        <v>35.034999999999997</v>
      </c>
      <c r="E193" s="299">
        <v>34.83</v>
      </c>
      <c r="F193" s="299">
        <f t="shared" si="28"/>
        <v>-49.199999999999591</v>
      </c>
      <c r="G193" s="299">
        <f t="shared" si="29"/>
        <v>8408.4</v>
      </c>
      <c r="H193" s="300">
        <f t="shared" si="30"/>
        <v>-5.8512915655772315E-3</v>
      </c>
      <c r="I193" s="299"/>
    </row>
    <row r="194" spans="2:9" x14ac:dyDescent="0.25">
      <c r="B194" s="297">
        <v>42514</v>
      </c>
      <c r="C194" s="298">
        <v>200</v>
      </c>
      <c r="D194" s="299">
        <v>34.972000000000001</v>
      </c>
      <c r="E194" s="299">
        <v>35.520000000000003</v>
      </c>
      <c r="F194" s="299">
        <f t="shared" si="28"/>
        <v>109.60000000000036</v>
      </c>
      <c r="G194" s="299">
        <f t="shared" si="29"/>
        <v>6994.4000000000005</v>
      </c>
      <c r="H194" s="300">
        <f t="shared" si="30"/>
        <v>1.5669678600022927E-2</v>
      </c>
      <c r="I194" s="299"/>
    </row>
    <row r="195" spans="2:9" x14ac:dyDescent="0.25">
      <c r="B195" s="297">
        <v>42515</v>
      </c>
      <c r="C195" s="298">
        <v>200</v>
      </c>
      <c r="D195" s="299">
        <v>34.972000000000001</v>
      </c>
      <c r="E195" s="299">
        <v>34.94</v>
      </c>
      <c r="F195" s="299">
        <f t="shared" si="28"/>
        <v>-6.4000000000007162</v>
      </c>
      <c r="G195" s="299">
        <f t="shared" si="29"/>
        <v>6994.4000000000005</v>
      </c>
      <c r="H195" s="300">
        <f t="shared" si="30"/>
        <v>-9.150177284685914E-4</v>
      </c>
      <c r="I195" s="299"/>
    </row>
    <row r="196" spans="2:9" x14ac:dyDescent="0.25">
      <c r="B196" s="297">
        <v>42521</v>
      </c>
      <c r="C196" s="298">
        <v>160</v>
      </c>
      <c r="D196" s="299">
        <v>34.718000000000004</v>
      </c>
      <c r="E196" s="299">
        <v>35.76</v>
      </c>
      <c r="F196" s="299">
        <f t="shared" si="28"/>
        <v>166.71999999999912</v>
      </c>
      <c r="G196" s="299">
        <f t="shared" si="29"/>
        <v>5554.880000000001</v>
      </c>
      <c r="H196" s="300">
        <f t="shared" si="30"/>
        <v>3.0013249611152554E-2</v>
      </c>
      <c r="I196" s="299"/>
    </row>
    <row r="197" spans="2:9" x14ac:dyDescent="0.25">
      <c r="B197" s="297">
        <v>42527</v>
      </c>
      <c r="C197" s="298">
        <v>160</v>
      </c>
      <c r="D197" s="299">
        <v>34.652000000000001</v>
      </c>
      <c r="E197" s="299">
        <v>36.020000000000003</v>
      </c>
      <c r="F197" s="299">
        <f t="shared" si="28"/>
        <v>218.88000000000034</v>
      </c>
      <c r="G197" s="299">
        <f t="shared" si="29"/>
        <v>5544.32</v>
      </c>
      <c r="H197" s="300">
        <f t="shared" si="30"/>
        <v>3.9478240794182211E-2</v>
      </c>
      <c r="I197" s="299"/>
    </row>
    <row r="198" spans="2:9" x14ac:dyDescent="0.25">
      <c r="B198" s="297">
        <v>42498</v>
      </c>
      <c r="C198" s="298">
        <v>160</v>
      </c>
      <c r="D198" s="299">
        <v>34.652000000000001</v>
      </c>
      <c r="E198" s="299">
        <v>36.520000000000003</v>
      </c>
      <c r="F198" s="299">
        <f t="shared" si="28"/>
        <v>298.88000000000034</v>
      </c>
      <c r="G198" s="299">
        <f t="shared" si="29"/>
        <v>5544.32</v>
      </c>
      <c r="H198" s="300">
        <f t="shared" si="30"/>
        <v>5.3907422371003176E-2</v>
      </c>
      <c r="I198" s="299"/>
    </row>
    <row r="199" spans="2:9" x14ac:dyDescent="0.25">
      <c r="B199" s="297">
        <v>42531</v>
      </c>
      <c r="C199" s="298">
        <v>60</v>
      </c>
      <c r="D199" s="299">
        <v>30.757000000000001</v>
      </c>
      <c r="E199" s="299">
        <v>36.81</v>
      </c>
      <c r="F199" s="299">
        <f t="shared" si="28"/>
        <v>363.18000000000006</v>
      </c>
      <c r="G199" s="299">
        <f t="shared" si="29"/>
        <v>1845.42</v>
      </c>
      <c r="H199" s="300">
        <f t="shared" si="30"/>
        <v>0.1968007282894951</v>
      </c>
      <c r="I199" s="299"/>
    </row>
    <row r="200" spans="2:9" x14ac:dyDescent="0.25">
      <c r="B200" s="297">
        <v>42536</v>
      </c>
      <c r="C200" s="298">
        <v>160</v>
      </c>
      <c r="D200" s="299">
        <v>33.652999999999999</v>
      </c>
      <c r="E200" s="299">
        <v>35.71</v>
      </c>
      <c r="F200" s="299">
        <f t="shared" si="28"/>
        <v>329.12000000000035</v>
      </c>
      <c r="G200" s="299">
        <f t="shared" si="29"/>
        <v>5384.48</v>
      </c>
      <c r="H200" s="300">
        <f t="shared" si="30"/>
        <v>6.1123822541823976E-2</v>
      </c>
      <c r="I200" s="299"/>
    </row>
    <row r="201" spans="2:9" x14ac:dyDescent="0.25">
      <c r="B201" s="297">
        <v>42542</v>
      </c>
      <c r="C201" s="298">
        <v>160</v>
      </c>
      <c r="D201" s="299">
        <v>33.65</v>
      </c>
      <c r="E201" s="299">
        <v>34.71</v>
      </c>
      <c r="F201" s="299">
        <f t="shared" si="28"/>
        <v>169.60000000000036</v>
      </c>
      <c r="G201" s="299">
        <f t="shared" si="29"/>
        <v>5384</v>
      </c>
      <c r="H201" s="300">
        <f t="shared" si="30"/>
        <v>3.1500742942050589E-2</v>
      </c>
      <c r="I201" s="299"/>
    </row>
    <row r="202" spans="2:9" x14ac:dyDescent="0.25">
      <c r="B202" s="297">
        <v>42548</v>
      </c>
      <c r="C202" s="298">
        <v>160</v>
      </c>
      <c r="D202" s="299">
        <v>33.652999999999999</v>
      </c>
      <c r="E202" s="299">
        <v>36.619999999999997</v>
      </c>
      <c r="F202" s="299">
        <f t="shared" si="28"/>
        <v>474.7199999999998</v>
      </c>
      <c r="G202" s="299">
        <f t="shared" si="29"/>
        <v>5384.48</v>
      </c>
      <c r="H202" s="300">
        <f t="shared" si="30"/>
        <v>8.8164502421775148E-2</v>
      </c>
      <c r="I202" s="299"/>
    </row>
    <row r="203" spans="2:9" x14ac:dyDescent="0.25">
      <c r="B203" s="297">
        <v>42556</v>
      </c>
      <c r="C203" s="298">
        <v>160</v>
      </c>
      <c r="D203" s="299">
        <v>33.652999999999999</v>
      </c>
      <c r="E203" s="299">
        <v>37.33</v>
      </c>
      <c r="F203" s="299">
        <f t="shared" ref="F203:F245" si="31">C203*(E203-D203)</f>
        <v>588.31999999999994</v>
      </c>
      <c r="G203" s="299">
        <f t="shared" ref="G203:G216" si="32">D203*C203</f>
        <v>5384.48</v>
      </c>
      <c r="H203" s="300">
        <f t="shared" ref="H203:H245" si="33">(E203-D203)/D203</f>
        <v>0.10926217573470418</v>
      </c>
      <c r="I203" s="299"/>
    </row>
    <row r="204" spans="2:9" x14ac:dyDescent="0.25">
      <c r="B204" s="297">
        <v>42559</v>
      </c>
      <c r="C204" s="298">
        <v>160</v>
      </c>
      <c r="D204" s="299">
        <v>33.652999999999999</v>
      </c>
      <c r="E204" s="299">
        <v>37.86</v>
      </c>
      <c r="F204" s="299">
        <f t="shared" si="31"/>
        <v>673.12000000000012</v>
      </c>
      <c r="G204" s="299">
        <f t="shared" si="32"/>
        <v>5384.48</v>
      </c>
      <c r="H204" s="300">
        <f t="shared" si="33"/>
        <v>0.12501114313731318</v>
      </c>
      <c r="I204" s="299"/>
    </row>
    <row r="205" spans="2:9" x14ac:dyDescent="0.25">
      <c r="B205" s="297">
        <v>42563</v>
      </c>
      <c r="C205" s="298">
        <v>160</v>
      </c>
      <c r="D205" s="299">
        <v>33.652999999999999</v>
      </c>
      <c r="E205" s="299">
        <v>37.39</v>
      </c>
      <c r="F205" s="299">
        <f t="shared" si="31"/>
        <v>597.9200000000003</v>
      </c>
      <c r="G205" s="299">
        <f t="shared" si="32"/>
        <v>5384.48</v>
      </c>
      <c r="H205" s="300">
        <f t="shared" si="33"/>
        <v>0.11104507770481092</v>
      </c>
      <c r="I205" s="299"/>
    </row>
    <row r="206" spans="2:9" x14ac:dyDescent="0.25">
      <c r="B206" s="297">
        <v>42566</v>
      </c>
      <c r="C206" s="298">
        <v>160</v>
      </c>
      <c r="D206" s="299">
        <v>33.652999999999999</v>
      </c>
      <c r="E206" s="299">
        <v>36.71</v>
      </c>
      <c r="F206" s="299">
        <f t="shared" si="31"/>
        <v>489.12000000000035</v>
      </c>
      <c r="G206" s="299">
        <f t="shared" si="32"/>
        <v>5384.48</v>
      </c>
      <c r="H206" s="300">
        <f t="shared" si="33"/>
        <v>9.0838855376935257E-2</v>
      </c>
      <c r="I206" s="299"/>
    </row>
    <row r="207" spans="2:9" x14ac:dyDescent="0.25">
      <c r="B207" s="297">
        <v>42570</v>
      </c>
      <c r="C207" s="298">
        <v>160</v>
      </c>
      <c r="D207" s="299">
        <v>33.652999999999999</v>
      </c>
      <c r="E207" s="299">
        <v>36.21</v>
      </c>
      <c r="F207" s="299">
        <f t="shared" si="31"/>
        <v>409.12000000000035</v>
      </c>
      <c r="G207" s="299">
        <f t="shared" si="32"/>
        <v>5384.48</v>
      </c>
      <c r="H207" s="300">
        <f t="shared" si="33"/>
        <v>7.5981338959379613E-2</v>
      </c>
      <c r="I207" s="299"/>
    </row>
    <row r="208" spans="2:9" x14ac:dyDescent="0.25">
      <c r="B208" s="297">
        <v>42571</v>
      </c>
      <c r="C208" s="298">
        <v>160</v>
      </c>
      <c r="D208" s="299">
        <v>33.652999999999999</v>
      </c>
      <c r="E208" s="299">
        <v>36.4</v>
      </c>
      <c r="F208" s="299">
        <f t="shared" si="31"/>
        <v>439.52</v>
      </c>
      <c r="G208" s="299">
        <f t="shared" si="32"/>
        <v>5384.48</v>
      </c>
      <c r="H208" s="300">
        <f t="shared" si="33"/>
        <v>8.16271951980507E-2</v>
      </c>
      <c r="I208" s="299"/>
    </row>
    <row r="209" spans="2:9" x14ac:dyDescent="0.25">
      <c r="B209" s="297">
        <v>42572</v>
      </c>
      <c r="C209" s="298">
        <v>160</v>
      </c>
      <c r="D209" s="299">
        <v>33.652999999999999</v>
      </c>
      <c r="E209" s="299">
        <v>35.96</v>
      </c>
      <c r="F209" s="299">
        <f t="shared" si="31"/>
        <v>369.12000000000035</v>
      </c>
      <c r="G209" s="299">
        <f t="shared" si="32"/>
        <v>5384.48</v>
      </c>
      <c r="H209" s="300">
        <f t="shared" si="33"/>
        <v>6.8552580750601791E-2</v>
      </c>
      <c r="I209" s="299"/>
    </row>
    <row r="210" spans="2:9" x14ac:dyDescent="0.25">
      <c r="B210" s="297">
        <v>42576</v>
      </c>
      <c r="C210" s="298">
        <v>160</v>
      </c>
      <c r="D210" s="299">
        <v>33.652999999999999</v>
      </c>
      <c r="E210" s="299">
        <v>35.79</v>
      </c>
      <c r="F210" s="299">
        <f t="shared" si="31"/>
        <v>341.92000000000007</v>
      </c>
      <c r="G210" s="299">
        <f t="shared" si="32"/>
        <v>5384.48</v>
      </c>
      <c r="H210" s="300">
        <f t="shared" si="33"/>
        <v>6.3501025168632833E-2</v>
      </c>
      <c r="I210" s="299"/>
    </row>
    <row r="211" spans="2:9" x14ac:dyDescent="0.25">
      <c r="B211" s="297">
        <v>42577</v>
      </c>
      <c r="C211" s="298">
        <v>160</v>
      </c>
      <c r="D211" s="299">
        <v>33.652999999999999</v>
      </c>
      <c r="E211" s="299">
        <v>36.42</v>
      </c>
      <c r="F211" s="299">
        <f t="shared" si="31"/>
        <v>442.72000000000048</v>
      </c>
      <c r="G211" s="299">
        <f t="shared" si="32"/>
        <v>5384.48</v>
      </c>
      <c r="H211" s="300">
        <f t="shared" si="33"/>
        <v>8.222149585475301E-2</v>
      </c>
      <c r="I211" s="299"/>
    </row>
    <row r="212" spans="2:9" x14ac:dyDescent="0.25">
      <c r="B212" s="297">
        <v>42579</v>
      </c>
      <c r="C212" s="298">
        <v>230</v>
      </c>
      <c r="D212" s="299">
        <v>34.006</v>
      </c>
      <c r="E212" s="299">
        <v>34.4</v>
      </c>
      <c r="F212" s="299">
        <f t="shared" si="31"/>
        <v>90.619999999999621</v>
      </c>
      <c r="G212" s="299">
        <f t="shared" si="32"/>
        <v>7821.38</v>
      </c>
      <c r="H212" s="300">
        <f t="shared" si="33"/>
        <v>1.1586190672234263E-2</v>
      </c>
      <c r="I212" s="299"/>
    </row>
    <row r="213" spans="2:9" x14ac:dyDescent="0.25">
      <c r="B213" s="297">
        <v>42580</v>
      </c>
      <c r="C213" s="298">
        <v>260</v>
      </c>
      <c r="D213" s="299">
        <v>33.991999999999997</v>
      </c>
      <c r="E213" s="299">
        <v>34.19</v>
      </c>
      <c r="F213" s="299">
        <f t="shared" si="31"/>
        <v>51.480000000000103</v>
      </c>
      <c r="G213" s="299">
        <f t="shared" si="32"/>
        <v>8837.92</v>
      </c>
      <c r="H213" s="300">
        <f t="shared" si="33"/>
        <v>5.824899976465063E-3</v>
      </c>
      <c r="I213" s="299"/>
    </row>
    <row r="214" spans="2:9" x14ac:dyDescent="0.25">
      <c r="B214" s="297">
        <v>42584</v>
      </c>
      <c r="C214" s="298">
        <v>300</v>
      </c>
      <c r="D214" s="299">
        <v>33.866</v>
      </c>
      <c r="E214" s="299">
        <v>32.61</v>
      </c>
      <c r="F214" s="299">
        <f t="shared" si="31"/>
        <v>-376.80000000000007</v>
      </c>
      <c r="G214" s="299">
        <f t="shared" si="32"/>
        <v>10159.799999999999</v>
      </c>
      <c r="H214" s="300">
        <f t="shared" si="33"/>
        <v>-3.7087344239059829E-2</v>
      </c>
      <c r="I214" s="299"/>
    </row>
    <row r="215" spans="2:9" x14ac:dyDescent="0.25">
      <c r="B215" s="297">
        <v>42586</v>
      </c>
      <c r="C215" s="298">
        <v>400</v>
      </c>
      <c r="D215" s="299">
        <v>33.520000000000003</v>
      </c>
      <c r="E215" s="299">
        <v>32.549999999999997</v>
      </c>
      <c r="F215" s="299">
        <f t="shared" si="31"/>
        <v>-388.00000000000239</v>
      </c>
      <c r="G215" s="299">
        <f t="shared" si="32"/>
        <v>13408.000000000002</v>
      </c>
      <c r="H215" s="300">
        <f t="shared" si="33"/>
        <v>-2.8937947494033587E-2</v>
      </c>
      <c r="I215" s="299"/>
    </row>
    <row r="216" spans="2:9" x14ac:dyDescent="0.25">
      <c r="B216" s="297">
        <v>42587</v>
      </c>
      <c r="C216" s="298">
        <v>400</v>
      </c>
      <c r="D216" s="299">
        <v>33.387349999999998</v>
      </c>
      <c r="E216" s="299">
        <v>32.729999999999997</v>
      </c>
      <c r="F216" s="299">
        <f t="shared" si="31"/>
        <v>-262.9400000000004</v>
      </c>
      <c r="G216" s="299">
        <f t="shared" si="32"/>
        <v>13354.939999999999</v>
      </c>
      <c r="H216" s="300">
        <f t="shared" si="33"/>
        <v>-1.9688594632398231E-2</v>
      </c>
      <c r="I216" s="299"/>
    </row>
    <row r="217" spans="2:9" x14ac:dyDescent="0.25">
      <c r="B217" s="297">
        <v>42598</v>
      </c>
      <c r="C217" s="298">
        <v>400</v>
      </c>
      <c r="D217" s="299">
        <v>33.387349999999998</v>
      </c>
      <c r="E217" s="299">
        <v>32.1</v>
      </c>
      <c r="F217" s="299">
        <f t="shared" si="31"/>
        <v>-514.93999999999858</v>
      </c>
      <c r="G217" s="299">
        <f t="shared" ref="G217:G222" si="34">D217*C217</f>
        <v>13354.939999999999</v>
      </c>
      <c r="H217" s="300">
        <f t="shared" si="33"/>
        <v>-3.8558016733882636E-2</v>
      </c>
      <c r="I217" s="299"/>
    </row>
    <row r="218" spans="2:9" x14ac:dyDescent="0.25">
      <c r="B218" s="297">
        <v>42599</v>
      </c>
      <c r="C218" s="298">
        <v>500</v>
      </c>
      <c r="D218" s="299">
        <v>33.045879999999997</v>
      </c>
      <c r="E218" s="299">
        <v>31.88</v>
      </c>
      <c r="F218" s="299">
        <f t="shared" si="31"/>
        <v>-582.93999999999892</v>
      </c>
      <c r="G218" s="299">
        <f t="shared" si="34"/>
        <v>16522.939999999999</v>
      </c>
      <c r="H218" s="300">
        <f t="shared" si="33"/>
        <v>-3.5280646180401248E-2</v>
      </c>
      <c r="I218" s="299"/>
    </row>
    <row r="219" spans="2:9" x14ac:dyDescent="0.25">
      <c r="B219" s="297">
        <v>42600</v>
      </c>
      <c r="C219" s="298">
        <v>500</v>
      </c>
      <c r="D219" s="299">
        <v>33.045879999999997</v>
      </c>
      <c r="E219" s="299">
        <v>32.46</v>
      </c>
      <c r="F219" s="299">
        <f t="shared" si="31"/>
        <v>-292.93999999999801</v>
      </c>
      <c r="G219" s="299">
        <f t="shared" si="34"/>
        <v>16522.939999999999</v>
      </c>
      <c r="H219" s="300">
        <f t="shared" si="33"/>
        <v>-1.7729290307899079E-2</v>
      </c>
      <c r="I219" s="299"/>
    </row>
    <row r="220" spans="2:9" x14ac:dyDescent="0.25">
      <c r="B220" s="297">
        <v>42601</v>
      </c>
      <c r="C220" s="298">
        <v>500</v>
      </c>
      <c r="D220" s="299">
        <v>33.045879999999997</v>
      </c>
      <c r="E220" s="299">
        <v>32.61</v>
      </c>
      <c r="F220" s="299">
        <f t="shared" si="31"/>
        <v>-217.93999999999869</v>
      </c>
      <c r="G220" s="299">
        <f t="shared" si="34"/>
        <v>16522.939999999999</v>
      </c>
      <c r="H220" s="300">
        <f t="shared" si="33"/>
        <v>-1.3190146547769266E-2</v>
      </c>
      <c r="I220" s="299"/>
    </row>
    <row r="221" spans="2:9" x14ac:dyDescent="0.25">
      <c r="B221" s="297">
        <v>42604</v>
      </c>
      <c r="C221" s="298">
        <v>500</v>
      </c>
      <c r="D221" s="299">
        <v>33.045879999999997</v>
      </c>
      <c r="E221" s="299">
        <v>32.86</v>
      </c>
      <c r="F221" s="299">
        <f t="shared" si="31"/>
        <v>-92.93999999999869</v>
      </c>
      <c r="G221" s="299">
        <f t="shared" si="34"/>
        <v>16522.939999999999</v>
      </c>
      <c r="H221" s="300">
        <f t="shared" si="33"/>
        <v>-5.624906947552839E-3</v>
      </c>
      <c r="I221" s="299"/>
    </row>
    <row r="222" spans="2:9" x14ac:dyDescent="0.25">
      <c r="B222" s="297">
        <v>42605</v>
      </c>
      <c r="C222" s="298">
        <v>500</v>
      </c>
      <c r="D222" s="299">
        <v>33.045879999999997</v>
      </c>
      <c r="E222" s="299">
        <v>32.25</v>
      </c>
      <c r="F222" s="299">
        <f t="shared" si="31"/>
        <v>-397.93999999999841</v>
      </c>
      <c r="G222" s="299">
        <f t="shared" si="34"/>
        <v>16522.939999999999</v>
      </c>
      <c r="H222" s="300">
        <f t="shared" si="33"/>
        <v>-2.4084091572080902E-2</v>
      </c>
      <c r="I222" s="299"/>
    </row>
    <row r="223" spans="2:9" x14ac:dyDescent="0.25">
      <c r="B223" s="297">
        <v>42606</v>
      </c>
      <c r="C223" s="298">
        <v>500</v>
      </c>
      <c r="D223" s="299">
        <v>33.045879999999997</v>
      </c>
      <c r="E223" s="299">
        <v>32.99</v>
      </c>
      <c r="F223" s="299">
        <f t="shared" si="31"/>
        <v>-27.939999999997411</v>
      </c>
      <c r="G223" s="299">
        <f t="shared" ref="G223:G245" si="35">D223*C223</f>
        <v>16522.939999999999</v>
      </c>
      <c r="H223" s="300">
        <f t="shared" si="33"/>
        <v>-1.6909823554402191E-3</v>
      </c>
      <c r="I223" s="299"/>
    </row>
    <row r="224" spans="2:9" x14ac:dyDescent="0.25">
      <c r="B224" s="297">
        <v>42607</v>
      </c>
      <c r="C224" s="298">
        <v>500</v>
      </c>
      <c r="D224" s="299">
        <v>33.045879999999997</v>
      </c>
      <c r="E224" s="299">
        <v>32.76</v>
      </c>
      <c r="F224" s="299">
        <f t="shared" si="31"/>
        <v>-142.9399999999994</v>
      </c>
      <c r="G224" s="299">
        <f t="shared" si="35"/>
        <v>16522.939999999999</v>
      </c>
      <c r="H224" s="300">
        <f t="shared" si="33"/>
        <v>-8.6510027876394533E-3</v>
      </c>
      <c r="I224" s="299"/>
    </row>
    <row r="225" spans="2:9" x14ac:dyDescent="0.25">
      <c r="B225" s="297">
        <v>42611</v>
      </c>
      <c r="C225" s="298">
        <v>500</v>
      </c>
      <c r="D225" s="299">
        <v>33.045879999999997</v>
      </c>
      <c r="E225" s="299">
        <v>32.33</v>
      </c>
      <c r="F225" s="299">
        <f t="shared" si="31"/>
        <v>-357.93999999999926</v>
      </c>
      <c r="G225" s="299">
        <f t="shared" si="35"/>
        <v>16522.939999999999</v>
      </c>
      <c r="H225" s="300">
        <f t="shared" si="33"/>
        <v>-2.1663214900011697E-2</v>
      </c>
      <c r="I225" s="299"/>
    </row>
    <row r="226" spans="2:9" x14ac:dyDescent="0.25">
      <c r="B226" s="297">
        <v>42612</v>
      </c>
      <c r="C226" s="298">
        <v>500</v>
      </c>
      <c r="D226" s="299">
        <v>33.045879999999997</v>
      </c>
      <c r="E226" s="299">
        <v>32.159999999999997</v>
      </c>
      <c r="F226" s="299">
        <f t="shared" si="31"/>
        <v>-442.94000000000011</v>
      </c>
      <c r="G226" s="299">
        <f t="shared" si="35"/>
        <v>16522.939999999999</v>
      </c>
      <c r="H226" s="300">
        <f t="shared" si="33"/>
        <v>-2.6807577828158919E-2</v>
      </c>
      <c r="I226" s="299"/>
    </row>
    <row r="227" spans="2:9" x14ac:dyDescent="0.25">
      <c r="B227" s="297">
        <v>42614</v>
      </c>
      <c r="C227" s="298">
        <v>500</v>
      </c>
      <c r="D227" s="299">
        <v>33.045879999999997</v>
      </c>
      <c r="E227" s="299">
        <v>31.96</v>
      </c>
      <c r="F227" s="299">
        <f t="shared" si="31"/>
        <v>-542.93999999999801</v>
      </c>
      <c r="G227" s="299">
        <f t="shared" si="35"/>
        <v>16522.939999999999</v>
      </c>
      <c r="H227" s="300">
        <f t="shared" si="33"/>
        <v>-3.2859769508331936E-2</v>
      </c>
      <c r="I227" s="299"/>
    </row>
    <row r="228" spans="2:9" x14ac:dyDescent="0.25">
      <c r="B228" s="297">
        <v>42615</v>
      </c>
      <c r="C228" s="298">
        <v>500</v>
      </c>
      <c r="D228" s="299">
        <v>32.94988</v>
      </c>
      <c r="E228" s="299">
        <v>32.5</v>
      </c>
      <c r="F228" s="299">
        <f t="shared" si="31"/>
        <v>-224.94000000000014</v>
      </c>
      <c r="G228" s="299">
        <f t="shared" si="35"/>
        <v>16474.939999999999</v>
      </c>
      <c r="H228" s="300">
        <f t="shared" si="33"/>
        <v>-1.3653463988336233E-2</v>
      </c>
      <c r="I228" s="299" t="s">
        <v>184</v>
      </c>
    </row>
    <row r="229" spans="2:9" x14ac:dyDescent="0.25">
      <c r="B229" s="297">
        <v>42619</v>
      </c>
      <c r="C229" s="298">
        <v>500</v>
      </c>
      <c r="D229" s="299">
        <v>32.94988</v>
      </c>
      <c r="E229" s="299">
        <v>32.67</v>
      </c>
      <c r="F229" s="299">
        <f t="shared" si="31"/>
        <v>-139.93999999999929</v>
      </c>
      <c r="G229" s="299">
        <f t="shared" si="35"/>
        <v>16474.939999999999</v>
      </c>
      <c r="H229" s="300">
        <f t="shared" si="33"/>
        <v>-8.4941128768905548E-3</v>
      </c>
      <c r="I229" s="299"/>
    </row>
    <row r="230" spans="2:9" x14ac:dyDescent="0.25">
      <c r="B230" s="297">
        <v>42620</v>
      </c>
      <c r="C230" s="298">
        <v>600</v>
      </c>
      <c r="D230" s="299">
        <v>32.733229999999999</v>
      </c>
      <c r="E230" s="299">
        <v>31.32</v>
      </c>
      <c r="F230" s="299">
        <f t="shared" si="31"/>
        <v>-847.93799999999919</v>
      </c>
      <c r="G230" s="299">
        <f t="shared" si="35"/>
        <v>19639.937999999998</v>
      </c>
      <c r="H230" s="300">
        <f t="shared" si="33"/>
        <v>-4.3174168879759153E-2</v>
      </c>
      <c r="I230" s="299"/>
    </row>
    <row r="231" spans="2:9" x14ac:dyDescent="0.25">
      <c r="B231" s="297">
        <v>42620</v>
      </c>
      <c r="C231" s="298">
        <v>700</v>
      </c>
      <c r="D231" s="299">
        <v>32.511339999999997</v>
      </c>
      <c r="E231" s="299">
        <v>31.32</v>
      </c>
      <c r="F231" s="299">
        <f t="shared" si="31"/>
        <v>-833.93799999999771</v>
      </c>
      <c r="G231" s="299">
        <f t="shared" si="35"/>
        <v>22757.937999999998</v>
      </c>
      <c r="H231" s="300">
        <f t="shared" si="33"/>
        <v>-3.6643829506873504E-2</v>
      </c>
      <c r="I231" s="299"/>
    </row>
    <row r="232" spans="2:9" x14ac:dyDescent="0.25">
      <c r="B232" s="297">
        <v>42621</v>
      </c>
      <c r="C232" s="298">
        <v>700</v>
      </c>
      <c r="D232" s="299">
        <v>32.511339999999997</v>
      </c>
      <c r="E232" s="299">
        <v>31.31</v>
      </c>
      <c r="F232" s="299">
        <f t="shared" si="31"/>
        <v>-840.93799999999885</v>
      </c>
      <c r="G232" s="299">
        <f t="shared" si="35"/>
        <v>22757.937999999998</v>
      </c>
      <c r="H232" s="300">
        <f t="shared" si="33"/>
        <v>-3.6951414491066759E-2</v>
      </c>
      <c r="I232" s="299"/>
    </row>
    <row r="233" spans="2:9" x14ac:dyDescent="0.25">
      <c r="B233" s="297">
        <v>42622</v>
      </c>
      <c r="C233" s="298">
        <v>700</v>
      </c>
      <c r="D233" s="299">
        <v>32.511339999999997</v>
      </c>
      <c r="E233" s="299">
        <v>31.51</v>
      </c>
      <c r="F233" s="299">
        <f t="shared" si="31"/>
        <v>-700.9379999999968</v>
      </c>
      <c r="G233" s="299">
        <f t="shared" si="35"/>
        <v>22757.937999999998</v>
      </c>
      <c r="H233" s="300">
        <f t="shared" si="33"/>
        <v>-3.0799714807202519E-2</v>
      </c>
      <c r="I233" s="299"/>
    </row>
    <row r="234" spans="2:9" x14ac:dyDescent="0.25">
      <c r="B234" s="297">
        <v>42625</v>
      </c>
      <c r="C234" s="298">
        <v>800</v>
      </c>
      <c r="D234" s="299">
        <v>32.297429999999999</v>
      </c>
      <c r="E234" s="299">
        <v>30.89</v>
      </c>
      <c r="F234" s="299">
        <f t="shared" si="31"/>
        <v>-1125.9439999999984</v>
      </c>
      <c r="G234" s="299">
        <f t="shared" si="35"/>
        <v>25837.944</v>
      </c>
      <c r="H234" s="300">
        <f t="shared" si="33"/>
        <v>-4.3577151494716394E-2</v>
      </c>
      <c r="I234" s="299"/>
    </row>
    <row r="235" spans="2:9" x14ac:dyDescent="0.25">
      <c r="B235" s="297">
        <v>42632</v>
      </c>
      <c r="C235" s="298">
        <v>800</v>
      </c>
      <c r="D235" s="299">
        <v>32.297429999999999</v>
      </c>
      <c r="E235" s="299">
        <v>30.79</v>
      </c>
      <c r="F235" s="299">
        <f t="shared" si="31"/>
        <v>-1205.9439999999995</v>
      </c>
      <c r="G235" s="299">
        <f t="shared" si="35"/>
        <v>25837.944</v>
      </c>
      <c r="H235" s="300">
        <f t="shared" si="33"/>
        <v>-4.6673373082626063E-2</v>
      </c>
      <c r="I235" s="299"/>
    </row>
    <row r="236" spans="2:9" x14ac:dyDescent="0.25">
      <c r="B236" s="297">
        <v>42633</v>
      </c>
      <c r="C236" s="298">
        <v>800</v>
      </c>
      <c r="D236" s="299">
        <v>32.297429999999999</v>
      </c>
      <c r="E236" s="299">
        <v>31.09</v>
      </c>
      <c r="F236" s="299">
        <f t="shared" si="31"/>
        <v>-965.94399999999894</v>
      </c>
      <c r="G236" s="299">
        <f t="shared" si="35"/>
        <v>25837.944</v>
      </c>
      <c r="H236" s="300">
        <f t="shared" si="33"/>
        <v>-3.7384708318897161E-2</v>
      </c>
      <c r="I236" s="299"/>
    </row>
    <row r="237" spans="2:9" x14ac:dyDescent="0.25">
      <c r="B237" s="297">
        <v>42605</v>
      </c>
      <c r="C237" s="298">
        <v>800</v>
      </c>
      <c r="D237" s="299">
        <v>32.297429999999999</v>
      </c>
      <c r="E237" s="299">
        <v>30.45</v>
      </c>
      <c r="F237" s="299">
        <f t="shared" si="31"/>
        <v>-1477.9439999999995</v>
      </c>
      <c r="G237" s="299">
        <f t="shared" si="35"/>
        <v>25837.944</v>
      </c>
      <c r="H237" s="300">
        <f t="shared" si="33"/>
        <v>-5.7200526481518785E-2</v>
      </c>
      <c r="I237" s="299"/>
    </row>
    <row r="238" spans="2:9" x14ac:dyDescent="0.25">
      <c r="B238" s="297">
        <v>42639</v>
      </c>
      <c r="C238" s="298">
        <v>900</v>
      </c>
      <c r="D238" s="299">
        <v>32.05104</v>
      </c>
      <c r="E238" s="299">
        <v>30.08</v>
      </c>
      <c r="F238" s="299">
        <f t="shared" si="31"/>
        <v>-1773.936000000002</v>
      </c>
      <c r="G238" s="299">
        <f t="shared" si="35"/>
        <v>28845.936000000002</v>
      </c>
      <c r="H238" s="300">
        <f t="shared" si="33"/>
        <v>-6.14969124246827E-2</v>
      </c>
      <c r="I238" s="299"/>
    </row>
    <row r="239" spans="2:9" x14ac:dyDescent="0.25">
      <c r="B239" s="297">
        <v>42640</v>
      </c>
      <c r="C239" s="298">
        <v>900</v>
      </c>
      <c r="D239" s="299">
        <v>32.05104</v>
      </c>
      <c r="E239" s="299">
        <v>29.9</v>
      </c>
      <c r="F239" s="299">
        <f t="shared" si="31"/>
        <v>-1935.9360000000017</v>
      </c>
      <c r="G239" s="299">
        <f t="shared" si="35"/>
        <v>28845.936000000002</v>
      </c>
      <c r="H239" s="300">
        <f t="shared" si="33"/>
        <v>-6.7112954837034985E-2</v>
      </c>
      <c r="I239" s="299"/>
    </row>
    <row r="240" spans="2:9" x14ac:dyDescent="0.25">
      <c r="B240" s="297">
        <v>42641</v>
      </c>
      <c r="C240" s="298">
        <v>900</v>
      </c>
      <c r="D240" s="299">
        <v>32.05104</v>
      </c>
      <c r="E240" s="299">
        <v>29.84</v>
      </c>
      <c r="F240" s="299">
        <f t="shared" si="31"/>
        <v>-1989.9360000000006</v>
      </c>
      <c r="G240" s="299">
        <f t="shared" si="35"/>
        <v>28845.936000000002</v>
      </c>
      <c r="H240" s="300">
        <f t="shared" si="33"/>
        <v>-6.8984968974485708E-2</v>
      </c>
      <c r="I240" s="299"/>
    </row>
    <row r="241" spans="2:9" x14ac:dyDescent="0.25">
      <c r="B241" s="297">
        <v>42643</v>
      </c>
      <c r="C241" s="298">
        <v>900</v>
      </c>
      <c r="D241" s="299">
        <v>32.05104</v>
      </c>
      <c r="E241" s="299">
        <v>29.68</v>
      </c>
      <c r="F241" s="299">
        <f t="shared" si="31"/>
        <v>-2133.9360000000006</v>
      </c>
      <c r="G241" s="299">
        <f t="shared" si="35"/>
        <v>28845.936000000002</v>
      </c>
      <c r="H241" s="300">
        <f t="shared" si="33"/>
        <v>-7.3977006674354431E-2</v>
      </c>
      <c r="I241" s="299"/>
    </row>
    <row r="242" spans="2:9" x14ac:dyDescent="0.25">
      <c r="B242" s="297">
        <v>42646</v>
      </c>
      <c r="C242" s="298">
        <v>1000</v>
      </c>
      <c r="D242" s="299">
        <v>31.78594</v>
      </c>
      <c r="E242" s="299">
        <v>29.28</v>
      </c>
      <c r="F242" s="299">
        <f t="shared" si="31"/>
        <v>-2505.9399999999991</v>
      </c>
      <c r="G242" s="299">
        <f t="shared" si="35"/>
        <v>31785.94</v>
      </c>
      <c r="H242" s="300">
        <f t="shared" si="33"/>
        <v>-7.8838001959356835E-2</v>
      </c>
      <c r="I242" s="299"/>
    </row>
    <row r="243" spans="2:9" x14ac:dyDescent="0.25">
      <c r="B243" s="297">
        <v>42648</v>
      </c>
      <c r="C243" s="298">
        <v>1000</v>
      </c>
      <c r="D243" s="299">
        <v>31.78594</v>
      </c>
      <c r="E243" s="299">
        <v>28.84</v>
      </c>
      <c r="F243" s="299">
        <f t="shared" si="31"/>
        <v>-2945.94</v>
      </c>
      <c r="G243" s="299">
        <f t="shared" si="35"/>
        <v>31785.94</v>
      </c>
      <c r="H243" s="300">
        <f t="shared" si="33"/>
        <v>-9.2680600290568724E-2</v>
      </c>
      <c r="I243" s="299"/>
    </row>
    <row r="244" spans="2:9" x14ac:dyDescent="0.25">
      <c r="B244" s="297">
        <v>42649</v>
      </c>
      <c r="C244" s="298">
        <v>1000</v>
      </c>
      <c r="D244" s="299">
        <v>31.78594</v>
      </c>
      <c r="E244" s="299">
        <v>29.37</v>
      </c>
      <c r="F244" s="299">
        <f t="shared" si="31"/>
        <v>-2415.9399999999991</v>
      </c>
      <c r="G244" s="299">
        <f t="shared" si="35"/>
        <v>31785.94</v>
      </c>
      <c r="H244" s="300">
        <f t="shared" si="33"/>
        <v>-7.6006561391608968E-2</v>
      </c>
      <c r="I244" s="299"/>
    </row>
    <row r="245" spans="2:9" x14ac:dyDescent="0.25">
      <c r="B245" s="297">
        <v>42650</v>
      </c>
      <c r="C245" s="298">
        <v>1000</v>
      </c>
      <c r="D245" s="299">
        <v>31.78594</v>
      </c>
      <c r="E245" s="299">
        <v>29</v>
      </c>
      <c r="F245" s="299">
        <f t="shared" si="31"/>
        <v>-2785.94</v>
      </c>
      <c r="G245" s="299">
        <f t="shared" si="35"/>
        <v>31785.94</v>
      </c>
      <c r="H245" s="300">
        <f t="shared" si="33"/>
        <v>-8.7646928170128049E-2</v>
      </c>
      <c r="I245" s="299"/>
    </row>
    <row r="246" spans="2:9" x14ac:dyDescent="0.25">
      <c r="B246" s="297">
        <v>42661</v>
      </c>
      <c r="C246" s="298">
        <v>1000</v>
      </c>
      <c r="D246" s="299">
        <v>31.78594</v>
      </c>
      <c r="E246" s="299">
        <v>30.64</v>
      </c>
      <c r="F246" s="299">
        <f t="shared" ref="F246:F251" si="36">C246*(E246-D246)</f>
        <v>-1145.9399999999996</v>
      </c>
      <c r="G246" s="299">
        <f t="shared" ref="G246:G251" si="37">D246*C246</f>
        <v>31785.94</v>
      </c>
      <c r="H246" s="300">
        <f t="shared" ref="H246:H251" si="38">(E246-D246)/D246</f>
        <v>-3.6051788935611138E-2</v>
      </c>
      <c r="I246" s="299"/>
    </row>
    <row r="247" spans="2:9" x14ac:dyDescent="0.25">
      <c r="B247" s="297">
        <v>42671</v>
      </c>
      <c r="C247" s="298">
        <v>900</v>
      </c>
      <c r="D247" s="299">
        <v>31.837789999999998</v>
      </c>
      <c r="E247" s="299">
        <v>31.26</v>
      </c>
      <c r="F247" s="299">
        <f t="shared" si="36"/>
        <v>-520.01099999999701</v>
      </c>
      <c r="G247" s="299">
        <f t="shared" si="37"/>
        <v>28654.010999999999</v>
      </c>
      <c r="H247" s="300">
        <f t="shared" si="38"/>
        <v>-1.8147930493919232E-2</v>
      </c>
      <c r="I247" s="299"/>
    </row>
    <row r="248" spans="2:9" x14ac:dyDescent="0.25">
      <c r="B248" s="297">
        <v>42674</v>
      </c>
      <c r="C248" s="298">
        <v>1000</v>
      </c>
      <c r="D248" s="299">
        <v>31.763999999999999</v>
      </c>
      <c r="E248" s="299">
        <v>30.98</v>
      </c>
      <c r="F248" s="299">
        <f t="shared" si="36"/>
        <v>-783.99999999999886</v>
      </c>
      <c r="G248" s="299">
        <f t="shared" si="37"/>
        <v>31764</v>
      </c>
      <c r="H248" s="300">
        <f t="shared" si="38"/>
        <v>-2.468202997103636E-2</v>
      </c>
      <c r="I248" s="299"/>
    </row>
    <row r="249" spans="2:9" x14ac:dyDescent="0.25">
      <c r="B249" s="297">
        <v>42676</v>
      </c>
      <c r="C249" s="298">
        <v>500</v>
      </c>
      <c r="D249" s="299">
        <v>31.518719999999998</v>
      </c>
      <c r="E249" s="299">
        <v>32.22</v>
      </c>
      <c r="F249" s="299">
        <f t="shared" si="36"/>
        <v>350.64000000000027</v>
      </c>
      <c r="G249" s="299">
        <f t="shared" si="37"/>
        <v>15759.359999999999</v>
      </c>
      <c r="H249" s="300">
        <f t="shared" si="38"/>
        <v>2.2249634502923995E-2</v>
      </c>
      <c r="I249" s="299">
        <v>31</v>
      </c>
    </row>
    <row r="250" spans="2:9" x14ac:dyDescent="0.25">
      <c r="B250" s="297">
        <v>42677</v>
      </c>
      <c r="C250" s="298">
        <v>800</v>
      </c>
      <c r="D250" s="299">
        <v>31.51858</v>
      </c>
      <c r="E250" s="299">
        <v>31.02</v>
      </c>
      <c r="F250" s="299">
        <f t="shared" si="36"/>
        <v>-398.86400000000037</v>
      </c>
      <c r="G250" s="299">
        <f t="shared" si="37"/>
        <v>25214.864000000001</v>
      </c>
      <c r="H250" s="300">
        <f t="shared" si="38"/>
        <v>-1.5818606041262027E-2</v>
      </c>
      <c r="I250" s="299"/>
    </row>
    <row r="251" spans="2:9" x14ac:dyDescent="0.25">
      <c r="B251" s="297">
        <v>42701</v>
      </c>
      <c r="C251" s="298">
        <v>400</v>
      </c>
      <c r="D251" s="299">
        <v>30.677849999999999</v>
      </c>
      <c r="E251" s="299">
        <v>33.880000000000003</v>
      </c>
      <c r="F251" s="299">
        <f t="shared" si="36"/>
        <v>1280.8600000000013</v>
      </c>
      <c r="G251" s="299">
        <f t="shared" si="37"/>
        <v>12271.14</v>
      </c>
      <c r="H251" s="300">
        <f t="shared" si="38"/>
        <v>0.10437987016691207</v>
      </c>
      <c r="I251" s="299"/>
    </row>
    <row r="252" spans="2:9" x14ac:dyDescent="0.25">
      <c r="B252" s="297">
        <v>42704</v>
      </c>
      <c r="C252" s="298">
        <v>400</v>
      </c>
      <c r="D252" s="299">
        <v>30.677849999999999</v>
      </c>
      <c r="E252" s="299">
        <v>32.299999999999997</v>
      </c>
      <c r="F252" s="299">
        <f t="shared" ref="F252:F258" si="39">C252*(E252-D252)</f>
        <v>648.8599999999991</v>
      </c>
      <c r="G252" s="299">
        <f t="shared" ref="G252:G258" si="40">D252*C252</f>
        <v>12271.14</v>
      </c>
      <c r="H252" s="300">
        <f t="shared" ref="H252:H258" si="41">(E252-D252)/D252</f>
        <v>5.2876912821465581E-2</v>
      </c>
      <c r="I252" s="299"/>
    </row>
    <row r="253" spans="2:9" x14ac:dyDescent="0.25">
      <c r="B253" s="297">
        <v>42706</v>
      </c>
      <c r="C253" s="298">
        <v>400</v>
      </c>
      <c r="D253" s="299">
        <v>30.527850000000001</v>
      </c>
      <c r="E253" s="299">
        <v>33.299999999999997</v>
      </c>
      <c r="F253" s="299">
        <f t="shared" si="39"/>
        <v>1108.8599999999985</v>
      </c>
      <c r="G253" s="299">
        <f t="shared" si="40"/>
        <v>12211.14</v>
      </c>
      <c r="H253" s="300">
        <f t="shared" si="41"/>
        <v>9.0807246497869851E-2</v>
      </c>
      <c r="I253" s="299"/>
    </row>
    <row r="254" spans="2:9" x14ac:dyDescent="0.25">
      <c r="B254" s="297">
        <v>42712</v>
      </c>
      <c r="C254" s="298">
        <v>300</v>
      </c>
      <c r="D254" s="299">
        <v>29.297370000000001</v>
      </c>
      <c r="E254" s="299">
        <v>34.19</v>
      </c>
      <c r="F254" s="299">
        <f t="shared" si="39"/>
        <v>1467.7889999999991</v>
      </c>
      <c r="G254" s="299">
        <f t="shared" si="40"/>
        <v>8789.2109999999993</v>
      </c>
      <c r="H254" s="300">
        <f t="shared" si="41"/>
        <v>0.16699894905242338</v>
      </c>
      <c r="I254" s="299"/>
    </row>
    <row r="255" spans="2:9" x14ac:dyDescent="0.25">
      <c r="B255" s="297">
        <v>42713</v>
      </c>
      <c r="C255" s="298">
        <v>200</v>
      </c>
      <c r="D255" s="299">
        <v>26.551449999999999</v>
      </c>
      <c r="E255" s="299">
        <v>34.78</v>
      </c>
      <c r="F255" s="299">
        <f t="shared" si="39"/>
        <v>1645.7100000000005</v>
      </c>
      <c r="G255" s="299">
        <f t="shared" si="40"/>
        <v>5310.29</v>
      </c>
      <c r="H255" s="300">
        <f t="shared" si="41"/>
        <v>0.30990962828772073</v>
      </c>
      <c r="I255" s="299"/>
    </row>
    <row r="256" spans="2:9" x14ac:dyDescent="0.25">
      <c r="B256" s="297">
        <v>42716</v>
      </c>
      <c r="C256" s="298">
        <v>300</v>
      </c>
      <c r="D256" s="299">
        <v>29.0943</v>
      </c>
      <c r="E256" s="299">
        <v>34.22</v>
      </c>
      <c r="F256" s="299">
        <f t="shared" si="39"/>
        <v>1537.7099999999996</v>
      </c>
      <c r="G256" s="299">
        <f t="shared" si="40"/>
        <v>8728.2900000000009</v>
      </c>
      <c r="H256" s="300">
        <f t="shared" si="41"/>
        <v>0.17617540205469795</v>
      </c>
      <c r="I256" s="299"/>
    </row>
    <row r="257" spans="2:9" x14ac:dyDescent="0.25">
      <c r="B257" s="297">
        <v>42718</v>
      </c>
      <c r="C257" s="298">
        <v>100</v>
      </c>
      <c r="D257" s="299">
        <v>17.179500000000001</v>
      </c>
      <c r="E257" s="299">
        <v>34.72</v>
      </c>
      <c r="F257" s="299">
        <f t="shared" si="39"/>
        <v>1754.0499999999997</v>
      </c>
      <c r="G257" s="299">
        <f t="shared" si="40"/>
        <v>1717.95</v>
      </c>
      <c r="H257" s="300">
        <f t="shared" si="41"/>
        <v>1.021013417154166</v>
      </c>
      <c r="I257" s="299"/>
    </row>
    <row r="258" spans="2:9" x14ac:dyDescent="0.25">
      <c r="B258" s="297">
        <v>42718</v>
      </c>
      <c r="C258" s="298">
        <v>300</v>
      </c>
      <c r="D258" s="299">
        <v>28.9132</v>
      </c>
      <c r="E258" s="299">
        <v>34.72</v>
      </c>
      <c r="F258" s="299">
        <f t="shared" si="39"/>
        <v>1742.0399999999997</v>
      </c>
      <c r="G258" s="299">
        <f t="shared" si="40"/>
        <v>8673.9599999999991</v>
      </c>
      <c r="H258" s="300">
        <f t="shared" si="41"/>
        <v>0.20083560449898313</v>
      </c>
      <c r="I258" s="299"/>
    </row>
    <row r="259" spans="2:9" x14ac:dyDescent="0.25">
      <c r="B259" s="297">
        <v>42729</v>
      </c>
      <c r="C259" s="298">
        <v>300</v>
      </c>
      <c r="D259" s="299">
        <v>28.9132</v>
      </c>
      <c r="E259" s="299">
        <v>35.08</v>
      </c>
      <c r="F259" s="299">
        <f>C259*(E259-D259)</f>
        <v>1850.0399999999995</v>
      </c>
      <c r="G259" s="299">
        <f>D259*C259</f>
        <v>8673.9599999999991</v>
      </c>
      <c r="H259" s="300">
        <f>(E259-D259)/D259</f>
        <v>0.21328666491429515</v>
      </c>
      <c r="I259" s="299"/>
    </row>
    <row r="260" spans="2:9" x14ac:dyDescent="0.25">
      <c r="B260" s="297">
        <v>42745</v>
      </c>
      <c r="C260" s="298">
        <v>400</v>
      </c>
      <c r="D260" s="299">
        <v>30.12988</v>
      </c>
      <c r="E260" s="299">
        <v>33.19</v>
      </c>
      <c r="F260" s="299">
        <f>C260*(E260-D260)</f>
        <v>1224.0479999999991</v>
      </c>
      <c r="G260" s="299">
        <f>D260*C260</f>
        <v>12051.951999999999</v>
      </c>
      <c r="H260" s="300">
        <f>(E260-D260)/D260</f>
        <v>0.1015642943151449</v>
      </c>
      <c r="I260" s="299"/>
    </row>
    <row r="261" spans="2:9" x14ac:dyDescent="0.25">
      <c r="B261" s="297">
        <v>42752</v>
      </c>
      <c r="C261" s="298">
        <v>300</v>
      </c>
      <c r="D261" s="299">
        <v>28.620100000000001</v>
      </c>
      <c r="E261" s="299">
        <v>34.840000000000003</v>
      </c>
      <c r="F261" s="299">
        <f>C261*(E261-D261)</f>
        <v>1865.9700000000007</v>
      </c>
      <c r="G261" s="299">
        <f>D261*C261</f>
        <v>8586.0300000000007</v>
      </c>
      <c r="H261" s="300">
        <f>(E261-D261)/D261</f>
        <v>0.21732628467405782</v>
      </c>
      <c r="I261" s="299">
        <v>28.25</v>
      </c>
    </row>
    <row r="262" spans="2:9" x14ac:dyDescent="0.25">
      <c r="B262" s="297">
        <v>42754</v>
      </c>
      <c r="C262" s="298">
        <v>400</v>
      </c>
      <c r="D262" s="299">
        <v>30.032579999999999</v>
      </c>
      <c r="E262" s="299">
        <v>34.26</v>
      </c>
      <c r="F262" s="299">
        <f>C262*(E262-D262)</f>
        <v>1690.9679999999994</v>
      </c>
      <c r="G262" s="299">
        <f>D262*C262</f>
        <v>12013.031999999999</v>
      </c>
      <c r="H262" s="300">
        <f>(E262-D262)/D262</f>
        <v>0.14076113340911767</v>
      </c>
      <c r="I262" s="299"/>
    </row>
    <row r="277" spans="1:13" x14ac:dyDescent="0.25">
      <c r="M277" s="2">
        <f>M305+K308-F308</f>
        <v>1747.9699999999939</v>
      </c>
    </row>
    <row r="278" spans="1:13" x14ac:dyDescent="0.25">
      <c r="M278" s="199" t="s">
        <v>38</v>
      </c>
    </row>
    <row r="279" spans="1:13" x14ac:dyDescent="0.25">
      <c r="M279" s="198">
        <v>10.5</v>
      </c>
    </row>
    <row r="280" spans="1:13" x14ac:dyDescent="0.25">
      <c r="L280" t="s">
        <v>65</v>
      </c>
      <c r="M280" s="198">
        <v>48</v>
      </c>
    </row>
    <row r="281" spans="1:13" x14ac:dyDescent="0.25">
      <c r="A281" s="199" t="s">
        <v>1</v>
      </c>
      <c r="B281" s="199" t="s">
        <v>2</v>
      </c>
      <c r="C281" s="199" t="s">
        <v>4</v>
      </c>
      <c r="D281" s="200" t="s">
        <v>5</v>
      </c>
      <c r="E281" s="200" t="s">
        <v>94</v>
      </c>
      <c r="F281" s="200" t="s">
        <v>60</v>
      </c>
      <c r="G281" s="199" t="s">
        <v>3</v>
      </c>
      <c r="H281" s="199" t="s">
        <v>6</v>
      </c>
      <c r="I281" s="200" t="s">
        <v>7</v>
      </c>
      <c r="J281" s="200" t="s">
        <v>95</v>
      </c>
      <c r="K281" s="200" t="s">
        <v>61</v>
      </c>
      <c r="L281" s="199" t="s">
        <v>37</v>
      </c>
      <c r="M281" s="198">
        <v>60</v>
      </c>
    </row>
    <row r="282" spans="1:13" x14ac:dyDescent="0.25">
      <c r="A282" s="201" t="s">
        <v>193</v>
      </c>
      <c r="B282" s="202">
        <v>42482</v>
      </c>
      <c r="C282" s="197">
        <v>80</v>
      </c>
      <c r="D282" s="198">
        <v>36.01</v>
      </c>
      <c r="E282" s="198">
        <v>0</v>
      </c>
      <c r="F282" s="198">
        <f t="shared" ref="F282:F302" si="42">D282*C282+E282</f>
        <v>2880.7999999999997</v>
      </c>
      <c r="G282" s="202">
        <v>42514</v>
      </c>
      <c r="H282" s="197">
        <v>40</v>
      </c>
      <c r="I282" s="198">
        <v>35.35</v>
      </c>
      <c r="J282" s="198">
        <v>0.03</v>
      </c>
      <c r="K282" s="198">
        <f>I282*H282-J282</f>
        <v>1413.97</v>
      </c>
      <c r="L282" s="202">
        <v>42522</v>
      </c>
      <c r="M282" s="197"/>
    </row>
    <row r="283" spans="1:13" x14ac:dyDescent="0.25">
      <c r="A283" s="204" t="s">
        <v>71</v>
      </c>
      <c r="B283" s="202">
        <v>42482</v>
      </c>
      <c r="C283" s="197">
        <v>20</v>
      </c>
      <c r="D283" s="198">
        <v>35.549999999999997</v>
      </c>
      <c r="E283" s="198">
        <v>0</v>
      </c>
      <c r="F283" s="198">
        <f t="shared" si="42"/>
        <v>711</v>
      </c>
      <c r="G283" s="197"/>
      <c r="H283" s="197"/>
      <c r="I283" s="198"/>
      <c r="J283" s="198"/>
      <c r="K283" s="198"/>
      <c r="L283" s="202">
        <v>42614</v>
      </c>
      <c r="M283" s="197"/>
    </row>
    <row r="284" spans="1:13" x14ac:dyDescent="0.25">
      <c r="A284" s="197"/>
      <c r="B284" s="202">
        <v>42508</v>
      </c>
      <c r="C284" s="197">
        <v>40</v>
      </c>
      <c r="D284" s="198">
        <v>34.19</v>
      </c>
      <c r="E284" s="198">
        <v>0</v>
      </c>
      <c r="F284" s="198">
        <f t="shared" si="42"/>
        <v>1367.6</v>
      </c>
      <c r="G284" s="202">
        <v>42521</v>
      </c>
      <c r="H284" s="203">
        <v>40</v>
      </c>
      <c r="I284" s="198">
        <v>35.99</v>
      </c>
      <c r="J284" s="198">
        <v>0.03</v>
      </c>
      <c r="K284" s="198">
        <f t="shared" ref="K284:K299" si="43">I284*H284-J284</f>
        <v>1439.5700000000002</v>
      </c>
      <c r="L284" s="202">
        <v>42706</v>
      </c>
      <c r="M284" s="197"/>
    </row>
    <row r="285" spans="1:13" x14ac:dyDescent="0.25">
      <c r="A285" s="197"/>
      <c r="B285" s="202">
        <v>42509</v>
      </c>
      <c r="C285" s="197">
        <v>100</v>
      </c>
      <c r="D285" s="198">
        <v>34.49</v>
      </c>
      <c r="E285" s="198">
        <v>0</v>
      </c>
      <c r="F285" s="198">
        <f t="shared" si="42"/>
        <v>3449</v>
      </c>
      <c r="G285" s="202">
        <v>42531</v>
      </c>
      <c r="H285" s="203">
        <v>100</v>
      </c>
      <c r="I285" s="198">
        <v>36.99</v>
      </c>
      <c r="J285" s="198">
        <v>0.08</v>
      </c>
      <c r="K285" s="198">
        <f t="shared" si="43"/>
        <v>3698.92</v>
      </c>
      <c r="L285" s="197"/>
      <c r="M285" s="197"/>
    </row>
    <row r="286" spans="1:13" x14ac:dyDescent="0.25">
      <c r="A286" s="197"/>
      <c r="B286" s="202">
        <v>42536</v>
      </c>
      <c r="C286" s="197">
        <v>100</v>
      </c>
      <c r="D286" s="198">
        <v>35.39</v>
      </c>
      <c r="E286" s="198">
        <v>0</v>
      </c>
      <c r="F286" s="198">
        <f t="shared" si="42"/>
        <v>3539</v>
      </c>
      <c r="G286" s="202">
        <v>42594</v>
      </c>
      <c r="H286" s="203">
        <v>100</v>
      </c>
      <c r="I286" s="198">
        <v>32.58</v>
      </c>
      <c r="J286" s="198">
        <v>7.0000000000000007E-2</v>
      </c>
      <c r="K286" s="198">
        <f t="shared" si="43"/>
        <v>3257.93</v>
      </c>
      <c r="L286" s="197"/>
      <c r="M286" s="197"/>
    </row>
    <row r="287" spans="1:13" x14ac:dyDescent="0.25">
      <c r="A287" s="197"/>
      <c r="B287" s="202">
        <v>42579</v>
      </c>
      <c r="C287" s="197">
        <v>40</v>
      </c>
      <c r="D287" s="198">
        <v>35</v>
      </c>
      <c r="E287" s="198">
        <v>0</v>
      </c>
      <c r="F287" s="198">
        <f t="shared" si="42"/>
        <v>1400</v>
      </c>
      <c r="G287" s="202">
        <v>42671</v>
      </c>
      <c r="H287" s="203">
        <v>100</v>
      </c>
      <c r="I287" s="198">
        <v>31.32</v>
      </c>
      <c r="J287" s="198">
        <v>7.0000000000000007E-2</v>
      </c>
      <c r="K287" s="198">
        <f t="shared" si="43"/>
        <v>3131.93</v>
      </c>
      <c r="L287" s="197"/>
      <c r="M287" s="197"/>
    </row>
    <row r="288" spans="1:13" x14ac:dyDescent="0.25">
      <c r="A288" s="197"/>
      <c r="B288" s="202">
        <v>42579</v>
      </c>
      <c r="C288" s="197">
        <v>30</v>
      </c>
      <c r="D288" s="198">
        <v>34.57</v>
      </c>
      <c r="E288" s="198">
        <v>-7.0000000000000007E-2</v>
      </c>
      <c r="F288" s="198">
        <f t="shared" si="42"/>
        <v>1037.03</v>
      </c>
      <c r="G288" s="202">
        <v>42676</v>
      </c>
      <c r="H288" s="203">
        <v>200</v>
      </c>
      <c r="I288" s="198">
        <v>31.83</v>
      </c>
      <c r="J288" s="198">
        <v>0.14000000000000001</v>
      </c>
      <c r="K288" s="198">
        <f t="shared" si="43"/>
        <v>6365.86</v>
      </c>
      <c r="L288" s="197"/>
      <c r="M288" s="197"/>
    </row>
    <row r="289" spans="1:13" x14ac:dyDescent="0.25">
      <c r="A289" s="197"/>
      <c r="B289" s="202">
        <v>42580</v>
      </c>
      <c r="C289" s="197">
        <v>30</v>
      </c>
      <c r="D289" s="198">
        <v>33.880000000000003</v>
      </c>
      <c r="E289" s="198">
        <v>0</v>
      </c>
      <c r="F289" s="198">
        <f t="shared" si="42"/>
        <v>1016.4000000000001</v>
      </c>
      <c r="G289" s="202">
        <v>42676</v>
      </c>
      <c r="H289" s="203">
        <v>100</v>
      </c>
      <c r="I289" s="198">
        <v>31.98</v>
      </c>
      <c r="J289" s="198">
        <v>7.0000000000000007E-2</v>
      </c>
      <c r="K289" s="198">
        <f t="shared" si="43"/>
        <v>3197.93</v>
      </c>
      <c r="L289" s="197"/>
      <c r="M289" s="197"/>
    </row>
    <row r="290" spans="1:13" x14ac:dyDescent="0.25">
      <c r="A290" s="197"/>
      <c r="B290" s="202">
        <v>42584</v>
      </c>
      <c r="C290" s="197">
        <v>40</v>
      </c>
      <c r="D290" s="198">
        <v>33.049999999999997</v>
      </c>
      <c r="E290" s="198">
        <v>0</v>
      </c>
      <c r="F290" s="198">
        <f t="shared" si="42"/>
        <v>1322</v>
      </c>
      <c r="G290" s="202">
        <v>42676</v>
      </c>
      <c r="H290" s="203">
        <v>100</v>
      </c>
      <c r="I290" s="198">
        <v>32.18</v>
      </c>
      <c r="J290" s="198">
        <v>7.0000000000000007E-2</v>
      </c>
      <c r="K290" s="198">
        <f t="shared" si="43"/>
        <v>3217.93</v>
      </c>
      <c r="L290" s="197"/>
      <c r="M290" s="197"/>
    </row>
    <row r="291" spans="1:13" x14ac:dyDescent="0.25">
      <c r="A291" s="197"/>
      <c r="B291" s="202">
        <v>42586</v>
      </c>
      <c r="C291" s="197">
        <v>100</v>
      </c>
      <c r="D291" s="198">
        <v>32.479999999999997</v>
      </c>
      <c r="E291" s="198">
        <v>0</v>
      </c>
      <c r="F291" s="198">
        <f t="shared" si="42"/>
        <v>3247.9999999999995</v>
      </c>
      <c r="G291" s="202">
        <v>42676</v>
      </c>
      <c r="H291" s="203">
        <v>100</v>
      </c>
      <c r="I291" s="198">
        <v>32.229999999999997</v>
      </c>
      <c r="J291" s="198">
        <v>7.0000000000000007E-2</v>
      </c>
      <c r="K291" s="198">
        <f t="shared" si="43"/>
        <v>3222.9299999999994</v>
      </c>
      <c r="L291" s="197"/>
      <c r="M291" s="197"/>
    </row>
    <row r="292" spans="1:13" x14ac:dyDescent="0.25">
      <c r="A292" s="197"/>
      <c r="B292" s="202">
        <v>42593</v>
      </c>
      <c r="C292" s="197">
        <v>100</v>
      </c>
      <c r="D292" s="198">
        <v>32.049999999999997</v>
      </c>
      <c r="E292" s="198">
        <v>0</v>
      </c>
      <c r="F292" s="198">
        <f t="shared" si="42"/>
        <v>3204.9999999999995</v>
      </c>
      <c r="G292" s="202">
        <v>42683</v>
      </c>
      <c r="H292" s="203">
        <v>100</v>
      </c>
      <c r="I292" s="198">
        <v>32.33</v>
      </c>
      <c r="J292" s="198">
        <v>7.0000000000000007E-2</v>
      </c>
      <c r="K292" s="198">
        <f t="shared" si="43"/>
        <v>3232.93</v>
      </c>
      <c r="L292" s="197"/>
      <c r="M292" s="197"/>
    </row>
    <row r="293" spans="1:13" x14ac:dyDescent="0.25">
      <c r="A293" s="197"/>
      <c r="B293" s="202">
        <v>42599</v>
      </c>
      <c r="C293" s="197">
        <v>100</v>
      </c>
      <c r="D293" s="198">
        <v>31.68</v>
      </c>
      <c r="E293" s="198">
        <v>0</v>
      </c>
      <c r="F293" s="198">
        <f t="shared" si="42"/>
        <v>3168</v>
      </c>
      <c r="G293" s="202">
        <v>42683</v>
      </c>
      <c r="H293" s="203">
        <v>200</v>
      </c>
      <c r="I293" s="198">
        <v>32.08</v>
      </c>
      <c r="J293" s="198">
        <v>0.14000000000000001</v>
      </c>
      <c r="K293" s="198">
        <f t="shared" si="43"/>
        <v>6415.86</v>
      </c>
      <c r="L293" s="197"/>
      <c r="M293" s="197"/>
    </row>
    <row r="294" spans="1:13" x14ac:dyDescent="0.25">
      <c r="A294" s="197"/>
      <c r="B294" s="202">
        <v>42620</v>
      </c>
      <c r="C294" s="197">
        <v>100</v>
      </c>
      <c r="D294" s="198">
        <v>31.65</v>
      </c>
      <c r="E294" s="198">
        <v>0</v>
      </c>
      <c r="F294" s="198">
        <f t="shared" si="42"/>
        <v>3165</v>
      </c>
      <c r="G294" s="202">
        <v>42684</v>
      </c>
      <c r="H294" s="203">
        <v>100</v>
      </c>
      <c r="I294" s="198">
        <v>32.950000000000003</v>
      </c>
      <c r="J294" s="198">
        <v>7.0000000000000007E-2</v>
      </c>
      <c r="K294" s="198">
        <f t="shared" si="43"/>
        <v>3294.9300000000003</v>
      </c>
      <c r="L294" s="197"/>
      <c r="M294" s="197"/>
    </row>
    <row r="295" spans="1:13" x14ac:dyDescent="0.25">
      <c r="A295" s="197"/>
      <c r="B295" s="202">
        <v>42620</v>
      </c>
      <c r="C295" s="197">
        <v>100</v>
      </c>
      <c r="D295" s="198">
        <v>31.18</v>
      </c>
      <c r="E295" s="198">
        <v>0</v>
      </c>
      <c r="F295" s="198">
        <f t="shared" si="42"/>
        <v>3118</v>
      </c>
      <c r="G295" s="202">
        <v>42712</v>
      </c>
      <c r="H295" s="203">
        <v>100</v>
      </c>
      <c r="I295" s="198">
        <v>34.22</v>
      </c>
      <c r="J295" s="198">
        <v>7.0000000000000007E-2</v>
      </c>
      <c r="K295" s="198">
        <f t="shared" si="43"/>
        <v>3421.93</v>
      </c>
      <c r="L295" s="197"/>
      <c r="M295" s="197"/>
    </row>
    <row r="296" spans="1:13" x14ac:dyDescent="0.25">
      <c r="A296" s="197"/>
      <c r="B296" s="202">
        <v>42625</v>
      </c>
      <c r="C296" s="197">
        <v>100</v>
      </c>
      <c r="D296" s="198">
        <v>30.8</v>
      </c>
      <c r="E296" s="198">
        <v>0</v>
      </c>
      <c r="F296" s="198">
        <f t="shared" si="42"/>
        <v>3080</v>
      </c>
      <c r="G296" s="202">
        <v>42713</v>
      </c>
      <c r="H296" s="203">
        <v>100</v>
      </c>
      <c r="I296" s="198">
        <v>34.79</v>
      </c>
      <c r="J296" s="198">
        <v>0.08</v>
      </c>
      <c r="K296" s="198">
        <f t="shared" si="43"/>
        <v>3478.92</v>
      </c>
      <c r="L296" s="197"/>
      <c r="M296" s="197"/>
    </row>
    <row r="297" spans="1:13" x14ac:dyDescent="0.25">
      <c r="A297" s="197"/>
      <c r="B297" s="202">
        <v>42639</v>
      </c>
      <c r="C297" s="197">
        <v>100</v>
      </c>
      <c r="D297" s="198">
        <v>30.08</v>
      </c>
      <c r="E297" s="198">
        <v>0</v>
      </c>
      <c r="F297" s="198">
        <f t="shared" si="42"/>
        <v>3008</v>
      </c>
      <c r="G297" s="202">
        <v>42718</v>
      </c>
      <c r="H297" s="203">
        <v>100</v>
      </c>
      <c r="I297" s="198">
        <v>35.21</v>
      </c>
      <c r="J297" s="198">
        <v>0.57999999999999996</v>
      </c>
      <c r="K297" s="198">
        <f t="shared" si="43"/>
        <v>3520.42</v>
      </c>
      <c r="L297" s="197"/>
      <c r="M297" s="197"/>
    </row>
    <row r="298" spans="1:13" x14ac:dyDescent="0.25">
      <c r="A298" s="197"/>
      <c r="B298" s="202">
        <v>42646</v>
      </c>
      <c r="C298" s="197">
        <v>100</v>
      </c>
      <c r="D298" s="198">
        <v>29.4</v>
      </c>
      <c r="E298" s="198">
        <v>0</v>
      </c>
      <c r="F298" s="198">
        <f t="shared" si="42"/>
        <v>2940</v>
      </c>
      <c r="G298" s="202">
        <v>42718</v>
      </c>
      <c r="H298" s="203">
        <v>100</v>
      </c>
      <c r="I298" s="198">
        <v>34.9</v>
      </c>
      <c r="J298" s="198">
        <v>0.08</v>
      </c>
      <c r="K298" s="198">
        <f t="shared" si="43"/>
        <v>3489.92</v>
      </c>
      <c r="L298" s="197"/>
      <c r="M298" s="197"/>
    </row>
    <row r="299" spans="1:13" x14ac:dyDescent="0.25">
      <c r="A299" s="197"/>
      <c r="B299" s="202">
        <v>42674</v>
      </c>
      <c r="C299" s="197">
        <v>100</v>
      </c>
      <c r="D299" s="198">
        <v>31.1</v>
      </c>
      <c r="E299" s="198">
        <v>0</v>
      </c>
      <c r="F299" s="198">
        <f t="shared" si="42"/>
        <v>3110</v>
      </c>
      <c r="G299" s="202">
        <v>42752</v>
      </c>
      <c r="H299" s="203">
        <v>100</v>
      </c>
      <c r="I299" s="198">
        <v>34.659999999999997</v>
      </c>
      <c r="J299" s="198">
        <v>0.08</v>
      </c>
      <c r="K299" s="198">
        <f t="shared" si="43"/>
        <v>3465.9199999999996</v>
      </c>
      <c r="L299" s="197"/>
      <c r="M299" s="197"/>
    </row>
    <row r="300" spans="1:13" x14ac:dyDescent="0.25">
      <c r="A300" s="197"/>
      <c r="B300" s="202">
        <v>42677</v>
      </c>
      <c r="C300" s="197">
        <v>200</v>
      </c>
      <c r="D300" s="198">
        <v>31.68</v>
      </c>
      <c r="E300" s="198">
        <v>0</v>
      </c>
      <c r="F300" s="198">
        <f t="shared" si="42"/>
        <v>6336</v>
      </c>
      <c r="G300" s="197"/>
      <c r="H300" s="197"/>
      <c r="I300" s="198"/>
      <c r="J300" s="198"/>
      <c r="K300" s="198"/>
      <c r="L300" s="197"/>
      <c r="M300" s="197"/>
    </row>
    <row r="301" spans="1:13" x14ac:dyDescent="0.25">
      <c r="A301" s="197"/>
      <c r="B301" s="202">
        <v>42677</v>
      </c>
      <c r="C301" s="197">
        <v>100</v>
      </c>
      <c r="D301" s="198">
        <v>31.2</v>
      </c>
      <c r="E301" s="198">
        <v>-0.5</v>
      </c>
      <c r="F301" s="198">
        <f t="shared" si="42"/>
        <v>3119.5</v>
      </c>
      <c r="G301" s="197"/>
      <c r="H301" s="197"/>
      <c r="I301" s="198"/>
      <c r="J301" s="198"/>
      <c r="K301" s="198"/>
      <c r="L301" s="197"/>
      <c r="M301" s="197"/>
    </row>
    <row r="302" spans="1:13" x14ac:dyDescent="0.25">
      <c r="A302" s="197"/>
      <c r="B302" s="202">
        <v>42716</v>
      </c>
      <c r="C302" s="197">
        <v>100</v>
      </c>
      <c r="D302" s="198">
        <v>34.18</v>
      </c>
      <c r="E302" s="198">
        <v>0</v>
      </c>
      <c r="F302" s="198">
        <f t="shared" si="42"/>
        <v>3418</v>
      </c>
      <c r="G302" s="197"/>
      <c r="H302" s="197"/>
      <c r="I302" s="198"/>
      <c r="J302" s="198"/>
      <c r="K302" s="198"/>
      <c r="L302" s="197"/>
      <c r="M302" s="197"/>
    </row>
    <row r="303" spans="1:13" x14ac:dyDescent="0.25">
      <c r="A303" s="197"/>
      <c r="B303" s="202"/>
      <c r="C303" s="197"/>
      <c r="D303" s="198"/>
      <c r="E303" s="198"/>
      <c r="F303" s="198"/>
      <c r="G303" s="197"/>
      <c r="H303" s="197"/>
      <c r="I303" s="198"/>
      <c r="J303" s="198"/>
      <c r="K303" s="198"/>
      <c r="L303" s="197"/>
      <c r="M303" s="197"/>
    </row>
    <row r="304" spans="1:13" x14ac:dyDescent="0.25">
      <c r="A304" s="197"/>
      <c r="B304" s="202"/>
      <c r="C304" s="197"/>
      <c r="D304" s="198"/>
      <c r="E304" s="198"/>
      <c r="F304" s="198"/>
      <c r="G304" s="197"/>
      <c r="H304" s="197"/>
      <c r="I304" s="198"/>
      <c r="J304" s="198"/>
      <c r="K304" s="198"/>
      <c r="L304" s="197"/>
      <c r="M304" s="197"/>
    </row>
    <row r="305" spans="1:13" x14ac:dyDescent="0.25">
      <c r="A305" s="197"/>
      <c r="B305" s="202"/>
      <c r="C305" s="197"/>
      <c r="D305" s="198"/>
      <c r="E305" s="198"/>
      <c r="F305" s="198"/>
      <c r="G305" s="197"/>
      <c r="H305" s="197"/>
      <c r="I305" s="198"/>
      <c r="J305" s="198"/>
      <c r="K305" s="198"/>
      <c r="L305" s="197"/>
      <c r="M305" s="18">
        <f>SUM(M279:M304)</f>
        <v>118.5</v>
      </c>
    </row>
    <row r="306" spans="1:13" x14ac:dyDescent="0.25">
      <c r="A306" s="197"/>
      <c r="B306" s="197"/>
      <c r="C306" s="197"/>
      <c r="D306" s="198"/>
      <c r="E306" s="198"/>
      <c r="F306" s="198"/>
      <c r="G306" s="197"/>
      <c r="H306" s="197"/>
      <c r="I306" s="198"/>
      <c r="J306" s="198"/>
      <c r="K306" s="198"/>
      <c r="L306" s="197"/>
    </row>
    <row r="307" spans="1:13" x14ac:dyDescent="0.25">
      <c r="A307" s="197"/>
      <c r="B307" s="197"/>
      <c r="C307" s="197"/>
      <c r="D307" s="198"/>
      <c r="E307" s="198"/>
      <c r="F307" s="198"/>
      <c r="G307" s="197"/>
      <c r="H307" s="197"/>
      <c r="I307" s="198"/>
      <c r="J307" s="198"/>
      <c r="K307" s="198"/>
      <c r="L307" s="197"/>
    </row>
    <row r="308" spans="1:13" x14ac:dyDescent="0.25">
      <c r="A308" s="31" t="s">
        <v>81</v>
      </c>
      <c r="B308" s="14"/>
      <c r="C308" s="14">
        <f>SUM(C282:C305)</f>
        <v>1780</v>
      </c>
      <c r="D308" s="18"/>
      <c r="E308" s="18"/>
      <c r="F308" s="18">
        <f>SUM(F282:F305)</f>
        <v>57638.33</v>
      </c>
      <c r="G308" s="14"/>
      <c r="H308" s="14">
        <f>SUM(H282:H307)</f>
        <v>1780</v>
      </c>
      <c r="I308" s="18"/>
      <c r="J308" s="18"/>
      <c r="K308" s="18">
        <f>SUM(K282:K307)</f>
        <v>59267.799999999996</v>
      </c>
      <c r="L308" s="14"/>
    </row>
  </sheetData>
  <mergeCells count="2">
    <mergeCell ref="O22:P22"/>
    <mergeCell ref="A52:A54"/>
  </mergeCells>
  <conditionalFormatting sqref="O23:O43">
    <cfRule type="colorScale" priority="132">
      <colorScale>
        <cfvo type="min"/>
        <cfvo type="percentile" val="50"/>
        <cfvo type="max"/>
        <color rgb="FFF8696B"/>
        <color rgb="FFFFEB84"/>
        <color rgb="FF63BE7B"/>
      </colorScale>
    </cfRule>
  </conditionalFormatting>
  <conditionalFormatting sqref="P23:P43">
    <cfRule type="colorScale" priority="131">
      <colorScale>
        <cfvo type="min"/>
        <cfvo type="percentile" val="50"/>
        <cfvo type="max"/>
        <color rgb="FFF8696B"/>
        <color rgb="FFFFEB84"/>
        <color rgb="FF63BE7B"/>
      </colorScale>
    </cfRule>
  </conditionalFormatting>
  <conditionalFormatting sqref="F193:F197 F141:F144 H141:H144 H152:H154 F152:F154 K173:K175 F186:F187 H186:H187 K186:K187">
    <cfRule type="expression" dxfId="2184" priority="127">
      <formula>F141&gt;0</formula>
    </cfRule>
    <cfRule type="expression" dxfId="2183" priority="128">
      <formula>F141&lt;0</formula>
    </cfRule>
  </conditionalFormatting>
  <conditionalFormatting sqref="F198:F211 F214:F258 F261:F262">
    <cfRule type="expression" dxfId="2182" priority="123">
      <formula>F198&gt;0</formula>
    </cfRule>
    <cfRule type="expression" dxfId="2181" priority="124">
      <formula>F198&lt;0</formula>
    </cfRule>
  </conditionalFormatting>
  <conditionalFormatting sqref="F198:F211 F214:F258 F261:F262">
    <cfRule type="expression" dxfId="2180" priority="125">
      <formula>F198&gt;0</formula>
    </cfRule>
    <cfRule type="expression" dxfId="2179" priority="126">
      <formula>F198&lt;0</formula>
    </cfRule>
  </conditionalFormatting>
  <conditionalFormatting sqref="H193:H211 H214:H258 H261:H262">
    <cfRule type="expression" dxfId="2178" priority="121">
      <formula>H193&gt;0</formula>
    </cfRule>
    <cfRule type="expression" dxfId="2177" priority="122">
      <formula>H193&lt;0</formula>
    </cfRule>
  </conditionalFormatting>
  <conditionalFormatting sqref="F189:F192">
    <cfRule type="expression" dxfId="2176" priority="115">
      <formula>F189&gt;0</formula>
    </cfRule>
    <cfRule type="expression" dxfId="2175" priority="116">
      <formula>F189&lt;0</formula>
    </cfRule>
  </conditionalFormatting>
  <conditionalFormatting sqref="H189:H192">
    <cfRule type="expression" dxfId="2174" priority="113">
      <formula>H189&gt;0</formula>
    </cfRule>
    <cfRule type="expression" dxfId="2173" priority="114">
      <formula>H189&lt;0</formula>
    </cfRule>
  </conditionalFormatting>
  <conditionalFormatting sqref="Q8">
    <cfRule type="expression" dxfId="2172" priority="109">
      <formula>Q8&gt;0</formula>
    </cfRule>
    <cfRule type="expression" dxfId="2171" priority="110">
      <formula>Q8&lt;0</formula>
    </cfRule>
  </conditionalFormatting>
  <conditionalFormatting sqref="Q7">
    <cfRule type="expression" dxfId="2170" priority="111">
      <formula>Q7&gt;0</formula>
    </cfRule>
    <cfRule type="expression" dxfId="2169" priority="112">
      <formula>Q7&lt;0</formula>
    </cfRule>
  </conditionalFormatting>
  <conditionalFormatting sqref="F212">
    <cfRule type="expression" dxfId="2168" priority="105">
      <formula>F212&gt;0</formula>
    </cfRule>
    <cfRule type="expression" dxfId="2167" priority="106">
      <formula>F212&lt;0</formula>
    </cfRule>
  </conditionalFormatting>
  <conditionalFormatting sqref="F212">
    <cfRule type="expression" dxfId="2166" priority="107">
      <formula>F212&gt;0</formula>
    </cfRule>
    <cfRule type="expression" dxfId="2165" priority="108">
      <formula>F212&lt;0</formula>
    </cfRule>
  </conditionalFormatting>
  <conditionalFormatting sqref="H212">
    <cfRule type="expression" dxfId="2164" priority="103">
      <formula>H212&gt;0</formula>
    </cfRule>
    <cfRule type="expression" dxfId="2163" priority="104">
      <formula>H212&lt;0</formula>
    </cfRule>
  </conditionalFormatting>
  <conditionalFormatting sqref="F213">
    <cfRule type="expression" dxfId="2162" priority="99">
      <formula>F213&gt;0</formula>
    </cfRule>
    <cfRule type="expression" dxfId="2161" priority="100">
      <formula>F213&lt;0</formula>
    </cfRule>
  </conditionalFormatting>
  <conditionalFormatting sqref="F213">
    <cfRule type="expression" dxfId="2160" priority="101">
      <formula>F213&gt;0</formula>
    </cfRule>
    <cfRule type="expression" dxfId="2159" priority="102">
      <formula>F213&lt;0</formula>
    </cfRule>
  </conditionalFormatting>
  <conditionalFormatting sqref="H213">
    <cfRule type="expression" dxfId="2158" priority="97">
      <formula>H213&gt;0</formula>
    </cfRule>
    <cfRule type="expression" dxfId="2157" priority="98">
      <formula>H213&lt;0</formula>
    </cfRule>
  </conditionalFormatting>
  <conditionalFormatting sqref="F259:F260">
    <cfRule type="expression" dxfId="2156" priority="93">
      <formula>F259&gt;0</formula>
    </cfRule>
    <cfRule type="expression" dxfId="2155" priority="94">
      <formula>F259&lt;0</formula>
    </cfRule>
  </conditionalFormatting>
  <conditionalFormatting sqref="F259:F260">
    <cfRule type="expression" dxfId="2154" priority="95">
      <formula>F259&gt;0</formula>
    </cfRule>
    <cfRule type="expression" dxfId="2153" priority="96">
      <formula>F259&lt;0</formula>
    </cfRule>
  </conditionalFormatting>
  <conditionalFormatting sqref="H259:H260">
    <cfRule type="expression" dxfId="2152" priority="91">
      <formula>H259&gt;0</formula>
    </cfRule>
    <cfRule type="expression" dxfId="2151" priority="92">
      <formula>H259&lt;0</formula>
    </cfRule>
  </conditionalFormatting>
  <conditionalFormatting sqref="F66:F81">
    <cfRule type="expression" dxfId="2150" priority="89">
      <formula>F66&gt;0</formula>
    </cfRule>
    <cfRule type="expression" dxfId="2149" priority="90">
      <formula>F66&lt;0</formula>
    </cfRule>
  </conditionalFormatting>
  <conditionalFormatting sqref="H66:H81">
    <cfRule type="expression" dxfId="2148" priority="87">
      <formula>H66&gt;0</formula>
    </cfRule>
    <cfRule type="expression" dxfId="2147" priority="88">
      <formula>H66&lt;0</formula>
    </cfRule>
  </conditionalFormatting>
  <conditionalFormatting sqref="Q10">
    <cfRule type="expression" dxfId="2146" priority="85">
      <formula>Q10&gt;0</formula>
    </cfRule>
    <cfRule type="expression" dxfId="2145" priority="86">
      <formula>Q10&lt;0</formula>
    </cfRule>
  </conditionalFormatting>
  <conditionalFormatting sqref="J76">
    <cfRule type="expression" dxfId="2144" priority="83">
      <formula>J76&gt;0</formula>
    </cfRule>
    <cfRule type="expression" dxfId="2143" priority="84">
      <formula>J76&lt;0</formula>
    </cfRule>
  </conditionalFormatting>
  <conditionalFormatting sqref="F83:F91">
    <cfRule type="expression" dxfId="2142" priority="77">
      <formula>F83&gt;0</formula>
    </cfRule>
    <cfRule type="expression" dxfId="2141" priority="78">
      <formula>F83&lt;0</formula>
    </cfRule>
  </conditionalFormatting>
  <conditionalFormatting sqref="H83:H91">
    <cfRule type="expression" dxfId="2140" priority="75">
      <formula>H83&gt;0</formula>
    </cfRule>
    <cfRule type="expression" dxfId="2139" priority="76">
      <formula>H83&lt;0</formula>
    </cfRule>
  </conditionalFormatting>
  <conditionalFormatting sqref="R4">
    <cfRule type="expression" dxfId="2138" priority="73">
      <formula>R4&gt;0</formula>
    </cfRule>
    <cfRule type="expression" dxfId="2137" priority="74">
      <formula>R4&lt;0</formula>
    </cfRule>
  </conditionalFormatting>
  <conditionalFormatting sqref="Q9">
    <cfRule type="expression" dxfId="2136" priority="71">
      <formula>Q9&gt;0</formula>
    </cfRule>
    <cfRule type="expression" dxfId="2135" priority="72">
      <formula>Q9&lt;0</formula>
    </cfRule>
  </conditionalFormatting>
  <conditionalFormatting sqref="F92:F115">
    <cfRule type="expression" dxfId="2134" priority="67">
      <formula>F92&gt;0</formula>
    </cfRule>
    <cfRule type="expression" dxfId="2133" priority="68">
      <formula>F92&lt;0</formula>
    </cfRule>
  </conditionalFormatting>
  <conditionalFormatting sqref="H92:H115">
    <cfRule type="expression" dxfId="2132" priority="65">
      <formula>H92&gt;0</formula>
    </cfRule>
    <cfRule type="expression" dxfId="2131" priority="66">
      <formula>H92&lt;0</formula>
    </cfRule>
  </conditionalFormatting>
  <conditionalFormatting sqref="W1:W3 W5:W6">
    <cfRule type="iconSet" priority="63">
      <iconSet iconSet="3Arrows">
        <cfvo type="percent" val="0"/>
        <cfvo type="num" val="0"/>
        <cfvo type="num" val="0"/>
      </iconSet>
    </cfRule>
  </conditionalFormatting>
  <conditionalFormatting sqref="W7:W51">
    <cfRule type="iconSet" priority="719">
      <iconSet iconSet="3Arrows">
        <cfvo type="percent" val="0"/>
        <cfvo type="num" val="0"/>
        <cfvo type="num" val="0"/>
      </iconSet>
    </cfRule>
  </conditionalFormatting>
  <conditionalFormatting sqref="F116:F140">
    <cfRule type="expression" dxfId="2130" priority="61">
      <formula>F116&gt;0</formula>
    </cfRule>
    <cfRule type="expression" dxfId="2129" priority="62">
      <formula>F116&lt;0</formula>
    </cfRule>
  </conditionalFormatting>
  <conditionalFormatting sqref="H116:H140">
    <cfRule type="expression" dxfId="2128" priority="59">
      <formula>H116&gt;0</formula>
    </cfRule>
    <cfRule type="expression" dxfId="2127" priority="60">
      <formula>H116&lt;0</formula>
    </cfRule>
  </conditionalFormatting>
  <conditionalFormatting sqref="H150:H151 F150:F151">
    <cfRule type="expression" dxfId="2126" priority="41">
      <formula>F150&gt;0</formula>
    </cfRule>
    <cfRule type="expression" dxfId="2125" priority="42">
      <formula>F150&lt;0</formula>
    </cfRule>
  </conditionalFormatting>
  <conditionalFormatting sqref="H145:H149 F145:F149">
    <cfRule type="expression" dxfId="2124" priority="39">
      <formula>F145&gt;0</formula>
    </cfRule>
    <cfRule type="expression" dxfId="2123" priority="40">
      <formula>F145&lt;0</formula>
    </cfRule>
  </conditionalFormatting>
  <conditionalFormatting sqref="F82">
    <cfRule type="expression" dxfId="2122" priority="37">
      <formula>F82&gt;0</formula>
    </cfRule>
    <cfRule type="expression" dxfId="2121" priority="38">
      <formula>F82&lt;0</formula>
    </cfRule>
  </conditionalFormatting>
  <conditionalFormatting sqref="H82">
    <cfRule type="expression" dxfId="2120" priority="35">
      <formula>H82&gt;0</formula>
    </cfRule>
    <cfRule type="expression" dxfId="2119" priority="36">
      <formula>H82&lt;0</formula>
    </cfRule>
  </conditionalFormatting>
  <conditionalFormatting sqref="F173:F175 H173:H175">
    <cfRule type="expression" dxfId="2118" priority="33">
      <formula>F173&gt;0</formula>
    </cfRule>
    <cfRule type="expression" dxfId="2117" priority="34">
      <formula>F173&lt;0</formula>
    </cfRule>
  </conditionalFormatting>
  <conditionalFormatting sqref="F162:F166 H162:H166">
    <cfRule type="expression" dxfId="2116" priority="29">
      <formula>F162&gt;0</formula>
    </cfRule>
    <cfRule type="expression" dxfId="2115" priority="30">
      <formula>F162&lt;0</formula>
    </cfRule>
  </conditionalFormatting>
  <conditionalFormatting sqref="F159:F161 H159:H161">
    <cfRule type="expression" dxfId="2114" priority="25">
      <formula>F159&gt;0</formula>
    </cfRule>
    <cfRule type="expression" dxfId="2113" priority="26">
      <formula>F159&lt;0</formula>
    </cfRule>
  </conditionalFormatting>
  <conditionalFormatting sqref="F156:F158 H156:H158">
    <cfRule type="expression" dxfId="2112" priority="23">
      <formula>F156&gt;0</formula>
    </cfRule>
    <cfRule type="expression" dxfId="2111" priority="24">
      <formula>F156&lt;0</formula>
    </cfRule>
  </conditionalFormatting>
  <conditionalFormatting sqref="F155 H155">
    <cfRule type="expression" dxfId="2110" priority="21">
      <formula>F155&gt;0</formula>
    </cfRule>
    <cfRule type="expression" dxfId="2109" priority="22">
      <formula>F155&lt;0</formula>
    </cfRule>
  </conditionalFormatting>
  <conditionalFormatting sqref="F168:F170 H168:H170 K66:K170">
    <cfRule type="expression" dxfId="2108" priority="19">
      <formula>F66&gt;0</formula>
    </cfRule>
    <cfRule type="expression" dxfId="2107" priority="20">
      <formula>F66&lt;0</formula>
    </cfRule>
  </conditionalFormatting>
  <conditionalFormatting sqref="F167 H167">
    <cfRule type="expression" dxfId="2106" priority="17">
      <formula>F167&gt;0</formula>
    </cfRule>
    <cfRule type="expression" dxfId="2105" priority="18">
      <formula>F167&lt;0</formula>
    </cfRule>
  </conditionalFormatting>
  <conditionalFormatting sqref="F171:F172 H171:H172 K171:K172">
    <cfRule type="expression" dxfId="2104" priority="15">
      <formula>F171&gt;0</formula>
    </cfRule>
    <cfRule type="expression" dxfId="2103" priority="16">
      <formula>F171&lt;0</formula>
    </cfRule>
  </conditionalFormatting>
  <conditionalFormatting sqref="F178:F180 H178:H180 K178:K180">
    <cfRule type="expression" dxfId="2102" priority="11">
      <formula>F178&gt;0</formula>
    </cfRule>
    <cfRule type="expression" dxfId="2101" priority="12">
      <formula>F178&lt;0</formula>
    </cfRule>
  </conditionalFormatting>
  <conditionalFormatting sqref="F176:F177 H176:H177 K176:K177">
    <cfRule type="expression" dxfId="2100" priority="9">
      <formula>F176&gt;0</formula>
    </cfRule>
    <cfRule type="expression" dxfId="2099" priority="10">
      <formula>F176&lt;0</formula>
    </cfRule>
  </conditionalFormatting>
  <conditionalFormatting sqref="F184:F185 H184:H185 K184:K185">
    <cfRule type="expression" dxfId="2098" priority="5">
      <formula>F184&gt;0</formula>
    </cfRule>
    <cfRule type="expression" dxfId="2097" priority="6">
      <formula>F184&lt;0</formula>
    </cfRule>
  </conditionalFormatting>
  <conditionalFormatting sqref="F182:F183 H182:H183 K182:K183">
    <cfRule type="expression" dxfId="2096" priority="3">
      <formula>F182&gt;0</formula>
    </cfRule>
    <cfRule type="expression" dxfId="2095" priority="4">
      <formula>F182&lt;0</formula>
    </cfRule>
  </conditionalFormatting>
  <conditionalFormatting sqref="F181 H181 K181">
    <cfRule type="expression" dxfId="2094" priority="1">
      <formula>F181&gt;0</formula>
    </cfRule>
    <cfRule type="expression" dxfId="2093" priority="2">
      <formula>F181&lt;0</formula>
    </cfRule>
  </conditionalFormatting>
  <hyperlinks>
    <hyperlink ref="A3" location="ACTIVE!A1" display="Back"/>
    <hyperlink ref="A283" location="ACTIVE!A1" display="Back"/>
    <hyperlink ref="U4" r:id="rId1"/>
    <hyperlink ref="T2" r:id="rId2"/>
  </hyperlinks>
  <pageMargins left="0.7" right="0.7" top="0.75" bottom="0.75" header="0.3" footer="0.3"/>
  <pageSetup orientation="portrait" r:id="rId3"/>
  <drawing r:id="rId4"/>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c r="AD1" s="11" t="s">
        <v>125</v>
      </c>
      <c r="AE1" s="11" t="s">
        <v>127</v>
      </c>
    </row>
    <row r="2" spans="1:31" x14ac:dyDescent="0.25">
      <c r="A2" s="6" t="s">
        <v>194</v>
      </c>
      <c r="B2" s="72"/>
      <c r="C2" s="4"/>
      <c r="D2" s="3"/>
      <c r="E2" s="3"/>
      <c r="F2" s="3"/>
      <c r="G2" s="72"/>
      <c r="H2" s="4"/>
      <c r="I2" s="3"/>
      <c r="J2" s="3"/>
      <c r="K2" s="3"/>
      <c r="L2" s="72"/>
      <c r="M2" s="3"/>
      <c r="O2" s="11" t="s">
        <v>57</v>
      </c>
      <c r="Q2">
        <f>C18-H18</f>
        <v>0</v>
      </c>
      <c r="T2" s="1">
        <v>42627</v>
      </c>
      <c r="U2" t="s">
        <v>259</v>
      </c>
      <c r="W2" s="130"/>
      <c r="X2" s="10"/>
      <c r="Y2" s="10"/>
      <c r="Z2" s="10"/>
      <c r="AA2" s="10"/>
      <c r="AB2" s="93"/>
      <c r="AC2" s="10"/>
      <c r="AD2" s="2">
        <f>Y2-Z2</f>
        <v>0</v>
      </c>
      <c r="AE2" s="134" t="e">
        <f>AC2/AC3-1</f>
        <v>#DIV/0!</v>
      </c>
    </row>
    <row r="3" spans="1:31" x14ac:dyDescent="0.25">
      <c r="A3" s="22" t="s">
        <v>71</v>
      </c>
      <c r="B3" s="72"/>
      <c r="C3" s="4"/>
      <c r="D3" s="3"/>
      <c r="E3" s="3"/>
      <c r="F3" s="3"/>
      <c r="G3" s="72"/>
      <c r="H3" s="161"/>
      <c r="I3" s="3"/>
      <c r="J3" s="3"/>
      <c r="K3" s="3"/>
      <c r="L3" s="72"/>
      <c r="M3" s="3"/>
      <c r="O3" s="11" t="s">
        <v>58</v>
      </c>
      <c r="Q3" s="178">
        <f>IF(Q2=0, Q4, (F18-K18-M18)/Q2)</f>
        <v>8.7100000000000009</v>
      </c>
      <c r="T3" s="1"/>
      <c r="W3" s="130"/>
      <c r="X3" s="10"/>
      <c r="Y3" s="10"/>
      <c r="Z3" s="10"/>
      <c r="AA3" s="10"/>
      <c r="AB3" s="93"/>
      <c r="AC3" s="10"/>
      <c r="AD3" s="2">
        <f t="shared" ref="AD3:AD66" si="0">Y3-Z3</f>
        <v>0</v>
      </c>
      <c r="AE3" s="134" t="e">
        <f t="shared" ref="AE3:AE66" si="1">AC3/AC4-1</f>
        <v>#DIV/0!</v>
      </c>
    </row>
    <row r="4" spans="1:31" x14ac:dyDescent="0.25">
      <c r="B4" s="72"/>
      <c r="C4" s="4"/>
      <c r="D4" s="3"/>
      <c r="E4" s="3"/>
      <c r="F4" s="3"/>
      <c r="G4" s="72"/>
      <c r="H4" s="161"/>
      <c r="I4" s="3"/>
      <c r="J4" s="3"/>
      <c r="K4" s="3"/>
      <c r="L4" s="4"/>
      <c r="M4" s="4"/>
      <c r="O4" s="11" t="s">
        <v>66</v>
      </c>
      <c r="Q4" s="54">
        <v>8.7100000000000009</v>
      </c>
      <c r="R4" s="405">
        <v>-2.0500000000000001E-2</v>
      </c>
      <c r="T4" s="156"/>
      <c r="W4" s="130"/>
      <c r="X4" s="10"/>
      <c r="Y4" s="10"/>
      <c r="Z4" s="10"/>
      <c r="AA4" s="10"/>
      <c r="AB4" s="93"/>
      <c r="AC4" s="10"/>
      <c r="AD4" s="2">
        <f t="shared" si="0"/>
        <v>0</v>
      </c>
      <c r="AE4" s="134" t="e">
        <f t="shared" si="1"/>
        <v>#DIV/0!</v>
      </c>
    </row>
    <row r="5" spans="1:31" x14ac:dyDescent="0.25">
      <c r="B5" s="72"/>
      <c r="C5" s="4"/>
      <c r="D5" s="3"/>
      <c r="E5" s="3"/>
      <c r="F5" s="3"/>
      <c r="G5" s="72"/>
      <c r="H5" s="161"/>
      <c r="I5" s="3"/>
      <c r="J5" s="3"/>
      <c r="K5" s="3"/>
      <c r="L5" s="4"/>
      <c r="M5" s="4"/>
      <c r="O5" s="11" t="s">
        <v>67</v>
      </c>
      <c r="Q5" s="3">
        <f>Q4*Q2</f>
        <v>0</v>
      </c>
      <c r="W5" s="130"/>
      <c r="X5" s="10"/>
      <c r="Y5" s="10"/>
      <c r="Z5" s="10"/>
      <c r="AA5" s="10"/>
      <c r="AB5" s="93"/>
      <c r="AC5" s="10"/>
      <c r="AD5" s="2">
        <f t="shared" si="0"/>
        <v>0</v>
      </c>
      <c r="AE5" s="134" t="e">
        <f t="shared" si="1"/>
        <v>#DIV/0!</v>
      </c>
    </row>
    <row r="6" spans="1:31" x14ac:dyDescent="0.25">
      <c r="B6" s="72"/>
      <c r="C6" s="4"/>
      <c r="D6" s="3"/>
      <c r="E6" s="3"/>
      <c r="F6" s="3"/>
      <c r="G6" s="72"/>
      <c r="H6" s="161"/>
      <c r="I6" s="3"/>
      <c r="J6" s="3"/>
      <c r="K6" s="3"/>
      <c r="L6" s="4"/>
      <c r="M6" s="4"/>
      <c r="O6" s="11" t="s">
        <v>64</v>
      </c>
      <c r="Q6" s="2">
        <f>Q3*Q2</f>
        <v>0</v>
      </c>
      <c r="W6" s="130"/>
      <c r="X6" s="10"/>
      <c r="Y6" s="10"/>
      <c r="Z6" s="10"/>
      <c r="AA6" s="10"/>
      <c r="AB6" s="93"/>
      <c r="AC6" s="10"/>
      <c r="AD6" s="2">
        <f t="shared" si="0"/>
        <v>0</v>
      </c>
      <c r="AE6" s="134" t="e">
        <f t="shared" si="1"/>
        <v>#DIV/0!</v>
      </c>
    </row>
    <row r="7" spans="1:31" x14ac:dyDescent="0.25">
      <c r="B7" s="72"/>
      <c r="C7" s="4"/>
      <c r="D7" s="3"/>
      <c r="E7" s="3"/>
      <c r="F7" s="3"/>
      <c r="G7" s="72"/>
      <c r="H7" s="161"/>
      <c r="I7" s="3"/>
      <c r="J7" s="3"/>
      <c r="K7" s="3"/>
      <c r="L7" s="4"/>
      <c r="M7" s="4"/>
      <c r="O7" s="11" t="s">
        <v>177</v>
      </c>
      <c r="Q7" s="2">
        <f>Q10+Q8</f>
        <v>495.20999999999913</v>
      </c>
      <c r="R7">
        <v>0</v>
      </c>
      <c r="W7" s="130"/>
      <c r="X7" s="10"/>
      <c r="Y7" s="10"/>
      <c r="Z7" s="10"/>
      <c r="AA7" s="10"/>
      <c r="AB7" s="93"/>
      <c r="AC7" s="10"/>
      <c r="AD7" s="2">
        <f t="shared" si="0"/>
        <v>0</v>
      </c>
      <c r="AE7" s="134" t="e">
        <f t="shared" si="1"/>
        <v>#DIV/0!</v>
      </c>
    </row>
    <row r="8" spans="1:31" x14ac:dyDescent="0.25">
      <c r="B8" s="72"/>
      <c r="C8" s="4"/>
      <c r="D8" s="3"/>
      <c r="E8" s="3"/>
      <c r="F8" s="3"/>
      <c r="G8" s="4"/>
      <c r="H8" s="161"/>
      <c r="I8" s="3"/>
      <c r="J8" s="3"/>
      <c r="K8" s="3"/>
      <c r="L8" s="4"/>
      <c r="M8" s="4"/>
      <c r="O8" s="11" t="s">
        <v>179</v>
      </c>
      <c r="P8" s="33"/>
      <c r="Q8" s="2">
        <f>K18+M18-F18+Q2*Q4</f>
        <v>0</v>
      </c>
      <c r="W8" s="130"/>
      <c r="X8" s="10"/>
      <c r="Y8" s="10"/>
      <c r="Z8" s="10"/>
      <c r="AA8" s="10"/>
      <c r="AB8" s="93"/>
      <c r="AC8" s="10"/>
      <c r="AD8" s="2">
        <f t="shared" si="0"/>
        <v>0</v>
      </c>
      <c r="AE8" s="134" t="e">
        <f t="shared" si="1"/>
        <v>#DIV/0!</v>
      </c>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f t="shared" si="0"/>
        <v>0</v>
      </c>
      <c r="AE9" s="134" t="e">
        <f t="shared" si="1"/>
        <v>#DIV/0!</v>
      </c>
    </row>
    <row r="10" spans="1:31" x14ac:dyDescent="0.25">
      <c r="B10" s="4"/>
      <c r="C10" s="4"/>
      <c r="D10" s="3"/>
      <c r="E10" s="3"/>
      <c r="F10" s="3"/>
      <c r="G10" s="4"/>
      <c r="H10" s="161"/>
      <c r="I10" s="3"/>
      <c r="J10" s="3"/>
      <c r="K10" s="3"/>
      <c r="L10" s="4"/>
      <c r="M10" s="4"/>
      <c r="O10" s="11" t="s">
        <v>203</v>
      </c>
      <c r="P10" s="33"/>
      <c r="Q10" s="2">
        <f>M32</f>
        <v>495.20999999999913</v>
      </c>
      <c r="W10" s="130"/>
      <c r="X10" s="10"/>
      <c r="Y10" s="10"/>
      <c r="Z10" s="10"/>
      <c r="AA10" s="10"/>
      <c r="AB10" s="93"/>
      <c r="AC10" s="10"/>
      <c r="AD10" s="2">
        <f t="shared" si="0"/>
        <v>0</v>
      </c>
      <c r="AE10" s="134" t="e">
        <f t="shared" si="1"/>
        <v>#DIV/0!</v>
      </c>
    </row>
    <row r="11" spans="1:31" x14ac:dyDescent="0.25">
      <c r="B11" s="4"/>
      <c r="C11" s="4"/>
      <c r="D11" s="3"/>
      <c r="E11" s="3"/>
      <c r="F11" s="3"/>
      <c r="G11" s="4"/>
      <c r="H11" s="161"/>
      <c r="I11" s="3"/>
      <c r="J11" s="3"/>
      <c r="K11" s="3"/>
      <c r="L11" s="4"/>
      <c r="M11" s="4"/>
      <c r="O11" s="11" t="s">
        <v>175</v>
      </c>
      <c r="P11" s="33"/>
      <c r="Q11" s="134">
        <f>VALUE(TRIM(CLEAN(MID(U58, FIND("(", U58)+1, 5))))</f>
        <v>5.1499999999999997E-2</v>
      </c>
      <c r="W11" s="130"/>
      <c r="X11" s="10"/>
      <c r="Y11" s="10"/>
      <c r="Z11" s="10"/>
      <c r="AA11" s="10"/>
      <c r="AB11" s="93"/>
      <c r="AC11" s="10"/>
      <c r="AD11" s="2">
        <f t="shared" si="0"/>
        <v>0</v>
      </c>
      <c r="AE11" s="134" t="e">
        <f t="shared" si="1"/>
        <v>#DIV/0!</v>
      </c>
    </row>
    <row r="12" spans="1:31" x14ac:dyDescent="0.25">
      <c r="B12" s="4"/>
      <c r="C12" s="4"/>
      <c r="D12" s="3"/>
      <c r="E12" s="3"/>
      <c r="F12" s="3"/>
      <c r="G12" s="4"/>
      <c r="H12" s="161"/>
      <c r="I12" s="3"/>
      <c r="J12" s="3"/>
      <c r="K12" s="3"/>
      <c r="L12" s="4"/>
      <c r="M12" s="4"/>
      <c r="W12" s="130"/>
      <c r="X12" s="10"/>
      <c r="Y12" s="10"/>
      <c r="Z12" s="10"/>
      <c r="AA12" s="10"/>
      <c r="AB12" s="93"/>
      <c r="AC12" s="10"/>
      <c r="AD12" s="2">
        <f t="shared" si="0"/>
        <v>0</v>
      </c>
      <c r="AE12" s="134" t="e">
        <f t="shared" si="1"/>
        <v>#DIV/0!</v>
      </c>
    </row>
    <row r="13" spans="1:31" x14ac:dyDescent="0.25">
      <c r="H13" s="70"/>
      <c r="W13" s="130"/>
      <c r="X13" s="10"/>
      <c r="Y13" s="10"/>
      <c r="Z13" s="10"/>
      <c r="AA13" s="10"/>
      <c r="AB13" s="93"/>
      <c r="AC13" s="10"/>
      <c r="AD13" s="2">
        <f t="shared" si="0"/>
        <v>0</v>
      </c>
      <c r="AE13" s="134" t="e">
        <f t="shared" si="1"/>
        <v>#DIV/0!</v>
      </c>
    </row>
    <row r="14" spans="1:31" x14ac:dyDescent="0.25">
      <c r="H14" s="70"/>
      <c r="W14" s="130"/>
      <c r="X14" s="10"/>
      <c r="Y14" s="10"/>
      <c r="Z14" s="10"/>
      <c r="AA14" s="10"/>
      <c r="AB14" s="93"/>
      <c r="AC14" s="10"/>
      <c r="AD14" s="2">
        <f t="shared" si="0"/>
        <v>0</v>
      </c>
      <c r="AE14" s="134" t="e">
        <f t="shared" si="1"/>
        <v>#DIV/0!</v>
      </c>
    </row>
    <row r="15" spans="1:31" x14ac:dyDescent="0.25">
      <c r="H15" s="70"/>
      <c r="W15" s="130"/>
      <c r="X15" s="10"/>
      <c r="Y15" s="10"/>
      <c r="Z15" s="10"/>
      <c r="AA15" s="10"/>
      <c r="AB15" s="93"/>
      <c r="AC15" s="10"/>
      <c r="AD15" s="2">
        <f t="shared" si="0"/>
        <v>0</v>
      </c>
      <c r="AE15" s="134" t="e">
        <f t="shared" si="1"/>
        <v>#DIV/0!</v>
      </c>
    </row>
    <row r="16" spans="1:31" x14ac:dyDescent="0.25">
      <c r="H16" s="70"/>
      <c r="W16" s="130"/>
      <c r="X16" s="10"/>
      <c r="Y16" s="10"/>
      <c r="Z16" s="10"/>
      <c r="AA16" s="10"/>
      <c r="AB16" s="93"/>
      <c r="AC16" s="10"/>
      <c r="AD16" s="2">
        <f t="shared" si="0"/>
        <v>0</v>
      </c>
      <c r="AE16" s="134" t="e">
        <f t="shared" si="1"/>
        <v>#DIV/0!</v>
      </c>
    </row>
    <row r="17" spans="1:31" x14ac:dyDescent="0.25">
      <c r="H17" s="70"/>
      <c r="W17" s="130"/>
      <c r="X17" s="10"/>
      <c r="Y17" s="10"/>
      <c r="Z17" s="10"/>
      <c r="AA17" s="10"/>
      <c r="AB17" s="93"/>
      <c r="AC17" s="10"/>
      <c r="AD17" s="2">
        <f t="shared" si="0"/>
        <v>0</v>
      </c>
      <c r="AE17" s="134"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30"/>
      <c r="X18" s="10"/>
      <c r="Y18" s="10"/>
      <c r="Z18" s="10"/>
      <c r="AA18" s="10"/>
      <c r="AB18" s="93"/>
      <c r="AC18" s="10"/>
      <c r="AD18" s="2">
        <f t="shared" si="0"/>
        <v>0</v>
      </c>
      <c r="AE18" s="134" t="e">
        <f t="shared" si="1"/>
        <v>#DIV/0!</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c r="X19" s="10"/>
      <c r="Y19" s="10"/>
      <c r="Z19" s="10"/>
      <c r="AA19" s="10"/>
      <c r="AB19" s="93"/>
      <c r="AC19" s="10"/>
      <c r="AD19" s="2">
        <f t="shared" si="0"/>
        <v>0</v>
      </c>
      <c r="AE19" s="134" t="e">
        <f t="shared" si="1"/>
        <v>#DIV/0!</v>
      </c>
    </row>
    <row r="20" spans="1:31" x14ac:dyDescent="0.25">
      <c r="W20" s="130"/>
      <c r="X20" s="10"/>
      <c r="Y20" s="10"/>
      <c r="Z20" s="10"/>
      <c r="AA20" s="10"/>
      <c r="AB20" s="93"/>
      <c r="AC20" s="10"/>
      <c r="AD20" s="2">
        <f t="shared" si="0"/>
        <v>0</v>
      </c>
      <c r="AE20" s="134" t="e">
        <f t="shared" si="1"/>
        <v>#DIV/0!</v>
      </c>
    </row>
    <row r="21" spans="1:31" x14ac:dyDescent="0.25">
      <c r="B21" s="162" t="s">
        <v>113</v>
      </c>
      <c r="C21" s="162" t="s">
        <v>145</v>
      </c>
      <c r="D21" s="163" t="s">
        <v>144</v>
      </c>
      <c r="E21" s="165" t="s">
        <v>146</v>
      </c>
      <c r="F21" s="165" t="s">
        <v>65</v>
      </c>
      <c r="G21" s="177" t="s">
        <v>150</v>
      </c>
      <c r="H21" s="177" t="s">
        <v>88</v>
      </c>
      <c r="I21" s="177" t="s">
        <v>153</v>
      </c>
      <c r="W21" s="130"/>
      <c r="X21" s="10"/>
      <c r="Y21" s="10"/>
      <c r="Z21" s="10"/>
      <c r="AA21" s="10"/>
      <c r="AB21" s="93"/>
      <c r="AC21" s="10"/>
      <c r="AD21" s="2">
        <f t="shared" si="0"/>
        <v>0</v>
      </c>
      <c r="AE21" s="134" t="e">
        <f t="shared" si="1"/>
        <v>#DIV/0!</v>
      </c>
    </row>
    <row r="22" spans="1:31" x14ac:dyDescent="0.25">
      <c r="B22" s="164"/>
      <c r="C22" s="10"/>
      <c r="D22" s="39"/>
      <c r="E22" s="39"/>
      <c r="F22" s="39"/>
      <c r="G22" s="10"/>
      <c r="H22" s="155"/>
      <c r="I22" s="39"/>
      <c r="W22" s="130"/>
      <c r="X22" s="10"/>
      <c r="Y22" s="10"/>
      <c r="Z22" s="10"/>
      <c r="AA22" s="10"/>
      <c r="AB22" s="93"/>
      <c r="AC22" s="10"/>
      <c r="AD22" s="2">
        <f t="shared" si="0"/>
        <v>0</v>
      </c>
      <c r="AE22" s="134" t="e">
        <f t="shared" si="1"/>
        <v>#DIV/0!</v>
      </c>
    </row>
    <row r="23" spans="1:31" x14ac:dyDescent="0.25">
      <c r="B23" s="164"/>
      <c r="C23" s="10"/>
      <c r="D23" s="39"/>
      <c r="E23" s="39"/>
      <c r="F23" s="39"/>
      <c r="G23" s="10"/>
      <c r="H23" s="155"/>
      <c r="I23" s="39"/>
      <c r="W23" s="130"/>
      <c r="X23" s="10"/>
      <c r="Y23" s="10"/>
      <c r="Z23" s="10"/>
      <c r="AA23" s="10"/>
      <c r="AB23" s="93"/>
      <c r="AC23" s="10"/>
      <c r="AD23" s="2">
        <f t="shared" si="0"/>
        <v>0</v>
      </c>
      <c r="AE23" s="134" t="e">
        <f t="shared" si="1"/>
        <v>#DIV/0!</v>
      </c>
    </row>
    <row r="24" spans="1:31" x14ac:dyDescent="0.25">
      <c r="B24" s="164"/>
      <c r="C24" s="10"/>
      <c r="D24" s="39"/>
      <c r="E24" s="39"/>
      <c r="F24" s="39"/>
      <c r="G24" s="10"/>
      <c r="H24" s="10"/>
      <c r="I24" s="39"/>
      <c r="W24" s="130"/>
      <c r="X24" s="10"/>
      <c r="Y24" s="10"/>
      <c r="Z24" s="10"/>
      <c r="AA24" s="10"/>
      <c r="AB24" s="93"/>
      <c r="AC24" s="10"/>
      <c r="AD24" s="2">
        <f t="shared" si="0"/>
        <v>0</v>
      </c>
      <c r="AE24" s="134" t="e">
        <f t="shared" si="1"/>
        <v>#DIV/0!</v>
      </c>
    </row>
    <row r="25" spans="1:31" x14ac:dyDescent="0.25">
      <c r="B25" s="10"/>
      <c r="C25" s="10"/>
      <c r="D25" s="39"/>
      <c r="E25" s="39"/>
      <c r="F25" s="39"/>
      <c r="G25" s="10"/>
      <c r="H25" s="10"/>
      <c r="I25" s="39"/>
      <c r="W25" s="130"/>
      <c r="X25" s="10"/>
      <c r="Y25" s="10"/>
      <c r="Z25" s="10"/>
      <c r="AA25" s="10"/>
      <c r="AB25" s="93"/>
      <c r="AC25" s="10"/>
      <c r="AD25" s="2">
        <f t="shared" si="0"/>
        <v>0</v>
      </c>
      <c r="AE25" s="134" t="e">
        <f t="shared" si="1"/>
        <v>#DIV/0!</v>
      </c>
    </row>
    <row r="26" spans="1:31" x14ac:dyDescent="0.25">
      <c r="B26" s="10"/>
      <c r="C26" s="10"/>
      <c r="D26" s="39"/>
      <c r="E26" s="39"/>
      <c r="F26" s="39"/>
      <c r="G26" s="10"/>
      <c r="H26" s="10"/>
      <c r="I26" s="39"/>
      <c r="W26" s="130"/>
      <c r="X26" s="10"/>
      <c r="Y26" s="10"/>
      <c r="Z26" s="10"/>
      <c r="AA26" s="10"/>
      <c r="AB26" s="93"/>
      <c r="AC26" s="10"/>
      <c r="AD26" s="2">
        <f t="shared" si="0"/>
        <v>0</v>
      </c>
      <c r="AE26" s="134" t="e">
        <f t="shared" si="1"/>
        <v>#DIV/0!</v>
      </c>
    </row>
    <row r="27" spans="1:31" x14ac:dyDescent="0.25">
      <c r="B27" s="10"/>
      <c r="C27" s="10"/>
      <c r="D27" s="39"/>
      <c r="E27" s="39"/>
      <c r="F27" s="39"/>
      <c r="G27" s="10"/>
      <c r="H27" s="10"/>
      <c r="I27" s="39"/>
      <c r="W27" s="130"/>
      <c r="X27" s="10"/>
      <c r="Y27" s="10"/>
      <c r="Z27" s="10"/>
      <c r="AA27" s="10"/>
      <c r="AB27" s="93"/>
      <c r="AC27" s="10"/>
      <c r="AD27" s="2">
        <f t="shared" si="0"/>
        <v>0</v>
      </c>
      <c r="AE27" s="134" t="e">
        <f t="shared" si="1"/>
        <v>#DIV/0!</v>
      </c>
    </row>
    <row r="28" spans="1:31" x14ac:dyDescent="0.25">
      <c r="B28" s="10"/>
      <c r="C28" s="10"/>
      <c r="D28" s="39"/>
      <c r="E28" s="39"/>
      <c r="F28" s="39"/>
      <c r="G28" s="10"/>
      <c r="H28" s="10"/>
      <c r="I28" s="39"/>
      <c r="W28" s="130"/>
      <c r="X28" s="10"/>
      <c r="Y28" s="10"/>
      <c r="Z28" s="10"/>
      <c r="AA28" s="10"/>
      <c r="AB28" s="93"/>
      <c r="AC28" s="10"/>
      <c r="AD28" s="2">
        <f t="shared" si="0"/>
        <v>0</v>
      </c>
      <c r="AE28" s="134" t="e">
        <f t="shared" si="1"/>
        <v>#DIV/0!</v>
      </c>
    </row>
    <row r="29" spans="1:31" x14ac:dyDescent="0.25">
      <c r="B29" s="10"/>
      <c r="C29" s="10"/>
      <c r="D29" s="39"/>
      <c r="E29" s="39"/>
      <c r="F29" s="39"/>
      <c r="G29" s="10"/>
      <c r="H29" s="10"/>
      <c r="I29" s="39"/>
      <c r="W29" s="130"/>
      <c r="X29" s="10"/>
      <c r="Y29" s="10"/>
      <c r="Z29" s="10"/>
      <c r="AA29" s="10"/>
      <c r="AB29" s="93"/>
      <c r="AC29" s="10"/>
      <c r="AD29" s="2">
        <f t="shared" si="0"/>
        <v>0</v>
      </c>
      <c r="AE29" s="134" t="e">
        <f t="shared" si="1"/>
        <v>#DIV/0!</v>
      </c>
    </row>
    <row r="30" spans="1:31" x14ac:dyDescent="0.25">
      <c r="B30" s="10"/>
      <c r="C30" s="10"/>
      <c r="D30" s="39"/>
      <c r="E30" s="39"/>
      <c r="F30" s="39"/>
      <c r="G30" s="10"/>
      <c r="H30" s="10"/>
      <c r="I30" s="39"/>
      <c r="W30" s="130"/>
      <c r="X30" s="10"/>
      <c r="Y30" s="10"/>
      <c r="Z30" s="10"/>
      <c r="AA30" s="10"/>
      <c r="AB30" s="93"/>
      <c r="AC30" s="10"/>
      <c r="AD30" s="2">
        <f t="shared" si="0"/>
        <v>0</v>
      </c>
      <c r="AE30" s="134" t="e">
        <f t="shared" si="1"/>
        <v>#DIV/0!</v>
      </c>
    </row>
    <row r="31" spans="1:31" x14ac:dyDescent="0.25">
      <c r="W31" s="130"/>
      <c r="X31" s="10"/>
      <c r="Y31" s="10"/>
      <c r="Z31" s="10"/>
      <c r="AA31" s="10"/>
      <c r="AB31" s="93"/>
      <c r="AC31" s="10"/>
      <c r="AD31" s="2">
        <f t="shared" si="0"/>
        <v>0</v>
      </c>
      <c r="AE31" s="134" t="e">
        <f t="shared" si="1"/>
        <v>#DIV/0!</v>
      </c>
    </row>
    <row r="32" spans="1:31" x14ac:dyDescent="0.25">
      <c r="L32" t="s">
        <v>65</v>
      </c>
      <c r="M32" s="2">
        <f>M50+K50-F50</f>
        <v>495.20999999999913</v>
      </c>
      <c r="W32" s="130"/>
      <c r="X32" s="10"/>
      <c r="Y32" s="10"/>
      <c r="Z32" s="10"/>
      <c r="AA32" s="10"/>
      <c r="AB32" s="93"/>
      <c r="AC32" s="10"/>
      <c r="AD32" s="2">
        <f t="shared" si="0"/>
        <v>0</v>
      </c>
      <c r="AE32" s="134" t="e">
        <f t="shared" si="1"/>
        <v>#DIV/0!</v>
      </c>
    </row>
    <row r="33" spans="1:31" x14ac:dyDescent="0.25">
      <c r="A33" s="440" t="s">
        <v>1</v>
      </c>
      <c r="B33" s="440" t="s">
        <v>2</v>
      </c>
      <c r="C33" s="440" t="s">
        <v>4</v>
      </c>
      <c r="D33" s="441" t="s">
        <v>5</v>
      </c>
      <c r="E33" s="441" t="s">
        <v>94</v>
      </c>
      <c r="F33" s="441" t="s">
        <v>60</v>
      </c>
      <c r="G33" s="440" t="s">
        <v>3</v>
      </c>
      <c r="H33" s="440" t="s">
        <v>6</v>
      </c>
      <c r="I33" s="441" t="s">
        <v>7</v>
      </c>
      <c r="J33" s="441" t="s">
        <v>95</v>
      </c>
      <c r="K33" s="441" t="s">
        <v>61</v>
      </c>
      <c r="L33" s="440" t="s">
        <v>37</v>
      </c>
      <c r="M33" s="440" t="s">
        <v>38</v>
      </c>
      <c r="W33" s="130"/>
      <c r="X33" s="10"/>
      <c r="Y33" s="10"/>
      <c r="Z33" s="10"/>
      <c r="AA33" s="10"/>
      <c r="AB33" s="93"/>
      <c r="AC33" s="10"/>
      <c r="AD33" s="2">
        <f t="shared" si="0"/>
        <v>0</v>
      </c>
      <c r="AE33" s="134" t="e">
        <f t="shared" si="1"/>
        <v>#DIV/0!</v>
      </c>
    </row>
    <row r="34" spans="1:31" x14ac:dyDescent="0.25">
      <c r="A34" s="442" t="s">
        <v>194</v>
      </c>
      <c r="B34" s="426">
        <v>42488</v>
      </c>
      <c r="C34" s="427">
        <v>100</v>
      </c>
      <c r="D34" s="429">
        <v>13.8</v>
      </c>
      <c r="E34" s="429">
        <v>0</v>
      </c>
      <c r="F34" s="429">
        <f t="shared" ref="F34:F40" si="2">D34*C34+E34</f>
        <v>1380</v>
      </c>
      <c r="G34" s="426">
        <v>42515</v>
      </c>
      <c r="H34" s="427">
        <v>100</v>
      </c>
      <c r="I34" s="429">
        <v>13.59</v>
      </c>
      <c r="J34" s="429">
        <v>0.03</v>
      </c>
      <c r="K34" s="429">
        <f t="shared" ref="K34:K39" si="3">I34*H34-J34</f>
        <v>1358.97</v>
      </c>
      <c r="L34" s="426">
        <v>42614</v>
      </c>
      <c r="M34" s="429">
        <v>45</v>
      </c>
      <c r="W34" s="130"/>
      <c r="X34" s="10"/>
      <c r="Y34" s="10"/>
      <c r="Z34" s="10"/>
      <c r="AA34" s="10"/>
      <c r="AB34" s="93"/>
      <c r="AC34" s="10"/>
      <c r="AD34" s="2">
        <f t="shared" si="0"/>
        <v>0</v>
      </c>
      <c r="AE34" s="134" t="e">
        <f t="shared" si="1"/>
        <v>#DIV/0!</v>
      </c>
    </row>
    <row r="35" spans="1:31" x14ac:dyDescent="0.25">
      <c r="A35" s="444" t="s">
        <v>71</v>
      </c>
      <c r="B35" s="426">
        <v>42507</v>
      </c>
      <c r="C35" s="427">
        <v>100</v>
      </c>
      <c r="D35" s="429">
        <v>13.08</v>
      </c>
      <c r="E35" s="429">
        <v>0</v>
      </c>
      <c r="F35" s="429">
        <f t="shared" si="2"/>
        <v>1308</v>
      </c>
      <c r="G35" s="426">
        <v>42559</v>
      </c>
      <c r="H35" s="443">
        <v>100</v>
      </c>
      <c r="I35" s="429">
        <v>13.08</v>
      </c>
      <c r="J35" s="429">
        <v>0.03</v>
      </c>
      <c r="K35" s="429">
        <f t="shared" si="3"/>
        <v>1307.97</v>
      </c>
      <c r="L35" s="426">
        <v>42705</v>
      </c>
      <c r="M35" s="429">
        <v>37.5</v>
      </c>
      <c r="W35" s="130"/>
      <c r="X35" s="10"/>
      <c r="Y35" s="10"/>
      <c r="Z35" s="10"/>
      <c r="AA35" s="10"/>
      <c r="AB35" s="93"/>
      <c r="AC35" s="10"/>
      <c r="AD35" s="2">
        <f t="shared" si="0"/>
        <v>0</v>
      </c>
      <c r="AE35" s="134" t="e">
        <f t="shared" si="1"/>
        <v>#DIV/0!</v>
      </c>
    </row>
    <row r="36" spans="1:31" x14ac:dyDescent="0.25">
      <c r="A36" s="427"/>
      <c r="B36" s="426">
        <v>42545</v>
      </c>
      <c r="C36" s="427">
        <v>50</v>
      </c>
      <c r="D36" s="429">
        <v>12.75</v>
      </c>
      <c r="E36" s="429">
        <v>0</v>
      </c>
      <c r="F36" s="429">
        <f t="shared" si="2"/>
        <v>637.5</v>
      </c>
      <c r="G36" s="426">
        <v>42577</v>
      </c>
      <c r="H36" s="443">
        <v>50</v>
      </c>
      <c r="I36" s="429">
        <v>13.78</v>
      </c>
      <c r="J36" s="429">
        <v>0.02</v>
      </c>
      <c r="K36" s="429">
        <f t="shared" si="3"/>
        <v>688.98</v>
      </c>
      <c r="L36" s="427"/>
      <c r="M36" s="427"/>
      <c r="W36" s="130"/>
      <c r="X36" s="10"/>
      <c r="Y36" s="10"/>
      <c r="Z36" s="10"/>
      <c r="AA36" s="10"/>
      <c r="AB36" s="93"/>
      <c r="AC36" s="10"/>
      <c r="AD36" s="2">
        <f t="shared" si="0"/>
        <v>0</v>
      </c>
      <c r="AE36" s="134" t="e">
        <f t="shared" si="1"/>
        <v>#DIV/0!</v>
      </c>
    </row>
    <row r="37" spans="1:31" x14ac:dyDescent="0.25">
      <c r="A37" s="427"/>
      <c r="B37" s="426">
        <v>42545</v>
      </c>
      <c r="C37" s="427">
        <v>100</v>
      </c>
      <c r="D37" s="429">
        <v>12.75</v>
      </c>
      <c r="E37" s="429">
        <v>0</v>
      </c>
      <c r="F37" s="429">
        <f t="shared" si="2"/>
        <v>1275</v>
      </c>
      <c r="G37" s="426">
        <v>42620</v>
      </c>
      <c r="H37" s="443">
        <v>100</v>
      </c>
      <c r="I37" s="429">
        <v>12.7</v>
      </c>
      <c r="J37" s="429">
        <v>0.53</v>
      </c>
      <c r="K37" s="429">
        <f t="shared" si="3"/>
        <v>1269.47</v>
      </c>
      <c r="L37" s="427"/>
      <c r="M37" s="427"/>
      <c r="W37" s="130"/>
      <c r="X37" s="10"/>
      <c r="Y37" s="10"/>
      <c r="Z37" s="10"/>
      <c r="AA37" s="10"/>
      <c r="AB37" s="93"/>
      <c r="AC37" s="10"/>
      <c r="AD37" s="2">
        <f t="shared" si="0"/>
        <v>0</v>
      </c>
      <c r="AE37" s="134" t="e">
        <f t="shared" si="1"/>
        <v>#DIV/0!</v>
      </c>
    </row>
    <row r="38" spans="1:31" x14ac:dyDescent="0.25">
      <c r="A38" s="427"/>
      <c r="B38" s="426">
        <v>42548</v>
      </c>
      <c r="C38" s="427">
        <v>150</v>
      </c>
      <c r="D38" s="429">
        <v>12.18</v>
      </c>
      <c r="E38" s="429">
        <v>0</v>
      </c>
      <c r="F38" s="429">
        <f t="shared" si="2"/>
        <v>1827</v>
      </c>
      <c r="G38" s="426">
        <v>42684</v>
      </c>
      <c r="H38" s="443">
        <v>250</v>
      </c>
      <c r="I38" s="429">
        <v>11.94</v>
      </c>
      <c r="J38" s="429">
        <v>7.0000000000000007E-2</v>
      </c>
      <c r="K38" s="429">
        <f t="shared" si="3"/>
        <v>2984.93</v>
      </c>
      <c r="L38" s="427"/>
      <c r="M38" s="427"/>
      <c r="W38" s="130"/>
      <c r="X38" s="10"/>
      <c r="Y38" s="10"/>
      <c r="Z38" s="10"/>
      <c r="AA38" s="10"/>
      <c r="AB38" s="93"/>
      <c r="AC38" s="10"/>
      <c r="AD38" s="2">
        <f t="shared" si="0"/>
        <v>0</v>
      </c>
      <c r="AE38" s="134" t="e">
        <f t="shared" si="1"/>
        <v>#DIV/0!</v>
      </c>
    </row>
    <row r="39" spans="1:31" x14ac:dyDescent="0.25">
      <c r="A39" s="427"/>
      <c r="B39" s="426">
        <v>42627</v>
      </c>
      <c r="C39" s="427">
        <v>100</v>
      </c>
      <c r="D39" s="429">
        <v>12.14</v>
      </c>
      <c r="E39" s="429">
        <v>0</v>
      </c>
      <c r="F39" s="429">
        <f t="shared" si="2"/>
        <v>1214</v>
      </c>
      <c r="G39" s="426">
        <v>42711</v>
      </c>
      <c r="H39" s="443">
        <v>200</v>
      </c>
      <c r="I39" s="429">
        <v>12.68</v>
      </c>
      <c r="J39" s="429">
        <v>0.06</v>
      </c>
      <c r="K39" s="429">
        <f t="shared" si="3"/>
        <v>2535.94</v>
      </c>
      <c r="L39" s="427"/>
      <c r="M39" s="427"/>
      <c r="W39" s="130"/>
      <c r="X39" s="10"/>
      <c r="Y39" s="10"/>
      <c r="Z39" s="10"/>
      <c r="AA39" s="10"/>
      <c r="AB39" s="93"/>
      <c r="AC39" s="10"/>
      <c r="AD39" s="2">
        <f t="shared" si="0"/>
        <v>0</v>
      </c>
      <c r="AE39" s="134" t="e">
        <f t="shared" si="1"/>
        <v>#DIV/0!</v>
      </c>
    </row>
    <row r="40" spans="1:31" ht="20.25" thickBot="1" x14ac:dyDescent="0.35">
      <c r="A40" s="427"/>
      <c r="B40" s="426">
        <v>42670</v>
      </c>
      <c r="C40" s="427">
        <v>200</v>
      </c>
      <c r="D40" s="429">
        <v>11.68</v>
      </c>
      <c r="E40" s="429">
        <v>0</v>
      </c>
      <c r="F40" s="429">
        <f t="shared" si="2"/>
        <v>2336</v>
      </c>
      <c r="G40" s="427"/>
      <c r="H40" s="443"/>
      <c r="I40" s="429"/>
      <c r="J40" s="429"/>
      <c r="K40" s="429"/>
      <c r="L40" s="427"/>
      <c r="M40" s="427"/>
      <c r="O40" s="884" t="s">
        <v>78</v>
      </c>
      <c r="P40" s="884"/>
      <c r="W40" s="130"/>
      <c r="X40" s="10"/>
      <c r="Y40" s="10"/>
      <c r="Z40" s="10"/>
      <c r="AA40" s="10"/>
      <c r="AB40" s="93"/>
      <c r="AC40" s="10"/>
      <c r="AD40" s="2">
        <f t="shared" si="0"/>
        <v>0</v>
      </c>
      <c r="AE40" s="134" t="e">
        <f t="shared" si="1"/>
        <v>#DIV/0!</v>
      </c>
    </row>
    <row r="41" spans="1:31" ht="15.75" thickTop="1" x14ac:dyDescent="0.25">
      <c r="A41" s="427"/>
      <c r="B41" s="427"/>
      <c r="C41" s="427"/>
      <c r="D41" s="429"/>
      <c r="E41" s="429"/>
      <c r="F41" s="429"/>
      <c r="G41" s="427"/>
      <c r="H41" s="443"/>
      <c r="I41" s="429"/>
      <c r="J41" s="429"/>
      <c r="K41" s="429"/>
      <c r="L41" s="427"/>
      <c r="M41" s="427"/>
      <c r="O41" s="81">
        <v>1.1000000000000001</v>
      </c>
      <c r="P41" s="81">
        <f>O41*$Q$4</f>
        <v>9.5810000000000013</v>
      </c>
      <c r="Q41" s="2"/>
      <c r="W41" s="130"/>
      <c r="X41" s="10"/>
      <c r="Y41" s="10"/>
      <c r="Z41" s="10"/>
      <c r="AA41" s="10"/>
      <c r="AB41" s="93"/>
      <c r="AC41" s="10"/>
      <c r="AD41" s="2">
        <f t="shared" si="0"/>
        <v>0</v>
      </c>
      <c r="AE41" s="134" t="e">
        <f t="shared" si="1"/>
        <v>#DIV/0!</v>
      </c>
    </row>
    <row r="42" spans="1:31" ht="20.25" thickBot="1" x14ac:dyDescent="0.35">
      <c r="A42" s="427"/>
      <c r="B42" s="72">
        <v>42965</v>
      </c>
      <c r="C42" s="4">
        <v>200</v>
      </c>
      <c r="D42" s="3">
        <v>10.48</v>
      </c>
      <c r="E42" s="3">
        <v>0</v>
      </c>
      <c r="F42" s="3">
        <f>D42*C42+E42</f>
        <v>2096</v>
      </c>
      <c r="G42" s="72">
        <v>42996</v>
      </c>
      <c r="H42" s="4">
        <v>200</v>
      </c>
      <c r="I42" s="3">
        <v>11.7</v>
      </c>
      <c r="J42" s="3">
        <v>0.05</v>
      </c>
      <c r="K42" s="3">
        <f>I42*H42-J42</f>
        <v>2339.9499999999998</v>
      </c>
      <c r="L42" s="427"/>
      <c r="M42" s="427"/>
      <c r="O42" s="81">
        <v>1.0900000000000001</v>
      </c>
      <c r="P42" s="81">
        <f t="shared" ref="P42:P61" si="4">O42*$Q$4</f>
        <v>9.4939000000000018</v>
      </c>
      <c r="Q42" s="2"/>
      <c r="T42" s="89" t="s">
        <v>112</v>
      </c>
      <c r="W42" s="130"/>
      <c r="X42" s="10"/>
      <c r="Y42" s="10"/>
      <c r="Z42" s="10"/>
      <c r="AA42" s="10"/>
      <c r="AB42" s="93"/>
      <c r="AC42" s="10"/>
      <c r="AD42" s="2">
        <f t="shared" si="0"/>
        <v>0</v>
      </c>
      <c r="AE42" s="134" t="e">
        <f t="shared" si="1"/>
        <v>#DIV/0!</v>
      </c>
    </row>
    <row r="43" spans="1:31" ht="15.75" thickTop="1" x14ac:dyDescent="0.25">
      <c r="A43" s="427"/>
      <c r="B43" s="427"/>
      <c r="C43" s="427"/>
      <c r="D43" s="429"/>
      <c r="E43" s="429"/>
      <c r="F43" s="429"/>
      <c r="G43" s="427"/>
      <c r="H43" s="443"/>
      <c r="I43" s="429"/>
      <c r="J43" s="429"/>
      <c r="K43" s="429"/>
      <c r="L43" s="427"/>
      <c r="M43" s="427"/>
      <c r="O43" s="81">
        <v>1.08</v>
      </c>
      <c r="P43" s="81">
        <f t="shared" si="4"/>
        <v>9.4068000000000023</v>
      </c>
      <c r="Q43" s="2"/>
      <c r="T43" s="125" t="s">
        <v>97</v>
      </c>
      <c r="U43" s="96">
        <v>11.37</v>
      </c>
      <c r="W43" s="130"/>
      <c r="X43" s="10"/>
      <c r="Y43" s="10"/>
      <c r="Z43" s="10"/>
      <c r="AA43" s="10"/>
      <c r="AB43" s="93"/>
      <c r="AC43" s="10"/>
      <c r="AD43" s="2">
        <f t="shared" si="0"/>
        <v>0</v>
      </c>
      <c r="AE43" s="134" t="e">
        <f t="shared" si="1"/>
        <v>#DIV/0!</v>
      </c>
    </row>
    <row r="44" spans="1:31" x14ac:dyDescent="0.25">
      <c r="A44" s="427"/>
      <c r="B44" s="427"/>
      <c r="C44" s="427"/>
      <c r="D44" s="429"/>
      <c r="E44" s="429"/>
      <c r="F44" s="429"/>
      <c r="G44" s="427"/>
      <c r="H44" s="443"/>
      <c r="I44" s="429"/>
      <c r="J44" s="429"/>
      <c r="K44" s="429"/>
      <c r="L44" s="427"/>
      <c r="M44" s="427"/>
      <c r="O44" s="81">
        <v>1.07</v>
      </c>
      <c r="P44" s="81">
        <f t="shared" si="4"/>
        <v>9.319700000000001</v>
      </c>
      <c r="Q44" s="2"/>
      <c r="T44" s="91" t="s">
        <v>98</v>
      </c>
      <c r="U44" s="86">
        <v>11.48</v>
      </c>
      <c r="W44" s="130"/>
      <c r="X44" s="10"/>
      <c r="Y44" s="10"/>
      <c r="Z44" s="10"/>
      <c r="AA44" s="10"/>
      <c r="AB44" s="93"/>
      <c r="AC44" s="10"/>
      <c r="AD44" s="2">
        <f t="shared" si="0"/>
        <v>0</v>
      </c>
      <c r="AE44" s="134" t="e">
        <f t="shared" si="1"/>
        <v>#DIV/0!</v>
      </c>
    </row>
    <row r="45" spans="1:31" x14ac:dyDescent="0.25">
      <c r="A45" s="427"/>
      <c r="B45" s="427"/>
      <c r="C45" s="427"/>
      <c r="D45" s="429"/>
      <c r="E45" s="429"/>
      <c r="F45" s="429"/>
      <c r="G45" s="427"/>
      <c r="H45" s="443"/>
      <c r="I45" s="429"/>
      <c r="J45" s="429"/>
      <c r="K45" s="429"/>
      <c r="L45" s="427"/>
      <c r="M45" s="427"/>
      <c r="O45" s="81">
        <v>1.06</v>
      </c>
      <c r="P45" s="81">
        <f t="shared" si="4"/>
        <v>9.2326000000000015</v>
      </c>
      <c r="Q45" s="2"/>
      <c r="T45" s="91" t="s">
        <v>99</v>
      </c>
      <c r="U45" s="86" t="s">
        <v>128</v>
      </c>
      <c r="W45" s="130"/>
      <c r="X45" s="10"/>
      <c r="Y45" s="10"/>
      <c r="Z45" s="10"/>
      <c r="AA45" s="10"/>
      <c r="AB45" s="93"/>
      <c r="AC45" s="10"/>
      <c r="AD45" s="2">
        <f t="shared" si="0"/>
        <v>0</v>
      </c>
      <c r="AE45" s="134" t="e">
        <f t="shared" si="1"/>
        <v>#DIV/0!</v>
      </c>
    </row>
    <row r="46" spans="1:31" x14ac:dyDescent="0.25">
      <c r="A46" s="427"/>
      <c r="B46" s="427"/>
      <c r="C46" s="427"/>
      <c r="D46" s="429"/>
      <c r="E46" s="429"/>
      <c r="F46" s="429"/>
      <c r="G46" s="427"/>
      <c r="H46" s="443"/>
      <c r="I46" s="429"/>
      <c r="J46" s="429"/>
      <c r="K46" s="429"/>
      <c r="L46" s="427"/>
      <c r="M46" s="427"/>
      <c r="O46" s="81">
        <v>1.05</v>
      </c>
      <c r="P46" s="81">
        <f t="shared" si="4"/>
        <v>9.145500000000002</v>
      </c>
      <c r="Q46" s="2"/>
      <c r="T46" s="91" t="s">
        <v>100</v>
      </c>
      <c r="U46" s="86" t="s">
        <v>128</v>
      </c>
      <c r="W46" s="130"/>
      <c r="X46" s="10"/>
      <c r="Y46" s="10"/>
      <c r="Z46" s="10"/>
      <c r="AA46" s="10"/>
      <c r="AB46" s="93"/>
      <c r="AC46" s="10"/>
      <c r="AD46" s="2">
        <f t="shared" si="0"/>
        <v>0</v>
      </c>
      <c r="AE46" s="134" t="e">
        <f t="shared" si="1"/>
        <v>#DIV/0!</v>
      </c>
    </row>
    <row r="47" spans="1:31" x14ac:dyDescent="0.25">
      <c r="A47" s="427"/>
      <c r="B47" s="427"/>
      <c r="C47" s="427"/>
      <c r="D47" s="429"/>
      <c r="E47" s="429"/>
      <c r="F47" s="429"/>
      <c r="G47" s="427"/>
      <c r="H47" s="443"/>
      <c r="I47" s="429"/>
      <c r="J47" s="429"/>
      <c r="K47" s="429"/>
      <c r="L47" s="427"/>
      <c r="M47" s="427"/>
      <c r="O47" s="81">
        <v>1.04</v>
      </c>
      <c r="P47" s="81">
        <f t="shared" si="4"/>
        <v>9.0584000000000007</v>
      </c>
      <c r="Q47" s="2"/>
      <c r="T47" s="91" t="s">
        <v>101</v>
      </c>
      <c r="U47" s="86">
        <v>13.18</v>
      </c>
      <c r="W47" s="130"/>
      <c r="X47" s="10"/>
      <c r="Y47" s="10"/>
      <c r="Z47" s="10"/>
      <c r="AA47" s="10"/>
      <c r="AB47" s="93"/>
      <c r="AC47" s="10"/>
      <c r="AD47" s="2">
        <f t="shared" si="0"/>
        <v>0</v>
      </c>
      <c r="AE47" s="134" t="e">
        <f t="shared" si="1"/>
        <v>#DIV/0!</v>
      </c>
    </row>
    <row r="48" spans="1:31" x14ac:dyDescent="0.25">
      <c r="A48" s="427"/>
      <c r="B48" s="427"/>
      <c r="C48" s="427"/>
      <c r="D48" s="429"/>
      <c r="E48" s="429"/>
      <c r="F48" s="429"/>
      <c r="G48" s="427"/>
      <c r="H48" s="443"/>
      <c r="I48" s="429"/>
      <c r="J48" s="429"/>
      <c r="K48" s="429"/>
      <c r="L48" s="427"/>
      <c r="M48" s="427"/>
      <c r="O48" s="81">
        <v>1.03</v>
      </c>
      <c r="P48" s="81">
        <f t="shared" si="4"/>
        <v>8.9713000000000012</v>
      </c>
      <c r="Q48" s="2"/>
      <c r="T48" s="91" t="s">
        <v>102</v>
      </c>
      <c r="U48" s="86">
        <v>1.34107</v>
      </c>
      <c r="W48" s="130"/>
      <c r="X48" s="10"/>
      <c r="Y48" s="10"/>
      <c r="Z48" s="10"/>
      <c r="AA48" s="10"/>
      <c r="AB48" s="93"/>
      <c r="AC48" s="10"/>
      <c r="AD48" s="2">
        <f t="shared" si="0"/>
        <v>0</v>
      </c>
      <c r="AE48" s="134" t="e">
        <f t="shared" si="1"/>
        <v>#DIV/0!</v>
      </c>
    </row>
    <row r="49" spans="1:31" x14ac:dyDescent="0.25">
      <c r="A49" s="427"/>
      <c r="B49" s="427"/>
      <c r="C49" s="427"/>
      <c r="D49" s="429"/>
      <c r="E49" s="429"/>
      <c r="F49" s="429"/>
      <c r="G49" s="427"/>
      <c r="H49" s="443"/>
      <c r="I49" s="429"/>
      <c r="J49" s="429"/>
      <c r="K49" s="429"/>
      <c r="L49" s="427"/>
      <c r="M49" s="427"/>
      <c r="O49" s="81">
        <v>1.02</v>
      </c>
      <c r="P49" s="81">
        <f t="shared" si="4"/>
        <v>8.8842000000000017</v>
      </c>
      <c r="Q49" s="2"/>
      <c r="T49" s="91" t="s">
        <v>103</v>
      </c>
      <c r="U49" s="86" t="s">
        <v>362</v>
      </c>
      <c r="W49" s="130"/>
      <c r="X49" s="10"/>
      <c r="Y49" s="10"/>
      <c r="Z49" s="10"/>
      <c r="AA49" s="10"/>
      <c r="AB49" s="93"/>
      <c r="AC49" s="10"/>
      <c r="AD49" s="2">
        <f t="shared" si="0"/>
        <v>0</v>
      </c>
      <c r="AE49" s="134" t="e">
        <f t="shared" si="1"/>
        <v>#DIV/0!</v>
      </c>
    </row>
    <row r="50" spans="1:31" x14ac:dyDescent="0.25">
      <c r="A50" s="445" t="s">
        <v>81</v>
      </c>
      <c r="B50" s="446"/>
      <c r="C50" s="446">
        <f>SUM(C34:C40)</f>
        <v>800</v>
      </c>
      <c r="D50" s="447"/>
      <c r="E50" s="447"/>
      <c r="F50" s="447">
        <f>SUM(F34:F49)</f>
        <v>12073.5</v>
      </c>
      <c r="G50" s="446"/>
      <c r="H50" s="446">
        <f>SUM(H34:H49)</f>
        <v>1000</v>
      </c>
      <c r="I50" s="447"/>
      <c r="J50" s="447"/>
      <c r="K50" s="447">
        <f>SUM(K34:K49)</f>
        <v>12486.21</v>
      </c>
      <c r="L50" s="446"/>
      <c r="M50" s="447">
        <f>SUM(M34:M49)</f>
        <v>82.5</v>
      </c>
      <c r="O50" s="81">
        <v>1.01</v>
      </c>
      <c r="P50" s="81">
        <f t="shared" si="4"/>
        <v>8.7971000000000004</v>
      </c>
      <c r="Q50" s="2"/>
      <c r="T50" s="91"/>
      <c r="U50" s="86"/>
      <c r="W50" s="130"/>
      <c r="X50" s="10"/>
      <c r="Y50" s="10"/>
      <c r="Z50" s="10"/>
      <c r="AA50" s="10"/>
      <c r="AB50" s="93"/>
      <c r="AC50" s="10"/>
      <c r="AD50" s="2">
        <f t="shared" si="0"/>
        <v>0</v>
      </c>
      <c r="AE50" s="134" t="e">
        <f t="shared" si="1"/>
        <v>#DIV/0!</v>
      </c>
    </row>
    <row r="51" spans="1:31" ht="15.75" thickBot="1" x14ac:dyDescent="0.3">
      <c r="A51" s="448" t="s">
        <v>191</v>
      </c>
      <c r="B51" s="449"/>
      <c r="C51" s="450">
        <f>SumByColor($A$19,C34:C49)</f>
        <v>0</v>
      </c>
      <c r="D51" s="450"/>
      <c r="E51" s="450"/>
      <c r="F51" s="451">
        <f>SumByColor($A$19,F34:F49)</f>
        <v>0</v>
      </c>
      <c r="G51" s="450"/>
      <c r="H51" s="450">
        <f>SumByColor($A$19,H34:H49)</f>
        <v>0</v>
      </c>
      <c r="I51" s="450"/>
      <c r="J51" s="450"/>
      <c r="K51" s="451">
        <f>SumByColor($A$19,K34:K49)</f>
        <v>0</v>
      </c>
      <c r="L51" s="450"/>
      <c r="M51" s="451">
        <f>SumByColor($A$19,M34:M49)</f>
        <v>0</v>
      </c>
      <c r="O51" s="81">
        <v>1</v>
      </c>
      <c r="P51" s="81">
        <f t="shared" si="4"/>
        <v>8.7100000000000009</v>
      </c>
      <c r="Q51" s="2"/>
      <c r="T51" s="91" t="s">
        <v>104</v>
      </c>
      <c r="U51" s="86" t="s">
        <v>567</v>
      </c>
      <c r="W51" s="130"/>
      <c r="X51" s="10"/>
      <c r="Y51" s="10"/>
      <c r="Z51" s="10"/>
      <c r="AA51" s="10"/>
      <c r="AB51" s="93"/>
      <c r="AC51" s="10"/>
      <c r="AD51" s="2">
        <f t="shared" si="0"/>
        <v>0</v>
      </c>
      <c r="AE51" s="134" t="e">
        <f t="shared" si="1"/>
        <v>#DIV/0!</v>
      </c>
    </row>
    <row r="52" spans="1:31" x14ac:dyDescent="0.25">
      <c r="O52" s="81">
        <v>0.99</v>
      </c>
      <c r="P52" s="81">
        <f t="shared" si="4"/>
        <v>8.6229000000000013</v>
      </c>
      <c r="Q52" s="2"/>
      <c r="T52" s="91" t="s">
        <v>105</v>
      </c>
      <c r="U52" s="86" t="s">
        <v>379</v>
      </c>
      <c r="W52" s="130"/>
      <c r="X52" s="10"/>
      <c r="Y52" s="10"/>
      <c r="Z52" s="10"/>
      <c r="AA52" s="10"/>
      <c r="AB52" s="93"/>
      <c r="AC52" s="10"/>
      <c r="AD52" s="2">
        <f t="shared" si="0"/>
        <v>0</v>
      </c>
      <c r="AE52" s="134" t="e">
        <f t="shared" si="1"/>
        <v>#DIV/0!</v>
      </c>
    </row>
    <row r="53" spans="1:31" x14ac:dyDescent="0.25">
      <c r="O53" s="81">
        <v>0.98</v>
      </c>
      <c r="P53" s="81">
        <f t="shared" si="4"/>
        <v>8.5358000000000001</v>
      </c>
      <c r="Q53" s="2"/>
      <c r="T53" s="91" t="s">
        <v>106</v>
      </c>
      <c r="U53" s="88">
        <v>43316140</v>
      </c>
      <c r="W53" s="130"/>
      <c r="X53" s="10"/>
      <c r="Y53" s="10"/>
      <c r="Z53" s="10"/>
      <c r="AA53" s="10"/>
      <c r="AB53" s="93"/>
      <c r="AC53" s="10"/>
      <c r="AD53" s="2">
        <f t="shared" si="0"/>
        <v>0</v>
      </c>
      <c r="AE53" s="134" t="e">
        <f t="shared" si="1"/>
        <v>#DIV/0!</v>
      </c>
    </row>
    <row r="54" spans="1:31" x14ac:dyDescent="0.25">
      <c r="O54" s="81">
        <v>0.97</v>
      </c>
      <c r="P54" s="81">
        <f t="shared" si="4"/>
        <v>8.4487000000000005</v>
      </c>
      <c r="T54" s="91" t="s">
        <v>109</v>
      </c>
      <c r="U54" s="88">
        <v>38267500</v>
      </c>
      <c r="W54" s="130"/>
      <c r="X54" s="10"/>
      <c r="Y54" s="10"/>
      <c r="Z54" s="10"/>
      <c r="AA54" s="10"/>
      <c r="AB54" s="93"/>
      <c r="AC54" s="10"/>
      <c r="AD54" s="2">
        <f t="shared" si="0"/>
        <v>0</v>
      </c>
      <c r="AE54" s="134" t="e">
        <f t="shared" si="1"/>
        <v>#DIV/0!</v>
      </c>
    </row>
    <row r="55" spans="1:31" x14ac:dyDescent="0.25">
      <c r="O55" s="81">
        <v>0.96</v>
      </c>
      <c r="P55" s="81">
        <f t="shared" si="4"/>
        <v>8.361600000000001</v>
      </c>
      <c r="T55" s="91" t="s">
        <v>107</v>
      </c>
      <c r="U55" s="86" t="s">
        <v>568</v>
      </c>
      <c r="W55" s="130"/>
      <c r="X55" s="10"/>
      <c r="Y55" s="10"/>
      <c r="Z55" s="10"/>
      <c r="AA55" s="10"/>
      <c r="AB55" s="93"/>
      <c r="AC55" s="10"/>
      <c r="AD55" s="2">
        <f t="shared" si="0"/>
        <v>0</v>
      </c>
      <c r="AE55" s="134" t="e">
        <f t="shared" si="1"/>
        <v>#DIV/0!</v>
      </c>
    </row>
    <row r="56" spans="1:31" x14ac:dyDescent="0.25">
      <c r="B56" s="162" t="s">
        <v>113</v>
      </c>
      <c r="C56" s="162" t="s">
        <v>145</v>
      </c>
      <c r="D56" s="163" t="s">
        <v>144</v>
      </c>
      <c r="E56" s="165" t="s">
        <v>146</v>
      </c>
      <c r="F56" s="165" t="s">
        <v>65</v>
      </c>
      <c r="G56" s="177" t="s">
        <v>150</v>
      </c>
      <c r="H56" s="177" t="s">
        <v>88</v>
      </c>
      <c r="I56" s="177" t="s">
        <v>153</v>
      </c>
      <c r="O56" s="81">
        <v>0.95</v>
      </c>
      <c r="P56" s="81">
        <f t="shared" si="4"/>
        <v>8.2744999999999997</v>
      </c>
      <c r="T56" s="91" t="s">
        <v>110</v>
      </c>
      <c r="U56" s="86">
        <v>9.7899999999999991</v>
      </c>
      <c r="W56" s="130"/>
      <c r="X56" s="10"/>
      <c r="Y56" s="10"/>
      <c r="Z56" s="10"/>
      <c r="AA56" s="10"/>
      <c r="AB56" s="93"/>
      <c r="AC56" s="10"/>
      <c r="AD56" s="2">
        <f t="shared" si="0"/>
        <v>0</v>
      </c>
      <c r="AE56" s="134" t="e">
        <f t="shared" si="1"/>
        <v>#DIV/0!</v>
      </c>
    </row>
    <row r="57" spans="1:31" x14ac:dyDescent="0.25">
      <c r="B57" s="202">
        <v>42488</v>
      </c>
      <c r="C57" s="197">
        <v>100</v>
      </c>
      <c r="D57" s="198">
        <v>13.8</v>
      </c>
      <c r="E57" s="198">
        <v>13.56</v>
      </c>
      <c r="F57" s="198">
        <f>C57*(E57-D57)</f>
        <v>-24.000000000000021</v>
      </c>
      <c r="G57" s="198">
        <f>D57*C57</f>
        <v>1380</v>
      </c>
      <c r="H57" s="212">
        <f>(E57-D57)/D57</f>
        <v>-1.7391304347826101E-2</v>
      </c>
      <c r="I57" s="198"/>
      <c r="O57" s="81">
        <v>0.94</v>
      </c>
      <c r="P57" s="81">
        <f t="shared" si="4"/>
        <v>8.1874000000000002</v>
      </c>
      <c r="T57" s="91" t="s">
        <v>111</v>
      </c>
      <c r="U57" s="86">
        <v>1.1499999999999999</v>
      </c>
      <c r="W57" s="130"/>
      <c r="X57" s="10"/>
      <c r="Y57" s="10"/>
      <c r="Z57" s="10"/>
      <c r="AA57" s="10"/>
      <c r="AB57" s="93"/>
      <c r="AC57" s="10"/>
      <c r="AD57" s="2">
        <f t="shared" si="0"/>
        <v>0</v>
      </c>
      <c r="AE57" s="134" t="e">
        <f t="shared" si="1"/>
        <v>#DIV/0!</v>
      </c>
    </row>
    <row r="58" spans="1:31" x14ac:dyDescent="0.25">
      <c r="B58" s="202">
        <v>42494</v>
      </c>
      <c r="C58" s="197">
        <v>100</v>
      </c>
      <c r="D58" s="198">
        <v>13.8</v>
      </c>
      <c r="E58" s="198">
        <v>13.31</v>
      </c>
      <c r="F58" s="198">
        <f>C58*(E58-D58)</f>
        <v>-49.000000000000021</v>
      </c>
      <c r="G58" s="198">
        <f>D58*C58</f>
        <v>1380</v>
      </c>
      <c r="H58" s="212">
        <f>(E58-D58)/D58</f>
        <v>-3.5507246376811609E-2</v>
      </c>
      <c r="I58" s="198"/>
      <c r="O58" s="81">
        <v>0.93</v>
      </c>
      <c r="P58" s="81">
        <f t="shared" si="4"/>
        <v>8.1003000000000007</v>
      </c>
      <c r="T58" s="91" t="s">
        <v>108</v>
      </c>
      <c r="U58" s="86" t="s">
        <v>519</v>
      </c>
      <c r="W58" s="130"/>
      <c r="X58" s="10"/>
      <c r="Y58" s="10"/>
      <c r="Z58" s="10"/>
      <c r="AA58" s="10"/>
      <c r="AB58" s="93"/>
      <c r="AC58" s="10"/>
      <c r="AD58" s="2">
        <f t="shared" si="0"/>
        <v>0</v>
      </c>
      <c r="AE58" s="134" t="e">
        <f t="shared" si="1"/>
        <v>#DIV/0!</v>
      </c>
    </row>
    <row r="59" spans="1:31" x14ac:dyDescent="0.25">
      <c r="B59" s="202">
        <v>42507</v>
      </c>
      <c r="C59" s="197">
        <v>200</v>
      </c>
      <c r="D59" s="198">
        <v>13.44</v>
      </c>
      <c r="E59" s="198">
        <v>13.14</v>
      </c>
      <c r="F59" s="198">
        <f>C59*(E59-D59)</f>
        <v>-59.999999999999787</v>
      </c>
      <c r="G59" s="198">
        <f>D59*C59</f>
        <v>2688</v>
      </c>
      <c r="H59" s="212">
        <f>(E59-D59)/D59</f>
        <v>-2.2321428571428492E-2</v>
      </c>
      <c r="I59" s="198"/>
      <c r="O59" s="81">
        <v>0.92</v>
      </c>
      <c r="P59" s="81">
        <f t="shared" si="4"/>
        <v>8.0132000000000012</v>
      </c>
      <c r="W59" s="130"/>
      <c r="X59" s="10"/>
      <c r="Y59" s="10"/>
      <c r="Z59" s="10"/>
      <c r="AA59" s="10"/>
      <c r="AB59" s="93"/>
      <c r="AC59" s="10"/>
      <c r="AD59" s="2">
        <f t="shared" si="0"/>
        <v>0</v>
      </c>
      <c r="AE59" s="134" t="e">
        <f t="shared" si="1"/>
        <v>#DIV/0!</v>
      </c>
    </row>
    <row r="60" spans="1:31" x14ac:dyDescent="0.25">
      <c r="B60" s="202">
        <v>42515</v>
      </c>
      <c r="C60" s="197">
        <v>100</v>
      </c>
      <c r="D60" s="198">
        <v>13.2903</v>
      </c>
      <c r="E60" s="198">
        <v>13.52</v>
      </c>
      <c r="F60" s="198">
        <f t="shared" ref="F60:F95" si="5">C60*(E60-D60)</f>
        <v>22.969999999999935</v>
      </c>
      <c r="G60" s="198">
        <f t="shared" ref="G60:G95" si="6">D60*C60</f>
        <v>1329.03</v>
      </c>
      <c r="H60" s="212">
        <f t="shared" ref="H60:H95" si="7">(E60-D60)/D60</f>
        <v>1.7283281791983577E-2</v>
      </c>
      <c r="I60" s="198"/>
      <c r="O60" s="81">
        <v>0.91</v>
      </c>
      <c r="P60" s="81">
        <f t="shared" si="4"/>
        <v>7.9261000000000008</v>
      </c>
      <c r="W60" s="130"/>
      <c r="X60" s="10"/>
      <c r="Y60" s="10"/>
      <c r="Z60" s="10"/>
      <c r="AA60" s="10"/>
      <c r="AB60" s="93"/>
      <c r="AC60" s="10"/>
      <c r="AD60" s="2">
        <f t="shared" si="0"/>
        <v>0</v>
      </c>
      <c r="AE60" s="134" t="e">
        <f t="shared" si="1"/>
        <v>#DIV/0!</v>
      </c>
    </row>
    <row r="61" spans="1:31" x14ac:dyDescent="0.25">
      <c r="B61" s="202">
        <v>42527</v>
      </c>
      <c r="C61" s="197">
        <v>100</v>
      </c>
      <c r="D61" s="198">
        <v>13.2903</v>
      </c>
      <c r="E61" s="198">
        <v>13.18</v>
      </c>
      <c r="F61" s="198">
        <f t="shared" si="5"/>
        <v>-11.030000000000051</v>
      </c>
      <c r="G61" s="198">
        <f t="shared" si="6"/>
        <v>1329.03</v>
      </c>
      <c r="H61" s="212">
        <f t="shared" si="7"/>
        <v>-8.2992859453887811E-3</v>
      </c>
      <c r="I61" s="198"/>
      <c r="O61" s="81">
        <v>0.9</v>
      </c>
      <c r="P61" s="81">
        <f t="shared" si="4"/>
        <v>7.8390000000000013</v>
      </c>
      <c r="W61" s="130"/>
      <c r="X61" s="10"/>
      <c r="Y61" s="10"/>
      <c r="Z61" s="10"/>
      <c r="AA61" s="10"/>
      <c r="AB61" s="93"/>
      <c r="AC61" s="10"/>
      <c r="AD61" s="2">
        <f t="shared" si="0"/>
        <v>0</v>
      </c>
      <c r="AE61" s="134" t="e">
        <f t="shared" si="1"/>
        <v>#DIV/0!</v>
      </c>
    </row>
    <row r="62" spans="1:31" x14ac:dyDescent="0.25">
      <c r="B62" s="202">
        <v>42528</v>
      </c>
      <c r="C62" s="197">
        <v>100</v>
      </c>
      <c r="D62" s="198">
        <v>13.2903</v>
      </c>
      <c r="E62" s="198">
        <v>13.38</v>
      </c>
      <c r="F62" s="198">
        <f t="shared" si="5"/>
        <v>8.9700000000000557</v>
      </c>
      <c r="G62" s="198">
        <f t="shared" si="6"/>
        <v>1329.03</v>
      </c>
      <c r="H62" s="212">
        <f t="shared" si="7"/>
        <v>6.7492833118891638E-3</v>
      </c>
      <c r="I62" s="198"/>
      <c r="W62" s="130"/>
      <c r="X62" s="10"/>
      <c r="Y62" s="10"/>
      <c r="Z62" s="10"/>
      <c r="AA62" s="10"/>
      <c r="AB62" s="93"/>
      <c r="AC62" s="10"/>
      <c r="AD62" s="2">
        <f t="shared" si="0"/>
        <v>0</v>
      </c>
      <c r="AE62" s="134" t="e">
        <f t="shared" si="1"/>
        <v>#DIV/0!</v>
      </c>
    </row>
    <row r="63" spans="1:31" x14ac:dyDescent="0.25">
      <c r="B63" s="202">
        <v>42535</v>
      </c>
      <c r="C63" s="197">
        <v>100</v>
      </c>
      <c r="D63" s="198">
        <v>13.29</v>
      </c>
      <c r="E63" s="198">
        <v>12.84</v>
      </c>
      <c r="F63" s="198">
        <f t="shared" si="5"/>
        <v>-44.999999999999929</v>
      </c>
      <c r="G63" s="198">
        <f t="shared" si="6"/>
        <v>1329</v>
      </c>
      <c r="H63" s="212">
        <f t="shared" si="7"/>
        <v>-3.386004514672681E-2</v>
      </c>
      <c r="I63" s="198"/>
      <c r="W63" s="130"/>
      <c r="X63" s="10"/>
      <c r="Y63" s="10"/>
      <c r="Z63" s="10"/>
      <c r="AA63" s="10"/>
      <c r="AB63" s="93"/>
      <c r="AC63" s="10"/>
      <c r="AD63" s="2">
        <f t="shared" si="0"/>
        <v>0</v>
      </c>
      <c r="AE63" s="134" t="e">
        <f t="shared" si="1"/>
        <v>#DIV/0!</v>
      </c>
    </row>
    <row r="64" spans="1:31" x14ac:dyDescent="0.25">
      <c r="B64" s="202">
        <v>42542</v>
      </c>
      <c r="C64" s="197">
        <v>100</v>
      </c>
      <c r="D64" s="198">
        <v>13.2903</v>
      </c>
      <c r="E64" s="198">
        <v>13.42</v>
      </c>
      <c r="F64" s="198">
        <f t="shared" si="5"/>
        <v>12.96999999999997</v>
      </c>
      <c r="G64" s="198">
        <f t="shared" si="6"/>
        <v>1329.03</v>
      </c>
      <c r="H64" s="212">
        <f t="shared" si="7"/>
        <v>9.758997163344673E-3</v>
      </c>
      <c r="I64" s="198"/>
      <c r="W64" s="130"/>
      <c r="X64" s="10"/>
      <c r="Y64" s="10"/>
      <c r="Z64" s="10"/>
      <c r="AA64" s="10"/>
      <c r="AB64" s="93"/>
      <c r="AC64" s="10"/>
      <c r="AD64" s="2">
        <f t="shared" si="0"/>
        <v>0</v>
      </c>
      <c r="AE64" s="134" t="e">
        <f t="shared" si="1"/>
        <v>#DIV/0!</v>
      </c>
    </row>
    <row r="65" spans="2:31" x14ac:dyDescent="0.25">
      <c r="B65" s="202">
        <v>42545</v>
      </c>
      <c r="C65" s="197">
        <v>250</v>
      </c>
      <c r="D65" s="198">
        <v>12.966100000000001</v>
      </c>
      <c r="E65" s="198">
        <v>12.52</v>
      </c>
      <c r="F65" s="198">
        <f t="shared" si="5"/>
        <v>-111.52500000000032</v>
      </c>
      <c r="G65" s="198">
        <f t="shared" si="6"/>
        <v>3241.5250000000001</v>
      </c>
      <c r="H65" s="212">
        <f t="shared" si="7"/>
        <v>-3.4405102536614808E-2</v>
      </c>
      <c r="I65" s="198"/>
      <c r="W65" s="130"/>
      <c r="X65" s="10"/>
      <c r="Y65" s="10"/>
      <c r="Z65" s="10"/>
      <c r="AA65" s="10"/>
      <c r="AB65" s="93"/>
      <c r="AC65" s="10"/>
      <c r="AD65" s="2">
        <f t="shared" si="0"/>
        <v>0</v>
      </c>
      <c r="AE65" s="134" t="e">
        <f t="shared" si="1"/>
        <v>#DIV/0!</v>
      </c>
    </row>
    <row r="66" spans="2:31" x14ac:dyDescent="0.25">
      <c r="B66" s="202">
        <v>42548</v>
      </c>
      <c r="C66" s="197">
        <v>400</v>
      </c>
      <c r="D66" s="198">
        <v>12.6713</v>
      </c>
      <c r="E66" s="198">
        <v>12.16</v>
      </c>
      <c r="F66" s="198">
        <f t="shared" si="5"/>
        <v>-204.52000000000012</v>
      </c>
      <c r="G66" s="198">
        <f t="shared" si="6"/>
        <v>5068.5200000000004</v>
      </c>
      <c r="H66" s="212">
        <f t="shared" si="7"/>
        <v>-4.0351029491843798E-2</v>
      </c>
      <c r="I66" s="198"/>
      <c r="W66" s="130"/>
      <c r="X66" s="10"/>
      <c r="Y66" s="10"/>
      <c r="Z66" s="10"/>
      <c r="AA66" s="10"/>
      <c r="AB66" s="93"/>
      <c r="AC66" s="10"/>
      <c r="AD66" s="2">
        <f t="shared" si="0"/>
        <v>0</v>
      </c>
      <c r="AE66" s="134" t="e">
        <f t="shared" si="1"/>
        <v>#DIV/0!</v>
      </c>
    </row>
    <row r="67" spans="2:31" x14ac:dyDescent="0.25">
      <c r="B67" s="202">
        <v>42552</v>
      </c>
      <c r="C67" s="197">
        <v>400</v>
      </c>
      <c r="D67" s="198">
        <v>12.6713</v>
      </c>
      <c r="E67" s="198">
        <v>12.72</v>
      </c>
      <c r="F67" s="198">
        <f t="shared" si="5"/>
        <v>19.480000000000075</v>
      </c>
      <c r="G67" s="198">
        <f t="shared" si="6"/>
        <v>5068.5200000000004</v>
      </c>
      <c r="H67" s="212">
        <f t="shared" si="7"/>
        <v>3.843330992084489E-3</v>
      </c>
      <c r="I67" s="198"/>
      <c r="W67" s="130"/>
      <c r="X67" s="10"/>
      <c r="Y67" s="10"/>
      <c r="Z67" s="10"/>
      <c r="AA67" s="10"/>
      <c r="AB67" s="93"/>
      <c r="AC67" s="10"/>
      <c r="AD67" s="2">
        <f>Y67-Z67</f>
        <v>0</v>
      </c>
      <c r="AE67" s="134" t="e">
        <f>AC67/#REF!-1</f>
        <v>#REF!</v>
      </c>
    </row>
    <row r="68" spans="2:31" x14ac:dyDescent="0.25">
      <c r="B68" s="202">
        <v>42556</v>
      </c>
      <c r="C68" s="197">
        <v>400</v>
      </c>
      <c r="D68" s="198">
        <v>12.6713</v>
      </c>
      <c r="E68" s="198">
        <v>12.4</v>
      </c>
      <c r="F68" s="198">
        <f t="shared" si="5"/>
        <v>-108.52000000000004</v>
      </c>
      <c r="G68" s="198">
        <f t="shared" si="6"/>
        <v>5068.5200000000004</v>
      </c>
      <c r="H68" s="212">
        <f t="shared" si="7"/>
        <v>-2.1410589284445961E-2</v>
      </c>
      <c r="I68" s="477">
        <v>11.5</v>
      </c>
      <c r="W68" s="130"/>
      <c r="X68" s="10"/>
      <c r="Y68" s="10"/>
      <c r="Z68" s="10"/>
      <c r="AA68" s="10"/>
      <c r="AB68" s="93"/>
      <c r="AC68" s="10"/>
      <c r="AD68" s="2" t="e">
        <f>#REF!-#REF!</f>
        <v>#REF!</v>
      </c>
      <c r="AE68" s="134" t="e">
        <f>#REF!/#REF!-1</f>
        <v>#REF!</v>
      </c>
    </row>
    <row r="69" spans="2:31" x14ac:dyDescent="0.25">
      <c r="B69" s="202">
        <v>42566</v>
      </c>
      <c r="C69" s="197">
        <v>300</v>
      </c>
      <c r="D69" s="198">
        <v>12.5352</v>
      </c>
      <c r="E69" s="198">
        <v>13.57</v>
      </c>
      <c r="F69" s="198">
        <f t="shared" si="5"/>
        <v>310.44000000000017</v>
      </c>
      <c r="G69" s="198">
        <f t="shared" si="6"/>
        <v>3760.56</v>
      </c>
      <c r="H69" s="212">
        <f t="shared" si="7"/>
        <v>8.2551534877784216E-2</v>
      </c>
      <c r="I69" s="477"/>
      <c r="W69" s="130"/>
      <c r="X69" s="10"/>
      <c r="Y69" s="10"/>
      <c r="Z69" s="10"/>
      <c r="AA69" s="10"/>
      <c r="AB69" s="93"/>
      <c r="AC69" s="10"/>
      <c r="AD69" s="2" t="e">
        <f>#REF!-#REF!</f>
        <v>#REF!</v>
      </c>
      <c r="AE69" s="134" t="e">
        <f>#REF!/AC69-1</f>
        <v>#REF!</v>
      </c>
    </row>
    <row r="70" spans="2:31" x14ac:dyDescent="0.25">
      <c r="B70" s="202">
        <v>42570</v>
      </c>
      <c r="C70" s="197">
        <v>300</v>
      </c>
      <c r="D70" s="198">
        <v>12.5352</v>
      </c>
      <c r="E70" s="198">
        <v>13.65</v>
      </c>
      <c r="F70" s="198">
        <f t="shared" si="5"/>
        <v>334.44000000000023</v>
      </c>
      <c r="G70" s="198">
        <f t="shared" si="6"/>
        <v>3760.56</v>
      </c>
      <c r="H70" s="212">
        <f t="shared" si="7"/>
        <v>8.8933563086348894E-2</v>
      </c>
      <c r="I70" s="198"/>
    </row>
    <row r="71" spans="2:31" x14ac:dyDescent="0.25">
      <c r="B71" s="202">
        <v>42571</v>
      </c>
      <c r="C71" s="197">
        <v>300</v>
      </c>
      <c r="D71" s="198">
        <v>12.5352</v>
      </c>
      <c r="E71" s="198">
        <v>13.74</v>
      </c>
      <c r="F71" s="198">
        <f t="shared" si="5"/>
        <v>361.44000000000017</v>
      </c>
      <c r="G71" s="198">
        <f t="shared" si="6"/>
        <v>3760.56</v>
      </c>
      <c r="H71" s="212">
        <f t="shared" si="7"/>
        <v>9.6113344820984159E-2</v>
      </c>
      <c r="I71" s="198"/>
    </row>
    <row r="72" spans="2:31" x14ac:dyDescent="0.25">
      <c r="B72" s="202">
        <v>42572</v>
      </c>
      <c r="C72" s="197">
        <v>300</v>
      </c>
      <c r="D72" s="198">
        <v>12.5352</v>
      </c>
      <c r="E72" s="198">
        <v>13.92</v>
      </c>
      <c r="F72" s="198">
        <f t="shared" si="5"/>
        <v>415.44000000000005</v>
      </c>
      <c r="G72" s="198">
        <f t="shared" si="6"/>
        <v>3760.56</v>
      </c>
      <c r="H72" s="212">
        <f t="shared" si="7"/>
        <v>0.11047290829025466</v>
      </c>
      <c r="I72" s="198"/>
    </row>
    <row r="73" spans="2:31" x14ac:dyDescent="0.25">
      <c r="B73" s="202">
        <v>42575</v>
      </c>
      <c r="C73" s="197">
        <v>300</v>
      </c>
      <c r="D73" s="198">
        <v>12.5352</v>
      </c>
      <c r="E73" s="198">
        <v>13.82</v>
      </c>
      <c r="F73" s="198">
        <f t="shared" si="5"/>
        <v>385.44000000000017</v>
      </c>
      <c r="G73" s="198">
        <f t="shared" si="6"/>
        <v>3760.56</v>
      </c>
      <c r="H73" s="212">
        <f t="shared" si="7"/>
        <v>0.10249537302954884</v>
      </c>
      <c r="I73" s="198"/>
    </row>
    <row r="74" spans="2:31" x14ac:dyDescent="0.25">
      <c r="B74" s="202">
        <v>42577</v>
      </c>
      <c r="C74" s="197">
        <v>250</v>
      </c>
      <c r="D74" s="198">
        <v>12.286300000000001</v>
      </c>
      <c r="E74" s="198">
        <v>13.86</v>
      </c>
      <c r="F74" s="198">
        <f t="shared" si="5"/>
        <v>393.42499999999967</v>
      </c>
      <c r="G74" s="198">
        <f t="shared" si="6"/>
        <v>3071.5750000000003</v>
      </c>
      <c r="H74" s="212">
        <f t="shared" si="7"/>
        <v>0.12808575405126024</v>
      </c>
      <c r="I74" s="478" t="s">
        <v>247</v>
      </c>
    </row>
    <row r="75" spans="2:31" x14ac:dyDescent="0.25">
      <c r="B75" s="202">
        <v>42579</v>
      </c>
      <c r="C75" s="197">
        <v>250</v>
      </c>
      <c r="D75" s="198">
        <v>12.286300000000001</v>
      </c>
      <c r="E75" s="198">
        <v>12.71</v>
      </c>
      <c r="F75" s="198">
        <f t="shared" si="5"/>
        <v>105.92500000000004</v>
      </c>
      <c r="G75" s="198">
        <f t="shared" si="6"/>
        <v>3071.5750000000003</v>
      </c>
      <c r="H75" s="212">
        <f t="shared" si="7"/>
        <v>3.4485565223053335E-2</v>
      </c>
      <c r="I75" s="198"/>
    </row>
    <row r="76" spans="2:31" x14ac:dyDescent="0.25">
      <c r="B76" s="202">
        <v>42585</v>
      </c>
      <c r="C76" s="197">
        <v>250</v>
      </c>
      <c r="D76" s="198">
        <v>12.286300000000001</v>
      </c>
      <c r="E76" s="198">
        <v>11.94</v>
      </c>
      <c r="F76" s="198">
        <f t="shared" si="5"/>
        <v>-86.575000000000287</v>
      </c>
      <c r="G76" s="198">
        <f t="shared" si="6"/>
        <v>3071.5750000000003</v>
      </c>
      <c r="H76" s="212">
        <f t="shared" si="7"/>
        <v>-2.8185865557572347E-2</v>
      </c>
      <c r="I76" s="198"/>
    </row>
    <row r="77" spans="2:31" x14ac:dyDescent="0.25">
      <c r="B77" s="202">
        <v>42593</v>
      </c>
      <c r="C77" s="197">
        <v>250</v>
      </c>
      <c r="D77" s="198">
        <v>12.286300000000001</v>
      </c>
      <c r="E77" s="198">
        <v>12.25</v>
      </c>
      <c r="F77" s="198">
        <f t="shared" si="5"/>
        <v>-9.0750000000001663</v>
      </c>
      <c r="G77" s="198">
        <f t="shared" si="6"/>
        <v>3071.5750000000003</v>
      </c>
      <c r="H77" s="212">
        <f t="shared" si="7"/>
        <v>-2.9545103082295452E-3</v>
      </c>
      <c r="I77" s="198"/>
    </row>
    <row r="78" spans="2:31" x14ac:dyDescent="0.25">
      <c r="B78" s="202">
        <v>42597</v>
      </c>
      <c r="C78" s="197">
        <v>250</v>
      </c>
      <c r="D78" s="198">
        <v>12.286300000000001</v>
      </c>
      <c r="E78" s="198">
        <v>12.43</v>
      </c>
      <c r="F78" s="198">
        <f t="shared" si="5"/>
        <v>35.924999999999763</v>
      </c>
      <c r="G78" s="198">
        <f t="shared" si="6"/>
        <v>3071.5750000000003</v>
      </c>
      <c r="H78" s="212">
        <f t="shared" si="7"/>
        <v>1.1695954030098488E-2</v>
      </c>
      <c r="I78" s="198"/>
    </row>
    <row r="79" spans="2:31" x14ac:dyDescent="0.25">
      <c r="B79" s="202">
        <v>42600</v>
      </c>
      <c r="C79" s="197">
        <v>250</v>
      </c>
      <c r="D79" s="198">
        <v>12.286300000000001</v>
      </c>
      <c r="E79" s="198">
        <v>12.33</v>
      </c>
      <c r="F79" s="198">
        <f t="shared" si="5"/>
        <v>10.924999999999851</v>
      </c>
      <c r="G79" s="198">
        <f t="shared" si="6"/>
        <v>3071.5750000000003</v>
      </c>
      <c r="H79" s="212">
        <f t="shared" si="7"/>
        <v>3.5568071754718184E-3</v>
      </c>
      <c r="I79" s="198"/>
    </row>
    <row r="80" spans="2:31" x14ac:dyDescent="0.25">
      <c r="B80" s="202">
        <v>42601</v>
      </c>
      <c r="C80" s="197">
        <v>250</v>
      </c>
      <c r="D80" s="198">
        <v>12.286300000000001</v>
      </c>
      <c r="E80" s="198">
        <v>12.39</v>
      </c>
      <c r="F80" s="198">
        <f t="shared" si="5"/>
        <v>25.924999999999976</v>
      </c>
      <c r="G80" s="198">
        <f t="shared" si="6"/>
        <v>3071.5750000000003</v>
      </c>
      <c r="H80" s="212">
        <f t="shared" si="7"/>
        <v>8.4402952882478774E-3</v>
      </c>
      <c r="I80" s="198"/>
    </row>
    <row r="81" spans="2:9" x14ac:dyDescent="0.25">
      <c r="B81" s="202">
        <v>42604</v>
      </c>
      <c r="C81" s="197">
        <v>250</v>
      </c>
      <c r="D81" s="198">
        <v>12.286300000000001</v>
      </c>
      <c r="E81" s="198">
        <v>12.36</v>
      </c>
      <c r="F81" s="198">
        <f t="shared" si="5"/>
        <v>18.424999999999692</v>
      </c>
      <c r="G81" s="198">
        <f t="shared" si="6"/>
        <v>3071.5750000000003</v>
      </c>
      <c r="H81" s="212">
        <f t="shared" si="7"/>
        <v>5.9985512318597757E-3</v>
      </c>
      <c r="I81" s="198"/>
    </row>
    <row r="82" spans="2:9" x14ac:dyDescent="0.25">
      <c r="B82" s="202">
        <v>42607</v>
      </c>
      <c r="C82" s="197">
        <v>250</v>
      </c>
      <c r="D82" s="198">
        <v>12.286300000000001</v>
      </c>
      <c r="E82" s="198">
        <v>12.47</v>
      </c>
      <c r="F82" s="198">
        <f t="shared" si="5"/>
        <v>45.924999999999997</v>
      </c>
      <c r="G82" s="198">
        <f t="shared" si="6"/>
        <v>3071.5750000000003</v>
      </c>
      <c r="H82" s="212">
        <f t="shared" si="7"/>
        <v>1.4951612771949242E-2</v>
      </c>
      <c r="I82" s="198"/>
    </row>
    <row r="83" spans="2:9" x14ac:dyDescent="0.25">
      <c r="B83" s="202">
        <v>42615</v>
      </c>
      <c r="C83" s="197">
        <v>250</v>
      </c>
      <c r="D83" s="198">
        <v>12.106299999999999</v>
      </c>
      <c r="E83" s="198">
        <v>12.5</v>
      </c>
      <c r="F83" s="198">
        <f t="shared" si="5"/>
        <v>98.42500000000021</v>
      </c>
      <c r="G83" s="198">
        <f t="shared" si="6"/>
        <v>3026.5749999999998</v>
      </c>
      <c r="H83" s="212">
        <f t="shared" si="7"/>
        <v>3.252025804746296E-2</v>
      </c>
      <c r="I83" s="340" t="s">
        <v>257</v>
      </c>
    </row>
    <row r="84" spans="2:9" x14ac:dyDescent="0.25">
      <c r="B84" s="202">
        <v>42620</v>
      </c>
      <c r="C84" s="197">
        <v>150</v>
      </c>
      <c r="D84" s="198">
        <v>11.7141</v>
      </c>
      <c r="E84" s="198">
        <v>12.7</v>
      </c>
      <c r="F84" s="198">
        <f t="shared" si="5"/>
        <v>147.88499999999988</v>
      </c>
      <c r="G84" s="198">
        <f t="shared" si="6"/>
        <v>1757.115</v>
      </c>
      <c r="H84" s="212">
        <f t="shared" si="7"/>
        <v>8.4163529421807826E-2</v>
      </c>
      <c r="I84" s="198"/>
    </row>
    <row r="85" spans="2:9" x14ac:dyDescent="0.25">
      <c r="B85" s="202">
        <v>42621</v>
      </c>
      <c r="C85" s="197">
        <v>150</v>
      </c>
      <c r="D85" s="198">
        <v>11.7141</v>
      </c>
      <c r="E85" s="198">
        <v>12.73</v>
      </c>
      <c r="F85" s="198">
        <f t="shared" si="5"/>
        <v>152.38500000000005</v>
      </c>
      <c r="G85" s="198">
        <f t="shared" si="6"/>
        <v>1757.115</v>
      </c>
      <c r="H85" s="212">
        <f t="shared" si="7"/>
        <v>8.6724545633040537E-2</v>
      </c>
      <c r="I85" s="198"/>
    </row>
    <row r="86" spans="2:9" x14ac:dyDescent="0.25">
      <c r="B86" s="202">
        <v>42622</v>
      </c>
      <c r="C86" s="197">
        <v>150</v>
      </c>
      <c r="D86" s="198">
        <v>11.7141</v>
      </c>
      <c r="E86" s="198">
        <v>12.38</v>
      </c>
      <c r="F86" s="198">
        <f t="shared" si="5"/>
        <v>99.88500000000009</v>
      </c>
      <c r="G86" s="198">
        <f t="shared" si="6"/>
        <v>1757.115</v>
      </c>
      <c r="H86" s="212">
        <f t="shared" si="7"/>
        <v>5.684602316866004E-2</v>
      </c>
      <c r="I86" s="198"/>
    </row>
    <row r="87" spans="2:9" x14ac:dyDescent="0.25">
      <c r="B87" s="202">
        <v>42625</v>
      </c>
      <c r="C87" s="197">
        <v>150</v>
      </c>
      <c r="D87" s="198">
        <v>11.7141</v>
      </c>
      <c r="E87" s="198">
        <v>12.7</v>
      </c>
      <c r="F87" s="198">
        <f t="shared" si="5"/>
        <v>147.88499999999988</v>
      </c>
      <c r="G87" s="198">
        <f t="shared" si="6"/>
        <v>1757.115</v>
      </c>
      <c r="H87" s="212">
        <f t="shared" si="7"/>
        <v>8.4163529421807826E-2</v>
      </c>
      <c r="I87" s="198"/>
    </row>
    <row r="88" spans="2:9" x14ac:dyDescent="0.25">
      <c r="B88" s="202">
        <v>42627</v>
      </c>
      <c r="C88" s="197">
        <v>250</v>
      </c>
      <c r="D88" s="198">
        <v>11.884399999999999</v>
      </c>
      <c r="E88" s="198">
        <v>12.14</v>
      </c>
      <c r="F88" s="198">
        <f t="shared" si="5"/>
        <v>63.90000000000029</v>
      </c>
      <c r="G88" s="198">
        <f t="shared" si="6"/>
        <v>2971.1</v>
      </c>
      <c r="H88" s="212">
        <f t="shared" si="7"/>
        <v>2.1507185890747633E-2</v>
      </c>
      <c r="I88" s="340" t="s">
        <v>270</v>
      </c>
    </row>
    <row r="89" spans="2:9" x14ac:dyDescent="0.25">
      <c r="B89" s="202">
        <v>42648</v>
      </c>
      <c r="C89" s="197">
        <v>250</v>
      </c>
      <c r="D89" s="198">
        <v>11.884399999999999</v>
      </c>
      <c r="E89" s="198">
        <v>12.48</v>
      </c>
      <c r="F89" s="198">
        <f t="shared" si="5"/>
        <v>148.90000000000026</v>
      </c>
      <c r="G89" s="198">
        <f t="shared" si="6"/>
        <v>2971.1</v>
      </c>
      <c r="H89" s="212">
        <f t="shared" si="7"/>
        <v>5.0116118609269379E-2</v>
      </c>
      <c r="I89" s="198"/>
    </row>
    <row r="90" spans="2:9" x14ac:dyDescent="0.25">
      <c r="B90" s="202">
        <v>42649</v>
      </c>
      <c r="C90" s="197">
        <v>250</v>
      </c>
      <c r="D90" s="198">
        <v>11.884399999999999</v>
      </c>
      <c r="E90" s="198">
        <v>12.39</v>
      </c>
      <c r="F90" s="198">
        <f t="shared" si="5"/>
        <v>126.40000000000029</v>
      </c>
      <c r="G90" s="198">
        <f t="shared" si="6"/>
        <v>2971.1</v>
      </c>
      <c r="H90" s="212">
        <f t="shared" si="7"/>
        <v>4.2543165830837164E-2</v>
      </c>
      <c r="I90" s="198"/>
    </row>
    <row r="91" spans="2:9" x14ac:dyDescent="0.25">
      <c r="B91" s="202">
        <v>42668</v>
      </c>
      <c r="C91" s="197">
        <v>250</v>
      </c>
      <c r="D91" s="198">
        <v>11.884399999999999</v>
      </c>
      <c r="E91" s="198">
        <v>11.85</v>
      </c>
      <c r="F91" s="198">
        <f t="shared" si="5"/>
        <v>-8.599999999999941</v>
      </c>
      <c r="G91" s="198">
        <f t="shared" si="6"/>
        <v>2971.1</v>
      </c>
      <c r="H91" s="212">
        <f t="shared" si="7"/>
        <v>-2.8945508397562993E-3</v>
      </c>
      <c r="I91" s="198"/>
    </row>
    <row r="92" spans="2:9" x14ac:dyDescent="0.25">
      <c r="B92" s="202">
        <v>42670</v>
      </c>
      <c r="C92" s="197">
        <v>450</v>
      </c>
      <c r="D92" s="198">
        <v>11.7936</v>
      </c>
      <c r="E92" s="198">
        <v>11.74</v>
      </c>
      <c r="F92" s="198">
        <f t="shared" si="5"/>
        <v>-24.119999999999742</v>
      </c>
      <c r="G92" s="198">
        <f t="shared" si="6"/>
        <v>5307.12</v>
      </c>
      <c r="H92" s="212">
        <f t="shared" si="7"/>
        <v>-4.5448378781711629E-3</v>
      </c>
      <c r="I92" s="198"/>
    </row>
    <row r="93" spans="2:9" x14ac:dyDescent="0.25">
      <c r="B93" s="202">
        <v>42676</v>
      </c>
      <c r="C93" s="197">
        <v>450</v>
      </c>
      <c r="D93" s="198">
        <v>11.7936</v>
      </c>
      <c r="E93" s="198">
        <v>11.4</v>
      </c>
      <c r="F93" s="198">
        <f t="shared" si="5"/>
        <v>-177.11999999999966</v>
      </c>
      <c r="G93" s="198">
        <f t="shared" si="6"/>
        <v>5307.12</v>
      </c>
      <c r="H93" s="212">
        <f t="shared" si="7"/>
        <v>-3.3374033374033316E-2</v>
      </c>
      <c r="I93" s="198"/>
    </row>
    <row r="94" spans="2:9" x14ac:dyDescent="0.25">
      <c r="B94" s="202">
        <v>42701</v>
      </c>
      <c r="C94" s="197">
        <v>200</v>
      </c>
      <c r="D94" s="198">
        <v>11.610900000000001</v>
      </c>
      <c r="E94" s="198">
        <v>12.04</v>
      </c>
      <c r="F94" s="198">
        <f t="shared" si="5"/>
        <v>85.819999999999652</v>
      </c>
      <c r="G94" s="198">
        <f t="shared" si="6"/>
        <v>2322.1800000000003</v>
      </c>
      <c r="H94" s="212">
        <f t="shared" si="7"/>
        <v>3.6956652800385695E-2</v>
      </c>
      <c r="I94" s="198"/>
    </row>
    <row r="95" spans="2:9" x14ac:dyDescent="0.25">
      <c r="B95" s="202">
        <v>42706</v>
      </c>
      <c r="C95" s="197">
        <v>200</v>
      </c>
      <c r="D95" s="198">
        <v>11.423400000000001</v>
      </c>
      <c r="E95" s="198">
        <v>12.24</v>
      </c>
      <c r="F95" s="198">
        <f t="shared" si="5"/>
        <v>163.31999999999988</v>
      </c>
      <c r="G95" s="198">
        <f t="shared" si="6"/>
        <v>2284.6800000000003</v>
      </c>
      <c r="H95" s="212">
        <f t="shared" si="7"/>
        <v>7.1484846893219114E-2</v>
      </c>
      <c r="I95" s="198"/>
    </row>
    <row r="96" spans="2:9" x14ac:dyDescent="0.25">
      <c r="B96" s="202">
        <v>42711</v>
      </c>
      <c r="C96" s="197">
        <v>0</v>
      </c>
      <c r="D96" s="198"/>
      <c r="E96" s="198"/>
      <c r="F96" s="198">
        <v>251.26</v>
      </c>
      <c r="G96" s="198"/>
      <c r="H96" s="212"/>
      <c r="I96" s="198"/>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v>42967</v>
      </c>
      <c r="C99" s="10">
        <v>200</v>
      </c>
      <c r="D99" s="39">
        <v>10.48</v>
      </c>
      <c r="E99" s="39">
        <v>10.56</v>
      </c>
      <c r="F99" s="39">
        <f>(E99-D99)*C99</f>
        <v>16.000000000000014</v>
      </c>
      <c r="G99" s="10">
        <f>D99*C99</f>
        <v>2096</v>
      </c>
      <c r="H99" s="155">
        <f>(E99-D99)/D99</f>
        <v>7.6335877862595486E-3</v>
      </c>
      <c r="I99" s="39"/>
    </row>
    <row r="100" spans="2:9" x14ac:dyDescent="0.25">
      <c r="B100" s="164">
        <v>42983</v>
      </c>
      <c r="C100" s="10">
        <v>200</v>
      </c>
      <c r="D100" s="39">
        <v>10.48</v>
      </c>
      <c r="E100" s="39">
        <v>11.36</v>
      </c>
      <c r="F100" s="39">
        <f>(E100-D100)*C100</f>
        <v>175.9999999999998</v>
      </c>
      <c r="G100" s="10">
        <f>D100*C100</f>
        <v>2096</v>
      </c>
      <c r="H100" s="155">
        <f>(E100-D100)/D100</f>
        <v>8.3969465648854866E-2</v>
      </c>
      <c r="I100" s="39">
        <v>10</v>
      </c>
    </row>
    <row r="101" spans="2:9" x14ac:dyDescent="0.25">
      <c r="B101" s="164">
        <v>42996</v>
      </c>
      <c r="C101" s="10"/>
      <c r="D101" s="39"/>
      <c r="E101" s="39">
        <v>11.63</v>
      </c>
      <c r="F101" s="39">
        <v>243.95</v>
      </c>
      <c r="G101" s="10"/>
      <c r="H101" s="10"/>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092" priority="31">
      <formula>Q7&gt;0</formula>
    </cfRule>
    <cfRule type="expression" dxfId="2091" priority="32">
      <formula>Q7&lt;0</formula>
    </cfRule>
  </conditionalFormatting>
  <conditionalFormatting sqref="Q8">
    <cfRule type="expression" dxfId="2090" priority="29">
      <formula>Q8&gt;0</formula>
    </cfRule>
    <cfRule type="expression" dxfId="2089" priority="30">
      <formula>Q8&lt;0</formula>
    </cfRule>
  </conditionalFormatting>
  <conditionalFormatting sqref="F62:F65">
    <cfRule type="expression" dxfId="2088" priority="21">
      <formula>F62&gt;0</formula>
    </cfRule>
    <cfRule type="expression" dxfId="2087" priority="22">
      <formula>F62&lt;0</formula>
    </cfRule>
  </conditionalFormatting>
  <conditionalFormatting sqref="F66:F74 F78:F98 F102:F106">
    <cfRule type="expression" dxfId="2086" priority="17">
      <formula>F66&gt;0</formula>
    </cfRule>
    <cfRule type="expression" dxfId="2085" priority="18">
      <formula>F66&lt;0</formula>
    </cfRule>
  </conditionalFormatting>
  <conditionalFormatting sqref="F66:F74 F78:F98 F102:F106">
    <cfRule type="expression" dxfId="2084" priority="19">
      <formula>F66&gt;0</formula>
    </cfRule>
    <cfRule type="expression" dxfId="2083" priority="20">
      <formula>F66&lt;0</formula>
    </cfRule>
  </conditionalFormatting>
  <conditionalFormatting sqref="H62:H74 H78:H98 H102:H106">
    <cfRule type="expression" dxfId="2082" priority="15">
      <formula>H62&gt;0</formula>
    </cfRule>
    <cfRule type="expression" dxfId="2081" priority="16">
      <formula>H62&lt;0</formula>
    </cfRule>
  </conditionalFormatting>
  <conditionalFormatting sqref="F57:F61">
    <cfRule type="expression" dxfId="2080" priority="13">
      <formula>F57&gt;0</formula>
    </cfRule>
    <cfRule type="expression" dxfId="2079" priority="14">
      <formula>F57&lt;0</formula>
    </cfRule>
  </conditionalFormatting>
  <conditionalFormatting sqref="H57:H61">
    <cfRule type="expression" dxfId="2078" priority="11">
      <formula>H57&gt;0</formula>
    </cfRule>
    <cfRule type="expression" dxfId="2077" priority="12">
      <formula>H57&lt;0</formula>
    </cfRule>
  </conditionalFormatting>
  <conditionalFormatting sqref="F75:F77">
    <cfRule type="expression" dxfId="2076" priority="7">
      <formula>F75&gt;0</formula>
    </cfRule>
    <cfRule type="expression" dxfId="2075" priority="8">
      <formula>F75&lt;0</formula>
    </cfRule>
  </conditionalFormatting>
  <conditionalFormatting sqref="F75:F77">
    <cfRule type="expression" dxfId="2074" priority="9">
      <formula>F75&gt;0</formula>
    </cfRule>
    <cfRule type="expression" dxfId="2073" priority="10">
      <formula>F75&lt;0</formula>
    </cfRule>
  </conditionalFormatting>
  <conditionalFormatting sqref="H75:H77">
    <cfRule type="expression" dxfId="2072" priority="5">
      <formula>H75&gt;0</formula>
    </cfRule>
    <cfRule type="expression" dxfId="2071" priority="6">
      <formula>H75&lt;0</formula>
    </cfRule>
  </conditionalFormatting>
  <conditionalFormatting sqref="F22:F30">
    <cfRule type="expression" dxfId="2070" priority="3">
      <formula>F22&gt;0</formula>
    </cfRule>
    <cfRule type="expression" dxfId="2069" priority="4">
      <formula>F22&lt;0</formula>
    </cfRule>
  </conditionalFormatting>
  <conditionalFormatting sqref="F99:F101">
    <cfRule type="expression" dxfId="2068" priority="1">
      <formula>F99&gt;0</formula>
    </cfRule>
    <cfRule type="expression" dxfId="2067"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264</v>
      </c>
      <c r="B2" s="406">
        <v>43249</v>
      </c>
      <c r="C2" s="7">
        <v>50</v>
      </c>
      <c r="D2" s="43">
        <v>119.88</v>
      </c>
      <c r="E2" s="43">
        <v>0</v>
      </c>
      <c r="F2" s="43">
        <f>C2*D2+E2</f>
        <v>5994</v>
      </c>
      <c r="G2" s="406">
        <v>43291</v>
      </c>
      <c r="H2" s="7">
        <v>50</v>
      </c>
      <c r="I2" s="43">
        <v>127.38</v>
      </c>
      <c r="J2" s="43">
        <v>0.08</v>
      </c>
      <c r="K2" s="43">
        <f>H2*I2-J2</f>
        <v>6368.92</v>
      </c>
      <c r="L2" s="72"/>
      <c r="M2" s="3"/>
      <c r="O2" s="11" t="s">
        <v>57</v>
      </c>
      <c r="Q2">
        <f>C18-H18</f>
        <v>0</v>
      </c>
      <c r="T2" s="1"/>
    </row>
    <row r="3" spans="1:21" x14ac:dyDescent="0.25">
      <c r="A3" s="22" t="s">
        <v>71</v>
      </c>
      <c r="B3" s="406">
        <v>43292</v>
      </c>
      <c r="C3" s="7">
        <v>50</v>
      </c>
      <c r="D3" s="43">
        <v>126.18</v>
      </c>
      <c r="E3" s="43">
        <v>0</v>
      </c>
      <c r="F3" s="43">
        <f>C3*D3+E3</f>
        <v>6309</v>
      </c>
      <c r="G3" s="406">
        <v>43329</v>
      </c>
      <c r="H3" s="80">
        <v>50</v>
      </c>
      <c r="I3" s="43">
        <v>134</v>
      </c>
      <c r="J3" s="43">
        <v>0.09</v>
      </c>
      <c r="K3" s="43">
        <f>H3*I3-J3</f>
        <v>6699.91</v>
      </c>
      <c r="L3" s="4"/>
      <c r="M3" s="4"/>
      <c r="O3" s="11" t="s">
        <v>58</v>
      </c>
      <c r="Q3" s="178">
        <f>IF(Q2=0, Q4, (F18-K18-M18)/Q2)</f>
        <v>131.63999999999999</v>
      </c>
      <c r="T3" s="1"/>
    </row>
    <row r="4" spans="1:21" x14ac:dyDescent="0.25">
      <c r="B4" s="407"/>
      <c r="C4" s="4"/>
      <c r="D4" s="3"/>
      <c r="E4" s="3"/>
      <c r="F4" s="3"/>
      <c r="G4" s="407"/>
      <c r="H4" s="161"/>
      <c r="I4" s="3"/>
      <c r="J4" s="3"/>
      <c r="K4" s="3"/>
      <c r="L4" s="4"/>
      <c r="M4" s="4"/>
      <c r="O4" s="11" t="s">
        <v>66</v>
      </c>
      <c r="Q4" s="54">
        <v>131.63999999999999</v>
      </c>
      <c r="R4" s="405">
        <v>1.49E-2</v>
      </c>
      <c r="T4" s="737">
        <v>43288</v>
      </c>
      <c r="U4" s="1" t="s">
        <v>1162</v>
      </c>
    </row>
    <row r="5" spans="1:21" x14ac:dyDescent="0.25">
      <c r="B5" s="407"/>
      <c r="C5" s="4"/>
      <c r="D5" s="3"/>
      <c r="E5" s="3"/>
      <c r="F5" s="3"/>
      <c r="G5" s="407"/>
      <c r="H5" s="161"/>
      <c r="I5" s="3"/>
      <c r="J5" s="3"/>
      <c r="K5" s="3"/>
      <c r="L5" s="4"/>
      <c r="M5" s="4"/>
      <c r="O5" s="11" t="s">
        <v>67</v>
      </c>
      <c r="Q5" s="3">
        <f>Q4*Q2</f>
        <v>0</v>
      </c>
    </row>
    <row r="6" spans="1:21" x14ac:dyDescent="0.25">
      <c r="B6" s="407"/>
      <c r="C6" s="4"/>
      <c r="D6" s="3"/>
      <c r="E6" s="3"/>
      <c r="F6" s="3"/>
      <c r="G6" s="407"/>
      <c r="H6" s="161"/>
      <c r="I6" s="3"/>
      <c r="J6" s="3"/>
      <c r="K6" s="3"/>
      <c r="L6" s="4"/>
      <c r="M6" s="4"/>
      <c r="O6" s="11" t="s">
        <v>64</v>
      </c>
      <c r="Q6" s="2">
        <f>Q3*Q2</f>
        <v>0</v>
      </c>
      <c r="T6" s="1">
        <v>43298</v>
      </c>
      <c r="U6" t="s">
        <v>1180</v>
      </c>
    </row>
    <row r="7" spans="1:21" x14ac:dyDescent="0.25">
      <c r="B7" s="407"/>
      <c r="C7" s="4"/>
      <c r="D7" s="3"/>
      <c r="E7" s="3"/>
      <c r="F7" s="3"/>
      <c r="G7" s="407"/>
      <c r="H7" s="161"/>
      <c r="I7" s="3"/>
      <c r="J7" s="3"/>
      <c r="K7" s="3"/>
      <c r="L7" s="4"/>
      <c r="M7" s="4"/>
      <c r="O7" s="11" t="s">
        <v>177</v>
      </c>
      <c r="Q7" s="2">
        <f>Q10+Q8</f>
        <v>920.60999999999967</v>
      </c>
      <c r="R7">
        <v>0</v>
      </c>
    </row>
    <row r="8" spans="1:21" x14ac:dyDescent="0.25">
      <c r="B8" s="407"/>
      <c r="C8" s="4"/>
      <c r="D8" s="3"/>
      <c r="E8" s="3"/>
      <c r="F8" s="3"/>
      <c r="G8" s="407"/>
      <c r="H8" s="161"/>
      <c r="I8" s="3"/>
      <c r="J8" s="3"/>
      <c r="K8" s="3"/>
      <c r="L8" s="4"/>
      <c r="M8" s="4"/>
      <c r="O8" s="11" t="s">
        <v>179</v>
      </c>
      <c r="P8" s="33"/>
      <c r="Q8" s="2">
        <f>K18+M18-F18+Q2*Q4</f>
        <v>765.82999999999993</v>
      </c>
    </row>
    <row r="9" spans="1:21" x14ac:dyDescent="0.25">
      <c r="B9" s="407"/>
      <c r="C9" s="4"/>
      <c r="D9" s="3"/>
      <c r="E9" s="3"/>
      <c r="F9" s="3"/>
      <c r="G9" s="407"/>
      <c r="H9" s="161"/>
      <c r="I9" s="3"/>
      <c r="J9" s="3"/>
      <c r="K9" s="3"/>
      <c r="L9" s="4"/>
      <c r="M9" s="4"/>
      <c r="O9" s="11" t="s">
        <v>204</v>
      </c>
      <c r="Q9" s="134">
        <f>IF(Q2=0, 0, Q8/Q6)</f>
        <v>0</v>
      </c>
    </row>
    <row r="10" spans="1:21" x14ac:dyDescent="0.25">
      <c r="G10" s="29"/>
      <c r="H10" s="70"/>
      <c r="O10" s="11" t="s">
        <v>203</v>
      </c>
      <c r="P10" s="33"/>
      <c r="Q10" s="2">
        <f>M74</f>
        <v>154.77999999999975</v>
      </c>
    </row>
    <row r="11" spans="1:21" x14ac:dyDescent="0.25">
      <c r="G11" s="29"/>
      <c r="H11" s="70"/>
      <c r="O11" s="11" t="s">
        <v>175</v>
      </c>
      <c r="P11" s="33"/>
      <c r="Q11" s="134">
        <f>IF(U58="N/A (N/A)", 0, VALUE(TRIM(CLEAN(MID(U58, FIND("(", U58)+1, 5)))))</f>
        <v>2.5700000000000001E-2</v>
      </c>
    </row>
    <row r="12" spans="1:21" x14ac:dyDescent="0.25">
      <c r="G12" s="29"/>
      <c r="H12" s="70"/>
      <c r="O12" s="11" t="s">
        <v>984</v>
      </c>
      <c r="Q12" s="1"/>
    </row>
    <row r="13" spans="1:21" x14ac:dyDescent="0.25">
      <c r="G13" s="29"/>
      <c r="H13" s="70"/>
      <c r="O13" s="11" t="s">
        <v>947</v>
      </c>
      <c r="Q13" s="2">
        <f>Q4/8.12</f>
        <v>16.211822660098523</v>
      </c>
    </row>
    <row r="14" spans="1:21" x14ac:dyDescent="0.25">
      <c r="G14" s="29"/>
      <c r="H14" s="70"/>
    </row>
    <row r="15" spans="1:21" x14ac:dyDescent="0.25">
      <c r="G15" s="29"/>
      <c r="H15" s="70"/>
    </row>
    <row r="16" spans="1:21" x14ac:dyDescent="0.25">
      <c r="G16" s="29"/>
      <c r="H16" s="70"/>
    </row>
    <row r="17" spans="1:13" x14ac:dyDescent="0.25">
      <c r="G17" s="29"/>
    </row>
    <row r="18" spans="1:13" x14ac:dyDescent="0.25">
      <c r="A18" s="31" t="s">
        <v>81</v>
      </c>
      <c r="B18" s="408"/>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7" t="s">
        <v>191</v>
      </c>
      <c r="B19" s="409"/>
      <c r="C19" s="279">
        <f>SumByColor($A$19,C2:C17)</f>
        <v>100</v>
      </c>
      <c r="D19" s="279"/>
      <c r="E19" s="279"/>
      <c r="F19" s="280">
        <f>SumByColor($A$19,F2:F17)</f>
        <v>12303</v>
      </c>
      <c r="G19" s="279"/>
      <c r="H19" s="279">
        <f>SumByColor($A$19,H2:H17)</f>
        <v>100</v>
      </c>
      <c r="I19" s="279"/>
      <c r="J19" s="279"/>
      <c r="K19" s="280">
        <f>SumByColor($A$19,K2:K17)</f>
        <v>13069</v>
      </c>
      <c r="L19" s="279"/>
      <c r="M19" s="280">
        <f>SumByColor($A$19,M2:M17)</f>
        <v>0</v>
      </c>
    </row>
    <row r="24" spans="1:13" x14ac:dyDescent="0.25">
      <c r="B24" s="410" t="s">
        <v>113</v>
      </c>
      <c r="C24" s="162" t="s">
        <v>145</v>
      </c>
      <c r="D24" s="163" t="s">
        <v>144</v>
      </c>
      <c r="E24" s="165" t="s">
        <v>146</v>
      </c>
      <c r="F24" s="165" t="s">
        <v>65</v>
      </c>
      <c r="G24" s="177" t="s">
        <v>150</v>
      </c>
      <c r="H24" s="177" t="s">
        <v>88</v>
      </c>
      <c r="I24" s="177" t="s">
        <v>153</v>
      </c>
      <c r="J24" s="177" t="s">
        <v>149</v>
      </c>
    </row>
    <row r="25" spans="1:13" x14ac:dyDescent="0.25">
      <c r="A25" s="4"/>
      <c r="B25" s="150">
        <v>43249</v>
      </c>
      <c r="C25" s="10">
        <v>50</v>
      </c>
      <c r="D25" s="39">
        <v>119.88</v>
      </c>
      <c r="E25" s="39">
        <v>119.4</v>
      </c>
      <c r="F25" s="39">
        <f>C25*(E25-D25)</f>
        <v>-23.999999999999488</v>
      </c>
      <c r="G25" s="39">
        <f>D25*C25</f>
        <v>5994</v>
      </c>
      <c r="H25" s="179">
        <f>(E25-D25)/D25</f>
        <v>-4.004004004003919E-3</v>
      </c>
      <c r="I25" s="39"/>
      <c r="J25" s="39"/>
    </row>
    <row r="26" spans="1:13" x14ac:dyDescent="0.25">
      <c r="A26" s="4"/>
      <c r="B26" s="150">
        <v>43291</v>
      </c>
      <c r="C26" s="10">
        <v>0</v>
      </c>
      <c r="D26" s="39"/>
      <c r="E26" s="39">
        <v>127.38</v>
      </c>
      <c r="F26" s="39">
        <v>374.92</v>
      </c>
      <c r="G26" s="39"/>
      <c r="H26" s="179"/>
      <c r="I26" s="39"/>
      <c r="J26" s="39">
        <v>529.70000000000005</v>
      </c>
    </row>
    <row r="27" spans="1:13" x14ac:dyDescent="0.25">
      <c r="A27" s="4">
        <v>0</v>
      </c>
      <c r="B27" s="150">
        <v>43292</v>
      </c>
      <c r="C27" s="10">
        <v>50</v>
      </c>
      <c r="D27" s="39">
        <v>118.6816</v>
      </c>
      <c r="E27" s="39">
        <v>126.18</v>
      </c>
      <c r="F27" s="39">
        <f>C27*(E27-D27)</f>
        <v>374.92000000000019</v>
      </c>
      <c r="G27" s="39">
        <f>D27*C27</f>
        <v>5934.08</v>
      </c>
      <c r="H27" s="179">
        <f>(E27-D27)/D27</f>
        <v>6.3180813201035399E-2</v>
      </c>
      <c r="I27" s="39"/>
      <c r="J27" s="39">
        <v>589.70000000000005</v>
      </c>
    </row>
    <row r="28" spans="1:13" x14ac:dyDescent="0.25">
      <c r="A28" s="4"/>
      <c r="B28" s="150">
        <v>43299</v>
      </c>
      <c r="C28" s="10">
        <v>50</v>
      </c>
      <c r="D28" s="39">
        <v>118.6816</v>
      </c>
      <c r="E28" s="39">
        <v>127.8</v>
      </c>
      <c r="F28" s="39">
        <f>C28*(E28-D28)</f>
        <v>455.91999999999973</v>
      </c>
      <c r="G28" s="39">
        <f>D28*C28</f>
        <v>5934.08</v>
      </c>
      <c r="H28" s="179">
        <f>(E28-D28)/D28</f>
        <v>7.6830780845556459E-2</v>
      </c>
      <c r="I28" s="39"/>
      <c r="J28" s="39">
        <v>610.70000000000005</v>
      </c>
    </row>
    <row r="29" spans="1:13" x14ac:dyDescent="0.25">
      <c r="A29" s="4"/>
      <c r="B29" s="150">
        <v>43316</v>
      </c>
      <c r="C29" s="10">
        <v>50</v>
      </c>
      <c r="D29" s="39">
        <v>118.6816</v>
      </c>
      <c r="E29" s="39">
        <v>131.94999999999999</v>
      </c>
      <c r="F29" s="39">
        <f>C29*(E29-D29)</f>
        <v>663.41999999999928</v>
      </c>
      <c r="G29" s="39">
        <f>D29*C29</f>
        <v>5934.08</v>
      </c>
      <c r="H29" s="179">
        <f>(E29-D29)/D29</f>
        <v>0.11179829055220004</v>
      </c>
      <c r="I29" s="39"/>
      <c r="J29" s="39">
        <v>818</v>
      </c>
    </row>
    <row r="30" spans="1:13" x14ac:dyDescent="0.25">
      <c r="A30" s="4"/>
      <c r="B30" s="150">
        <v>43325</v>
      </c>
      <c r="C30" s="10">
        <v>50</v>
      </c>
      <c r="D30" s="39">
        <v>118.68</v>
      </c>
      <c r="E30" s="39">
        <v>130.22</v>
      </c>
      <c r="F30" s="39">
        <f>C30*(E30-D30)</f>
        <v>576.99999999999955</v>
      </c>
      <c r="G30" s="39">
        <f>D30*C30</f>
        <v>5934</v>
      </c>
      <c r="H30" s="179">
        <f>(E30-D30)/D30</f>
        <v>9.7236265588136098E-2</v>
      </c>
      <c r="I30" s="39"/>
      <c r="J30" s="39">
        <v>732</v>
      </c>
    </row>
    <row r="31" spans="1:13" x14ac:dyDescent="0.25">
      <c r="A31" s="4"/>
      <c r="B31" s="150">
        <v>43329</v>
      </c>
      <c r="C31" s="10">
        <v>0</v>
      </c>
      <c r="D31" s="39">
        <v>118.68340000000001</v>
      </c>
      <c r="E31" s="39">
        <v>132.47999999999999</v>
      </c>
      <c r="F31" s="39">
        <f>C31*(E31-D31)</f>
        <v>0</v>
      </c>
      <c r="G31" s="39">
        <f>D31*C31</f>
        <v>0</v>
      </c>
      <c r="H31" s="179">
        <f>(E31-D31)/D31</f>
        <v>0.11624709100008918</v>
      </c>
      <c r="I31" s="39"/>
      <c r="J31" s="39">
        <v>920.61</v>
      </c>
    </row>
    <row r="32" spans="1:13" x14ac:dyDescent="0.25">
      <c r="A32" s="4"/>
      <c r="B32" s="150"/>
      <c r="C32" s="10"/>
      <c r="D32" s="39"/>
      <c r="E32" s="39"/>
      <c r="F32" s="39"/>
      <c r="G32" s="39"/>
      <c r="H32" s="179"/>
      <c r="I32" s="39"/>
      <c r="J32" s="39"/>
    </row>
    <row r="33" spans="1:21" x14ac:dyDescent="0.25">
      <c r="A33" s="4"/>
      <c r="B33" s="150"/>
      <c r="C33" s="10"/>
      <c r="D33" s="39"/>
      <c r="E33" s="39"/>
      <c r="F33" s="39"/>
      <c r="G33" s="39"/>
      <c r="H33" s="179"/>
      <c r="I33" s="39"/>
      <c r="J33" s="39"/>
    </row>
    <row r="34" spans="1:21" x14ac:dyDescent="0.25">
      <c r="A34" s="4"/>
      <c r="B34" s="150"/>
      <c r="C34" s="10"/>
      <c r="D34" s="39"/>
      <c r="E34" s="39"/>
      <c r="F34" s="39"/>
      <c r="G34" s="39"/>
      <c r="H34" s="179"/>
      <c r="I34" s="39"/>
      <c r="J34" s="39"/>
    </row>
    <row r="35" spans="1:21" x14ac:dyDescent="0.25">
      <c r="A35" s="4"/>
      <c r="B35" s="150"/>
      <c r="C35" s="10"/>
      <c r="D35" s="39"/>
      <c r="E35" s="39"/>
      <c r="F35" s="39"/>
      <c r="G35" s="39"/>
      <c r="H35" s="179"/>
      <c r="I35" s="39"/>
      <c r="J35" s="39"/>
    </row>
    <row r="36" spans="1:21" x14ac:dyDescent="0.25">
      <c r="A36" s="4"/>
      <c r="B36" s="150"/>
      <c r="C36" s="10"/>
      <c r="D36" s="39"/>
      <c r="E36" s="39"/>
      <c r="F36" s="39"/>
      <c r="G36" s="39"/>
      <c r="H36" s="179"/>
      <c r="I36" s="39"/>
      <c r="J36" s="39"/>
    </row>
    <row r="37" spans="1:21" x14ac:dyDescent="0.25">
      <c r="B37" s="150"/>
      <c r="C37" s="10"/>
      <c r="D37" s="39"/>
      <c r="E37" s="39"/>
      <c r="F37" s="39"/>
      <c r="G37" s="39"/>
      <c r="H37" s="179"/>
      <c r="I37" s="39"/>
      <c r="J37" s="39"/>
    </row>
    <row r="38" spans="1:21" x14ac:dyDescent="0.25">
      <c r="B38" s="150"/>
      <c r="C38" s="10"/>
      <c r="D38" s="39"/>
      <c r="E38" s="39"/>
      <c r="F38" s="39"/>
      <c r="G38" s="39"/>
      <c r="H38" s="179"/>
      <c r="I38" s="39"/>
      <c r="J38" s="39"/>
    </row>
    <row r="39" spans="1:21" x14ac:dyDescent="0.25">
      <c r="B39" s="150"/>
      <c r="C39" s="10"/>
      <c r="D39" s="39"/>
      <c r="E39" s="39"/>
      <c r="F39" s="39"/>
      <c r="G39" s="39"/>
      <c r="H39" s="179"/>
      <c r="I39" s="39"/>
      <c r="J39" s="39"/>
    </row>
    <row r="40" spans="1:21" ht="20.25" thickBot="1" x14ac:dyDescent="0.35">
      <c r="B40" s="150"/>
      <c r="C40" s="10"/>
      <c r="D40" s="39"/>
      <c r="E40" s="39"/>
      <c r="F40" s="39"/>
      <c r="G40" s="39"/>
      <c r="H40" s="179"/>
      <c r="I40" s="39"/>
      <c r="J40" s="39"/>
      <c r="O40" s="884" t="s">
        <v>78</v>
      </c>
      <c r="P40" s="884"/>
    </row>
    <row r="41" spans="1:21" ht="15.75" thickTop="1" x14ac:dyDescent="0.25">
      <c r="B41" s="150"/>
      <c r="C41" s="10"/>
      <c r="D41" s="39"/>
      <c r="E41" s="39"/>
      <c r="F41" s="39"/>
      <c r="G41" s="39"/>
      <c r="H41" s="179"/>
      <c r="I41" s="39"/>
      <c r="J41" s="39"/>
      <c r="O41" s="81">
        <v>1.1000000000000001</v>
      </c>
      <c r="P41" s="81">
        <f>O41*$Q$4</f>
        <v>144.804</v>
      </c>
      <c r="Q41" s="2"/>
    </row>
    <row r="42" spans="1:21" ht="20.25" thickBot="1" x14ac:dyDescent="0.35">
      <c r="B42" s="150"/>
      <c r="C42" s="10"/>
      <c r="D42" s="39"/>
      <c r="E42" s="39"/>
      <c r="F42" s="39"/>
      <c r="G42" s="39"/>
      <c r="H42" s="179"/>
      <c r="I42" s="39"/>
      <c r="J42" s="39"/>
      <c r="O42" s="81">
        <v>1.0900000000000001</v>
      </c>
      <c r="P42" s="81">
        <f t="shared" ref="P42:P61" si="0">O42*$Q$4</f>
        <v>143.48759999999999</v>
      </c>
      <c r="Q42" s="2"/>
      <c r="T42" s="89" t="s">
        <v>112</v>
      </c>
    </row>
    <row r="43" spans="1:21" ht="15.75" thickTop="1" x14ac:dyDescent="0.25">
      <c r="B43" s="150"/>
      <c r="C43" s="10"/>
      <c r="D43" s="39"/>
      <c r="E43" s="39"/>
      <c r="F43" s="39"/>
      <c r="G43" s="39"/>
      <c r="H43" s="179"/>
      <c r="I43" s="39"/>
      <c r="J43" s="39"/>
      <c r="O43" s="81">
        <v>1.08</v>
      </c>
      <c r="P43" s="81">
        <f t="shared" si="0"/>
        <v>142.1712</v>
      </c>
      <c r="Q43" s="2"/>
      <c r="T43" s="125" t="s">
        <v>97</v>
      </c>
      <c r="U43" s="126">
        <v>124.68</v>
      </c>
    </row>
    <row r="44" spans="1:21" x14ac:dyDescent="0.25">
      <c r="B44" s="150"/>
      <c r="C44" s="10"/>
      <c r="D44" s="39"/>
      <c r="E44" s="39"/>
      <c r="F44" s="39"/>
      <c r="G44" s="39"/>
      <c r="H44" s="179"/>
      <c r="I44" s="39"/>
      <c r="J44" s="39"/>
      <c r="O44" s="81">
        <v>1.07</v>
      </c>
      <c r="P44" s="81">
        <f t="shared" si="0"/>
        <v>140.85479999999998</v>
      </c>
      <c r="Q44" s="2"/>
      <c r="T44" s="91" t="s">
        <v>98</v>
      </c>
      <c r="U44" s="127">
        <v>124.72</v>
      </c>
    </row>
    <row r="45" spans="1:21" x14ac:dyDescent="0.25">
      <c r="B45" s="150"/>
      <c r="C45" s="10"/>
      <c r="D45" s="39"/>
      <c r="E45" s="39"/>
      <c r="F45" s="39"/>
      <c r="G45" s="39"/>
      <c r="H45" s="179"/>
      <c r="I45" s="39"/>
      <c r="J45" s="39"/>
      <c r="O45" s="81">
        <v>1.06</v>
      </c>
      <c r="P45" s="81">
        <f t="shared" si="0"/>
        <v>139.5384</v>
      </c>
      <c r="Q45" s="2"/>
      <c r="T45" s="91" t="s">
        <v>99</v>
      </c>
      <c r="U45" s="127" t="s">
        <v>128</v>
      </c>
    </row>
    <row r="46" spans="1:21" x14ac:dyDescent="0.25">
      <c r="B46" s="150"/>
      <c r="C46" s="10"/>
      <c r="D46" s="39"/>
      <c r="E46" s="39"/>
      <c r="F46" s="39"/>
      <c r="G46" s="39"/>
      <c r="H46" s="179"/>
      <c r="I46" s="39"/>
      <c r="J46" s="39"/>
      <c r="O46" s="81">
        <v>1.05</v>
      </c>
      <c r="P46" s="81">
        <f t="shared" si="0"/>
        <v>138.22199999999998</v>
      </c>
      <c r="Q46" s="2"/>
      <c r="T46" s="91" t="s">
        <v>100</v>
      </c>
      <c r="U46" s="127" t="s">
        <v>128</v>
      </c>
    </row>
    <row r="47" spans="1:21" x14ac:dyDescent="0.25">
      <c r="B47" s="150"/>
      <c r="C47" s="10"/>
      <c r="D47" s="39"/>
      <c r="E47" s="39"/>
      <c r="F47" s="39"/>
      <c r="G47" s="39"/>
      <c r="H47" s="179"/>
      <c r="I47" s="184"/>
      <c r="J47" s="184"/>
      <c r="O47" s="81">
        <v>1.04</v>
      </c>
      <c r="P47" s="81">
        <f t="shared" si="0"/>
        <v>136.90559999999999</v>
      </c>
      <c r="Q47" s="2"/>
      <c r="T47" s="91" t="s">
        <v>101</v>
      </c>
      <c r="U47" s="127">
        <v>127.47</v>
      </c>
    </row>
    <row r="48" spans="1:21" x14ac:dyDescent="0.25">
      <c r="B48" s="150"/>
      <c r="C48" s="10"/>
      <c r="D48" s="39"/>
      <c r="E48" s="39"/>
      <c r="F48" s="39"/>
      <c r="G48" s="39"/>
      <c r="H48" s="179"/>
      <c r="I48" s="39"/>
      <c r="J48" s="39"/>
      <c r="O48" s="81">
        <v>1.03</v>
      </c>
      <c r="P48" s="81">
        <f t="shared" si="0"/>
        <v>135.58919999999998</v>
      </c>
      <c r="Q48" s="2"/>
      <c r="T48" s="91" t="s">
        <v>102</v>
      </c>
      <c r="U48" s="127">
        <v>0.67624099999999998</v>
      </c>
    </row>
    <row r="49" spans="2:21" x14ac:dyDescent="0.25">
      <c r="B49" s="150"/>
      <c r="C49" s="10"/>
      <c r="D49" s="39"/>
      <c r="E49" s="39"/>
      <c r="F49" s="39"/>
      <c r="G49" s="39"/>
      <c r="H49" s="179"/>
      <c r="I49" s="39"/>
      <c r="J49" s="39"/>
      <c r="O49" s="81">
        <v>1.02</v>
      </c>
      <c r="P49" s="81">
        <f t="shared" si="0"/>
        <v>134.27279999999999</v>
      </c>
      <c r="Q49" s="2"/>
      <c r="T49" s="91" t="s">
        <v>103</v>
      </c>
      <c r="U49" s="127" t="s">
        <v>347</v>
      </c>
    </row>
    <row r="50" spans="2:21" x14ac:dyDescent="0.25">
      <c r="B50" s="150"/>
      <c r="C50" s="10"/>
      <c r="D50" s="39"/>
      <c r="E50" s="39"/>
      <c r="F50" s="39"/>
      <c r="G50" s="39"/>
      <c r="H50" s="179"/>
      <c r="I50" s="39"/>
      <c r="J50" s="39"/>
      <c r="O50" s="81">
        <v>1.01</v>
      </c>
      <c r="P50" s="81">
        <f t="shared" si="0"/>
        <v>132.95639999999997</v>
      </c>
      <c r="Q50" s="2"/>
      <c r="T50" s="91"/>
      <c r="U50" s="127"/>
    </row>
    <row r="51" spans="2:21" x14ac:dyDescent="0.25">
      <c r="B51" s="150"/>
      <c r="C51" s="10"/>
      <c r="D51" s="39"/>
      <c r="E51" s="39"/>
      <c r="F51" s="39"/>
      <c r="G51" s="39"/>
      <c r="H51" s="179"/>
      <c r="I51" s="39"/>
      <c r="J51" s="39"/>
      <c r="O51" s="81">
        <v>1</v>
      </c>
      <c r="P51" s="81">
        <f t="shared" si="0"/>
        <v>131.63999999999999</v>
      </c>
      <c r="Q51" s="2"/>
      <c r="T51" s="91" t="s">
        <v>104</v>
      </c>
      <c r="U51" s="127" t="s">
        <v>569</v>
      </c>
    </row>
    <row r="52" spans="2:21" x14ac:dyDescent="0.25">
      <c r="B52" s="150"/>
      <c r="C52" s="10"/>
      <c r="D52" s="39"/>
      <c r="E52" s="39"/>
      <c r="F52" s="39"/>
      <c r="G52" s="39"/>
      <c r="H52" s="179"/>
      <c r="I52" s="39"/>
      <c r="J52" s="39"/>
      <c r="O52" s="81">
        <v>0.99</v>
      </c>
      <c r="P52" s="81">
        <f t="shared" si="0"/>
        <v>130.3236</v>
      </c>
      <c r="Q52" s="2"/>
      <c r="T52" s="91" t="s">
        <v>105</v>
      </c>
      <c r="U52" s="127" t="s">
        <v>570</v>
      </c>
    </row>
    <row r="53" spans="2:21" x14ac:dyDescent="0.25">
      <c r="B53" s="150"/>
      <c r="C53" s="10"/>
      <c r="D53" s="39"/>
      <c r="E53" s="39"/>
      <c r="F53" s="39"/>
      <c r="G53" s="39"/>
      <c r="H53" s="179"/>
      <c r="I53" s="39"/>
      <c r="J53" s="39"/>
      <c r="O53" s="81">
        <v>0.98</v>
      </c>
      <c r="P53" s="81">
        <f t="shared" si="0"/>
        <v>129.00719999999998</v>
      </c>
      <c r="Q53" s="2"/>
      <c r="T53" s="91" t="s">
        <v>106</v>
      </c>
      <c r="U53" s="128">
        <v>5646251</v>
      </c>
    </row>
    <row r="54" spans="2:21" x14ac:dyDescent="0.25">
      <c r="B54" s="150"/>
      <c r="C54" s="10"/>
      <c r="D54" s="39"/>
      <c r="E54" s="39"/>
      <c r="F54" s="39"/>
      <c r="G54" s="39"/>
      <c r="H54" s="179"/>
      <c r="I54" s="39"/>
      <c r="J54" s="39"/>
      <c r="O54" s="81">
        <v>0.97</v>
      </c>
      <c r="P54" s="81">
        <f t="shared" si="0"/>
        <v>127.69079999999998</v>
      </c>
      <c r="T54" s="91" t="s">
        <v>109</v>
      </c>
      <c r="U54" s="128">
        <v>7120690</v>
      </c>
    </row>
    <row r="55" spans="2:21" x14ac:dyDescent="0.25">
      <c r="B55" s="150"/>
      <c r="C55" s="10"/>
      <c r="D55" s="39"/>
      <c r="E55" s="39"/>
      <c r="F55" s="39"/>
      <c r="G55" s="39"/>
      <c r="H55" s="179"/>
      <c r="I55" s="39"/>
      <c r="J55" s="39"/>
      <c r="O55" s="81">
        <v>0.96</v>
      </c>
      <c r="P55" s="81">
        <f t="shared" si="0"/>
        <v>126.37439999999998</v>
      </c>
      <c r="T55" s="91" t="s">
        <v>107</v>
      </c>
      <c r="U55" s="127" t="s">
        <v>571</v>
      </c>
    </row>
    <row r="56" spans="2:21" x14ac:dyDescent="0.25">
      <c r="B56" s="150"/>
      <c r="C56" s="10"/>
      <c r="D56" s="39"/>
      <c r="E56" s="39"/>
      <c r="F56" s="39"/>
      <c r="G56" s="39"/>
      <c r="H56" s="179"/>
      <c r="I56" s="39"/>
      <c r="J56" s="39"/>
      <c r="O56" s="81">
        <v>0.95</v>
      </c>
      <c r="P56" s="81">
        <f t="shared" si="0"/>
        <v>125.05799999999998</v>
      </c>
      <c r="T56" s="91" t="s">
        <v>110</v>
      </c>
      <c r="U56" s="127">
        <v>21.04</v>
      </c>
    </row>
    <row r="57" spans="2:21" x14ac:dyDescent="0.25">
      <c r="B57" s="150"/>
      <c r="C57" s="10"/>
      <c r="D57" s="39"/>
      <c r="E57" s="39"/>
      <c r="F57" s="39"/>
      <c r="G57" s="39"/>
      <c r="H57" s="179"/>
      <c r="I57" s="39"/>
      <c r="J57" s="39"/>
      <c r="O57" s="81">
        <v>0.94</v>
      </c>
      <c r="P57" s="81">
        <f t="shared" si="0"/>
        <v>123.74159999999998</v>
      </c>
      <c r="T57" s="91" t="s">
        <v>111</v>
      </c>
      <c r="U57" s="127">
        <v>5.93</v>
      </c>
    </row>
    <row r="58" spans="2:21" x14ac:dyDescent="0.25">
      <c r="B58" s="150"/>
      <c r="C58" s="10"/>
      <c r="D58" s="39"/>
      <c r="E58" s="39"/>
      <c r="F58" s="39"/>
      <c r="G58" s="39"/>
      <c r="H58" s="179"/>
      <c r="I58" s="39"/>
      <c r="J58" s="39"/>
      <c r="O58" s="81">
        <v>0.93</v>
      </c>
      <c r="P58" s="81">
        <f t="shared" si="0"/>
        <v>122.42519999999999</v>
      </c>
      <c r="T58" s="91" t="s">
        <v>108</v>
      </c>
      <c r="U58" s="127" t="s">
        <v>526</v>
      </c>
    </row>
    <row r="59" spans="2:21" x14ac:dyDescent="0.25">
      <c r="B59" s="150"/>
      <c r="C59" s="10"/>
      <c r="D59" s="39"/>
      <c r="E59" s="39"/>
      <c r="F59" s="39"/>
      <c r="G59" s="39"/>
      <c r="H59" s="179"/>
      <c r="I59" s="39"/>
      <c r="J59" s="39"/>
      <c r="O59" s="81">
        <v>0.92</v>
      </c>
      <c r="P59" s="81">
        <f t="shared" si="0"/>
        <v>121.10879999999999</v>
      </c>
    </row>
    <row r="60" spans="2:21" x14ac:dyDescent="0.25">
      <c r="B60" s="150"/>
      <c r="C60" s="10"/>
      <c r="D60" s="39"/>
      <c r="E60" s="39"/>
      <c r="F60" s="39"/>
      <c r="G60" s="39"/>
      <c r="H60" s="179"/>
      <c r="I60" s="39"/>
      <c r="J60" s="39"/>
      <c r="O60" s="81">
        <v>0.91</v>
      </c>
      <c r="P60" s="81">
        <f t="shared" si="0"/>
        <v>119.79239999999999</v>
      </c>
    </row>
    <row r="61" spans="2:21" x14ac:dyDescent="0.25">
      <c r="B61" s="150"/>
      <c r="C61" s="10"/>
      <c r="D61" s="39"/>
      <c r="E61" s="39"/>
      <c r="F61" s="39"/>
      <c r="G61" s="39"/>
      <c r="H61" s="179"/>
      <c r="I61" s="39"/>
      <c r="J61" s="39"/>
      <c r="O61" s="81">
        <v>0.9</v>
      </c>
      <c r="P61" s="81">
        <f t="shared" si="0"/>
        <v>118.47599999999998</v>
      </c>
    </row>
    <row r="62" spans="2:21" x14ac:dyDescent="0.25">
      <c r="B62" s="150"/>
      <c r="C62" s="10"/>
      <c r="D62" s="39"/>
      <c r="E62" s="39"/>
      <c r="F62" s="39"/>
      <c r="G62" s="39"/>
      <c r="H62" s="179"/>
      <c r="I62" s="39"/>
      <c r="J62" s="39"/>
    </row>
    <row r="63" spans="2:21" x14ac:dyDescent="0.25">
      <c r="B63" s="150"/>
      <c r="C63" s="10"/>
      <c r="D63" s="39"/>
      <c r="E63" s="39"/>
      <c r="F63" s="39"/>
      <c r="G63" s="39"/>
      <c r="H63" s="179"/>
      <c r="I63" s="39"/>
      <c r="J63" s="39"/>
    </row>
    <row r="64" spans="2:21" x14ac:dyDescent="0.25">
      <c r="B64" s="150"/>
      <c r="C64" s="10"/>
      <c r="D64" s="39"/>
      <c r="E64" s="39"/>
      <c r="F64" s="39"/>
      <c r="G64" s="39"/>
      <c r="H64" s="179"/>
      <c r="I64" s="39"/>
      <c r="J64" s="39"/>
    </row>
    <row r="65" spans="1:13" x14ac:dyDescent="0.25">
      <c r="B65" s="150"/>
      <c r="C65" s="10"/>
      <c r="D65" s="39"/>
      <c r="E65" s="39"/>
      <c r="F65" s="39"/>
      <c r="G65" s="39"/>
      <c r="H65" s="179"/>
      <c r="I65" s="39"/>
      <c r="J65" s="39"/>
    </row>
    <row r="66" spans="1:13" x14ac:dyDescent="0.25">
      <c r="B66" s="150"/>
      <c r="C66" s="10"/>
      <c r="D66" s="39"/>
      <c r="E66" s="39"/>
      <c r="F66" s="39"/>
      <c r="G66" s="39"/>
      <c r="H66" s="179"/>
      <c r="I66" s="39"/>
      <c r="J66" s="39"/>
    </row>
    <row r="67" spans="1:13" x14ac:dyDescent="0.25">
      <c r="B67" s="150"/>
      <c r="C67" s="10"/>
      <c r="D67" s="39"/>
      <c r="E67" s="39"/>
      <c r="F67" s="39"/>
      <c r="G67" s="39"/>
      <c r="H67" s="179"/>
      <c r="I67" s="39"/>
      <c r="J67" s="39"/>
    </row>
    <row r="68" spans="1:13" x14ac:dyDescent="0.25">
      <c r="B68" s="150"/>
      <c r="C68" s="10"/>
      <c r="D68" s="39"/>
      <c r="E68" s="39"/>
      <c r="F68" s="39"/>
      <c r="G68" s="39"/>
      <c r="H68" s="179"/>
      <c r="I68" s="39"/>
      <c r="J68" s="39"/>
    </row>
    <row r="69" spans="1:13" x14ac:dyDescent="0.25">
      <c r="B69" s="150"/>
      <c r="C69" s="10"/>
      <c r="D69" s="39"/>
      <c r="E69" s="39"/>
      <c r="F69" s="39"/>
      <c r="G69" s="39"/>
      <c r="H69" s="179"/>
      <c r="I69" s="39"/>
      <c r="J69" s="39"/>
    </row>
    <row r="74" spans="1:13" x14ac:dyDescent="0.25">
      <c r="L74" t="s">
        <v>65</v>
      </c>
      <c r="M74" s="2">
        <f>M92+K92-F92</f>
        <v>154.77999999999975</v>
      </c>
    </row>
    <row r="75" spans="1:13" x14ac:dyDescent="0.25">
      <c r="A75" s="304" t="s">
        <v>1</v>
      </c>
      <c r="B75" s="551" t="s">
        <v>2</v>
      </c>
      <c r="C75" s="304" t="s">
        <v>4</v>
      </c>
      <c r="D75" s="306" t="s">
        <v>5</v>
      </c>
      <c r="E75" s="306" t="s">
        <v>94</v>
      </c>
      <c r="F75" s="306" t="s">
        <v>60</v>
      </c>
      <c r="G75" s="304" t="s">
        <v>3</v>
      </c>
      <c r="H75" s="304" t="s">
        <v>6</v>
      </c>
      <c r="I75" s="306" t="s">
        <v>7</v>
      </c>
      <c r="J75" s="306" t="s">
        <v>95</v>
      </c>
      <c r="K75" s="306" t="s">
        <v>61</v>
      </c>
      <c r="L75" s="304" t="s">
        <v>37</v>
      </c>
      <c r="M75" s="304" t="s">
        <v>38</v>
      </c>
    </row>
    <row r="76" spans="1:13" x14ac:dyDescent="0.25">
      <c r="A76" s="307" t="s">
        <v>264</v>
      </c>
      <c r="B76" s="546">
        <v>42622</v>
      </c>
      <c r="C76" s="298">
        <v>15</v>
      </c>
      <c r="D76" s="299">
        <v>118.5</v>
      </c>
      <c r="E76" s="299">
        <v>0</v>
      </c>
      <c r="F76" s="299">
        <f>C76*D76+E76</f>
        <v>1777.5</v>
      </c>
      <c r="G76" s="546">
        <v>42760</v>
      </c>
      <c r="H76" s="302">
        <v>15</v>
      </c>
      <c r="I76" s="299">
        <v>112.7</v>
      </c>
      <c r="J76" s="299">
        <v>0.04</v>
      </c>
      <c r="K76" s="299">
        <f>H76*I76-J76</f>
        <v>1690.46</v>
      </c>
      <c r="L76" s="297">
        <v>42710</v>
      </c>
      <c r="M76" s="299">
        <v>16</v>
      </c>
    </row>
    <row r="77" spans="1:13" x14ac:dyDescent="0.25">
      <c r="A77" s="308" t="s">
        <v>71</v>
      </c>
      <c r="B77" s="546">
        <v>42622</v>
      </c>
      <c r="C77" s="298">
        <v>5</v>
      </c>
      <c r="D77" s="299">
        <v>118.5</v>
      </c>
      <c r="E77" s="299">
        <v>0</v>
      </c>
      <c r="F77" s="299">
        <f>C77*D77+E77</f>
        <v>592.5</v>
      </c>
      <c r="G77" s="546">
        <v>42776</v>
      </c>
      <c r="H77" s="302">
        <v>15</v>
      </c>
      <c r="I77" s="299">
        <v>115.18</v>
      </c>
      <c r="J77" s="299">
        <v>0.04</v>
      </c>
      <c r="K77" s="299">
        <f>H77*I77-J77</f>
        <v>1727.66</v>
      </c>
      <c r="L77" s="298"/>
      <c r="M77" s="298"/>
    </row>
    <row r="78" spans="1:13" x14ac:dyDescent="0.25">
      <c r="A78" s="298"/>
      <c r="B78" s="546">
        <v>42704</v>
      </c>
      <c r="C78" s="298">
        <v>10</v>
      </c>
      <c r="D78" s="299">
        <v>111.48</v>
      </c>
      <c r="E78" s="299">
        <v>0</v>
      </c>
      <c r="F78" s="299">
        <f>C78*D78+E78</f>
        <v>1114.8</v>
      </c>
      <c r="G78" s="546">
        <v>42796</v>
      </c>
      <c r="H78" s="302">
        <v>15</v>
      </c>
      <c r="I78" s="299">
        <v>124.08</v>
      </c>
      <c r="J78" s="299">
        <v>0.04</v>
      </c>
      <c r="K78" s="299">
        <f>H78*I78-J78</f>
        <v>1861.16</v>
      </c>
      <c r="L78" s="298"/>
      <c r="M78" s="298"/>
    </row>
    <row r="79" spans="1:13" x14ac:dyDescent="0.25">
      <c r="A79" s="298"/>
      <c r="B79" s="546">
        <v>42759</v>
      </c>
      <c r="C79" s="298">
        <v>15</v>
      </c>
      <c r="D79" s="299">
        <v>111.18</v>
      </c>
      <c r="E79" s="299">
        <v>0</v>
      </c>
      <c r="F79" s="299">
        <f>C79*D79+E79</f>
        <v>1667.7</v>
      </c>
      <c r="G79" s="546"/>
      <c r="H79" s="302"/>
      <c r="I79" s="299"/>
      <c r="J79" s="299"/>
      <c r="K79" s="299"/>
      <c r="L79" s="297">
        <v>42808</v>
      </c>
      <c r="M79" s="298">
        <v>12</v>
      </c>
    </row>
    <row r="80" spans="1:13" x14ac:dyDescent="0.25">
      <c r="A80" s="298"/>
      <c r="B80" s="546"/>
      <c r="C80" s="298"/>
      <c r="D80" s="299"/>
      <c r="E80" s="299"/>
      <c r="F80" s="299"/>
      <c r="G80" s="546"/>
      <c r="H80" s="302"/>
      <c r="I80" s="299"/>
      <c r="J80" s="299"/>
      <c r="K80" s="299"/>
      <c r="L80" s="298"/>
      <c r="M80" s="298"/>
    </row>
    <row r="81" spans="1:13" x14ac:dyDescent="0.25">
      <c r="A81" s="298"/>
      <c r="B81" s="546"/>
      <c r="C81" s="298"/>
      <c r="D81" s="299"/>
      <c r="E81" s="299"/>
      <c r="F81" s="299"/>
      <c r="G81" s="546"/>
      <c r="H81" s="302"/>
      <c r="I81" s="299"/>
      <c r="J81" s="299"/>
      <c r="K81" s="299"/>
      <c r="L81" s="298"/>
      <c r="M81" s="298"/>
    </row>
    <row r="82" spans="1:13" x14ac:dyDescent="0.25">
      <c r="A82" s="298"/>
      <c r="B82" s="546"/>
      <c r="C82" s="298"/>
      <c r="D82" s="299"/>
      <c r="E82" s="299"/>
      <c r="F82" s="299"/>
      <c r="G82" s="546"/>
      <c r="H82" s="302"/>
      <c r="I82" s="299"/>
      <c r="J82" s="299"/>
      <c r="K82" s="299"/>
      <c r="L82" s="298"/>
      <c r="M82" s="298"/>
    </row>
    <row r="83" spans="1:13" x14ac:dyDescent="0.25">
      <c r="A83" s="298"/>
      <c r="B83" s="546"/>
      <c r="C83" s="298"/>
      <c r="D83" s="299"/>
      <c r="E83" s="299"/>
      <c r="F83" s="299"/>
      <c r="G83" s="546"/>
      <c r="H83" s="302"/>
      <c r="I83" s="299"/>
      <c r="J83" s="299"/>
      <c r="K83" s="299"/>
      <c r="L83" s="298"/>
      <c r="M83" s="298"/>
    </row>
    <row r="84" spans="1:13" x14ac:dyDescent="0.25">
      <c r="A84" s="298"/>
      <c r="B84" s="546"/>
      <c r="C84" s="298"/>
      <c r="D84" s="299"/>
      <c r="E84" s="299"/>
      <c r="F84" s="299"/>
      <c r="G84" s="546"/>
      <c r="H84" s="302"/>
      <c r="I84" s="299"/>
      <c r="J84" s="299"/>
      <c r="K84" s="299"/>
      <c r="L84" s="298"/>
      <c r="M84" s="298"/>
    </row>
    <row r="85" spans="1:13" x14ac:dyDescent="0.25">
      <c r="A85" s="298"/>
      <c r="B85" s="546"/>
      <c r="C85" s="298"/>
      <c r="D85" s="299"/>
      <c r="E85" s="299"/>
      <c r="F85" s="299"/>
      <c r="G85" s="546"/>
      <c r="H85" s="302"/>
      <c r="I85" s="299"/>
      <c r="J85" s="299"/>
      <c r="K85" s="299"/>
      <c r="L85" s="298"/>
      <c r="M85" s="298"/>
    </row>
    <row r="86" spans="1:13" x14ac:dyDescent="0.25">
      <c r="A86" s="298"/>
      <c r="B86" s="546"/>
      <c r="C86" s="298"/>
      <c r="D86" s="299"/>
      <c r="E86" s="299"/>
      <c r="F86" s="299"/>
      <c r="G86" s="546"/>
      <c r="H86" s="302"/>
      <c r="I86" s="299"/>
      <c r="J86" s="299"/>
      <c r="K86" s="299"/>
      <c r="L86" s="298"/>
      <c r="M86" s="298"/>
    </row>
    <row r="87" spans="1:13" x14ac:dyDescent="0.25">
      <c r="A87" s="298"/>
      <c r="B87" s="546"/>
      <c r="C87" s="298"/>
      <c r="D87" s="299"/>
      <c r="E87" s="299"/>
      <c r="F87" s="299"/>
      <c r="G87" s="546"/>
      <c r="H87" s="302"/>
      <c r="I87" s="299"/>
      <c r="J87" s="299"/>
      <c r="K87" s="299"/>
      <c r="L87" s="298"/>
      <c r="M87" s="298"/>
    </row>
    <row r="88" spans="1:13" x14ac:dyDescent="0.25">
      <c r="A88" s="298"/>
      <c r="B88" s="546"/>
      <c r="C88" s="298"/>
      <c r="D88" s="299"/>
      <c r="E88" s="299"/>
      <c r="F88" s="299"/>
      <c r="G88" s="546"/>
      <c r="H88" s="302"/>
      <c r="I88" s="299"/>
      <c r="J88" s="299"/>
      <c r="K88" s="299"/>
      <c r="L88" s="298"/>
      <c r="M88" s="298"/>
    </row>
    <row r="89" spans="1:13" x14ac:dyDescent="0.25">
      <c r="A89" s="298"/>
      <c r="B89" s="546"/>
      <c r="C89" s="298"/>
      <c r="D89" s="299"/>
      <c r="E89" s="299"/>
      <c r="F89" s="299"/>
      <c r="G89" s="546"/>
      <c r="H89" s="302"/>
      <c r="I89" s="299"/>
      <c r="J89" s="299"/>
      <c r="K89" s="299"/>
      <c r="L89" s="298"/>
      <c r="M89" s="298"/>
    </row>
    <row r="90" spans="1:13" x14ac:dyDescent="0.25">
      <c r="A90" s="298"/>
      <c r="B90" s="546"/>
      <c r="C90" s="298"/>
      <c r="D90" s="299"/>
      <c r="E90" s="299"/>
      <c r="F90" s="299"/>
      <c r="G90" s="546"/>
      <c r="H90" s="302"/>
      <c r="I90" s="299"/>
      <c r="J90" s="299"/>
      <c r="K90" s="299"/>
      <c r="L90" s="298"/>
      <c r="M90" s="298"/>
    </row>
    <row r="91" spans="1:13" x14ac:dyDescent="0.25">
      <c r="A91" s="298"/>
      <c r="B91" s="546"/>
      <c r="C91" s="298"/>
      <c r="D91" s="299"/>
      <c r="E91" s="299"/>
      <c r="F91" s="299"/>
      <c r="G91" s="546"/>
      <c r="H91" s="298"/>
      <c r="I91" s="299"/>
      <c r="J91" s="299"/>
      <c r="K91" s="299"/>
      <c r="L91" s="298"/>
      <c r="M91" s="298"/>
    </row>
    <row r="92" spans="1:13" x14ac:dyDescent="0.25">
      <c r="A92" s="21" t="s">
        <v>81</v>
      </c>
      <c r="B92" s="552"/>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8" t="s">
        <v>191</v>
      </c>
      <c r="B93" s="553"/>
      <c r="C93" s="380">
        <f>SumByColor($A$19,C76:C91)</f>
        <v>0</v>
      </c>
      <c r="D93" s="380"/>
      <c r="E93" s="380"/>
      <c r="F93" s="381">
        <f>SumByColor($A$19,F76:F91)</f>
        <v>0</v>
      </c>
      <c r="G93" s="380"/>
      <c r="H93" s="380">
        <f>SumByColor($A$19,H76:H91)</f>
        <v>0</v>
      </c>
      <c r="I93" s="380"/>
      <c r="J93" s="380"/>
      <c r="K93" s="381">
        <f>SumByColor($A$19,K76:K91)</f>
        <v>0</v>
      </c>
      <c r="L93" s="380"/>
      <c r="M93" s="381">
        <f>SumByColor($A$19,M76:M91)</f>
        <v>0</v>
      </c>
    </row>
    <row r="102" spans="1:12" x14ac:dyDescent="0.25">
      <c r="A102" s="298"/>
      <c r="B102" s="546"/>
      <c r="C102" s="298"/>
      <c r="D102" s="299"/>
      <c r="E102" s="299"/>
      <c r="F102" s="299"/>
      <c r="G102" s="298"/>
      <c r="H102" s="298"/>
      <c r="I102" s="299"/>
      <c r="J102" s="299"/>
      <c r="K102" s="299"/>
      <c r="L102" s="298"/>
    </row>
    <row r="103" spans="1:12" x14ac:dyDescent="0.25">
      <c r="A103" s="298"/>
      <c r="B103" s="546"/>
      <c r="C103" s="298"/>
      <c r="D103" s="299"/>
      <c r="E103" s="299"/>
      <c r="F103" s="299"/>
      <c r="G103" s="298"/>
      <c r="H103" s="298"/>
      <c r="I103" s="299"/>
      <c r="J103" s="299"/>
      <c r="K103" s="299"/>
      <c r="L103" s="298"/>
    </row>
    <row r="104" spans="1:12" x14ac:dyDescent="0.25">
      <c r="A104" s="298"/>
      <c r="B104" s="544" t="s">
        <v>113</v>
      </c>
      <c r="C104" s="414" t="s">
        <v>145</v>
      </c>
      <c r="D104" s="415" t="s">
        <v>144</v>
      </c>
      <c r="E104" s="416" t="s">
        <v>146</v>
      </c>
      <c r="F104" s="416" t="s">
        <v>65</v>
      </c>
      <c r="G104" s="418" t="s">
        <v>150</v>
      </c>
      <c r="H104" s="418" t="s">
        <v>88</v>
      </c>
      <c r="I104" s="418" t="s">
        <v>153</v>
      </c>
      <c r="J104" s="299"/>
      <c r="K104" s="299"/>
      <c r="L104" s="298"/>
    </row>
    <row r="105" spans="1:12" x14ac:dyDescent="0.25">
      <c r="A105" s="298"/>
      <c r="B105" s="546">
        <v>42622</v>
      </c>
      <c r="C105" s="298">
        <v>20</v>
      </c>
      <c r="D105" s="299">
        <v>118.5</v>
      </c>
      <c r="E105" s="299">
        <v>118.23</v>
      </c>
      <c r="F105" s="299">
        <f t="shared" ref="F105:F117" si="1">C105*(E105-D105)</f>
        <v>-5.3999999999999204</v>
      </c>
      <c r="G105" s="299">
        <f t="shared" ref="G105:G117" si="2">D105*C105</f>
        <v>2370</v>
      </c>
      <c r="H105" s="300">
        <f t="shared" ref="H105:H117" si="3">(E105-D105)/D105</f>
        <v>-2.2784810126581941E-3</v>
      </c>
      <c r="I105" s="299"/>
      <c r="J105" s="299"/>
      <c r="K105" s="299"/>
      <c r="L105" s="298"/>
    </row>
    <row r="106" spans="1:12" x14ac:dyDescent="0.25">
      <c r="A106" s="298"/>
      <c r="B106" s="546">
        <v>42627</v>
      </c>
      <c r="C106" s="298">
        <v>20</v>
      </c>
      <c r="D106" s="299">
        <v>118.5</v>
      </c>
      <c r="E106" s="299">
        <v>117.86</v>
      </c>
      <c r="F106" s="299">
        <f t="shared" si="1"/>
        <v>-12.800000000000011</v>
      </c>
      <c r="G106" s="299">
        <f t="shared" si="2"/>
        <v>2370</v>
      </c>
      <c r="H106" s="300">
        <f t="shared" si="3"/>
        <v>-5.400843881856545E-3</v>
      </c>
      <c r="I106" s="299"/>
      <c r="J106" s="299"/>
      <c r="K106" s="299"/>
      <c r="L106" s="298"/>
    </row>
    <row r="107" spans="1:12" x14ac:dyDescent="0.25">
      <c r="A107" s="298"/>
      <c r="B107" s="546">
        <v>42634</v>
      </c>
      <c r="C107" s="298">
        <v>20</v>
      </c>
      <c r="D107" s="299">
        <v>118.5</v>
      </c>
      <c r="E107" s="299">
        <v>118.91</v>
      </c>
      <c r="F107" s="299">
        <f t="shared" si="1"/>
        <v>8.1999999999999318</v>
      </c>
      <c r="G107" s="299">
        <f t="shared" si="2"/>
        <v>2370</v>
      </c>
      <c r="H107" s="300">
        <f t="shared" si="3"/>
        <v>3.4599156118143171E-3</v>
      </c>
      <c r="I107" s="299"/>
      <c r="J107" s="299"/>
      <c r="K107" s="299"/>
      <c r="L107" s="298"/>
    </row>
    <row r="108" spans="1:12" x14ac:dyDescent="0.25">
      <c r="A108" s="298"/>
      <c r="B108" s="546">
        <v>42651</v>
      </c>
      <c r="C108" s="298">
        <v>20</v>
      </c>
      <c r="D108" s="299">
        <v>118.5</v>
      </c>
      <c r="E108" s="299">
        <v>119.24</v>
      </c>
      <c r="F108" s="299">
        <f t="shared" si="1"/>
        <v>14.799999999999898</v>
      </c>
      <c r="G108" s="299">
        <f t="shared" si="2"/>
        <v>2370</v>
      </c>
      <c r="H108" s="300">
        <f t="shared" si="3"/>
        <v>6.2447257383965813E-3</v>
      </c>
      <c r="I108" s="299"/>
      <c r="J108" s="299"/>
      <c r="K108" s="299"/>
      <c r="L108" s="298"/>
    </row>
    <row r="109" spans="1:12" x14ac:dyDescent="0.25">
      <c r="A109" s="298"/>
      <c r="B109" s="546">
        <v>42664</v>
      </c>
      <c r="C109" s="298">
        <v>20</v>
      </c>
      <c r="D109" s="299">
        <v>118.5</v>
      </c>
      <c r="E109" s="299">
        <v>113.44</v>
      </c>
      <c r="F109" s="299">
        <f t="shared" si="1"/>
        <v>-101.20000000000005</v>
      </c>
      <c r="G109" s="299">
        <f t="shared" si="2"/>
        <v>2370</v>
      </c>
      <c r="H109" s="300">
        <f t="shared" si="3"/>
        <v>-4.2700421940928289E-2</v>
      </c>
      <c r="I109" s="299"/>
      <c r="J109" s="299"/>
      <c r="K109" s="299"/>
      <c r="L109" s="298"/>
    </row>
    <row r="110" spans="1:12" x14ac:dyDescent="0.25">
      <c r="A110" s="298"/>
      <c r="B110" s="546">
        <v>42674</v>
      </c>
      <c r="C110" s="298">
        <v>20</v>
      </c>
      <c r="D110" s="299">
        <v>118.5</v>
      </c>
      <c r="E110" s="299">
        <v>115.99</v>
      </c>
      <c r="F110" s="299">
        <f t="shared" si="1"/>
        <v>-50.200000000000102</v>
      </c>
      <c r="G110" s="299">
        <f t="shared" si="2"/>
        <v>2370</v>
      </c>
      <c r="H110" s="300">
        <f t="shared" si="3"/>
        <v>-2.1181434599156161E-2</v>
      </c>
      <c r="I110" s="299"/>
      <c r="J110" s="299"/>
      <c r="K110" s="299"/>
      <c r="L110" s="298"/>
    </row>
    <row r="111" spans="1:12" x14ac:dyDescent="0.25">
      <c r="A111" s="298"/>
      <c r="B111" s="546">
        <v>42702</v>
      </c>
      <c r="C111" s="298">
        <v>20</v>
      </c>
      <c r="D111" s="299">
        <v>118.5</v>
      </c>
      <c r="E111" s="299">
        <v>114.13</v>
      </c>
      <c r="F111" s="299">
        <f t="shared" si="1"/>
        <v>-87.400000000000091</v>
      </c>
      <c r="G111" s="299">
        <f t="shared" si="2"/>
        <v>2370</v>
      </c>
      <c r="H111" s="300">
        <f t="shared" si="3"/>
        <v>-3.6877637130801728E-2</v>
      </c>
      <c r="I111" s="299"/>
      <c r="J111" s="299"/>
      <c r="K111" s="299"/>
      <c r="L111" s="298"/>
    </row>
    <row r="112" spans="1:12" x14ac:dyDescent="0.25">
      <c r="A112" s="298"/>
      <c r="B112" s="546">
        <v>42704</v>
      </c>
      <c r="C112" s="298">
        <v>30</v>
      </c>
      <c r="D112" s="299">
        <v>116.16</v>
      </c>
      <c r="E112" s="299">
        <v>111.3</v>
      </c>
      <c r="F112" s="299">
        <f t="shared" si="1"/>
        <v>-145.79999999999998</v>
      </c>
      <c r="G112" s="299">
        <f t="shared" si="2"/>
        <v>3484.7999999999997</v>
      </c>
      <c r="H112" s="300">
        <f t="shared" si="3"/>
        <v>-4.1838842975206611E-2</v>
      </c>
      <c r="I112" s="299"/>
      <c r="J112" s="299"/>
      <c r="K112" s="299"/>
      <c r="L112" s="298"/>
    </row>
    <row r="113" spans="1:12" x14ac:dyDescent="0.25">
      <c r="A113" s="298"/>
      <c r="B113" s="546">
        <v>42711</v>
      </c>
      <c r="C113" s="298">
        <v>30</v>
      </c>
      <c r="D113" s="299">
        <v>115.6267</v>
      </c>
      <c r="E113" s="299">
        <v>111.1</v>
      </c>
      <c r="F113" s="299">
        <f t="shared" si="1"/>
        <v>-135.80100000000016</v>
      </c>
      <c r="G113" s="299">
        <f t="shared" si="2"/>
        <v>3468.8009999999999</v>
      </c>
      <c r="H113" s="300">
        <f t="shared" si="3"/>
        <v>-3.9149262237874169E-2</v>
      </c>
      <c r="I113" s="377"/>
      <c r="J113" s="299"/>
      <c r="K113" s="299"/>
      <c r="L113" s="298"/>
    </row>
    <row r="114" spans="1:12" x14ac:dyDescent="0.25">
      <c r="A114" s="298"/>
      <c r="B114" s="546">
        <v>42759</v>
      </c>
      <c r="C114" s="298">
        <v>45</v>
      </c>
      <c r="D114" s="299">
        <v>114.14530000000001</v>
      </c>
      <c r="E114" s="299">
        <v>111.89</v>
      </c>
      <c r="F114" s="299">
        <f t="shared" si="1"/>
        <v>-101.48850000000024</v>
      </c>
      <c r="G114" s="299">
        <f t="shared" si="2"/>
        <v>5136.5385000000006</v>
      </c>
      <c r="H114" s="300">
        <f t="shared" si="3"/>
        <v>-1.9758150357483011E-2</v>
      </c>
      <c r="I114" s="299">
        <v>110</v>
      </c>
      <c r="J114" s="299"/>
      <c r="K114" s="299"/>
      <c r="L114" s="298"/>
    </row>
    <row r="115" spans="1:12" x14ac:dyDescent="0.25">
      <c r="A115" s="298" t="s">
        <v>351</v>
      </c>
      <c r="B115" s="546">
        <v>42760</v>
      </c>
      <c r="C115" s="298">
        <v>30</v>
      </c>
      <c r="D115" s="299">
        <v>114.86799999999999</v>
      </c>
      <c r="E115" s="299">
        <v>112.8</v>
      </c>
      <c r="F115" s="299">
        <f t="shared" si="1"/>
        <v>-62.039999999999935</v>
      </c>
      <c r="G115" s="299">
        <f t="shared" si="2"/>
        <v>3446.04</v>
      </c>
      <c r="H115" s="300">
        <f t="shared" si="3"/>
        <v>-1.8003273322422242E-2</v>
      </c>
      <c r="I115" s="299"/>
      <c r="J115" s="299"/>
      <c r="K115" s="299"/>
      <c r="L115" s="298"/>
    </row>
    <row r="116" spans="1:12" x14ac:dyDescent="0.25">
      <c r="A116" s="298" t="s">
        <v>389</v>
      </c>
      <c r="B116" s="546">
        <v>42761</v>
      </c>
      <c r="C116" s="298">
        <v>30</v>
      </c>
      <c r="D116" s="299">
        <v>114.86799999999999</v>
      </c>
      <c r="E116" s="299">
        <v>113.64</v>
      </c>
      <c r="F116" s="299">
        <f t="shared" si="1"/>
        <v>-36.839999999999833</v>
      </c>
      <c r="G116" s="299">
        <f t="shared" si="2"/>
        <v>3446.04</v>
      </c>
      <c r="H116" s="300">
        <f t="shared" si="3"/>
        <v>-1.0690531740780674E-2</v>
      </c>
      <c r="I116" s="299"/>
      <c r="J116" s="299"/>
      <c r="K116" s="299"/>
      <c r="L116" s="298"/>
    </row>
    <row r="117" spans="1:12" x14ac:dyDescent="0.25">
      <c r="A117" s="298" t="s">
        <v>406</v>
      </c>
      <c r="B117" s="546">
        <v>42776</v>
      </c>
      <c r="C117" s="298">
        <v>15</v>
      </c>
      <c r="D117" s="299">
        <v>114.5587</v>
      </c>
      <c r="E117" s="299">
        <v>115.24</v>
      </c>
      <c r="F117" s="299">
        <f t="shared" si="1"/>
        <v>10.219499999999897</v>
      </c>
      <c r="G117" s="299">
        <f t="shared" si="2"/>
        <v>1718.3805</v>
      </c>
      <c r="H117" s="300">
        <f t="shared" si="3"/>
        <v>5.9471694423906098E-3</v>
      </c>
      <c r="I117" s="299"/>
      <c r="J117" s="299"/>
      <c r="K117" s="299"/>
      <c r="L117" s="298"/>
    </row>
    <row r="118" spans="1:12" x14ac:dyDescent="0.25">
      <c r="A118" s="298"/>
      <c r="B118" s="546">
        <v>42796</v>
      </c>
      <c r="C118" s="298">
        <v>0</v>
      </c>
      <c r="D118" s="299"/>
      <c r="E118" s="299"/>
      <c r="F118" s="299">
        <v>142.78</v>
      </c>
      <c r="G118" s="299"/>
      <c r="H118" s="300"/>
      <c r="I118" s="299"/>
      <c r="J118" s="299"/>
      <c r="K118" s="299"/>
      <c r="L118" s="298"/>
    </row>
    <row r="119" spans="1:12" x14ac:dyDescent="0.25">
      <c r="A119" s="298"/>
      <c r="B119" s="546"/>
      <c r="C119" s="298"/>
      <c r="D119" s="299"/>
      <c r="E119" s="299"/>
      <c r="F119" s="299"/>
      <c r="G119" s="299"/>
      <c r="H119" s="300"/>
      <c r="I119" s="299"/>
      <c r="J119" s="299"/>
      <c r="K119" s="299"/>
      <c r="L119" s="298"/>
    </row>
    <row r="120" spans="1:12" x14ac:dyDescent="0.25">
      <c r="A120" s="298"/>
      <c r="B120" s="546"/>
      <c r="C120" s="298"/>
      <c r="D120" s="299"/>
      <c r="E120" s="299"/>
      <c r="F120" s="299"/>
      <c r="G120" s="299"/>
      <c r="H120" s="300"/>
      <c r="I120" s="299"/>
      <c r="J120" s="299"/>
      <c r="K120" s="299"/>
      <c r="L120" s="298"/>
    </row>
    <row r="121" spans="1:12" x14ac:dyDescent="0.25">
      <c r="A121" s="298"/>
      <c r="B121" s="546"/>
      <c r="C121" s="298"/>
      <c r="D121" s="299"/>
      <c r="E121" s="299"/>
      <c r="F121" s="299"/>
      <c r="G121" s="299"/>
      <c r="H121" s="300"/>
      <c r="I121" s="299"/>
      <c r="J121" s="299"/>
      <c r="K121" s="299"/>
      <c r="L121" s="298"/>
    </row>
    <row r="122" spans="1:12" x14ac:dyDescent="0.25">
      <c r="A122" s="298"/>
      <c r="B122" s="546"/>
      <c r="C122" s="298"/>
      <c r="D122" s="299"/>
      <c r="E122" s="299"/>
      <c r="F122" s="299"/>
      <c r="G122" s="299"/>
      <c r="H122" s="300"/>
      <c r="I122" s="299"/>
      <c r="J122" s="299"/>
      <c r="K122" s="299"/>
      <c r="L122" s="298"/>
    </row>
    <row r="123" spans="1:12" x14ac:dyDescent="0.25">
      <c r="A123" s="298"/>
      <c r="B123" s="546"/>
      <c r="C123" s="298"/>
      <c r="D123" s="299"/>
      <c r="E123" s="299"/>
      <c r="F123" s="299"/>
      <c r="G123" s="299"/>
      <c r="H123" s="300"/>
      <c r="I123" s="299"/>
      <c r="J123" s="299"/>
      <c r="K123" s="299"/>
      <c r="L123" s="298"/>
    </row>
    <row r="124" spans="1:12" x14ac:dyDescent="0.25">
      <c r="A124" s="298"/>
      <c r="B124" s="546"/>
      <c r="C124" s="298"/>
      <c r="D124" s="299"/>
      <c r="E124" s="299"/>
      <c r="F124" s="299"/>
      <c r="G124" s="299"/>
      <c r="H124" s="300"/>
      <c r="I124" s="299"/>
      <c r="J124" s="299"/>
      <c r="K124" s="299"/>
      <c r="L124" s="298"/>
    </row>
    <row r="125" spans="1:12" x14ac:dyDescent="0.25">
      <c r="A125" s="298"/>
      <c r="B125" s="546"/>
      <c r="C125" s="298"/>
      <c r="D125" s="299"/>
      <c r="E125" s="299"/>
      <c r="F125" s="299"/>
      <c r="G125" s="299"/>
      <c r="H125" s="300"/>
      <c r="I125" s="299"/>
      <c r="J125" s="299"/>
      <c r="K125" s="299"/>
      <c r="L125" s="298"/>
    </row>
    <row r="126" spans="1:12" x14ac:dyDescent="0.25">
      <c r="A126" s="298"/>
      <c r="B126" s="546"/>
      <c r="C126" s="298"/>
      <c r="D126" s="299"/>
      <c r="E126" s="299"/>
      <c r="F126" s="299"/>
      <c r="G126" s="299"/>
      <c r="H126" s="300"/>
      <c r="I126" s="299"/>
      <c r="J126" s="299"/>
      <c r="K126" s="299"/>
      <c r="L126" s="298"/>
    </row>
    <row r="127" spans="1:12" x14ac:dyDescent="0.25">
      <c r="A127" s="298"/>
      <c r="B127" s="546"/>
      <c r="C127" s="298"/>
      <c r="D127" s="299"/>
      <c r="E127" s="299"/>
      <c r="F127" s="299"/>
      <c r="G127" s="299"/>
      <c r="H127" s="300"/>
      <c r="I127" s="377"/>
      <c r="J127" s="299"/>
      <c r="K127" s="299"/>
      <c r="L127" s="298"/>
    </row>
    <row r="128" spans="1:12" x14ac:dyDescent="0.25">
      <c r="A128" s="298"/>
      <c r="B128" s="546"/>
      <c r="C128" s="298"/>
      <c r="D128" s="299"/>
      <c r="E128" s="299"/>
      <c r="F128" s="299"/>
      <c r="G128" s="299"/>
      <c r="H128" s="300"/>
      <c r="I128" s="299"/>
      <c r="J128" s="299"/>
      <c r="K128" s="299"/>
      <c r="L128" s="298"/>
    </row>
    <row r="129" spans="1:12" x14ac:dyDescent="0.25">
      <c r="A129" s="298"/>
      <c r="B129" s="546"/>
      <c r="C129" s="298"/>
      <c r="D129" s="299"/>
      <c r="E129" s="299"/>
      <c r="F129" s="299"/>
      <c r="G129" s="299"/>
      <c r="H129" s="300"/>
      <c r="I129" s="299"/>
      <c r="J129" s="299"/>
      <c r="K129" s="299"/>
      <c r="L129" s="298"/>
    </row>
    <row r="130" spans="1:12" x14ac:dyDescent="0.25">
      <c r="A130" s="298"/>
      <c r="B130" s="546"/>
      <c r="C130" s="298"/>
      <c r="D130" s="299"/>
      <c r="E130" s="299"/>
      <c r="F130" s="299"/>
      <c r="G130" s="299"/>
      <c r="H130" s="300"/>
      <c r="I130" s="299"/>
      <c r="J130" s="299"/>
      <c r="K130" s="299"/>
      <c r="L130" s="298"/>
    </row>
    <row r="131" spans="1:12" x14ac:dyDescent="0.25">
      <c r="A131" s="298"/>
      <c r="B131" s="546"/>
      <c r="C131" s="298"/>
      <c r="D131" s="299"/>
      <c r="E131" s="299"/>
      <c r="F131" s="299"/>
      <c r="G131" s="299"/>
      <c r="H131" s="300"/>
      <c r="I131" s="299"/>
      <c r="J131" s="299"/>
      <c r="K131" s="299"/>
      <c r="L131" s="298"/>
    </row>
    <row r="132" spans="1:12" x14ac:dyDescent="0.25">
      <c r="A132" s="298"/>
      <c r="B132" s="546"/>
      <c r="C132" s="298"/>
      <c r="D132" s="299"/>
      <c r="E132" s="299"/>
      <c r="F132" s="299"/>
      <c r="G132" s="299"/>
      <c r="H132" s="300"/>
      <c r="I132" s="299"/>
      <c r="J132" s="299"/>
      <c r="K132" s="299"/>
      <c r="L132" s="298"/>
    </row>
    <row r="133" spans="1:12" x14ac:dyDescent="0.25">
      <c r="A133" s="298"/>
      <c r="B133" s="546"/>
      <c r="C133" s="298"/>
      <c r="D133" s="299"/>
      <c r="E133" s="299"/>
      <c r="F133" s="299"/>
      <c r="G133" s="299"/>
      <c r="H133" s="300"/>
      <c r="I133" s="299"/>
      <c r="J133" s="299"/>
      <c r="K133" s="299"/>
      <c r="L133" s="298"/>
    </row>
    <row r="134" spans="1:12" x14ac:dyDescent="0.25">
      <c r="A134" s="298"/>
      <c r="B134" s="546"/>
      <c r="C134" s="298"/>
      <c r="D134" s="299"/>
      <c r="E134" s="299"/>
      <c r="F134" s="299"/>
      <c r="G134" s="299"/>
      <c r="H134" s="300"/>
      <c r="I134" s="299"/>
      <c r="J134" s="299"/>
      <c r="K134" s="299"/>
      <c r="L134" s="298"/>
    </row>
    <row r="135" spans="1:12" x14ac:dyDescent="0.25">
      <c r="A135" s="298"/>
      <c r="B135" s="546"/>
      <c r="C135" s="298"/>
      <c r="D135" s="299"/>
      <c r="E135" s="299"/>
      <c r="F135" s="299"/>
      <c r="G135" s="299"/>
      <c r="H135" s="300"/>
      <c r="I135" s="299"/>
      <c r="J135" s="299"/>
      <c r="K135" s="299"/>
      <c r="L135" s="298"/>
    </row>
    <row r="136" spans="1:12" x14ac:dyDescent="0.25">
      <c r="A136" s="298"/>
      <c r="B136" s="546"/>
      <c r="C136" s="298"/>
      <c r="D136" s="299"/>
      <c r="E136" s="299"/>
      <c r="F136" s="299"/>
      <c r="G136" s="299"/>
      <c r="H136" s="300"/>
      <c r="I136" s="299"/>
      <c r="J136" s="299"/>
      <c r="K136" s="299"/>
      <c r="L136" s="298"/>
    </row>
    <row r="137" spans="1:12" x14ac:dyDescent="0.25">
      <c r="A137" s="298"/>
      <c r="B137" s="546"/>
      <c r="C137" s="298"/>
      <c r="D137" s="299"/>
      <c r="E137" s="299"/>
      <c r="F137" s="299"/>
      <c r="G137" s="299"/>
      <c r="H137" s="300"/>
      <c r="I137" s="299"/>
      <c r="J137" s="299"/>
      <c r="K137" s="299"/>
      <c r="L137" s="298"/>
    </row>
    <row r="138" spans="1:12" x14ac:dyDescent="0.25">
      <c r="A138" s="298"/>
      <c r="B138" s="546"/>
      <c r="C138" s="298"/>
      <c r="D138" s="299"/>
      <c r="E138" s="299"/>
      <c r="F138" s="299"/>
      <c r="G138" s="299"/>
      <c r="H138" s="300"/>
      <c r="I138" s="299"/>
      <c r="J138" s="299"/>
      <c r="K138" s="299"/>
      <c r="L138" s="298"/>
    </row>
    <row r="139" spans="1:12" x14ac:dyDescent="0.25">
      <c r="A139" s="298"/>
      <c r="B139" s="546"/>
      <c r="C139" s="298"/>
      <c r="D139" s="299"/>
      <c r="E139" s="299"/>
      <c r="F139" s="299"/>
      <c r="G139" s="299"/>
      <c r="H139" s="300"/>
      <c r="I139" s="299"/>
      <c r="J139" s="299"/>
      <c r="K139" s="299"/>
      <c r="L139" s="298"/>
    </row>
    <row r="140" spans="1:12" x14ac:dyDescent="0.25">
      <c r="A140" s="298"/>
      <c r="B140" s="546"/>
      <c r="C140" s="298"/>
      <c r="D140" s="299"/>
      <c r="E140" s="299"/>
      <c r="F140" s="299"/>
      <c r="G140" s="299"/>
      <c r="H140" s="300"/>
      <c r="I140" s="299"/>
      <c r="J140" s="299"/>
      <c r="K140" s="299"/>
      <c r="L140" s="298"/>
    </row>
    <row r="141" spans="1:12" x14ac:dyDescent="0.25">
      <c r="A141" s="298"/>
      <c r="B141" s="546"/>
      <c r="C141" s="298"/>
      <c r="D141" s="299"/>
      <c r="E141" s="299"/>
      <c r="F141" s="299"/>
      <c r="G141" s="299"/>
      <c r="H141" s="300"/>
      <c r="I141" s="299"/>
      <c r="J141" s="299"/>
      <c r="K141" s="299"/>
      <c r="L141" s="298"/>
    </row>
    <row r="142" spans="1:12" x14ac:dyDescent="0.25">
      <c r="A142" s="298"/>
      <c r="B142" s="546"/>
      <c r="C142" s="298"/>
      <c r="D142" s="299"/>
      <c r="E142" s="299"/>
      <c r="F142" s="299"/>
      <c r="G142" s="299"/>
      <c r="H142" s="300"/>
      <c r="I142" s="299"/>
      <c r="J142" s="299"/>
      <c r="K142" s="299"/>
      <c r="L142" s="298"/>
    </row>
    <row r="143" spans="1:12" x14ac:dyDescent="0.25">
      <c r="A143" s="298"/>
      <c r="B143" s="546"/>
      <c r="C143" s="298"/>
      <c r="D143" s="299"/>
      <c r="E143" s="299"/>
      <c r="F143" s="299"/>
      <c r="G143" s="299"/>
      <c r="H143" s="300"/>
      <c r="I143" s="299"/>
      <c r="J143" s="299"/>
      <c r="K143" s="299"/>
      <c r="L143" s="298"/>
    </row>
    <row r="144" spans="1:12" x14ac:dyDescent="0.25">
      <c r="A144" s="298"/>
      <c r="B144" s="546"/>
      <c r="C144" s="298"/>
      <c r="D144" s="299"/>
      <c r="E144" s="299"/>
      <c r="F144" s="299"/>
      <c r="G144" s="299"/>
      <c r="H144" s="300"/>
      <c r="I144" s="299"/>
      <c r="J144" s="299"/>
      <c r="K144" s="299"/>
      <c r="L144" s="298"/>
    </row>
    <row r="145" spans="1:12" x14ac:dyDescent="0.25">
      <c r="A145" s="298"/>
      <c r="B145" s="546"/>
      <c r="C145" s="298"/>
      <c r="D145" s="299"/>
      <c r="E145" s="299"/>
      <c r="F145" s="299"/>
      <c r="G145" s="299"/>
      <c r="H145" s="300"/>
      <c r="I145" s="299"/>
      <c r="J145" s="299"/>
      <c r="K145" s="299"/>
      <c r="L145" s="298"/>
    </row>
    <row r="146" spans="1:12" x14ac:dyDescent="0.25">
      <c r="A146" s="298"/>
      <c r="B146" s="546"/>
      <c r="C146" s="298"/>
      <c r="D146" s="299"/>
      <c r="E146" s="299"/>
      <c r="F146" s="299"/>
      <c r="G146" s="299"/>
      <c r="H146" s="300"/>
      <c r="I146" s="299"/>
      <c r="J146" s="299"/>
      <c r="K146" s="299"/>
      <c r="L146" s="298"/>
    </row>
    <row r="147" spans="1:12" x14ac:dyDescent="0.25">
      <c r="A147" s="298"/>
      <c r="B147" s="546"/>
      <c r="C147" s="298"/>
      <c r="D147" s="299"/>
      <c r="E147" s="299"/>
      <c r="F147" s="299"/>
      <c r="G147" s="299"/>
      <c r="H147" s="300"/>
      <c r="I147" s="299"/>
      <c r="J147" s="299"/>
      <c r="K147" s="299"/>
      <c r="L147" s="298"/>
    </row>
    <row r="148" spans="1:12" x14ac:dyDescent="0.25">
      <c r="A148" s="298"/>
      <c r="B148" s="546"/>
      <c r="C148" s="298"/>
      <c r="D148" s="299"/>
      <c r="E148" s="299"/>
      <c r="F148" s="299"/>
      <c r="G148" s="299"/>
      <c r="H148" s="300"/>
      <c r="I148" s="299"/>
      <c r="J148" s="299"/>
      <c r="K148" s="299"/>
      <c r="L148" s="298"/>
    </row>
    <row r="149" spans="1:12" x14ac:dyDescent="0.25">
      <c r="A149" s="298"/>
      <c r="B149" s="546"/>
      <c r="C149" s="298"/>
      <c r="D149" s="299"/>
      <c r="E149" s="299"/>
      <c r="F149" s="299"/>
      <c r="G149" s="299"/>
      <c r="H149" s="300"/>
      <c r="I149" s="299"/>
      <c r="J149" s="299"/>
      <c r="K149" s="299"/>
      <c r="L149" s="298"/>
    </row>
    <row r="150" spans="1:12" x14ac:dyDescent="0.25">
      <c r="A150" s="298"/>
      <c r="B150" s="546"/>
      <c r="C150" s="298"/>
      <c r="D150" s="299"/>
      <c r="E150" s="299"/>
      <c r="F150" s="299"/>
      <c r="G150" s="298"/>
      <c r="H150" s="298"/>
      <c r="I150" s="299"/>
      <c r="J150" s="299"/>
      <c r="K150" s="299"/>
      <c r="L150" s="298"/>
    </row>
    <row r="151" spans="1:12" x14ac:dyDescent="0.25">
      <c r="A151" s="298"/>
      <c r="B151" s="546"/>
      <c r="C151" s="298"/>
      <c r="D151" s="299"/>
      <c r="E151" s="299"/>
      <c r="F151" s="299"/>
      <c r="G151" s="298"/>
      <c r="H151" s="298"/>
      <c r="I151" s="299"/>
      <c r="J151" s="299"/>
      <c r="K151" s="299"/>
      <c r="L151" s="298"/>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066" priority="25">
      <formula>F30&gt;0</formula>
    </cfRule>
    <cfRule type="expression" dxfId="2065" priority="26">
      <formula>F30&lt;0</formula>
    </cfRule>
  </conditionalFormatting>
  <conditionalFormatting sqref="Q7">
    <cfRule type="expression" dxfId="2064" priority="23">
      <formula>Q7&gt;0</formula>
    </cfRule>
    <cfRule type="expression" dxfId="2063" priority="24">
      <formula>Q7&lt;0</formula>
    </cfRule>
  </conditionalFormatting>
  <conditionalFormatting sqref="Q8">
    <cfRule type="expression" dxfId="2062" priority="21">
      <formula>Q8&gt;0</formula>
    </cfRule>
    <cfRule type="expression" dxfId="2061" priority="22">
      <formula>Q8&lt;0</formula>
    </cfRule>
  </conditionalFormatting>
  <conditionalFormatting sqref="M74">
    <cfRule type="expression" dxfId="2060" priority="15">
      <formula>M74&gt;0</formula>
    </cfRule>
    <cfRule type="expression" dxfId="2059" priority="16">
      <formula>M74&lt;0</formula>
    </cfRule>
  </conditionalFormatting>
  <conditionalFormatting sqref="F113:F149 H113:H149">
    <cfRule type="expression" dxfId="2058" priority="13">
      <formula>F113&gt;0</formula>
    </cfRule>
    <cfRule type="expression" dxfId="2057" priority="14">
      <formula>F113&lt;0</formula>
    </cfRule>
  </conditionalFormatting>
  <conditionalFormatting sqref="F105:F112">
    <cfRule type="expression" dxfId="2056" priority="11">
      <formula>F105&gt;0</formula>
    </cfRule>
    <cfRule type="expression" dxfId="2055" priority="12">
      <formula>F105&lt;0</formula>
    </cfRule>
  </conditionalFormatting>
  <conditionalFormatting sqref="H105:H112">
    <cfRule type="expression" dxfId="2054" priority="9">
      <formula>H105&gt;0</formula>
    </cfRule>
    <cfRule type="expression" dxfId="2053" priority="10">
      <formula>H105&lt;0</formula>
    </cfRule>
  </conditionalFormatting>
  <conditionalFormatting sqref="Q10">
    <cfRule type="expression" dxfId="2052" priority="7">
      <formula>Q10&gt;0</formula>
    </cfRule>
    <cfRule type="expression" dxfId="2051" priority="8">
      <formula>Q10&lt;0</formula>
    </cfRule>
  </conditionalFormatting>
  <conditionalFormatting sqref="F25:F29">
    <cfRule type="expression" dxfId="2050" priority="5">
      <formula>F25&gt;0</formula>
    </cfRule>
    <cfRule type="expression" dxfId="2049" priority="6">
      <formula>F25&lt;0</formula>
    </cfRule>
  </conditionalFormatting>
  <conditionalFormatting sqref="H25:H29">
    <cfRule type="expression" dxfId="2048" priority="3">
      <formula>H25&gt;0</formula>
    </cfRule>
    <cfRule type="expression" dxfId="2047" priority="4">
      <formula>H25&lt;0</formula>
    </cfRule>
  </conditionalFormatting>
  <conditionalFormatting sqref="J26:J35">
    <cfRule type="expression" dxfId="2046" priority="1">
      <formula>J26&gt;0</formula>
    </cfRule>
    <cfRule type="expression" dxfId="2045"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671</v>
      </c>
      <c r="B2" s="368">
        <v>43020</v>
      </c>
      <c r="C2" s="7">
        <v>10</v>
      </c>
      <c r="D2" s="43">
        <v>190.16</v>
      </c>
      <c r="E2" s="43">
        <v>0</v>
      </c>
      <c r="F2" s="43">
        <f t="shared" ref="F2:F9" si="0">C2*D2+E2</f>
        <v>1901.6</v>
      </c>
      <c r="G2" s="368">
        <v>43103</v>
      </c>
      <c r="H2" s="7">
        <v>10</v>
      </c>
      <c r="I2" s="43">
        <v>238</v>
      </c>
      <c r="J2" s="43">
        <v>0.05</v>
      </c>
      <c r="K2" s="43">
        <f t="shared" ref="K2:K18" si="1">H2*I2-J2</f>
        <v>2379.9499999999998</v>
      </c>
      <c r="L2" s="72"/>
      <c r="M2" s="3"/>
      <c r="O2" s="11" t="s">
        <v>57</v>
      </c>
      <c r="Q2" s="185">
        <f>C29-H29</f>
        <v>0</v>
      </c>
      <c r="T2" s="1">
        <v>43080</v>
      </c>
      <c r="U2" t="s">
        <v>792</v>
      </c>
    </row>
    <row r="3" spans="1:21" x14ac:dyDescent="0.25">
      <c r="A3" s="22" t="s">
        <v>71</v>
      </c>
      <c r="B3" s="368">
        <v>43021</v>
      </c>
      <c r="C3" s="7">
        <v>15</v>
      </c>
      <c r="D3" s="43">
        <v>188.9</v>
      </c>
      <c r="E3" s="43">
        <v>0</v>
      </c>
      <c r="F3" s="43">
        <f t="shared" si="0"/>
        <v>2833.5</v>
      </c>
      <c r="G3" s="368">
        <v>43112</v>
      </c>
      <c r="H3" s="80">
        <v>15</v>
      </c>
      <c r="I3" s="43">
        <v>234.88</v>
      </c>
      <c r="J3" s="43">
        <v>0.08</v>
      </c>
      <c r="K3" s="43">
        <f t="shared" si="1"/>
        <v>3523.12</v>
      </c>
      <c r="L3" s="4"/>
      <c r="M3" s="4"/>
      <c r="O3" s="11" t="s">
        <v>58</v>
      </c>
      <c r="Q3" s="178">
        <f>IF(Q2=0, Q4, (F29-K29-M29)/Q2)</f>
        <v>288.60000000000002</v>
      </c>
      <c r="T3" s="1"/>
    </row>
    <row r="4" spans="1:21" x14ac:dyDescent="0.25">
      <c r="B4" s="368">
        <v>43021</v>
      </c>
      <c r="C4" s="7">
        <v>5</v>
      </c>
      <c r="D4" s="43">
        <v>188.9</v>
      </c>
      <c r="E4" s="43">
        <v>0</v>
      </c>
      <c r="F4" s="43">
        <f t="shared" si="0"/>
        <v>944.5</v>
      </c>
      <c r="G4" s="368">
        <v>43140</v>
      </c>
      <c r="H4" s="80">
        <v>55</v>
      </c>
      <c r="I4" s="43">
        <v>216.28</v>
      </c>
      <c r="J4" s="43">
        <v>0.27</v>
      </c>
      <c r="K4" s="43">
        <f t="shared" si="1"/>
        <v>11895.13</v>
      </c>
      <c r="L4" s="4"/>
      <c r="M4" s="4"/>
      <c r="O4" s="11" t="s">
        <v>66</v>
      </c>
      <c r="Q4" s="54">
        <v>288.60000000000002</v>
      </c>
      <c r="R4" s="425">
        <v>2.2499999999999999E-2</v>
      </c>
      <c r="T4" s="693">
        <v>43103</v>
      </c>
      <c r="U4" s="30" t="s">
        <v>1010</v>
      </c>
    </row>
    <row r="5" spans="1:21" x14ac:dyDescent="0.25">
      <c r="B5" s="368">
        <v>43108</v>
      </c>
      <c r="C5" s="7">
        <v>15</v>
      </c>
      <c r="D5" s="43">
        <v>232.18</v>
      </c>
      <c r="E5" s="43">
        <v>0</v>
      </c>
      <c r="F5" s="43">
        <f t="shared" si="0"/>
        <v>3482.7000000000003</v>
      </c>
      <c r="G5" s="368">
        <v>43167</v>
      </c>
      <c r="H5" s="80">
        <v>30</v>
      </c>
      <c r="I5" s="43">
        <v>205.5</v>
      </c>
      <c r="J5" s="43">
        <v>0.14000000000000001</v>
      </c>
      <c r="K5" s="43">
        <f t="shared" si="1"/>
        <v>6164.86</v>
      </c>
      <c r="L5" s="4"/>
      <c r="M5" s="4"/>
      <c r="O5" s="11" t="s">
        <v>67</v>
      </c>
      <c r="Q5" s="3">
        <f>Q4*Q2</f>
        <v>0</v>
      </c>
    </row>
    <row r="6" spans="1:21" x14ac:dyDescent="0.25">
      <c r="B6" s="368">
        <v>43122</v>
      </c>
      <c r="C6" s="7">
        <v>15</v>
      </c>
      <c r="D6" s="43">
        <v>233.88</v>
      </c>
      <c r="E6" s="43">
        <v>0</v>
      </c>
      <c r="F6" s="43">
        <f t="shared" si="0"/>
        <v>3508.2</v>
      </c>
      <c r="G6" s="368">
        <v>43172</v>
      </c>
      <c r="H6" s="80">
        <v>25</v>
      </c>
      <c r="I6" s="43">
        <v>213.18</v>
      </c>
      <c r="J6" s="43">
        <v>0.12</v>
      </c>
      <c r="K6" s="43">
        <f t="shared" si="1"/>
        <v>5329.38</v>
      </c>
      <c r="L6" s="4"/>
      <c r="M6" s="4"/>
      <c r="O6" s="11" t="s">
        <v>64</v>
      </c>
      <c r="Q6" s="2">
        <f>Q3*Q2</f>
        <v>0</v>
      </c>
      <c r="T6" s="1">
        <v>43140</v>
      </c>
      <c r="U6" t="s">
        <v>902</v>
      </c>
    </row>
    <row r="7" spans="1:21" x14ac:dyDescent="0.25">
      <c r="B7" s="368">
        <v>43123</v>
      </c>
      <c r="C7" s="7">
        <v>10</v>
      </c>
      <c r="D7" s="43">
        <v>228.88</v>
      </c>
      <c r="E7" s="43">
        <v>0</v>
      </c>
      <c r="F7" s="43">
        <f t="shared" si="0"/>
        <v>2288.8000000000002</v>
      </c>
      <c r="G7" s="368">
        <v>43175</v>
      </c>
      <c r="H7" s="80">
        <v>45</v>
      </c>
      <c r="I7" s="43">
        <v>221</v>
      </c>
      <c r="J7" s="43">
        <v>0.23</v>
      </c>
      <c r="K7" s="43">
        <f t="shared" si="1"/>
        <v>9944.77</v>
      </c>
      <c r="L7" s="4"/>
      <c r="M7" s="4"/>
      <c r="O7" s="11" t="s">
        <v>177</v>
      </c>
      <c r="Q7" s="2">
        <f>Q10+Q8</f>
        <v>5079.1199999999772</v>
      </c>
      <c r="R7">
        <v>0</v>
      </c>
    </row>
    <row r="8" spans="1:21" x14ac:dyDescent="0.25">
      <c r="B8" s="368">
        <v>43132</v>
      </c>
      <c r="C8" s="7">
        <v>10</v>
      </c>
      <c r="D8" s="43">
        <v>220</v>
      </c>
      <c r="E8" s="43">
        <v>0</v>
      </c>
      <c r="F8" s="43">
        <f t="shared" si="0"/>
        <v>2200</v>
      </c>
      <c r="G8" s="368">
        <v>43196</v>
      </c>
      <c r="H8" s="80">
        <v>30</v>
      </c>
      <c r="I8" s="43">
        <v>211.8</v>
      </c>
      <c r="J8" s="43">
        <v>0.15</v>
      </c>
      <c r="K8" s="43">
        <f t="shared" si="1"/>
        <v>6353.85</v>
      </c>
      <c r="L8" s="4"/>
      <c r="M8" s="4"/>
      <c r="O8" s="11" t="s">
        <v>179</v>
      </c>
      <c r="P8" s="33"/>
      <c r="Q8" s="2">
        <f>K29+M29-F29+Q2*Q4</f>
        <v>4854.3499999999767</v>
      </c>
    </row>
    <row r="9" spans="1:21" x14ac:dyDescent="0.25">
      <c r="B9" s="368">
        <v>43137</v>
      </c>
      <c r="C9" s="7">
        <v>30</v>
      </c>
      <c r="D9" s="43">
        <v>207.88</v>
      </c>
      <c r="E9" s="43">
        <v>0</v>
      </c>
      <c r="F9" s="43">
        <f t="shared" si="0"/>
        <v>6236.4</v>
      </c>
      <c r="G9" s="368">
        <v>43196</v>
      </c>
      <c r="H9" s="80">
        <v>30</v>
      </c>
      <c r="I9" s="43">
        <v>209</v>
      </c>
      <c r="J9" s="43">
        <v>0.14000000000000001</v>
      </c>
      <c r="K9" s="43">
        <f t="shared" si="1"/>
        <v>6269.86</v>
      </c>
      <c r="L9" s="4"/>
      <c r="M9" s="4"/>
      <c r="O9" s="11" t="s">
        <v>204</v>
      </c>
      <c r="Q9" s="134">
        <f>IF(Q2=0, 0, Q8/Q6)</f>
        <v>0</v>
      </c>
      <c r="T9" s="693">
        <v>43174</v>
      </c>
      <c r="U9" t="s">
        <v>82</v>
      </c>
    </row>
    <row r="10" spans="1:21" x14ac:dyDescent="0.25">
      <c r="B10" s="368">
        <v>43137</v>
      </c>
      <c r="C10" s="7">
        <v>15</v>
      </c>
      <c r="D10" s="43">
        <v>207.88</v>
      </c>
      <c r="E10" s="43">
        <v>0</v>
      </c>
      <c r="F10" s="43">
        <f t="shared" ref="F10:F15" si="2">C10*D10+E10</f>
        <v>3118.2</v>
      </c>
      <c r="G10" s="368">
        <v>43210</v>
      </c>
      <c r="H10" s="80">
        <v>15</v>
      </c>
      <c r="I10" s="43">
        <v>235.4</v>
      </c>
      <c r="J10" s="43">
        <v>0.08</v>
      </c>
      <c r="K10" s="43">
        <f t="shared" si="1"/>
        <v>3530.92</v>
      </c>
      <c r="O10" s="11" t="s">
        <v>203</v>
      </c>
      <c r="P10" s="33"/>
      <c r="Q10" s="2">
        <f>M91</f>
        <v>224.77000000000044</v>
      </c>
      <c r="U10" t="s">
        <v>956</v>
      </c>
    </row>
    <row r="11" spans="1:21" x14ac:dyDescent="0.25">
      <c r="B11" s="368">
        <v>43140</v>
      </c>
      <c r="C11" s="7">
        <v>10</v>
      </c>
      <c r="D11" s="43">
        <v>205.8</v>
      </c>
      <c r="E11" s="43">
        <v>0</v>
      </c>
      <c r="F11" s="43">
        <f t="shared" si="2"/>
        <v>2058</v>
      </c>
      <c r="G11" s="368">
        <v>43210</v>
      </c>
      <c r="H11" s="80">
        <v>15</v>
      </c>
      <c r="I11" s="43">
        <v>235.68</v>
      </c>
      <c r="J11" s="43">
        <v>0.08</v>
      </c>
      <c r="K11" s="43">
        <f t="shared" si="1"/>
        <v>3535.1200000000003</v>
      </c>
      <c r="O11" s="11" t="s">
        <v>175</v>
      </c>
      <c r="P11" s="33"/>
      <c r="Q11" s="134">
        <v>0</v>
      </c>
    </row>
    <row r="12" spans="1:21" x14ac:dyDescent="0.25">
      <c r="B12" s="368">
        <v>43143</v>
      </c>
      <c r="C12" s="7">
        <v>45</v>
      </c>
      <c r="D12" s="43">
        <v>206.78</v>
      </c>
      <c r="E12" s="43">
        <v>0</v>
      </c>
      <c r="F12" s="43">
        <f t="shared" si="2"/>
        <v>9305.1</v>
      </c>
      <c r="G12" s="368">
        <v>43216</v>
      </c>
      <c r="H12" s="80">
        <v>10</v>
      </c>
      <c r="I12" s="43">
        <v>242.58</v>
      </c>
      <c r="J12" s="43">
        <v>0.06</v>
      </c>
      <c r="K12" s="43">
        <f t="shared" si="1"/>
        <v>2425.7400000000002</v>
      </c>
      <c r="O12" s="11" t="s">
        <v>921</v>
      </c>
      <c r="Q12" s="1" t="s">
        <v>1132</v>
      </c>
    </row>
    <row r="13" spans="1:21" x14ac:dyDescent="0.25">
      <c r="B13" s="368">
        <v>43157</v>
      </c>
      <c r="C13" s="7">
        <v>15</v>
      </c>
      <c r="D13" s="43">
        <v>199.58</v>
      </c>
      <c r="E13" s="43">
        <v>0</v>
      </c>
      <c r="F13" s="43">
        <f t="shared" si="2"/>
        <v>2993.7000000000003</v>
      </c>
      <c r="G13" s="368">
        <v>43271</v>
      </c>
      <c r="H13" s="80">
        <v>15</v>
      </c>
      <c r="I13" s="43">
        <v>250.9</v>
      </c>
      <c r="J13" s="43">
        <v>0.05</v>
      </c>
      <c r="K13" s="43">
        <f t="shared" si="1"/>
        <v>3763.45</v>
      </c>
      <c r="O13" s="11" t="s">
        <v>947</v>
      </c>
      <c r="Q13" s="2">
        <f>Q4/(8.16*1.2)</f>
        <v>29.473039215686278</v>
      </c>
    </row>
    <row r="14" spans="1:21" x14ac:dyDescent="0.25">
      <c r="B14" s="368">
        <v>43161</v>
      </c>
      <c r="C14" s="7">
        <v>15</v>
      </c>
      <c r="D14" s="43">
        <v>194.98</v>
      </c>
      <c r="E14" s="43">
        <v>0</v>
      </c>
      <c r="F14" s="43">
        <f t="shared" si="2"/>
        <v>2924.7</v>
      </c>
      <c r="G14" s="368">
        <v>43284</v>
      </c>
      <c r="H14" s="80">
        <v>15</v>
      </c>
      <c r="I14" s="43">
        <v>235.12</v>
      </c>
      <c r="J14" s="43">
        <v>0.05</v>
      </c>
      <c r="K14" s="43">
        <f t="shared" si="1"/>
        <v>3526.75</v>
      </c>
      <c r="O14" s="11" t="s">
        <v>1034</v>
      </c>
      <c r="Q14" s="1">
        <v>43324</v>
      </c>
    </row>
    <row r="15" spans="1:21" x14ac:dyDescent="0.25">
      <c r="A15" t="s">
        <v>942</v>
      </c>
      <c r="B15" s="368">
        <v>43172</v>
      </c>
      <c r="C15" s="7">
        <v>25</v>
      </c>
      <c r="D15" s="43">
        <v>209.28</v>
      </c>
      <c r="E15" s="43">
        <v>0</v>
      </c>
      <c r="F15" s="43">
        <f t="shared" si="2"/>
        <v>5232</v>
      </c>
      <c r="G15" s="368">
        <v>43287</v>
      </c>
      <c r="H15" s="80">
        <v>15</v>
      </c>
      <c r="I15" s="43">
        <v>244</v>
      </c>
      <c r="J15" s="43">
        <v>0.05</v>
      </c>
      <c r="K15" s="43">
        <f t="shared" si="1"/>
        <v>3659.95</v>
      </c>
    </row>
    <row r="16" spans="1:21" x14ac:dyDescent="0.25">
      <c r="A16" t="s">
        <v>942</v>
      </c>
      <c r="B16" s="368">
        <v>43178</v>
      </c>
      <c r="C16" s="7">
        <v>5</v>
      </c>
      <c r="D16" s="43">
        <v>216.88</v>
      </c>
      <c r="E16" s="43">
        <v>0</v>
      </c>
      <c r="F16" s="43">
        <f t="shared" ref="F16:F23" si="3">C16*D16+E16</f>
        <v>1084.4000000000001</v>
      </c>
      <c r="G16" s="368">
        <v>43307</v>
      </c>
      <c r="H16" s="80">
        <v>15</v>
      </c>
      <c r="I16" s="43">
        <v>257</v>
      </c>
      <c r="J16" s="43">
        <v>0.05</v>
      </c>
      <c r="K16" s="43">
        <f t="shared" si="1"/>
        <v>3854.95</v>
      </c>
    </row>
    <row r="17" spans="1:21" x14ac:dyDescent="0.25">
      <c r="B17" s="368">
        <v>43178</v>
      </c>
      <c r="C17" s="7">
        <v>40</v>
      </c>
      <c r="D17" s="43">
        <v>216.88</v>
      </c>
      <c r="E17" s="43">
        <v>0</v>
      </c>
      <c r="F17" s="43">
        <f t="shared" si="3"/>
        <v>8675.2000000000007</v>
      </c>
      <c r="G17" s="368">
        <v>43343</v>
      </c>
      <c r="H17" s="80">
        <v>30</v>
      </c>
      <c r="I17" s="43">
        <v>252</v>
      </c>
      <c r="J17" s="43">
        <v>0.1</v>
      </c>
      <c r="K17" s="43">
        <f t="shared" si="1"/>
        <v>7559.9</v>
      </c>
      <c r="T17" s="1">
        <v>43257</v>
      </c>
      <c r="U17" t="s">
        <v>1009</v>
      </c>
    </row>
    <row r="18" spans="1:21" x14ac:dyDescent="0.25">
      <c r="B18" s="368">
        <v>43196</v>
      </c>
      <c r="C18" s="7">
        <v>30</v>
      </c>
      <c r="D18" s="43">
        <v>207.68</v>
      </c>
      <c r="E18" s="43">
        <v>0</v>
      </c>
      <c r="F18" s="43">
        <f t="shared" si="3"/>
        <v>6230.4000000000005</v>
      </c>
      <c r="G18" s="368">
        <v>43350</v>
      </c>
      <c r="H18" s="80">
        <v>15</v>
      </c>
      <c r="I18" s="43">
        <v>276.98</v>
      </c>
      <c r="J18" s="43">
        <v>0.05</v>
      </c>
      <c r="K18" s="43">
        <f t="shared" si="1"/>
        <v>4154.6500000000005</v>
      </c>
    </row>
    <row r="19" spans="1:21" ht="20.25" thickBot="1" x14ac:dyDescent="0.35">
      <c r="B19" s="368">
        <v>43210</v>
      </c>
      <c r="C19" s="7">
        <v>15</v>
      </c>
      <c r="D19" s="43">
        <v>233.08</v>
      </c>
      <c r="E19" s="43">
        <v>0</v>
      </c>
      <c r="F19" s="43">
        <f t="shared" si="3"/>
        <v>3496.2000000000003</v>
      </c>
      <c r="O19" s="884" t="s">
        <v>78</v>
      </c>
      <c r="P19" s="884"/>
      <c r="T19" s="1">
        <v>43285</v>
      </c>
      <c r="U19" t="s">
        <v>1133</v>
      </c>
    </row>
    <row r="20" spans="1:21" ht="15.75" thickTop="1" x14ac:dyDescent="0.25">
      <c r="B20" s="368">
        <v>43276</v>
      </c>
      <c r="C20" s="7">
        <v>15</v>
      </c>
      <c r="D20" s="43">
        <v>242</v>
      </c>
      <c r="E20" s="43">
        <v>0</v>
      </c>
      <c r="F20" s="43">
        <f t="shared" si="3"/>
        <v>3630</v>
      </c>
      <c r="O20" s="81">
        <v>1.1000000000000001</v>
      </c>
      <c r="P20" s="81">
        <f>O20*$Q$4</f>
        <v>317.46000000000004</v>
      </c>
      <c r="T20" s="1">
        <v>43288</v>
      </c>
      <c r="U20" t="s">
        <v>1159</v>
      </c>
    </row>
    <row r="21" spans="1:21" x14ac:dyDescent="0.25">
      <c r="B21" s="368">
        <v>43283</v>
      </c>
      <c r="C21" s="7">
        <v>15</v>
      </c>
      <c r="D21" s="43">
        <v>231</v>
      </c>
      <c r="E21" s="43">
        <v>0</v>
      </c>
      <c r="F21" s="43">
        <f t="shared" si="3"/>
        <v>3465</v>
      </c>
      <c r="O21" s="81">
        <v>1.0900000000000001</v>
      </c>
      <c r="P21" s="81">
        <f t="shared" ref="P21:P40" si="4">O21*$Q$4</f>
        <v>314.57400000000007</v>
      </c>
    </row>
    <row r="22" spans="1:21" x14ac:dyDescent="0.25">
      <c r="B22" s="368">
        <v>43307</v>
      </c>
      <c r="C22" s="7">
        <v>15</v>
      </c>
      <c r="D22" s="43">
        <v>252.58</v>
      </c>
      <c r="E22" s="43">
        <v>0</v>
      </c>
      <c r="F22" s="43">
        <f t="shared" si="3"/>
        <v>3788.7000000000003</v>
      </c>
      <c r="O22" s="81">
        <v>1.08</v>
      </c>
      <c r="P22" s="81">
        <f t="shared" si="4"/>
        <v>311.68800000000005</v>
      </c>
      <c r="T22" s="693">
        <v>43314</v>
      </c>
      <c r="U22" t="s">
        <v>1232</v>
      </c>
    </row>
    <row r="23" spans="1:21" x14ac:dyDescent="0.25">
      <c r="B23" s="368">
        <v>43313</v>
      </c>
      <c r="C23" s="7">
        <v>15</v>
      </c>
      <c r="D23" s="43">
        <v>241.38</v>
      </c>
      <c r="E23" s="43">
        <v>0</v>
      </c>
      <c r="F23" s="43">
        <f t="shared" si="3"/>
        <v>3620.7</v>
      </c>
      <c r="O23" s="81">
        <v>1.07</v>
      </c>
      <c r="P23" s="81">
        <f t="shared" si="4"/>
        <v>308.80200000000002</v>
      </c>
    </row>
    <row r="24" spans="1:21" x14ac:dyDescent="0.25">
      <c r="C24" s="4"/>
      <c r="D24" s="3"/>
      <c r="E24" s="3"/>
      <c r="F24" s="3"/>
      <c r="O24" s="81">
        <v>1.06</v>
      </c>
      <c r="P24" s="81">
        <f t="shared" si="4"/>
        <v>305.91600000000005</v>
      </c>
      <c r="T24" s="156">
        <v>43342</v>
      </c>
      <c r="U24" t="s">
        <v>82</v>
      </c>
    </row>
    <row r="25" spans="1:21" x14ac:dyDescent="0.25">
      <c r="C25" s="4"/>
      <c r="D25" s="3"/>
      <c r="E25" s="3"/>
      <c r="F25" s="3"/>
      <c r="O25" s="81">
        <v>1.05</v>
      </c>
      <c r="P25" s="81">
        <f t="shared" si="4"/>
        <v>303.03000000000003</v>
      </c>
    </row>
    <row r="26" spans="1:21" x14ac:dyDescent="0.25">
      <c r="O26" s="81">
        <v>1.04</v>
      </c>
      <c r="P26" s="81">
        <f t="shared" si="4"/>
        <v>300.14400000000006</v>
      </c>
    </row>
    <row r="27" spans="1:21" x14ac:dyDescent="0.25">
      <c r="C27" s="4"/>
      <c r="D27" s="3"/>
      <c r="E27" s="3"/>
      <c r="F27" s="3"/>
      <c r="O27" s="81">
        <v>1.03</v>
      </c>
      <c r="P27" s="81">
        <f t="shared" si="4"/>
        <v>297.25800000000004</v>
      </c>
    </row>
    <row r="28" spans="1:21" x14ac:dyDescent="0.25">
      <c r="O28" s="81">
        <v>1.02</v>
      </c>
      <c r="P28" s="81">
        <f t="shared" si="4"/>
        <v>294.37200000000001</v>
      </c>
    </row>
    <row r="29" spans="1:21" x14ac:dyDescent="0.25">
      <c r="A29" s="31" t="s">
        <v>81</v>
      </c>
      <c r="B29" s="14"/>
      <c r="C29" s="14">
        <f>SUM(C2:C27)</f>
        <v>385</v>
      </c>
      <c r="D29" s="18"/>
      <c r="E29" s="18"/>
      <c r="F29" s="18">
        <f>SUM(F2:F27)</f>
        <v>83018</v>
      </c>
      <c r="G29" s="14"/>
      <c r="H29" s="71">
        <f>SUM(H2:H28)</f>
        <v>385</v>
      </c>
      <c r="I29" s="18"/>
      <c r="J29" s="18"/>
      <c r="K29" s="18">
        <f>SUM(K2:K28)</f>
        <v>87872.349999999977</v>
      </c>
      <c r="L29" s="14"/>
      <c r="M29" s="18">
        <f>SUM(M2:M10)</f>
        <v>0</v>
      </c>
      <c r="O29" s="81">
        <v>1.01</v>
      </c>
      <c r="P29" s="81">
        <f t="shared" si="4"/>
        <v>291.48600000000005</v>
      </c>
    </row>
    <row r="30" spans="1:21" ht="15.75" thickBot="1" x14ac:dyDescent="0.3">
      <c r="A30" s="277" t="s">
        <v>191</v>
      </c>
      <c r="B30" s="278"/>
      <c r="C30" s="279">
        <f>SumByColor($A$30,C2:C28)</f>
        <v>385</v>
      </c>
      <c r="D30" s="279"/>
      <c r="E30" s="279"/>
      <c r="F30" s="280">
        <f>SumByColor($A$30,F2:F28)</f>
        <v>83018</v>
      </c>
      <c r="G30" s="279"/>
      <c r="H30" s="279">
        <f>SumByColor($A$30,H2:H28)</f>
        <v>385</v>
      </c>
      <c r="I30" s="279"/>
      <c r="J30" s="279"/>
      <c r="K30" s="280">
        <f>SumByColor($A$30,K2:K28)</f>
        <v>87873</v>
      </c>
      <c r="L30" s="279"/>
      <c r="M30" s="280">
        <f>SumByColor($A$30,M2:M28)</f>
        <v>0</v>
      </c>
      <c r="O30" s="81">
        <v>1</v>
      </c>
      <c r="P30" s="81">
        <f t="shared" si="4"/>
        <v>288.60000000000002</v>
      </c>
    </row>
    <row r="31" spans="1:21" x14ac:dyDescent="0.25">
      <c r="O31" s="81">
        <v>0.99</v>
      </c>
      <c r="P31" s="81">
        <f t="shared" si="4"/>
        <v>285.714</v>
      </c>
    </row>
    <row r="32" spans="1:21" x14ac:dyDescent="0.25">
      <c r="O32" s="81">
        <v>0.98</v>
      </c>
      <c r="P32" s="81">
        <f t="shared" si="4"/>
        <v>282.82800000000003</v>
      </c>
    </row>
    <row r="33" spans="1:17" x14ac:dyDescent="0.25">
      <c r="O33" s="81">
        <v>0.97</v>
      </c>
      <c r="P33" s="81">
        <f t="shared" si="4"/>
        <v>279.94200000000001</v>
      </c>
    </row>
    <row r="34" spans="1:17" x14ac:dyDescent="0.25">
      <c r="O34" s="81">
        <v>0.96</v>
      </c>
      <c r="P34" s="81">
        <f t="shared" si="4"/>
        <v>277.05599999999998</v>
      </c>
    </row>
    <row r="35" spans="1:17" x14ac:dyDescent="0.25">
      <c r="B35" s="162" t="s">
        <v>113</v>
      </c>
      <c r="C35" s="162" t="s">
        <v>145</v>
      </c>
      <c r="D35" s="163" t="s">
        <v>144</v>
      </c>
      <c r="E35" s="165" t="s">
        <v>146</v>
      </c>
      <c r="F35" s="165" t="s">
        <v>65</v>
      </c>
      <c r="G35" s="177" t="s">
        <v>150</v>
      </c>
      <c r="H35" s="177" t="s">
        <v>88</v>
      </c>
      <c r="I35" s="177" t="s">
        <v>153</v>
      </c>
      <c r="J35" s="177" t="s">
        <v>149</v>
      </c>
      <c r="K35" s="177" t="s">
        <v>487</v>
      </c>
      <c r="L35" s="177" t="s">
        <v>947</v>
      </c>
      <c r="O35" s="81">
        <v>0.95</v>
      </c>
      <c r="P35" s="81">
        <f t="shared" si="4"/>
        <v>274.17</v>
      </c>
    </row>
    <row r="36" spans="1:17" x14ac:dyDescent="0.25">
      <c r="B36" s="164">
        <v>43021</v>
      </c>
      <c r="C36" s="10">
        <v>30</v>
      </c>
      <c r="D36" s="39">
        <v>189.32</v>
      </c>
      <c r="E36" s="39">
        <v>198.58</v>
      </c>
      <c r="F36" s="39">
        <f t="shared" ref="F36:F44" si="5">C36*(E36-D36)</f>
        <v>277.80000000000058</v>
      </c>
      <c r="G36" s="39">
        <f t="shared" ref="G36:G44" si="6">D36*C36</f>
        <v>5679.5999999999995</v>
      </c>
      <c r="H36" s="179">
        <f t="shared" ref="H36:H44" si="7">(E36-D36)/D36</f>
        <v>4.8911895203887702E-2</v>
      </c>
      <c r="I36" s="39"/>
      <c r="J36" s="39"/>
      <c r="K36" s="39"/>
      <c r="L36" s="39"/>
      <c r="O36" s="81">
        <v>0.94</v>
      </c>
      <c r="P36" s="81">
        <f t="shared" si="4"/>
        <v>271.28399999999999</v>
      </c>
    </row>
    <row r="37" spans="1:17" x14ac:dyDescent="0.25">
      <c r="B37" s="164">
        <v>43031</v>
      </c>
      <c r="C37" s="10">
        <v>30</v>
      </c>
      <c r="D37" s="39">
        <v>189.32</v>
      </c>
      <c r="E37" s="39">
        <v>202.36</v>
      </c>
      <c r="F37" s="39">
        <f t="shared" si="5"/>
        <v>391.20000000000061</v>
      </c>
      <c r="G37" s="39">
        <f t="shared" si="6"/>
        <v>5679.5999999999995</v>
      </c>
      <c r="H37" s="179">
        <f t="shared" si="7"/>
        <v>6.8878090006338585E-2</v>
      </c>
      <c r="I37" s="39"/>
      <c r="J37" s="39"/>
      <c r="K37" s="39"/>
      <c r="L37" s="39"/>
      <c r="O37" s="81">
        <v>0.93</v>
      </c>
      <c r="P37" s="81">
        <f t="shared" si="4"/>
        <v>268.39800000000002</v>
      </c>
    </row>
    <row r="38" spans="1:17" x14ac:dyDescent="0.25">
      <c r="B38" s="164">
        <v>43102</v>
      </c>
      <c r="C38" s="10">
        <v>30</v>
      </c>
      <c r="D38" s="39">
        <v>189.32</v>
      </c>
      <c r="E38" s="39">
        <v>229.63</v>
      </c>
      <c r="F38" s="39">
        <f t="shared" si="5"/>
        <v>1209.3000000000002</v>
      </c>
      <c r="G38" s="39">
        <f t="shared" si="6"/>
        <v>5679.5999999999995</v>
      </c>
      <c r="H38" s="179">
        <f t="shared" si="7"/>
        <v>0.21291992393830553</v>
      </c>
      <c r="I38" s="39"/>
      <c r="J38" s="39">
        <f>F38+$M$91</f>
        <v>1434.0700000000006</v>
      </c>
      <c r="K38" s="39"/>
      <c r="L38" s="155"/>
      <c r="O38" s="81">
        <v>0.92</v>
      </c>
      <c r="P38" s="81">
        <f t="shared" si="4"/>
        <v>265.51200000000006</v>
      </c>
    </row>
    <row r="39" spans="1:17" x14ac:dyDescent="0.25">
      <c r="B39" s="164">
        <v>43103</v>
      </c>
      <c r="C39" s="10">
        <v>20</v>
      </c>
      <c r="D39" s="39">
        <v>164.98249999999999</v>
      </c>
      <c r="E39" s="39">
        <v>245.12</v>
      </c>
      <c r="F39" s="39">
        <f t="shared" si="5"/>
        <v>1602.7500000000005</v>
      </c>
      <c r="G39" s="39">
        <f t="shared" si="6"/>
        <v>3299.6499999999996</v>
      </c>
      <c r="H39" s="179">
        <f t="shared" si="7"/>
        <v>0.4857333353537498</v>
      </c>
      <c r="I39" s="39"/>
      <c r="J39" s="39">
        <f>F39+$M$91</f>
        <v>1827.5200000000009</v>
      </c>
      <c r="K39" s="39"/>
      <c r="L39" s="155"/>
      <c r="O39" s="81">
        <v>0.91</v>
      </c>
      <c r="P39" s="81">
        <f t="shared" si="4"/>
        <v>262.62600000000003</v>
      </c>
    </row>
    <row r="40" spans="1:17" x14ac:dyDescent="0.25">
      <c r="B40" s="164">
        <v>43105</v>
      </c>
      <c r="C40" s="10">
        <v>20</v>
      </c>
      <c r="D40" s="39">
        <v>164.98249999999999</v>
      </c>
      <c r="E40" s="39">
        <v>237.96</v>
      </c>
      <c r="F40" s="39">
        <f t="shared" si="5"/>
        <v>1459.5500000000004</v>
      </c>
      <c r="G40" s="39">
        <f t="shared" si="6"/>
        <v>3299.6499999999996</v>
      </c>
      <c r="H40" s="179">
        <f t="shared" si="7"/>
        <v>0.44233479308411516</v>
      </c>
      <c r="I40" s="39"/>
      <c r="J40" s="39">
        <f>F40+$M$91</f>
        <v>1684.3200000000008</v>
      </c>
      <c r="K40" s="39"/>
      <c r="L40" s="155"/>
      <c r="O40" s="81">
        <v>0.9</v>
      </c>
      <c r="P40" s="81">
        <f t="shared" si="4"/>
        <v>259.74</v>
      </c>
    </row>
    <row r="41" spans="1:17" x14ac:dyDescent="0.25">
      <c r="A41">
        <v>20</v>
      </c>
      <c r="B41" s="164">
        <v>43108</v>
      </c>
      <c r="C41" s="10">
        <v>35</v>
      </c>
      <c r="D41" s="39">
        <v>193.78139999999999</v>
      </c>
      <c r="E41" s="39">
        <v>231.14</v>
      </c>
      <c r="F41" s="39">
        <f t="shared" si="5"/>
        <v>1307.5509999999999</v>
      </c>
      <c r="G41" s="39">
        <f t="shared" si="6"/>
        <v>6782.3489999999993</v>
      </c>
      <c r="H41" s="179">
        <f t="shared" si="7"/>
        <v>0.19278733665872988</v>
      </c>
      <c r="I41" s="39"/>
      <c r="J41" s="39">
        <v>1532</v>
      </c>
      <c r="K41" s="39"/>
      <c r="L41" s="155"/>
      <c r="Q41" s="2"/>
    </row>
    <row r="42" spans="1:17" x14ac:dyDescent="0.25">
      <c r="B42" s="164">
        <v>43112</v>
      </c>
      <c r="C42" s="10">
        <v>20</v>
      </c>
      <c r="D42" s="39">
        <v>162.9615</v>
      </c>
      <c r="E42" s="39">
        <v>237.35</v>
      </c>
      <c r="F42" s="39">
        <f t="shared" si="5"/>
        <v>1487.77</v>
      </c>
      <c r="G42" s="39">
        <f t="shared" si="6"/>
        <v>3259.23</v>
      </c>
      <c r="H42" s="179">
        <f t="shared" si="7"/>
        <v>0.45647898429997263</v>
      </c>
      <c r="I42" s="39"/>
      <c r="J42" s="39">
        <v>1712.54</v>
      </c>
      <c r="K42" s="39"/>
      <c r="L42" s="155"/>
      <c r="Q42" s="2"/>
    </row>
    <row r="43" spans="1:17" x14ac:dyDescent="0.25">
      <c r="A43">
        <v>5</v>
      </c>
      <c r="B43" s="164">
        <v>43122</v>
      </c>
      <c r="C43" s="10">
        <v>35</v>
      </c>
      <c r="D43" s="39">
        <v>193.35509999999999</v>
      </c>
      <c r="E43" s="39">
        <v>235.01</v>
      </c>
      <c r="F43" s="39">
        <f t="shared" si="5"/>
        <v>1457.9214999999999</v>
      </c>
      <c r="G43" s="39">
        <f t="shared" si="6"/>
        <v>6767.4285</v>
      </c>
      <c r="H43" s="179">
        <f t="shared" si="7"/>
        <v>0.21543212462458969</v>
      </c>
      <c r="I43" s="39"/>
      <c r="J43" s="39">
        <v>1683</v>
      </c>
      <c r="K43" s="39"/>
      <c r="L43" s="155"/>
      <c r="Q43" s="2"/>
    </row>
    <row r="44" spans="1:17" x14ac:dyDescent="0.25">
      <c r="A44">
        <v>5</v>
      </c>
      <c r="B44" s="164">
        <v>43123</v>
      </c>
      <c r="C44" s="10">
        <v>45</v>
      </c>
      <c r="D44" s="39">
        <v>201.24959999999999</v>
      </c>
      <c r="E44" s="39">
        <v>228.79</v>
      </c>
      <c r="F44" s="39">
        <f t="shared" si="5"/>
        <v>1239.3180000000002</v>
      </c>
      <c r="G44" s="39">
        <f t="shared" si="6"/>
        <v>9056.232</v>
      </c>
      <c r="H44" s="179">
        <f t="shared" si="7"/>
        <v>0.13684698006853185</v>
      </c>
      <c r="I44" s="39"/>
      <c r="J44" s="39">
        <v>1464</v>
      </c>
      <c r="K44" s="39"/>
      <c r="L44" s="155"/>
      <c r="Q44" s="2"/>
    </row>
    <row r="45" spans="1:17" x14ac:dyDescent="0.25">
      <c r="B45" s="164">
        <v>43124</v>
      </c>
      <c r="C45" s="10">
        <v>45</v>
      </c>
      <c r="D45" s="39">
        <v>201.24959999999999</v>
      </c>
      <c r="E45" s="39">
        <v>224.31</v>
      </c>
      <c r="F45" s="39">
        <f t="shared" ref="F45:F50" si="8">C45*(E45-D45)</f>
        <v>1037.7180000000008</v>
      </c>
      <c r="G45" s="39">
        <f t="shared" ref="G45:G50" si="9">D45*C45</f>
        <v>9056.232</v>
      </c>
      <c r="H45" s="179">
        <f t="shared" ref="H45:H50" si="10">(E45-D45)/D45</f>
        <v>0.11458606625801998</v>
      </c>
      <c r="I45" s="39"/>
      <c r="J45" s="39">
        <v>1262</v>
      </c>
      <c r="K45" s="39"/>
      <c r="L45" s="155"/>
      <c r="Q45" s="2"/>
    </row>
    <row r="46" spans="1:17" x14ac:dyDescent="0.25">
      <c r="A46">
        <v>5</v>
      </c>
      <c r="B46" s="164">
        <v>43132</v>
      </c>
      <c r="C46" s="10">
        <v>55</v>
      </c>
      <c r="D46" s="39">
        <v>204.66</v>
      </c>
      <c r="E46" s="39">
        <v>219.4</v>
      </c>
      <c r="F46" s="39">
        <f t="shared" si="8"/>
        <v>810.7000000000005</v>
      </c>
      <c r="G46" s="39">
        <f t="shared" si="9"/>
        <v>11256.3</v>
      </c>
      <c r="H46" s="179">
        <f t="shared" si="10"/>
        <v>7.2021889963842511E-2</v>
      </c>
      <c r="I46" s="39"/>
      <c r="J46" s="39">
        <v>1036</v>
      </c>
      <c r="K46" s="39"/>
      <c r="L46" s="155"/>
      <c r="Q46" s="2"/>
    </row>
    <row r="47" spans="1:17" x14ac:dyDescent="0.25">
      <c r="A47">
        <v>5</v>
      </c>
      <c r="B47" s="164">
        <v>43137</v>
      </c>
      <c r="C47" s="7">
        <v>100</v>
      </c>
      <c r="D47" s="43">
        <v>206.1</v>
      </c>
      <c r="E47" s="39">
        <v>218.59</v>
      </c>
      <c r="F47" s="39">
        <f t="shared" si="8"/>
        <v>1249.0000000000009</v>
      </c>
      <c r="G47" s="39">
        <f t="shared" si="9"/>
        <v>20610</v>
      </c>
      <c r="H47" s="179">
        <f t="shared" si="10"/>
        <v>6.060164968461916E-2</v>
      </c>
      <c r="I47" s="39"/>
      <c r="J47" s="39">
        <v>1473</v>
      </c>
      <c r="K47" s="39"/>
      <c r="L47" s="39"/>
      <c r="Q47" s="2"/>
    </row>
    <row r="48" spans="1:17" x14ac:dyDescent="0.25">
      <c r="B48" s="164">
        <v>43140</v>
      </c>
      <c r="C48" s="10">
        <v>110</v>
      </c>
      <c r="D48" s="39">
        <v>206.08</v>
      </c>
      <c r="E48" s="39">
        <v>218.55</v>
      </c>
      <c r="F48" s="39">
        <f t="shared" si="8"/>
        <v>1371.6999999999998</v>
      </c>
      <c r="G48" s="39">
        <f t="shared" si="9"/>
        <v>22668.800000000003</v>
      </c>
      <c r="H48" s="179">
        <f t="shared" si="10"/>
        <v>6.0510481366459618E-2</v>
      </c>
      <c r="I48" s="39"/>
      <c r="J48" s="39"/>
      <c r="K48" s="39"/>
      <c r="L48" s="39"/>
      <c r="Q48" s="2"/>
    </row>
    <row r="49" spans="1:17" x14ac:dyDescent="0.25">
      <c r="A49">
        <v>0</v>
      </c>
      <c r="B49" s="164">
        <v>43140</v>
      </c>
      <c r="C49" s="10">
        <v>55</v>
      </c>
      <c r="D49" s="39">
        <v>195.89</v>
      </c>
      <c r="E49" s="39">
        <v>218.55</v>
      </c>
      <c r="F49" s="39">
        <f t="shared" si="8"/>
        <v>1246.3000000000013</v>
      </c>
      <c r="G49" s="39">
        <f t="shared" si="9"/>
        <v>10773.949999999999</v>
      </c>
      <c r="H49" s="179">
        <f t="shared" si="10"/>
        <v>0.11567716575629193</v>
      </c>
      <c r="I49" s="39"/>
      <c r="J49" s="39">
        <v>1471</v>
      </c>
      <c r="K49" s="39"/>
      <c r="L49" s="39"/>
      <c r="Q49" s="2"/>
    </row>
    <row r="50" spans="1:17" x14ac:dyDescent="0.25">
      <c r="B50" s="164">
        <v>43143</v>
      </c>
      <c r="C50" s="10">
        <v>100</v>
      </c>
      <c r="D50" s="39">
        <v>200.78800000000001</v>
      </c>
      <c r="E50" s="39">
        <v>209.48</v>
      </c>
      <c r="F50" s="39">
        <f t="shared" si="8"/>
        <v>869.19999999999789</v>
      </c>
      <c r="G50" s="39">
        <f t="shared" si="9"/>
        <v>20078.800000000003</v>
      </c>
      <c r="H50" s="179">
        <f t="shared" si="10"/>
        <v>4.328943960794459E-2</v>
      </c>
      <c r="I50" s="39"/>
      <c r="J50" s="39">
        <v>1094</v>
      </c>
      <c r="K50" s="39"/>
      <c r="L50" s="39"/>
      <c r="Q50" s="2"/>
    </row>
    <row r="51" spans="1:17" x14ac:dyDescent="0.25">
      <c r="B51" s="164">
        <v>43150</v>
      </c>
      <c r="C51" s="10">
        <v>100</v>
      </c>
      <c r="D51" s="39">
        <v>200.78800000000001</v>
      </c>
      <c r="E51" s="39">
        <v>203.15</v>
      </c>
      <c r="F51" s="39">
        <f>C51*(E51-D51)</f>
        <v>236.19999999999948</v>
      </c>
      <c r="G51" s="39">
        <f>D51*C51</f>
        <v>20078.800000000003</v>
      </c>
      <c r="H51" s="179">
        <f>(E51-D51)/D51</f>
        <v>1.1763651214215963E-2</v>
      </c>
      <c r="I51" s="39"/>
      <c r="J51" s="39">
        <v>461</v>
      </c>
      <c r="K51" s="39"/>
      <c r="L51" s="39"/>
      <c r="Q51" s="2"/>
    </row>
    <row r="52" spans="1:17" x14ac:dyDescent="0.25">
      <c r="A52" s="29">
        <v>43168</v>
      </c>
      <c r="B52" s="164">
        <v>43156</v>
      </c>
      <c r="C52" s="10">
        <v>100</v>
      </c>
      <c r="D52" s="39">
        <v>200.78800000000001</v>
      </c>
      <c r="E52" s="39">
        <v>207.11</v>
      </c>
      <c r="F52" s="39">
        <f>C52*(E52-D52)</f>
        <v>632.20000000000027</v>
      </c>
      <c r="G52" s="39">
        <f>D52*C52</f>
        <v>20078.800000000003</v>
      </c>
      <c r="H52" s="179">
        <f>(E52-D52)/D52</f>
        <v>3.148594537522164E-2</v>
      </c>
      <c r="I52" s="39"/>
      <c r="J52" s="39">
        <v>857</v>
      </c>
      <c r="K52" s="39"/>
      <c r="L52" s="39"/>
      <c r="Q52" s="2"/>
    </row>
    <row r="53" spans="1:17" x14ac:dyDescent="0.25">
      <c r="B53" s="164">
        <v>43157</v>
      </c>
      <c r="C53" s="10">
        <v>115</v>
      </c>
      <c r="D53" s="39">
        <v>200.63040000000001</v>
      </c>
      <c r="E53" s="39">
        <v>198.93</v>
      </c>
      <c r="F53" s="39">
        <f>C53*(E53-D53)</f>
        <v>-195.54600000000022</v>
      </c>
      <c r="G53" s="39">
        <f>D53*C53</f>
        <v>23072.495999999999</v>
      </c>
      <c r="H53" s="179">
        <f>(E53-D53)/D53</f>
        <v>-8.4752858988468432E-3</v>
      </c>
      <c r="I53" s="39"/>
      <c r="J53" s="39">
        <v>29</v>
      </c>
      <c r="K53" s="39"/>
      <c r="L53" s="39"/>
      <c r="Q53" s="2"/>
    </row>
    <row r="54" spans="1:17" x14ac:dyDescent="0.25">
      <c r="B54" s="164">
        <v>43161</v>
      </c>
      <c r="C54" s="10">
        <v>130</v>
      </c>
      <c r="D54" s="39">
        <v>199.98</v>
      </c>
      <c r="E54" s="39">
        <v>194.98</v>
      </c>
      <c r="F54" s="39">
        <f>C54*(E54-D54)</f>
        <v>-650</v>
      </c>
      <c r="G54" s="39">
        <f>D54*C54</f>
        <v>25997.399999999998</v>
      </c>
      <c r="H54" s="179">
        <f>(E54-D54)/D54</f>
        <v>-2.5002500250025005E-2</v>
      </c>
      <c r="I54" s="39"/>
      <c r="J54" s="39">
        <v>-425</v>
      </c>
      <c r="K54" s="39"/>
      <c r="L54" s="39"/>
    </row>
    <row r="55" spans="1:17" x14ac:dyDescent="0.25">
      <c r="B55" s="164">
        <v>43165</v>
      </c>
      <c r="C55" s="10">
        <v>130</v>
      </c>
      <c r="D55" s="39">
        <v>199.98</v>
      </c>
      <c r="E55" s="39">
        <v>200.22</v>
      </c>
      <c r="F55" s="39">
        <f t="shared" ref="F55:F60" si="11">C55*(E55-D55)</f>
        <v>31.200000000001182</v>
      </c>
      <c r="G55" s="39">
        <f t="shared" ref="G55:G60" si="12">D55*C55</f>
        <v>25997.399999999998</v>
      </c>
      <c r="H55" s="179">
        <f t="shared" ref="H55:H60" si="13">(E55-D55)/D55</f>
        <v>1.2001200120012457E-3</v>
      </c>
      <c r="I55" s="39"/>
      <c r="J55" s="39">
        <v>256</v>
      </c>
      <c r="K55" s="39"/>
      <c r="L55" s="39"/>
    </row>
    <row r="56" spans="1:17" x14ac:dyDescent="0.25">
      <c r="B56" s="164">
        <v>43167</v>
      </c>
      <c r="C56" s="7">
        <v>100</v>
      </c>
      <c r="D56" s="43">
        <v>198.32</v>
      </c>
      <c r="E56" s="39">
        <v>205.5</v>
      </c>
      <c r="F56" s="39">
        <f t="shared" si="11"/>
        <v>718.00000000000068</v>
      </c>
      <c r="G56" s="39">
        <f t="shared" si="12"/>
        <v>19832</v>
      </c>
      <c r="H56" s="179">
        <f t="shared" si="13"/>
        <v>3.6204114562323551E-2</v>
      </c>
      <c r="I56" s="39"/>
      <c r="J56" s="39">
        <v>942</v>
      </c>
      <c r="K56" s="39"/>
      <c r="L56" s="39"/>
    </row>
    <row r="57" spans="1:17" x14ac:dyDescent="0.25">
      <c r="B57" s="164">
        <v>43172</v>
      </c>
      <c r="C57" s="10">
        <v>75</v>
      </c>
      <c r="D57" s="39">
        <v>193.37</v>
      </c>
      <c r="E57" s="39">
        <v>213.18</v>
      </c>
      <c r="F57" s="39">
        <f t="shared" si="11"/>
        <v>1485.7500000000002</v>
      </c>
      <c r="G57" s="39">
        <f t="shared" si="12"/>
        <v>14502.75</v>
      </c>
      <c r="H57" s="179">
        <f t="shared" si="13"/>
        <v>0.10244608781093242</v>
      </c>
      <c r="I57" s="39"/>
      <c r="J57" s="39">
        <v>1710</v>
      </c>
      <c r="K57" s="39"/>
      <c r="L57" s="39"/>
    </row>
    <row r="58" spans="1:17" x14ac:dyDescent="0.25">
      <c r="A58" s="1">
        <v>43174</v>
      </c>
      <c r="B58" s="164">
        <v>43172</v>
      </c>
      <c r="C58" s="7">
        <v>100</v>
      </c>
      <c r="D58" s="43">
        <v>197.35</v>
      </c>
      <c r="E58" s="39">
        <v>208.4</v>
      </c>
      <c r="F58" s="39">
        <f t="shared" si="11"/>
        <v>1105.0000000000011</v>
      </c>
      <c r="G58" s="39">
        <f t="shared" si="12"/>
        <v>19735</v>
      </c>
      <c r="H58" s="179">
        <f t="shared" si="13"/>
        <v>5.5991892576640542E-2</v>
      </c>
      <c r="I58" s="39"/>
      <c r="J58" s="39">
        <v>1330</v>
      </c>
      <c r="K58" s="39"/>
      <c r="L58" s="39"/>
    </row>
    <row r="59" spans="1:17" x14ac:dyDescent="0.25">
      <c r="B59" s="164">
        <v>43176</v>
      </c>
      <c r="C59" s="10">
        <v>55</v>
      </c>
      <c r="D59" s="39">
        <v>178</v>
      </c>
      <c r="E59" s="39">
        <v>221.88</v>
      </c>
      <c r="F59" s="39">
        <f t="shared" si="11"/>
        <v>2413.3999999999996</v>
      </c>
      <c r="G59" s="39">
        <f t="shared" si="12"/>
        <v>9790</v>
      </c>
      <c r="H59" s="179">
        <f t="shared" si="13"/>
        <v>0.24651685393258424</v>
      </c>
      <c r="I59" s="39"/>
      <c r="J59" s="39">
        <v>2638</v>
      </c>
      <c r="K59" s="39"/>
      <c r="L59" s="39"/>
    </row>
    <row r="60" spans="1:17" x14ac:dyDescent="0.25">
      <c r="A60" s="1">
        <v>43188</v>
      </c>
      <c r="B60" s="164">
        <v>43178</v>
      </c>
      <c r="C60" s="10">
        <v>100</v>
      </c>
      <c r="D60" s="39">
        <v>195.5</v>
      </c>
      <c r="E60" s="39">
        <v>216.88</v>
      </c>
      <c r="F60" s="39">
        <f t="shared" si="11"/>
        <v>2137.9999999999995</v>
      </c>
      <c r="G60" s="39">
        <f t="shared" si="12"/>
        <v>19550</v>
      </c>
      <c r="H60" s="179">
        <f t="shared" si="13"/>
        <v>0.10936061381074166</v>
      </c>
      <c r="I60" s="39"/>
      <c r="J60" s="39">
        <v>2363</v>
      </c>
      <c r="K60" s="39"/>
      <c r="L60" s="39"/>
    </row>
    <row r="61" spans="1:17" x14ac:dyDescent="0.25">
      <c r="A61">
        <v>0</v>
      </c>
      <c r="B61" s="164">
        <v>43185</v>
      </c>
      <c r="C61" s="10">
        <v>100</v>
      </c>
      <c r="D61" s="39">
        <v>195.5</v>
      </c>
      <c r="E61" s="39">
        <v>207.9</v>
      </c>
      <c r="F61" s="39">
        <f>C61*(E61-D61)</f>
        <v>1240.0000000000005</v>
      </c>
      <c r="G61" s="39">
        <f>D61*C61</f>
        <v>19550</v>
      </c>
      <c r="H61" s="179">
        <f>(E61-D61)/D61</f>
        <v>6.3427109974424578E-2</v>
      </c>
      <c r="I61" s="39"/>
      <c r="J61" s="39">
        <v>1465</v>
      </c>
      <c r="K61" s="39"/>
      <c r="L61" s="39"/>
    </row>
    <row r="62" spans="1:17" x14ac:dyDescent="0.25">
      <c r="A62">
        <v>0</v>
      </c>
      <c r="B62" s="164">
        <v>43186</v>
      </c>
      <c r="C62" s="7">
        <v>100</v>
      </c>
      <c r="D62" s="43">
        <v>195.5</v>
      </c>
      <c r="E62" s="39">
        <v>204.92</v>
      </c>
      <c r="F62" s="39">
        <f t="shared" ref="F62:F72" si="14">C62*(E62-D62)</f>
        <v>941.99999999999875</v>
      </c>
      <c r="G62" s="39">
        <f t="shared" ref="G62:G68" si="15">D62*C62</f>
        <v>19550</v>
      </c>
      <c r="H62" s="179">
        <f t="shared" ref="H62:H68" si="16">(E62-D62)/D62</f>
        <v>4.8184143222506332E-2</v>
      </c>
      <c r="I62" s="39"/>
      <c r="J62" s="39">
        <v>1167</v>
      </c>
      <c r="K62" s="39"/>
      <c r="L62" s="39"/>
    </row>
    <row r="63" spans="1:17" x14ac:dyDescent="0.25">
      <c r="A63">
        <v>0</v>
      </c>
      <c r="B63" s="164">
        <v>43196</v>
      </c>
      <c r="C63" s="10">
        <v>70</v>
      </c>
      <c r="D63" s="39">
        <v>188.51</v>
      </c>
      <c r="E63" s="39">
        <v>211.8</v>
      </c>
      <c r="F63" s="39">
        <f t="shared" si="14"/>
        <v>1630.3000000000015</v>
      </c>
      <c r="G63" s="39">
        <f t="shared" si="15"/>
        <v>13195.699999999999</v>
      </c>
      <c r="H63" s="179">
        <f t="shared" si="16"/>
        <v>0.12354782239668995</v>
      </c>
      <c r="I63" s="39"/>
      <c r="J63" s="39">
        <v>1855</v>
      </c>
      <c r="K63" s="39"/>
      <c r="L63" s="39"/>
    </row>
    <row r="64" spans="1:17" x14ac:dyDescent="0.25">
      <c r="A64">
        <v>0</v>
      </c>
      <c r="B64" s="164">
        <v>43196</v>
      </c>
      <c r="C64" s="7">
        <v>100</v>
      </c>
      <c r="D64" s="43">
        <v>194.26</v>
      </c>
      <c r="E64" s="39">
        <v>207.68</v>
      </c>
      <c r="F64" s="39">
        <f t="shared" si="14"/>
        <v>1342.0000000000016</v>
      </c>
      <c r="G64" s="39">
        <f t="shared" si="15"/>
        <v>19426</v>
      </c>
      <c r="H64" s="179">
        <f t="shared" si="16"/>
        <v>6.908267270668185E-2</v>
      </c>
      <c r="I64" s="39"/>
      <c r="J64" s="39">
        <v>1566</v>
      </c>
      <c r="K64" s="39"/>
      <c r="L64" s="39"/>
    </row>
    <row r="65" spans="1:12" x14ac:dyDescent="0.25">
      <c r="A65" s="4">
        <v>0</v>
      </c>
      <c r="B65" s="164">
        <v>43196</v>
      </c>
      <c r="C65" s="10">
        <v>70</v>
      </c>
      <c r="D65" s="39">
        <v>187.95</v>
      </c>
      <c r="E65" s="39">
        <v>208.26</v>
      </c>
      <c r="F65" s="39">
        <f t="shared" si="14"/>
        <v>1421.7000000000003</v>
      </c>
      <c r="G65" s="39">
        <f t="shared" si="15"/>
        <v>13156.5</v>
      </c>
      <c r="H65" s="179">
        <f t="shared" si="16"/>
        <v>0.10806065442936953</v>
      </c>
      <c r="I65" s="39"/>
      <c r="J65" s="39">
        <v>1646</v>
      </c>
      <c r="K65" s="39">
        <v>51</v>
      </c>
      <c r="L65" s="39">
        <v>21.27</v>
      </c>
    </row>
    <row r="66" spans="1:12" x14ac:dyDescent="0.25">
      <c r="A66" s="4">
        <v>25</v>
      </c>
      <c r="B66" s="164">
        <v>43210</v>
      </c>
      <c r="C66" s="10">
        <v>55</v>
      </c>
      <c r="D66" s="39">
        <v>175.01</v>
      </c>
      <c r="E66" s="39">
        <v>235.4</v>
      </c>
      <c r="F66" s="39">
        <f t="shared" si="14"/>
        <v>3321.4500000000007</v>
      </c>
      <c r="G66" s="39">
        <f t="shared" si="15"/>
        <v>9625.5499999999993</v>
      </c>
      <c r="H66" s="179">
        <f t="shared" si="16"/>
        <v>0.34506599622878703</v>
      </c>
      <c r="I66" s="39"/>
      <c r="J66" s="39">
        <v>3478</v>
      </c>
      <c r="K66" s="39"/>
      <c r="L66" s="39"/>
    </row>
    <row r="67" spans="1:12" x14ac:dyDescent="0.25">
      <c r="A67" s="4">
        <v>25</v>
      </c>
      <c r="B67" s="164">
        <v>43210</v>
      </c>
      <c r="C67" s="10">
        <v>70</v>
      </c>
      <c r="D67" s="39">
        <v>187.45</v>
      </c>
      <c r="E67" s="39">
        <v>233.08</v>
      </c>
      <c r="F67" s="39">
        <f t="shared" si="14"/>
        <v>3194.1000000000017</v>
      </c>
      <c r="G67" s="39">
        <f t="shared" si="15"/>
        <v>13121.5</v>
      </c>
      <c r="H67" s="179">
        <f t="shared" si="16"/>
        <v>0.24342491331021621</v>
      </c>
      <c r="I67" s="39"/>
      <c r="J67" s="39">
        <v>3419</v>
      </c>
      <c r="K67" s="39"/>
      <c r="L67" s="39"/>
    </row>
    <row r="68" spans="1:12" x14ac:dyDescent="0.25">
      <c r="A68" s="4">
        <v>10</v>
      </c>
      <c r="B68" s="164">
        <v>43210</v>
      </c>
      <c r="C68" s="10">
        <v>55</v>
      </c>
      <c r="D68" s="39">
        <v>174.3</v>
      </c>
      <c r="E68" s="39">
        <v>233.68</v>
      </c>
      <c r="F68" s="39">
        <f t="shared" si="14"/>
        <v>3265.8999999999996</v>
      </c>
      <c r="G68" s="39">
        <f t="shared" si="15"/>
        <v>9586.5</v>
      </c>
      <c r="H68" s="179">
        <f t="shared" si="16"/>
        <v>0.34067699368904181</v>
      </c>
      <c r="I68" s="39">
        <v>170</v>
      </c>
      <c r="J68" s="39">
        <v>3491</v>
      </c>
      <c r="K68" s="39"/>
      <c r="L68" s="39"/>
    </row>
    <row r="69" spans="1:12" x14ac:dyDescent="0.25">
      <c r="A69" s="4">
        <v>0</v>
      </c>
      <c r="B69" s="164">
        <v>43216</v>
      </c>
      <c r="C69" s="10">
        <v>45</v>
      </c>
      <c r="D69" s="39">
        <v>159.1311</v>
      </c>
      <c r="E69" s="39">
        <v>243.61</v>
      </c>
      <c r="F69" s="39">
        <f t="shared" si="14"/>
        <v>3801.5505000000003</v>
      </c>
      <c r="G69" s="39">
        <f t="shared" ref="G69:G76" si="17">D69*C69</f>
        <v>7160.8995000000004</v>
      </c>
      <c r="H69" s="179">
        <f t="shared" ref="H69:H76" si="18">(E69-D69)/D69</f>
        <v>0.53087611409711877</v>
      </c>
      <c r="I69" s="39"/>
      <c r="J69" s="39">
        <v>3491</v>
      </c>
      <c r="K69" s="39"/>
      <c r="L69" s="39"/>
    </row>
    <row r="70" spans="1:12" x14ac:dyDescent="0.25">
      <c r="A70" s="4">
        <v>0</v>
      </c>
      <c r="B70" s="164">
        <v>43217</v>
      </c>
      <c r="C70" s="10">
        <v>45</v>
      </c>
      <c r="D70" s="39">
        <v>159.13</v>
      </c>
      <c r="E70" s="39">
        <v>248.81</v>
      </c>
      <c r="F70" s="39">
        <f t="shared" si="14"/>
        <v>4035.6000000000004</v>
      </c>
      <c r="G70" s="39">
        <f t="shared" si="17"/>
        <v>7160.8499999999995</v>
      </c>
      <c r="H70" s="179">
        <f t="shared" si="18"/>
        <v>0.56356438132344633</v>
      </c>
      <c r="I70" s="39"/>
      <c r="J70" s="39">
        <v>4260</v>
      </c>
      <c r="K70" s="39"/>
      <c r="L70" s="39"/>
    </row>
    <row r="71" spans="1:12" x14ac:dyDescent="0.25">
      <c r="A71" s="4">
        <v>30</v>
      </c>
      <c r="B71" s="164">
        <v>43271</v>
      </c>
      <c r="C71" s="10">
        <v>30</v>
      </c>
      <c r="D71" s="39">
        <v>113.2483</v>
      </c>
      <c r="E71" s="39">
        <v>251.28</v>
      </c>
      <c r="F71" s="39">
        <f t="shared" si="14"/>
        <v>4140.951</v>
      </c>
      <c r="G71" s="39">
        <f t="shared" si="17"/>
        <v>3397.4490000000001</v>
      </c>
      <c r="H71" s="179">
        <f t="shared" si="18"/>
        <v>1.2188412541292011</v>
      </c>
      <c r="I71" s="39"/>
      <c r="J71" s="39">
        <v>4366</v>
      </c>
      <c r="K71" s="39"/>
      <c r="L71" s="39"/>
    </row>
    <row r="72" spans="1:12" x14ac:dyDescent="0.25">
      <c r="A72" s="4">
        <v>30</v>
      </c>
      <c r="B72" s="164">
        <v>43276</v>
      </c>
      <c r="C72" s="10">
        <v>45</v>
      </c>
      <c r="D72" s="39">
        <v>156.16999999999999</v>
      </c>
      <c r="E72" s="39">
        <v>241.61</v>
      </c>
      <c r="F72" s="39">
        <f t="shared" si="14"/>
        <v>3844.8000000000011</v>
      </c>
      <c r="G72" s="39">
        <f t="shared" si="17"/>
        <v>7027.65</v>
      </c>
      <c r="H72" s="179">
        <f t="shared" si="18"/>
        <v>0.54709611320996376</v>
      </c>
      <c r="I72" s="39"/>
      <c r="J72" s="39">
        <v>4070</v>
      </c>
      <c r="K72" s="39"/>
      <c r="L72" s="39"/>
    </row>
    <row r="73" spans="1:12" x14ac:dyDescent="0.25">
      <c r="A73" s="4">
        <v>30</v>
      </c>
      <c r="B73" s="164">
        <v>43277</v>
      </c>
      <c r="C73" s="10">
        <v>45</v>
      </c>
      <c r="D73" s="39">
        <v>156.16999999999999</v>
      </c>
      <c r="E73" s="39">
        <v>236.05</v>
      </c>
      <c r="F73" s="39">
        <f t="shared" ref="F73:F79" si="19">C73*(E73-D73)</f>
        <v>3594.6000000000013</v>
      </c>
      <c r="G73" s="39">
        <f t="shared" si="17"/>
        <v>7027.65</v>
      </c>
      <c r="H73" s="179">
        <f t="shared" si="18"/>
        <v>0.51149388486905312</v>
      </c>
      <c r="I73" s="39"/>
      <c r="J73" s="39">
        <v>3820</v>
      </c>
      <c r="K73" s="39"/>
      <c r="L73" s="39"/>
    </row>
    <row r="74" spans="1:12" x14ac:dyDescent="0.25">
      <c r="A74" s="4"/>
      <c r="B74" s="164">
        <v>43283</v>
      </c>
      <c r="C74" s="185">
        <v>60</v>
      </c>
      <c r="D74" s="186">
        <v>174.87</v>
      </c>
      <c r="E74" s="39">
        <v>232.54</v>
      </c>
      <c r="F74" s="39">
        <f t="shared" si="19"/>
        <v>3460.1999999999994</v>
      </c>
      <c r="G74" s="39">
        <f t="shared" si="17"/>
        <v>10492.2</v>
      </c>
      <c r="H74" s="179">
        <f t="shared" si="18"/>
        <v>0.32978784239720926</v>
      </c>
      <c r="I74" s="39"/>
      <c r="J74" s="39">
        <v>3685</v>
      </c>
      <c r="K74" s="39"/>
      <c r="L74" s="39"/>
    </row>
    <row r="75" spans="1:12" x14ac:dyDescent="0.25">
      <c r="A75" s="4">
        <v>15</v>
      </c>
      <c r="B75" s="164">
        <v>43284</v>
      </c>
      <c r="C75" s="10">
        <v>45</v>
      </c>
      <c r="D75" s="39">
        <v>154.79329999999999</v>
      </c>
      <c r="E75" s="39">
        <v>235</v>
      </c>
      <c r="F75" s="39">
        <f t="shared" si="19"/>
        <v>3609.3015000000005</v>
      </c>
      <c r="G75" s="39">
        <f t="shared" si="17"/>
        <v>6965.6984999999995</v>
      </c>
      <c r="H75" s="179">
        <f t="shared" si="18"/>
        <v>0.5181535634940273</v>
      </c>
      <c r="I75" s="39"/>
      <c r="J75" s="39">
        <v>3834</v>
      </c>
      <c r="K75" s="39"/>
      <c r="L75" s="39"/>
    </row>
    <row r="76" spans="1:12" x14ac:dyDescent="0.25">
      <c r="A76" s="4"/>
      <c r="B76" s="164">
        <v>43287</v>
      </c>
      <c r="C76" s="10">
        <v>30</v>
      </c>
      <c r="D76" s="39">
        <v>110.19</v>
      </c>
      <c r="E76" s="39">
        <v>244</v>
      </c>
      <c r="F76" s="39">
        <f t="shared" si="19"/>
        <v>4014.3</v>
      </c>
      <c r="G76" s="39">
        <f t="shared" si="17"/>
        <v>3305.7</v>
      </c>
      <c r="H76" s="179">
        <f t="shared" si="18"/>
        <v>1.2143570196932572</v>
      </c>
      <c r="I76" s="39"/>
      <c r="J76" s="39">
        <v>4239</v>
      </c>
      <c r="K76" s="39"/>
      <c r="L76" s="39"/>
    </row>
    <row r="77" spans="1:12" x14ac:dyDescent="0.25">
      <c r="A77" s="4">
        <v>0</v>
      </c>
      <c r="B77" s="164">
        <v>43307</v>
      </c>
      <c r="C77" s="10">
        <v>15</v>
      </c>
      <c r="D77" s="39">
        <v>-36.61</v>
      </c>
      <c r="E77" s="39">
        <v>257</v>
      </c>
      <c r="F77" s="39">
        <f t="shared" si="19"/>
        <v>4404.1500000000005</v>
      </c>
      <c r="G77" s="39">
        <f t="shared" ref="G77:G82" si="20">D77*C77</f>
        <v>-549.15</v>
      </c>
      <c r="H77" s="179">
        <f t="shared" ref="H77:H82" si="21">(E77-D77)/D77</f>
        <v>-8.019939907129201</v>
      </c>
      <c r="I77" s="39"/>
      <c r="J77" s="39">
        <v>4629</v>
      </c>
      <c r="K77" s="39"/>
      <c r="L77" s="39"/>
    </row>
    <row r="78" spans="1:12" x14ac:dyDescent="0.25">
      <c r="A78" s="4">
        <v>0</v>
      </c>
      <c r="B78" s="164">
        <v>43307</v>
      </c>
      <c r="C78" s="10">
        <v>30</v>
      </c>
      <c r="D78" s="39">
        <v>107.9833</v>
      </c>
      <c r="E78" s="39">
        <v>252.58</v>
      </c>
      <c r="F78" s="39">
        <f t="shared" si="19"/>
        <v>4337.9009999999998</v>
      </c>
      <c r="G78" s="39">
        <f t="shared" si="20"/>
        <v>3239.4989999999998</v>
      </c>
      <c r="H78" s="179">
        <f t="shared" si="21"/>
        <v>1.3390653925190283</v>
      </c>
      <c r="I78" s="39"/>
      <c r="J78" s="39">
        <v>4563</v>
      </c>
      <c r="K78" s="39"/>
      <c r="L78" s="39"/>
    </row>
    <row r="79" spans="1:12" x14ac:dyDescent="0.25">
      <c r="A79" s="4">
        <v>0</v>
      </c>
      <c r="B79" s="164">
        <v>43313</v>
      </c>
      <c r="C79" s="10">
        <v>45</v>
      </c>
      <c r="D79" s="39">
        <v>152.44890000000001</v>
      </c>
      <c r="E79" s="39">
        <v>238</v>
      </c>
      <c r="F79" s="39">
        <f t="shared" si="19"/>
        <v>3849.7994999999996</v>
      </c>
      <c r="G79" s="39">
        <f t="shared" si="20"/>
        <v>6860.2005000000008</v>
      </c>
      <c r="H79" s="179">
        <f t="shared" si="21"/>
        <v>0.56117886058869548</v>
      </c>
      <c r="I79" s="39"/>
      <c r="J79" s="39">
        <v>4075</v>
      </c>
      <c r="K79" s="39"/>
      <c r="L79" s="39">
        <v>24.31</v>
      </c>
    </row>
    <row r="80" spans="1:12" x14ac:dyDescent="0.25">
      <c r="A80" s="4">
        <v>15</v>
      </c>
      <c r="B80" s="164">
        <v>43320</v>
      </c>
      <c r="C80" s="10">
        <v>45</v>
      </c>
      <c r="D80" s="39">
        <v>152.44890000000001</v>
      </c>
      <c r="E80" s="39">
        <v>236</v>
      </c>
      <c r="F80" s="39">
        <f>C80*(E80-D80)</f>
        <v>3759.7994999999996</v>
      </c>
      <c r="G80" s="39">
        <f t="shared" si="20"/>
        <v>6860.2005000000008</v>
      </c>
      <c r="H80" s="179">
        <f t="shared" si="21"/>
        <v>0.54805971049971491</v>
      </c>
      <c r="I80" s="39"/>
      <c r="J80" s="39">
        <v>3985</v>
      </c>
      <c r="K80" s="39"/>
      <c r="L80" s="39"/>
    </row>
    <row r="81" spans="1:13" x14ac:dyDescent="0.25">
      <c r="A81" s="4">
        <v>15</v>
      </c>
      <c r="B81" s="164">
        <v>43325</v>
      </c>
      <c r="C81" s="10">
        <v>45</v>
      </c>
      <c r="D81" s="39">
        <v>152.44890000000001</v>
      </c>
      <c r="E81" s="39">
        <v>233.44</v>
      </c>
      <c r="F81" s="39">
        <f>C81*(E81-D81)</f>
        <v>3644.5994999999994</v>
      </c>
      <c r="G81" s="39">
        <f t="shared" si="20"/>
        <v>6860.2005000000008</v>
      </c>
      <c r="H81" s="179">
        <f t="shared" si="21"/>
        <v>0.53126719838581971</v>
      </c>
      <c r="I81" s="39"/>
      <c r="J81" s="39">
        <v>3986</v>
      </c>
      <c r="K81" s="39"/>
      <c r="L81" s="39">
        <v>23.84</v>
      </c>
    </row>
    <row r="82" spans="1:13" x14ac:dyDescent="0.25">
      <c r="A82" s="4">
        <v>15</v>
      </c>
      <c r="B82" s="164">
        <v>43332</v>
      </c>
      <c r="C82" s="10">
        <v>45</v>
      </c>
      <c r="D82" s="39">
        <v>152.44999999999999</v>
      </c>
      <c r="E82" s="39">
        <v>239.32</v>
      </c>
      <c r="F82" s="39">
        <f>C82*(E82-D82)</f>
        <v>3909.15</v>
      </c>
      <c r="G82" s="39">
        <f t="shared" si="20"/>
        <v>6860.2499999999991</v>
      </c>
      <c r="H82" s="179">
        <f t="shared" si="21"/>
        <v>0.56982617251557899</v>
      </c>
      <c r="I82" s="39"/>
      <c r="J82" s="39">
        <v>4134</v>
      </c>
      <c r="K82" s="39"/>
      <c r="L82" s="39"/>
    </row>
    <row r="83" spans="1:13" x14ac:dyDescent="0.25">
      <c r="A83" s="4"/>
      <c r="B83" s="164">
        <v>43334</v>
      </c>
      <c r="C83" s="10">
        <v>45</v>
      </c>
      <c r="D83" s="39">
        <v>152.44999999999999</v>
      </c>
      <c r="E83" s="39">
        <v>234.7</v>
      </c>
      <c r="F83" s="39">
        <f>C83*(E83-D83)</f>
        <v>3701.25</v>
      </c>
      <c r="G83" s="39">
        <f>D83*C83</f>
        <v>6860.2499999999991</v>
      </c>
      <c r="H83" s="179">
        <f>(E83-D83)/D83</f>
        <v>0.53952115447687765</v>
      </c>
      <c r="I83" s="39"/>
      <c r="J83" s="39">
        <v>3926</v>
      </c>
      <c r="K83" s="39"/>
      <c r="L83" s="39"/>
    </row>
    <row r="84" spans="1:13" x14ac:dyDescent="0.25">
      <c r="A84" s="4"/>
      <c r="B84" s="164">
        <v>43343</v>
      </c>
      <c r="C84" s="10">
        <v>15</v>
      </c>
      <c r="D84" s="39">
        <v>-46.65</v>
      </c>
      <c r="E84" s="39">
        <v>260</v>
      </c>
      <c r="F84" s="39">
        <f>C84*(E84-D84)</f>
        <v>4599.75</v>
      </c>
      <c r="G84" s="39">
        <f>D84*C84</f>
        <v>-699.75</v>
      </c>
      <c r="H84" s="179">
        <f>(E84-D84)/D84</f>
        <v>-6.573419078242229</v>
      </c>
      <c r="I84" s="39"/>
      <c r="J84" s="778">
        <v>4824</v>
      </c>
      <c r="K84" s="39"/>
      <c r="L84" s="39"/>
    </row>
    <row r="85" spans="1:13" x14ac:dyDescent="0.25">
      <c r="A85" s="4"/>
      <c r="B85" s="164">
        <v>43350</v>
      </c>
      <c r="C85" s="10">
        <v>0</v>
      </c>
      <c r="D85" s="39"/>
      <c r="E85" s="39">
        <v>285.8</v>
      </c>
      <c r="F85" s="39"/>
      <c r="G85" s="39">
        <f>D85*C85</f>
        <v>0</v>
      </c>
      <c r="H85" s="179"/>
      <c r="I85" s="39"/>
      <c r="J85" s="778">
        <v>5079.12</v>
      </c>
      <c r="K85" s="39"/>
      <c r="L85" s="39">
        <v>29.19</v>
      </c>
    </row>
    <row r="86" spans="1:13" x14ac:dyDescent="0.25">
      <c r="A86" s="4"/>
      <c r="B86" s="164"/>
      <c r="C86" s="10"/>
      <c r="D86" s="39"/>
      <c r="E86" s="39"/>
      <c r="F86" s="39"/>
      <c r="G86" s="39"/>
      <c r="H86" s="179"/>
      <c r="I86" s="39"/>
      <c r="J86" s="39"/>
      <c r="K86" s="39"/>
      <c r="L86" s="39"/>
    </row>
    <row r="87" spans="1:13" x14ac:dyDescent="0.25">
      <c r="A87" s="4"/>
      <c r="B87" s="164"/>
      <c r="C87" s="10"/>
      <c r="D87" s="39"/>
      <c r="E87" s="39"/>
      <c r="F87" s="39"/>
      <c r="G87" s="39"/>
      <c r="H87" s="179"/>
      <c r="I87" s="39"/>
      <c r="J87" s="39"/>
      <c r="K87" s="39"/>
      <c r="L87" s="39"/>
    </row>
    <row r="88" spans="1:13" x14ac:dyDescent="0.25">
      <c r="A88" s="4"/>
      <c r="B88" s="164"/>
      <c r="C88" s="10"/>
      <c r="D88" s="39"/>
      <c r="E88" s="39"/>
      <c r="F88" s="39"/>
      <c r="G88" s="39"/>
      <c r="H88" s="179"/>
      <c r="I88" s="39"/>
      <c r="J88" s="39"/>
      <c r="K88" s="39"/>
      <c r="L88" s="39"/>
    </row>
    <row r="89" spans="1:13" x14ac:dyDescent="0.25">
      <c r="A89" s="4"/>
      <c r="B89" s="164"/>
      <c r="C89" s="10"/>
      <c r="D89" s="39"/>
      <c r="E89" s="39"/>
      <c r="F89" s="39"/>
      <c r="G89" s="39"/>
      <c r="H89" s="179"/>
      <c r="I89" s="39"/>
      <c r="J89" s="39"/>
      <c r="K89" s="39"/>
      <c r="L89" s="39"/>
    </row>
    <row r="90" spans="1:13" x14ac:dyDescent="0.25">
      <c r="A90" s="4"/>
      <c r="B90" s="4"/>
      <c r="C90" s="4"/>
      <c r="D90" s="3"/>
      <c r="E90" s="3"/>
      <c r="F90" s="3"/>
      <c r="G90" s="4"/>
      <c r="H90" s="4"/>
      <c r="I90" s="3"/>
      <c r="J90" s="3"/>
      <c r="K90" s="3"/>
      <c r="L90" s="4"/>
    </row>
    <row r="91" spans="1:13" x14ac:dyDescent="0.25">
      <c r="A91" s="491"/>
      <c r="B91" s="491"/>
      <c r="C91" s="491"/>
      <c r="D91" s="492"/>
      <c r="E91" s="492"/>
      <c r="F91" s="492"/>
      <c r="G91" s="491"/>
      <c r="H91" s="491"/>
      <c r="I91" s="492"/>
      <c r="J91" s="492"/>
      <c r="K91" s="492"/>
      <c r="L91" s="491" t="s">
        <v>65</v>
      </c>
      <c r="M91" s="492">
        <f>M109+K109-F109</f>
        <v>224.77000000000044</v>
      </c>
    </row>
    <row r="92" spans="1:13" x14ac:dyDescent="0.25">
      <c r="A92" s="610" t="s">
        <v>1</v>
      </c>
      <c r="B92" s="610" t="s">
        <v>2</v>
      </c>
      <c r="C92" s="610" t="s">
        <v>4</v>
      </c>
      <c r="D92" s="611" t="s">
        <v>5</v>
      </c>
      <c r="E92" s="611" t="s">
        <v>94</v>
      </c>
      <c r="F92" s="611" t="s">
        <v>60</v>
      </c>
      <c r="G92" s="610" t="s">
        <v>3</v>
      </c>
      <c r="H92" s="610" t="s">
        <v>6</v>
      </c>
      <c r="I92" s="611" t="s">
        <v>7</v>
      </c>
      <c r="J92" s="611" t="s">
        <v>95</v>
      </c>
      <c r="K92" s="611" t="s">
        <v>61</v>
      </c>
      <c r="L92" s="610" t="s">
        <v>37</v>
      </c>
      <c r="M92" s="610" t="s">
        <v>38</v>
      </c>
    </row>
    <row r="93" spans="1:13" x14ac:dyDescent="0.25">
      <c r="A93" s="612" t="s">
        <v>671</v>
      </c>
      <c r="B93" s="494">
        <v>42972</v>
      </c>
      <c r="C93" s="491">
        <v>15</v>
      </c>
      <c r="D93" s="492">
        <v>210.01</v>
      </c>
      <c r="E93" s="492">
        <v>0</v>
      </c>
      <c r="F93" s="492">
        <f>C93*D93+E93</f>
        <v>3150.1499999999996</v>
      </c>
      <c r="G93" s="494">
        <v>43005</v>
      </c>
      <c r="H93" s="491">
        <v>15</v>
      </c>
      <c r="I93" s="492">
        <v>225</v>
      </c>
      <c r="J93" s="492">
        <v>0.08</v>
      </c>
      <c r="K93" s="492">
        <f>H93*I93-J93</f>
        <v>3374.92</v>
      </c>
      <c r="L93" s="494"/>
      <c r="M93" s="492"/>
    </row>
    <row r="94" spans="1:13" x14ac:dyDescent="0.25">
      <c r="A94" s="613"/>
      <c r="B94" s="494"/>
      <c r="C94" s="491"/>
      <c r="D94" s="492"/>
      <c r="E94" s="492"/>
      <c r="F94" s="492"/>
      <c r="G94" s="494"/>
      <c r="H94" s="493"/>
      <c r="I94" s="492"/>
      <c r="J94" s="492"/>
      <c r="K94" s="492"/>
      <c r="L94" s="491"/>
      <c r="M94" s="491"/>
    </row>
    <row r="95" spans="1:13" x14ac:dyDescent="0.25">
      <c r="A95" s="491"/>
      <c r="B95" s="494"/>
      <c r="C95" s="491"/>
      <c r="D95" s="492"/>
      <c r="E95" s="492"/>
      <c r="F95" s="492"/>
      <c r="G95" s="494"/>
      <c r="H95" s="493"/>
      <c r="I95" s="492"/>
      <c r="J95" s="492"/>
      <c r="K95" s="492"/>
      <c r="L95" s="491"/>
      <c r="M95" s="491"/>
    </row>
    <row r="96" spans="1:13" x14ac:dyDescent="0.25">
      <c r="A96" s="491"/>
      <c r="B96" s="494"/>
      <c r="C96" s="491"/>
      <c r="D96" s="492"/>
      <c r="E96" s="492"/>
      <c r="F96" s="492"/>
      <c r="G96" s="491"/>
      <c r="H96" s="493"/>
      <c r="I96" s="492"/>
      <c r="J96" s="492"/>
      <c r="K96" s="492"/>
      <c r="L96" s="491"/>
      <c r="M96" s="491"/>
    </row>
    <row r="97" spans="1:13" x14ac:dyDescent="0.25">
      <c r="A97" s="491"/>
      <c r="B97" s="494"/>
      <c r="C97" s="491"/>
      <c r="D97" s="492"/>
      <c r="E97" s="492"/>
      <c r="F97" s="492"/>
      <c r="G97" s="491"/>
      <c r="H97" s="493"/>
      <c r="I97" s="492"/>
      <c r="J97" s="492"/>
      <c r="K97" s="492"/>
      <c r="L97" s="491"/>
      <c r="M97" s="491"/>
    </row>
    <row r="98" spans="1:13" x14ac:dyDescent="0.25">
      <c r="A98" s="491"/>
      <c r="B98" s="491"/>
      <c r="C98" s="491"/>
      <c r="D98" s="492"/>
      <c r="E98" s="492"/>
      <c r="F98" s="492"/>
      <c r="G98" s="491"/>
      <c r="H98" s="493"/>
      <c r="I98" s="492"/>
      <c r="J98" s="492"/>
      <c r="K98" s="492"/>
      <c r="L98" s="491"/>
      <c r="M98" s="491"/>
    </row>
    <row r="99" spans="1:13" x14ac:dyDescent="0.25">
      <c r="A99" s="491"/>
      <c r="B99" s="491"/>
      <c r="C99" s="491"/>
      <c r="D99" s="492"/>
      <c r="E99" s="492"/>
      <c r="F99" s="492"/>
      <c r="G99" s="491"/>
      <c r="H99" s="493"/>
      <c r="I99" s="492"/>
      <c r="J99" s="492"/>
      <c r="K99" s="492"/>
      <c r="L99" s="491"/>
      <c r="M99" s="491"/>
    </row>
    <row r="100" spans="1:13" x14ac:dyDescent="0.25">
      <c r="A100" s="491"/>
      <c r="B100" s="491"/>
      <c r="C100" s="491"/>
      <c r="D100" s="492"/>
      <c r="E100" s="492"/>
      <c r="F100" s="492"/>
      <c r="G100" s="491"/>
      <c r="H100" s="493"/>
      <c r="I100" s="492"/>
      <c r="J100" s="492"/>
      <c r="K100" s="492"/>
      <c r="L100" s="491"/>
      <c r="M100" s="491"/>
    </row>
    <row r="101" spans="1:13" x14ac:dyDescent="0.25">
      <c r="A101" s="491"/>
      <c r="B101" s="491"/>
      <c r="C101" s="491"/>
      <c r="D101" s="492"/>
      <c r="E101" s="492"/>
      <c r="F101" s="492"/>
      <c r="G101" s="491"/>
      <c r="H101" s="493"/>
      <c r="I101" s="492"/>
      <c r="J101" s="492"/>
      <c r="K101" s="492"/>
      <c r="L101" s="491"/>
      <c r="M101" s="491"/>
    </row>
    <row r="102" spans="1:13" x14ac:dyDescent="0.25">
      <c r="A102" s="491"/>
      <c r="B102" s="491"/>
      <c r="C102" s="491"/>
      <c r="D102" s="492"/>
      <c r="E102" s="492"/>
      <c r="F102" s="492"/>
      <c r="G102" s="491"/>
      <c r="H102" s="493"/>
      <c r="I102" s="492"/>
      <c r="J102" s="492"/>
      <c r="K102" s="492"/>
      <c r="L102" s="491"/>
      <c r="M102" s="491"/>
    </row>
    <row r="103" spans="1:13" x14ac:dyDescent="0.25">
      <c r="A103" s="491"/>
      <c r="B103" s="491"/>
      <c r="C103" s="491"/>
      <c r="D103" s="492"/>
      <c r="E103" s="492"/>
      <c r="F103" s="492"/>
      <c r="G103" s="491"/>
      <c r="H103" s="493"/>
      <c r="I103" s="492"/>
      <c r="J103" s="492"/>
      <c r="K103" s="492"/>
      <c r="L103" s="491"/>
      <c r="M103" s="491"/>
    </row>
    <row r="104" spans="1:13" x14ac:dyDescent="0.25">
      <c r="A104" s="491"/>
      <c r="B104" s="491"/>
      <c r="C104" s="491"/>
      <c r="D104" s="492"/>
      <c r="E104" s="492"/>
      <c r="F104" s="492"/>
      <c r="G104" s="491"/>
      <c r="H104" s="493"/>
      <c r="I104" s="492"/>
      <c r="J104" s="492"/>
      <c r="K104" s="492"/>
      <c r="L104" s="491"/>
      <c r="M104" s="491"/>
    </row>
    <row r="105" spans="1:13" x14ac:dyDescent="0.25">
      <c r="A105" s="491"/>
      <c r="B105" s="491"/>
      <c r="C105" s="491"/>
      <c r="D105" s="492"/>
      <c r="E105" s="492"/>
      <c r="F105" s="492"/>
      <c r="G105" s="491"/>
      <c r="H105" s="493"/>
      <c r="I105" s="492"/>
      <c r="J105" s="492"/>
      <c r="K105" s="492"/>
      <c r="L105" s="491"/>
      <c r="M105" s="491"/>
    </row>
    <row r="106" spans="1:13" x14ac:dyDescent="0.25">
      <c r="A106" s="491"/>
      <c r="B106" s="491"/>
      <c r="C106" s="491"/>
      <c r="D106" s="492"/>
      <c r="E106" s="492"/>
      <c r="F106" s="492"/>
      <c r="G106" s="491"/>
      <c r="H106" s="493"/>
      <c r="I106" s="492"/>
      <c r="J106" s="492"/>
      <c r="K106" s="492"/>
      <c r="L106" s="491"/>
      <c r="M106" s="491"/>
    </row>
    <row r="107" spans="1:13" x14ac:dyDescent="0.25">
      <c r="A107" s="491"/>
      <c r="B107" s="491"/>
      <c r="C107" s="491"/>
      <c r="D107" s="492"/>
      <c r="E107" s="492"/>
      <c r="F107" s="492"/>
      <c r="G107" s="491"/>
      <c r="H107" s="493"/>
      <c r="I107" s="492"/>
      <c r="J107" s="492"/>
      <c r="K107" s="492"/>
      <c r="L107" s="491"/>
      <c r="M107" s="491"/>
    </row>
    <row r="108" spans="1:13" x14ac:dyDescent="0.25">
      <c r="A108" s="491"/>
      <c r="B108" s="491"/>
      <c r="C108" s="491"/>
      <c r="D108" s="492"/>
      <c r="E108" s="492"/>
      <c r="F108" s="492"/>
      <c r="G108" s="491"/>
      <c r="H108" s="491"/>
      <c r="I108" s="492"/>
      <c r="J108" s="492"/>
      <c r="K108" s="492"/>
      <c r="L108" s="491"/>
      <c r="M108" s="491"/>
    </row>
    <row r="109" spans="1:13" x14ac:dyDescent="0.25">
      <c r="A109" s="614" t="s">
        <v>81</v>
      </c>
      <c r="B109" s="615"/>
      <c r="C109" s="615">
        <f>SUM(C93:C97)</f>
        <v>15</v>
      </c>
      <c r="D109" s="616"/>
      <c r="E109" s="616"/>
      <c r="F109" s="616">
        <f>SUM(F93:F97)</f>
        <v>3150.1499999999996</v>
      </c>
      <c r="G109" s="615"/>
      <c r="H109" s="617">
        <f>SUM(H93:H96)</f>
        <v>15</v>
      </c>
      <c r="I109" s="616"/>
      <c r="J109" s="616"/>
      <c r="K109" s="616">
        <f>SUM(K93:K96)</f>
        <v>3374.92</v>
      </c>
      <c r="L109" s="615"/>
      <c r="M109" s="616">
        <f>SUM(M93:M101)</f>
        <v>0</v>
      </c>
    </row>
    <row r="110" spans="1:13" ht="15.75" thickBot="1" x14ac:dyDescent="0.3">
      <c r="A110" s="618" t="s">
        <v>191</v>
      </c>
      <c r="B110" s="650"/>
      <c r="C110" s="619">
        <f>SumByColor($A$30,C93:C108)</f>
        <v>0</v>
      </c>
      <c r="D110" s="619"/>
      <c r="E110" s="619"/>
      <c r="F110" s="620">
        <f>SumByColor($A$30,F93:F108)</f>
        <v>0</v>
      </c>
      <c r="G110" s="619"/>
      <c r="H110" s="619">
        <f>SumByColor($A$30,H93:H108)</f>
        <v>0</v>
      </c>
      <c r="I110" s="619"/>
      <c r="J110" s="619"/>
      <c r="K110" s="620">
        <f>SumByColor($A$30,K94:K108)</f>
        <v>0</v>
      </c>
      <c r="L110" s="619"/>
      <c r="M110" s="620">
        <f>SumByColor($A$30,M93:M108)</f>
        <v>0</v>
      </c>
    </row>
    <row r="113" spans="2:12" x14ac:dyDescent="0.25">
      <c r="B113" s="162" t="s">
        <v>113</v>
      </c>
      <c r="C113" s="162" t="s">
        <v>145</v>
      </c>
      <c r="D113" s="163" t="s">
        <v>144</v>
      </c>
      <c r="E113" s="165" t="s">
        <v>146</v>
      </c>
      <c r="F113" s="165" t="s">
        <v>65</v>
      </c>
      <c r="G113" s="177" t="s">
        <v>150</v>
      </c>
      <c r="H113" s="177" t="s">
        <v>88</v>
      </c>
      <c r="I113" s="177" t="s">
        <v>153</v>
      </c>
      <c r="J113" s="177" t="s">
        <v>149</v>
      </c>
      <c r="K113" s="177" t="s">
        <v>646</v>
      </c>
      <c r="L113" s="177" t="s">
        <v>652</v>
      </c>
    </row>
    <row r="114" spans="2:12" x14ac:dyDescent="0.25">
      <c r="B114" s="164">
        <v>42972</v>
      </c>
      <c r="C114" s="10">
        <v>15</v>
      </c>
      <c r="D114" s="39">
        <v>210.01</v>
      </c>
      <c r="E114" s="39">
        <v>212.36</v>
      </c>
      <c r="F114" s="39">
        <f>C114*(E114-D114)</f>
        <v>35.250000000000341</v>
      </c>
      <c r="G114" s="39">
        <f>D114*C114</f>
        <v>3150.1499999999996</v>
      </c>
      <c r="H114" s="179">
        <f>(E114-D114)/D114</f>
        <v>1.1189943336031726E-2</v>
      </c>
      <c r="I114" s="39"/>
      <c r="J114" s="39"/>
      <c r="K114" s="39"/>
      <c r="L114" s="39"/>
    </row>
    <row r="115" spans="2:12" x14ac:dyDescent="0.25">
      <c r="B115" s="164">
        <v>42983</v>
      </c>
      <c r="C115" s="10">
        <v>15</v>
      </c>
      <c r="D115" s="39">
        <v>210.01</v>
      </c>
      <c r="E115" s="39">
        <v>223.9</v>
      </c>
      <c r="F115" s="39">
        <f>C115*(E115-D115)</f>
        <v>208.35000000000022</v>
      </c>
      <c r="G115" s="39">
        <f>D115*C115</f>
        <v>3150.1499999999996</v>
      </c>
      <c r="H115" s="179">
        <f>(E115-D115)/D115</f>
        <v>6.6139707632969932E-2</v>
      </c>
      <c r="I115" s="39"/>
      <c r="J115" s="39"/>
      <c r="K115" s="39"/>
      <c r="L115" s="39"/>
    </row>
    <row r="116" spans="2:12" x14ac:dyDescent="0.25">
      <c r="B116" s="164">
        <v>43005</v>
      </c>
      <c r="C116" s="10">
        <v>0</v>
      </c>
      <c r="D116" s="39"/>
      <c r="E116" s="39"/>
      <c r="F116" s="39">
        <v>224.77</v>
      </c>
      <c r="G116" s="39"/>
      <c r="H116" s="179"/>
      <c r="I116" s="39"/>
      <c r="J116" s="39"/>
      <c r="K116" s="39"/>
      <c r="L116" s="155"/>
    </row>
    <row r="117" spans="2:12" x14ac:dyDescent="0.25">
      <c r="B117" s="164"/>
      <c r="C117" s="10"/>
      <c r="D117" s="39"/>
      <c r="E117" s="39"/>
      <c r="F117" s="39"/>
      <c r="G117" s="39"/>
      <c r="H117" s="179"/>
      <c r="I117" s="39"/>
      <c r="J117" s="39"/>
      <c r="K117" s="39"/>
      <c r="L117" s="155"/>
    </row>
    <row r="118" spans="2:12" x14ac:dyDescent="0.25">
      <c r="B118" s="164"/>
      <c r="C118" s="10"/>
      <c r="D118" s="39"/>
      <c r="E118" s="39"/>
      <c r="F118" s="39"/>
      <c r="G118" s="39"/>
      <c r="H118" s="179"/>
      <c r="I118" s="39"/>
      <c r="J118" s="39"/>
      <c r="K118" s="39"/>
      <c r="L118" s="155"/>
    </row>
    <row r="119" spans="2:12" x14ac:dyDescent="0.25">
      <c r="B119" s="164"/>
      <c r="C119" s="10"/>
      <c r="D119" s="39"/>
      <c r="E119" s="39"/>
      <c r="F119" s="39"/>
      <c r="G119" s="39"/>
      <c r="H119" s="179"/>
      <c r="I119" s="39"/>
      <c r="J119" s="39"/>
      <c r="K119" s="39"/>
      <c r="L119" s="155"/>
    </row>
    <row r="120" spans="2:12" x14ac:dyDescent="0.25">
      <c r="B120" s="164"/>
      <c r="C120" s="10"/>
      <c r="D120" s="39"/>
      <c r="E120" s="39"/>
      <c r="F120" s="39"/>
      <c r="G120" s="39"/>
      <c r="H120" s="179"/>
      <c r="I120" s="39"/>
      <c r="J120" s="39"/>
      <c r="K120" s="39"/>
      <c r="L120" s="155"/>
    </row>
    <row r="121" spans="2:12" x14ac:dyDescent="0.25">
      <c r="B121" s="164"/>
      <c r="C121" s="10"/>
      <c r="D121" s="39"/>
      <c r="E121" s="39"/>
      <c r="F121" s="39"/>
      <c r="G121" s="39"/>
      <c r="H121" s="179"/>
      <c r="I121" s="39"/>
      <c r="J121" s="39"/>
      <c r="K121" s="39"/>
      <c r="L121" s="155"/>
    </row>
    <row r="122" spans="2:12" x14ac:dyDescent="0.25">
      <c r="B122" s="164"/>
      <c r="C122" s="10"/>
      <c r="D122" s="39"/>
      <c r="E122" s="39"/>
      <c r="F122" s="39"/>
      <c r="G122" s="39"/>
      <c r="H122" s="179"/>
      <c r="I122" s="39"/>
      <c r="J122" s="39"/>
      <c r="K122" s="39"/>
      <c r="L122" s="155"/>
    </row>
    <row r="123" spans="2:12" x14ac:dyDescent="0.25">
      <c r="B123" s="164"/>
      <c r="C123" s="10"/>
      <c r="D123" s="39"/>
      <c r="E123" s="39"/>
      <c r="F123" s="39"/>
      <c r="G123" s="39"/>
      <c r="H123" s="179"/>
      <c r="I123" s="39"/>
      <c r="J123" s="39"/>
      <c r="K123" s="39"/>
      <c r="L123" s="155"/>
    </row>
    <row r="124" spans="2:12" x14ac:dyDescent="0.25">
      <c r="B124" s="164"/>
      <c r="C124" s="10"/>
      <c r="D124" s="39"/>
      <c r="E124" s="39"/>
      <c r="F124" s="39"/>
      <c r="G124" s="39"/>
      <c r="H124" s="179"/>
      <c r="I124" s="39"/>
      <c r="J124" s="39"/>
      <c r="K124" s="39"/>
      <c r="L124" s="155"/>
    </row>
    <row r="125" spans="2:12" x14ac:dyDescent="0.25">
      <c r="B125" s="164"/>
      <c r="C125" s="10"/>
      <c r="D125" s="39"/>
      <c r="E125" s="39"/>
      <c r="F125" s="39"/>
      <c r="G125" s="39"/>
      <c r="H125" s="179"/>
      <c r="I125" s="39"/>
      <c r="J125" s="39"/>
      <c r="K125" s="39"/>
      <c r="L125" s="39"/>
    </row>
    <row r="126" spans="2:12" x14ac:dyDescent="0.25">
      <c r="B126" s="164"/>
      <c r="C126" s="10"/>
      <c r="D126" s="39"/>
      <c r="E126" s="39"/>
      <c r="F126" s="39"/>
      <c r="G126" s="39"/>
      <c r="H126" s="179"/>
      <c r="I126" s="39"/>
      <c r="J126" s="39"/>
      <c r="K126" s="39"/>
      <c r="L126" s="39"/>
    </row>
    <row r="127" spans="2:12" x14ac:dyDescent="0.25">
      <c r="B127" s="164"/>
      <c r="C127" s="10"/>
      <c r="D127" s="39"/>
      <c r="E127" s="39"/>
      <c r="F127" s="39"/>
      <c r="G127" s="39"/>
      <c r="H127" s="179"/>
      <c r="I127" s="39"/>
      <c r="J127" s="39"/>
      <c r="K127" s="39"/>
      <c r="L127" s="39"/>
    </row>
    <row r="128" spans="2:12" x14ac:dyDescent="0.25">
      <c r="B128" s="164"/>
      <c r="C128" s="10"/>
      <c r="D128" s="39"/>
      <c r="E128" s="39"/>
      <c r="F128" s="39"/>
      <c r="G128" s="39"/>
      <c r="H128" s="179"/>
      <c r="I128" s="39"/>
      <c r="J128" s="39"/>
      <c r="K128" s="39"/>
      <c r="L128" s="39"/>
    </row>
    <row r="129" spans="2:12" x14ac:dyDescent="0.25">
      <c r="B129" s="164"/>
      <c r="C129" s="10"/>
      <c r="D129" s="39"/>
      <c r="E129" s="39"/>
      <c r="F129" s="39"/>
      <c r="G129" s="39"/>
      <c r="H129" s="179"/>
      <c r="I129" s="39"/>
      <c r="J129" s="39"/>
      <c r="K129" s="39"/>
      <c r="L129" s="39"/>
    </row>
    <row r="130" spans="2:12" x14ac:dyDescent="0.25">
      <c r="B130" s="164"/>
      <c r="C130" s="10"/>
      <c r="D130" s="39"/>
      <c r="E130" s="39"/>
      <c r="F130" s="39"/>
      <c r="G130" s="39"/>
      <c r="H130" s="179"/>
      <c r="I130" s="39"/>
      <c r="J130" s="39"/>
      <c r="K130" s="39"/>
      <c r="L130" s="39"/>
    </row>
    <row r="131" spans="2:12" x14ac:dyDescent="0.25">
      <c r="B131" s="164"/>
      <c r="C131" s="10"/>
      <c r="D131" s="39"/>
      <c r="E131" s="39"/>
      <c r="F131" s="39"/>
      <c r="G131" s="39"/>
      <c r="H131" s="179"/>
      <c r="I131" s="39"/>
      <c r="J131" s="39"/>
      <c r="K131" s="39"/>
      <c r="L131" s="39"/>
    </row>
    <row r="132" spans="2:12" x14ac:dyDescent="0.25">
      <c r="B132" s="164"/>
      <c r="C132" s="10"/>
      <c r="D132" s="39"/>
      <c r="E132" s="39"/>
      <c r="F132" s="39"/>
      <c r="G132" s="39"/>
      <c r="H132" s="179"/>
      <c r="I132" s="39"/>
      <c r="J132" s="39"/>
      <c r="K132" s="39"/>
      <c r="L132" s="39"/>
    </row>
    <row r="133" spans="2:12" x14ac:dyDescent="0.25">
      <c r="B133" s="164"/>
      <c r="C133" s="10"/>
      <c r="D133" s="39"/>
      <c r="E133" s="39"/>
      <c r="F133" s="39"/>
      <c r="G133" s="39"/>
      <c r="H133" s="179"/>
      <c r="I133" s="39"/>
      <c r="J133" s="39"/>
      <c r="K133" s="39"/>
      <c r="L133" s="39"/>
    </row>
    <row r="134" spans="2:12" x14ac:dyDescent="0.25">
      <c r="B134" s="164"/>
      <c r="C134" s="10"/>
      <c r="D134" s="39"/>
      <c r="E134" s="39"/>
      <c r="F134" s="39"/>
      <c r="G134" s="39"/>
      <c r="H134" s="179"/>
      <c r="I134" s="39"/>
      <c r="J134" s="39"/>
      <c r="K134" s="39"/>
      <c r="L134" s="39"/>
    </row>
    <row r="135" spans="2:12" x14ac:dyDescent="0.25">
      <c r="B135" s="164"/>
      <c r="C135" s="10"/>
      <c r="D135" s="39"/>
      <c r="E135" s="39"/>
      <c r="F135" s="39"/>
      <c r="G135" s="39"/>
      <c r="H135" s="179"/>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2044" priority="47">
      <formula>F7&gt;0</formula>
    </cfRule>
    <cfRule type="expression" dxfId="2043" priority="48">
      <formula>F7&lt;0</formula>
    </cfRule>
  </conditionalFormatting>
  <conditionalFormatting sqref="Q8">
    <cfRule type="expression" dxfId="2042" priority="45">
      <formula>Q8&gt;0</formula>
    </cfRule>
    <cfRule type="expression" dxfId="2041" priority="46">
      <formula>Q8&lt;0</formula>
    </cfRule>
  </conditionalFormatting>
  <conditionalFormatting sqref="F41:F60">
    <cfRule type="expression" dxfId="2040" priority="43">
      <formula>F41&gt;0</formula>
    </cfRule>
    <cfRule type="expression" dxfId="2039" priority="44">
      <formula>F41&lt;0</formula>
    </cfRule>
  </conditionalFormatting>
  <conditionalFormatting sqref="H41:H60">
    <cfRule type="expression" dxfId="2038" priority="41">
      <formula>H41&gt;0</formula>
    </cfRule>
    <cfRule type="expression" dxfId="2037" priority="42">
      <formula>H41&lt;0</formula>
    </cfRule>
  </conditionalFormatting>
  <conditionalFormatting sqref="Q10">
    <cfRule type="expression" dxfId="2036" priority="35">
      <formula>Q10&gt;0</formula>
    </cfRule>
    <cfRule type="expression" dxfId="2035" priority="36">
      <formula>Q10&lt;0</formula>
    </cfRule>
  </conditionalFormatting>
  <conditionalFormatting sqref="J36:J60">
    <cfRule type="expression" dxfId="2034" priority="33">
      <formula>J36&gt;0</formula>
    </cfRule>
    <cfRule type="expression" dxfId="2033" priority="34">
      <formula>J36&lt;0</formula>
    </cfRule>
  </conditionalFormatting>
  <conditionalFormatting sqref="K36:K49">
    <cfRule type="expression" dxfId="2032" priority="31">
      <formula>K36&gt;0</formula>
    </cfRule>
    <cfRule type="expression" dxfId="2031" priority="32">
      <formula>K36&lt;0</formula>
    </cfRule>
  </conditionalFormatting>
  <conditionalFormatting sqref="L36:L49">
    <cfRule type="expression" dxfId="2030" priority="29">
      <formula>L36&gt;0</formula>
    </cfRule>
    <cfRule type="expression" dxfId="2029" priority="30">
      <formula>L36&lt;0</formula>
    </cfRule>
  </conditionalFormatting>
  <conditionalFormatting sqref="F114:F135">
    <cfRule type="expression" dxfId="2028" priority="27">
      <formula>F114&gt;0</formula>
    </cfRule>
    <cfRule type="expression" dxfId="2027" priority="28">
      <formula>F114&lt;0</formula>
    </cfRule>
  </conditionalFormatting>
  <conditionalFormatting sqref="H114:H135">
    <cfRule type="expression" dxfId="2026" priority="25">
      <formula>H114&gt;0</formula>
    </cfRule>
    <cfRule type="expression" dxfId="2025" priority="26">
      <formula>H114&lt;0</formula>
    </cfRule>
  </conditionalFormatting>
  <conditionalFormatting sqref="J114:J127">
    <cfRule type="expression" dxfId="2024" priority="23">
      <formula>J114&gt;0</formula>
    </cfRule>
    <cfRule type="expression" dxfId="2023" priority="24">
      <formula>J114&lt;0</formula>
    </cfRule>
  </conditionalFormatting>
  <conditionalFormatting sqref="K114:K127">
    <cfRule type="expression" dxfId="2022" priority="21">
      <formula>K114&gt;0</formula>
    </cfRule>
    <cfRule type="expression" dxfId="2021" priority="22">
      <formula>K114&lt;0</formula>
    </cfRule>
  </conditionalFormatting>
  <conditionalFormatting sqref="L114:L127">
    <cfRule type="expression" dxfId="2020" priority="19">
      <formula>L114&gt;0</formula>
    </cfRule>
    <cfRule type="expression" dxfId="2019" priority="20">
      <formula>L114&lt;0</formula>
    </cfRule>
  </conditionalFormatting>
  <conditionalFormatting sqref="F36:F40">
    <cfRule type="expression" dxfId="2018" priority="17">
      <formula>F36&gt;0</formula>
    </cfRule>
    <cfRule type="expression" dxfId="2017" priority="18">
      <formula>F36&lt;0</formula>
    </cfRule>
  </conditionalFormatting>
  <conditionalFormatting sqref="H36:H40">
    <cfRule type="expression" dxfId="2016" priority="15">
      <formula>H36&gt;0</formula>
    </cfRule>
    <cfRule type="expression" dxfId="2015" priority="16">
      <formula>H36&lt;0</formula>
    </cfRule>
  </conditionalFormatting>
  <conditionalFormatting sqref="F61:F62">
    <cfRule type="expression" dxfId="2014" priority="13">
      <formula>F61&gt;0</formula>
    </cfRule>
    <cfRule type="expression" dxfId="2013" priority="14">
      <formula>F61&lt;0</formula>
    </cfRule>
  </conditionalFormatting>
  <conditionalFormatting sqref="H61:H62">
    <cfRule type="expression" dxfId="2012" priority="11">
      <formula>H61&gt;0</formula>
    </cfRule>
    <cfRule type="expression" dxfId="2011" priority="12">
      <formula>H61&lt;0</formula>
    </cfRule>
  </conditionalFormatting>
  <conditionalFormatting sqref="J61:J62">
    <cfRule type="expression" dxfId="2010" priority="9">
      <formula>J61&gt;0</formula>
    </cfRule>
    <cfRule type="expression" dxfId="2009" priority="10">
      <formula>J61&lt;0</formula>
    </cfRule>
  </conditionalFormatting>
  <conditionalFormatting sqref="J74:J75 H74:H75 F74:F75">
    <cfRule type="expression" dxfId="2008" priority="7">
      <formula>F74&gt;0</formula>
    </cfRule>
    <cfRule type="expression" dxfId="2007" priority="8">
      <formula>F74&lt;0</formula>
    </cfRule>
  </conditionalFormatting>
  <conditionalFormatting sqref="J79:J82 F79:F83 H79:H83">
    <cfRule type="expression" dxfId="2006" priority="3">
      <formula>F79&gt;0</formula>
    </cfRule>
    <cfRule type="expression" dxfId="2005" priority="4">
      <formula>F79&lt;0</formula>
    </cfRule>
  </conditionalFormatting>
  <conditionalFormatting sqref="J84:J86 F84:F86 H84:H86">
    <cfRule type="expression" dxfId="2004" priority="1">
      <formula>F84&gt;0</formula>
    </cfRule>
    <cfRule type="expression" dxfId="2003"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803</v>
      </c>
      <c r="B2" s="368">
        <v>43102</v>
      </c>
      <c r="C2" s="7">
        <v>30</v>
      </c>
      <c r="D2" s="43">
        <v>85.18</v>
      </c>
      <c r="E2" s="43">
        <v>0</v>
      </c>
      <c r="F2" s="43">
        <f>C2*D2+E2</f>
        <v>2555.4</v>
      </c>
      <c r="G2" s="368">
        <v>43143</v>
      </c>
      <c r="H2" s="7">
        <v>30</v>
      </c>
      <c r="I2" s="43">
        <v>90.8</v>
      </c>
      <c r="J2" s="43">
        <v>0.06</v>
      </c>
      <c r="K2" s="43">
        <f>H2*I2-J2</f>
        <v>2723.94</v>
      </c>
      <c r="L2" s="72">
        <v>43139</v>
      </c>
      <c r="M2" s="43">
        <v>10.199999999999999</v>
      </c>
      <c r="O2" s="11" t="s">
        <v>57</v>
      </c>
      <c r="Q2">
        <f>C18-H18</f>
        <v>0</v>
      </c>
      <c r="T2" s="1">
        <v>43119</v>
      </c>
      <c r="U2" t="s">
        <v>878</v>
      </c>
      <c r="W2" s="134"/>
    </row>
    <row r="3" spans="1:23" x14ac:dyDescent="0.25">
      <c r="A3" s="22" t="s">
        <v>71</v>
      </c>
      <c r="B3" s="368">
        <v>43116</v>
      </c>
      <c r="C3" s="7">
        <v>30</v>
      </c>
      <c r="D3" s="43">
        <v>87.4</v>
      </c>
      <c r="E3" s="43">
        <v>0</v>
      </c>
      <c r="F3" s="43">
        <f>C3*D3+E3</f>
        <v>2622</v>
      </c>
      <c r="G3" s="368">
        <v>43168</v>
      </c>
      <c r="H3" s="80">
        <v>30</v>
      </c>
      <c r="I3" s="43">
        <v>99.03</v>
      </c>
      <c r="J3" s="43">
        <v>7.0000000000000007E-2</v>
      </c>
      <c r="K3" s="43">
        <f>H3*I3-J3</f>
        <v>2970.83</v>
      </c>
      <c r="L3" s="72">
        <v>43231</v>
      </c>
      <c r="M3" s="43">
        <v>5.4</v>
      </c>
      <c r="O3" s="11" t="s">
        <v>58</v>
      </c>
      <c r="Q3" s="178">
        <f>IF(Q2=0, Q4, (F18-K18-M18)/Q2)</f>
        <v>101.63</v>
      </c>
      <c r="T3" s="1"/>
      <c r="U3" t="s">
        <v>879</v>
      </c>
      <c r="W3" s="134"/>
    </row>
    <row r="4" spans="1:23" x14ac:dyDescent="0.25">
      <c r="B4" s="368">
        <v>43172</v>
      </c>
      <c r="C4" s="7">
        <v>30</v>
      </c>
      <c r="D4" s="43">
        <v>96.8</v>
      </c>
      <c r="E4" s="43">
        <v>0</v>
      </c>
      <c r="F4" s="43">
        <f>C4*D4+E4</f>
        <v>2904</v>
      </c>
      <c r="G4" s="368">
        <v>43236</v>
      </c>
      <c r="H4" s="80">
        <v>30</v>
      </c>
      <c r="I4" s="43">
        <v>99.18</v>
      </c>
      <c r="J4" s="43">
        <v>7.0000000000000007E-2</v>
      </c>
      <c r="K4" s="43">
        <f>H4*I4-J4</f>
        <v>2975.33</v>
      </c>
      <c r="L4" s="72">
        <v>43412</v>
      </c>
      <c r="M4" s="43">
        <v>18</v>
      </c>
      <c r="O4" s="11" t="s">
        <v>66</v>
      </c>
      <c r="Q4" s="54">
        <v>101.63</v>
      </c>
      <c r="R4" s="425">
        <v>2.1000000000000001E-2</v>
      </c>
      <c r="T4" s="1"/>
      <c r="U4" t="s">
        <v>880</v>
      </c>
      <c r="W4" s="134"/>
    </row>
    <row r="5" spans="1:23" x14ac:dyDescent="0.25">
      <c r="B5" s="368">
        <v>43360</v>
      </c>
      <c r="C5" s="7">
        <v>100</v>
      </c>
      <c r="D5" s="43">
        <v>98.28</v>
      </c>
      <c r="E5" s="43">
        <v>0</v>
      </c>
      <c r="F5" s="43">
        <f>C5*D5+E5</f>
        <v>9828</v>
      </c>
      <c r="G5" s="368">
        <v>43511</v>
      </c>
      <c r="H5" s="80">
        <v>100</v>
      </c>
      <c r="I5" s="43">
        <v>101.65</v>
      </c>
      <c r="J5" s="43">
        <v>0.13</v>
      </c>
      <c r="K5" s="43">
        <f>H5*I5-J5</f>
        <v>10164.870000000001</v>
      </c>
      <c r="L5" s="72">
        <v>43510</v>
      </c>
      <c r="M5" s="43">
        <v>18</v>
      </c>
      <c r="O5" s="11" t="s">
        <v>67</v>
      </c>
      <c r="Q5" s="3">
        <f>Q4*Q2</f>
        <v>0</v>
      </c>
      <c r="W5" s="134"/>
    </row>
    <row r="6" spans="1:23" x14ac:dyDescent="0.25">
      <c r="B6" s="72"/>
      <c r="C6" s="4"/>
      <c r="D6" s="3"/>
      <c r="E6" s="3"/>
      <c r="F6" s="3"/>
      <c r="G6" s="4"/>
      <c r="H6" s="161"/>
      <c r="I6" s="3"/>
      <c r="J6" s="3"/>
      <c r="K6" s="3"/>
      <c r="L6" s="4"/>
      <c r="M6" s="4"/>
      <c r="O6" s="11" t="s">
        <v>64</v>
      </c>
      <c r="Q6" s="2">
        <f>Q3*Q2</f>
        <v>0</v>
      </c>
      <c r="U6" t="s">
        <v>881</v>
      </c>
      <c r="W6" s="134"/>
    </row>
    <row r="7" spans="1:23" x14ac:dyDescent="0.25">
      <c r="B7" s="4"/>
      <c r="C7" s="4"/>
      <c r="D7" s="3"/>
      <c r="E7" s="3"/>
      <c r="F7" s="3"/>
      <c r="G7" s="4"/>
      <c r="H7" s="161"/>
      <c r="I7" s="3"/>
      <c r="J7" s="3"/>
      <c r="K7" s="3"/>
      <c r="L7" s="4"/>
      <c r="M7" s="4"/>
      <c r="O7" s="11" t="s">
        <v>177</v>
      </c>
      <c r="Q7" s="2">
        <f>Q10+Q8</f>
        <v>977.16999999999825</v>
      </c>
      <c r="R7">
        <v>0</v>
      </c>
      <c r="W7" s="134"/>
    </row>
    <row r="8" spans="1:23" x14ac:dyDescent="0.25">
      <c r="B8" s="4"/>
      <c r="C8" s="4"/>
      <c r="D8" s="3"/>
      <c r="E8" s="3"/>
      <c r="F8" s="3"/>
      <c r="G8" s="4"/>
      <c r="H8" s="161"/>
      <c r="I8" s="3"/>
      <c r="J8" s="3"/>
      <c r="K8" s="3"/>
      <c r="L8" s="4"/>
      <c r="M8" s="4"/>
      <c r="O8" s="11" t="s">
        <v>179</v>
      </c>
      <c r="P8" s="33"/>
      <c r="Q8" s="2">
        <f>K18+M18-F18+Q2*Q4</f>
        <v>977.16999999999825</v>
      </c>
      <c r="W8" s="134"/>
    </row>
    <row r="9" spans="1:23" x14ac:dyDescent="0.25">
      <c r="B9" s="4"/>
      <c r="C9" s="4"/>
      <c r="D9" s="3"/>
      <c r="E9" s="3"/>
      <c r="F9" s="3"/>
      <c r="G9" s="4"/>
      <c r="H9" s="161"/>
      <c r="I9" s="3"/>
      <c r="J9" s="3"/>
      <c r="K9" s="3"/>
      <c r="L9" s="4"/>
      <c r="M9" s="4"/>
      <c r="O9" s="11" t="s">
        <v>204</v>
      </c>
      <c r="Q9" s="134">
        <f>IF(Q2=0, 0, Q8/Q6)</f>
        <v>0</v>
      </c>
      <c r="T9" s="1">
        <v>43203</v>
      </c>
      <c r="U9" t="s">
        <v>978</v>
      </c>
      <c r="W9" s="134"/>
    </row>
    <row r="10" spans="1:23" x14ac:dyDescent="0.25">
      <c r="H10" s="70"/>
      <c r="O10" s="11" t="s">
        <v>203</v>
      </c>
      <c r="P10" s="33"/>
      <c r="Q10" s="2">
        <f>M66</f>
        <v>0</v>
      </c>
      <c r="U10" t="s">
        <v>977</v>
      </c>
      <c r="W10" s="134"/>
    </row>
    <row r="11" spans="1:23" x14ac:dyDescent="0.25">
      <c r="H11" s="70"/>
      <c r="O11" s="11" t="s">
        <v>175</v>
      </c>
      <c r="P11" s="33"/>
      <c r="Q11" s="134">
        <f>R11*4/Q4</f>
        <v>6.6909377152415631E-3</v>
      </c>
      <c r="R11">
        <v>0.17</v>
      </c>
      <c r="W11" s="134"/>
    </row>
    <row r="12" spans="1:23" x14ac:dyDescent="0.25">
      <c r="H12" s="70"/>
      <c r="O12" s="11" t="s">
        <v>969</v>
      </c>
      <c r="Q12" s="1" t="s">
        <v>1355</v>
      </c>
      <c r="W12" s="134"/>
    </row>
    <row r="13" spans="1:23" x14ac:dyDescent="0.25">
      <c r="H13" s="70"/>
      <c r="O13" s="11" t="s">
        <v>947</v>
      </c>
      <c r="Q13" s="2">
        <f>Q4/4.75</f>
        <v>21.395789473684211</v>
      </c>
      <c r="W13" s="134"/>
    </row>
    <row r="14" spans="1:23" x14ac:dyDescent="0.25">
      <c r="H14" s="70"/>
      <c r="O14" s="11" t="s">
        <v>1034</v>
      </c>
      <c r="T14" s="1">
        <v>43294</v>
      </c>
      <c r="U14" t="s">
        <v>1165</v>
      </c>
      <c r="W14" s="134"/>
    </row>
    <row r="15" spans="1:23" x14ac:dyDescent="0.25">
      <c r="H15" s="70"/>
      <c r="W15" s="134"/>
    </row>
    <row r="16" spans="1:23" x14ac:dyDescent="0.25">
      <c r="H16" s="70"/>
      <c r="W16" s="134"/>
    </row>
    <row r="17" spans="1:23" x14ac:dyDescent="0.25">
      <c r="W17" s="134"/>
    </row>
    <row r="18" spans="1:23" ht="20.25" thickBot="1" x14ac:dyDescent="0.35">
      <c r="A18" s="31" t="s">
        <v>81</v>
      </c>
      <c r="B18" s="14"/>
      <c r="C18" s="14">
        <f>SUM(C2:C17)</f>
        <v>190</v>
      </c>
      <c r="D18" s="18"/>
      <c r="E18" s="18"/>
      <c r="F18" s="18">
        <f>SUM(F2:F6)</f>
        <v>17909.400000000001</v>
      </c>
      <c r="G18" s="14"/>
      <c r="H18" s="71">
        <f>SUM(H2:H5)</f>
        <v>190</v>
      </c>
      <c r="I18" s="18"/>
      <c r="J18" s="18"/>
      <c r="K18" s="18">
        <f>SUM(K2:K5)</f>
        <v>18834.97</v>
      </c>
      <c r="L18" s="14"/>
      <c r="M18" s="18">
        <f>SUM(M2:M10)</f>
        <v>51.6</v>
      </c>
      <c r="O18" s="884" t="s">
        <v>78</v>
      </c>
      <c r="P18" s="884"/>
      <c r="W18" s="134"/>
    </row>
    <row r="19" spans="1:23" ht="16.5" thickTop="1" thickBot="1" x14ac:dyDescent="0.3">
      <c r="A19" s="277" t="s">
        <v>191</v>
      </c>
      <c r="B19" s="278"/>
      <c r="C19" s="279">
        <f>SumByColor($A$19,C2:C17)</f>
        <v>190</v>
      </c>
      <c r="D19" s="279"/>
      <c r="E19" s="279"/>
      <c r="F19" s="280">
        <f>SumByColor($A$19,F2:F17)</f>
        <v>17909</v>
      </c>
      <c r="G19" s="279"/>
      <c r="H19" s="279">
        <f>SumByColor($A$19,H2:H17)</f>
        <v>190</v>
      </c>
      <c r="I19" s="279"/>
      <c r="J19" s="279"/>
      <c r="K19" s="280">
        <f>SumByColor($A$19,K2:K17)</f>
        <v>18835</v>
      </c>
      <c r="L19" s="279"/>
      <c r="M19" s="280">
        <f>SumByColor($A$19,M2:M17)</f>
        <v>51</v>
      </c>
      <c r="O19" s="81">
        <v>1.1000000000000001</v>
      </c>
      <c r="P19" s="81">
        <f>O19*$Q$4</f>
        <v>111.79300000000001</v>
      </c>
      <c r="W19" s="134"/>
    </row>
    <row r="20" spans="1:23" x14ac:dyDescent="0.25">
      <c r="O20" s="81">
        <v>1.0900000000000001</v>
      </c>
      <c r="P20" s="81">
        <f t="shared" ref="P20:P39" si="0">O20*$Q$4</f>
        <v>110.77670000000001</v>
      </c>
      <c r="W20" s="134"/>
    </row>
    <row r="21" spans="1:23" x14ac:dyDescent="0.25">
      <c r="O21" s="81">
        <v>1.08</v>
      </c>
      <c r="P21" s="81">
        <f t="shared" si="0"/>
        <v>109.7604</v>
      </c>
      <c r="W21" s="134"/>
    </row>
    <row r="22" spans="1:23" x14ac:dyDescent="0.25">
      <c r="O22" s="81">
        <v>1.07</v>
      </c>
      <c r="P22" s="81">
        <f t="shared" si="0"/>
        <v>108.7441</v>
      </c>
      <c r="W22" s="134"/>
    </row>
    <row r="23" spans="1:23" x14ac:dyDescent="0.25">
      <c r="O23" s="81">
        <v>1.06</v>
      </c>
      <c r="P23" s="81">
        <f t="shared" si="0"/>
        <v>107.7278</v>
      </c>
      <c r="W23" s="134"/>
    </row>
    <row r="24" spans="1:23" x14ac:dyDescent="0.25">
      <c r="B24" s="162" t="s">
        <v>113</v>
      </c>
      <c r="C24" s="162" t="s">
        <v>145</v>
      </c>
      <c r="D24" s="163" t="s">
        <v>144</v>
      </c>
      <c r="E24" s="165" t="s">
        <v>146</v>
      </c>
      <c r="F24" s="165" t="s">
        <v>65</v>
      </c>
      <c r="G24" s="177" t="s">
        <v>150</v>
      </c>
      <c r="H24" s="177" t="s">
        <v>88</v>
      </c>
      <c r="I24" s="177" t="s">
        <v>153</v>
      </c>
      <c r="J24" s="177" t="s">
        <v>487</v>
      </c>
      <c r="K24" s="177"/>
      <c r="L24" s="177" t="s">
        <v>947</v>
      </c>
      <c r="O24" s="81">
        <v>1.05</v>
      </c>
      <c r="P24" s="81">
        <f t="shared" si="0"/>
        <v>106.7115</v>
      </c>
      <c r="W24" s="134"/>
    </row>
    <row r="25" spans="1:23" x14ac:dyDescent="0.25">
      <c r="B25" s="164">
        <v>43102</v>
      </c>
      <c r="C25" s="10">
        <v>30</v>
      </c>
      <c r="D25" s="39">
        <v>85.18</v>
      </c>
      <c r="E25" s="39">
        <v>84.96</v>
      </c>
      <c r="F25" s="39">
        <f t="shared" ref="F25:F36" si="1">C25*(E25-D25)</f>
        <v>-6.6000000000003922</v>
      </c>
      <c r="G25" s="39">
        <f t="shared" ref="G25:G37" si="2">D25*C25</f>
        <v>2555.4</v>
      </c>
      <c r="H25" s="179">
        <f t="shared" ref="H25:H37" si="3">(E25-D25)/D25</f>
        <v>-2.5827659074901745E-3</v>
      </c>
      <c r="I25" s="39"/>
      <c r="J25" s="39"/>
      <c r="K25" s="39"/>
      <c r="L25" s="39"/>
      <c r="O25" s="81">
        <v>1.04</v>
      </c>
      <c r="P25" s="81">
        <f t="shared" si="0"/>
        <v>105.6952</v>
      </c>
      <c r="W25" s="134"/>
    </row>
    <row r="26" spans="1:23" x14ac:dyDescent="0.25">
      <c r="B26" s="164">
        <v>43105</v>
      </c>
      <c r="C26" s="10">
        <v>30</v>
      </c>
      <c r="D26" s="39">
        <v>85.18</v>
      </c>
      <c r="E26" s="39">
        <v>88.14</v>
      </c>
      <c r="F26" s="39">
        <f t="shared" si="1"/>
        <v>88.799999999999812</v>
      </c>
      <c r="G26" s="39">
        <f t="shared" si="2"/>
        <v>2555.4</v>
      </c>
      <c r="H26" s="179">
        <f t="shared" si="3"/>
        <v>3.4749941300774752E-2</v>
      </c>
      <c r="I26" s="39"/>
      <c r="J26" s="39"/>
      <c r="K26" s="39"/>
      <c r="L26" s="39"/>
      <c r="O26" s="81">
        <v>1.03</v>
      </c>
      <c r="P26" s="81">
        <f t="shared" si="0"/>
        <v>104.6789</v>
      </c>
      <c r="W26" s="134"/>
    </row>
    <row r="27" spans="1:23" x14ac:dyDescent="0.25">
      <c r="B27" s="164">
        <v>43116</v>
      </c>
      <c r="C27" s="10">
        <v>60</v>
      </c>
      <c r="D27" s="39">
        <v>86.29</v>
      </c>
      <c r="E27" s="39">
        <v>87.3</v>
      </c>
      <c r="F27" s="39">
        <f t="shared" si="1"/>
        <v>60.599999999999454</v>
      </c>
      <c r="G27" s="39">
        <f t="shared" si="2"/>
        <v>5177.4000000000005</v>
      </c>
      <c r="H27" s="179">
        <f t="shared" si="3"/>
        <v>1.1704716653146261E-2</v>
      </c>
      <c r="I27" s="39">
        <v>85.5</v>
      </c>
      <c r="J27" s="39"/>
      <c r="K27" s="39"/>
      <c r="L27" s="39"/>
      <c r="O27" s="81">
        <v>1.02</v>
      </c>
      <c r="P27" s="81">
        <f t="shared" si="0"/>
        <v>103.6626</v>
      </c>
      <c r="W27" s="134"/>
    </row>
    <row r="28" spans="1:23" x14ac:dyDescent="0.25">
      <c r="B28" s="164">
        <v>43117</v>
      </c>
      <c r="C28" s="10">
        <v>60</v>
      </c>
      <c r="D28" s="39">
        <v>86.29</v>
      </c>
      <c r="E28" s="39">
        <v>88.4</v>
      </c>
      <c r="F28" s="39">
        <f t="shared" si="1"/>
        <v>126.59999999999997</v>
      </c>
      <c r="G28" s="39">
        <f t="shared" si="2"/>
        <v>5177.4000000000005</v>
      </c>
      <c r="H28" s="179">
        <f t="shared" si="3"/>
        <v>2.445242785954339E-2</v>
      </c>
      <c r="I28" s="39"/>
      <c r="J28" s="39"/>
      <c r="K28" s="39"/>
      <c r="L28" s="39"/>
      <c r="O28" s="81">
        <v>1.01</v>
      </c>
      <c r="P28" s="81">
        <f t="shared" si="0"/>
        <v>102.6463</v>
      </c>
      <c r="W28" s="134"/>
    </row>
    <row r="29" spans="1:23" x14ac:dyDescent="0.25">
      <c r="B29" s="164">
        <v>43140</v>
      </c>
      <c r="C29" s="10">
        <v>60</v>
      </c>
      <c r="D29" s="39">
        <v>86.12</v>
      </c>
      <c r="E29" s="39">
        <v>89.58</v>
      </c>
      <c r="F29" s="39">
        <f t="shared" si="1"/>
        <v>207.59999999999962</v>
      </c>
      <c r="G29" s="39">
        <f t="shared" si="2"/>
        <v>5167.2000000000007</v>
      </c>
      <c r="H29" s="179">
        <f t="shared" si="3"/>
        <v>4.0176497909893097E-2</v>
      </c>
      <c r="I29" s="39"/>
      <c r="J29" s="39"/>
      <c r="K29" s="39" t="s">
        <v>184</v>
      </c>
      <c r="L29" s="39"/>
      <c r="O29" s="81">
        <v>1</v>
      </c>
      <c r="P29" s="81">
        <f t="shared" si="0"/>
        <v>101.63</v>
      </c>
      <c r="W29" s="134"/>
    </row>
    <row r="30" spans="1:23" x14ac:dyDescent="0.25">
      <c r="B30" s="164">
        <v>43143</v>
      </c>
      <c r="C30" s="10">
        <v>30</v>
      </c>
      <c r="D30" s="39">
        <v>79.214299999999994</v>
      </c>
      <c r="E30" s="39">
        <v>90.57</v>
      </c>
      <c r="F30" s="39">
        <f t="shared" si="1"/>
        <v>340.67099999999994</v>
      </c>
      <c r="G30" s="39">
        <f t="shared" si="2"/>
        <v>2376.4289999999996</v>
      </c>
      <c r="H30" s="179">
        <f t="shared" si="3"/>
        <v>0.14335416711376606</v>
      </c>
      <c r="I30" s="39"/>
      <c r="J30" s="39"/>
      <c r="K30" s="39"/>
      <c r="L30" s="39"/>
      <c r="O30" s="81">
        <v>0.99</v>
      </c>
      <c r="P30" s="81">
        <f t="shared" si="0"/>
        <v>100.61369999999999</v>
      </c>
      <c r="W30" s="134"/>
    </row>
    <row r="31" spans="1:23" x14ac:dyDescent="0.25">
      <c r="B31" s="164">
        <v>43168</v>
      </c>
      <c r="C31" s="10">
        <v>30</v>
      </c>
      <c r="D31" s="39">
        <v>79.214299999999994</v>
      </c>
      <c r="E31" s="39">
        <v>96.9</v>
      </c>
      <c r="F31" s="39">
        <f t="shared" si="1"/>
        <v>530.57100000000037</v>
      </c>
      <c r="G31" s="39">
        <f t="shared" si="2"/>
        <v>2376.4289999999996</v>
      </c>
      <c r="H31" s="179">
        <f t="shared" si="3"/>
        <v>0.22326398137709999</v>
      </c>
      <c r="I31" s="39"/>
      <c r="J31" s="39"/>
      <c r="K31" s="39"/>
      <c r="L31" s="39"/>
      <c r="O31" s="81">
        <v>0.98</v>
      </c>
      <c r="P31" s="81">
        <f t="shared" si="0"/>
        <v>99.597399999999993</v>
      </c>
      <c r="W31" s="134"/>
    </row>
    <row r="32" spans="1:23" x14ac:dyDescent="0.25">
      <c r="B32" s="164">
        <v>43185</v>
      </c>
      <c r="C32" s="10">
        <v>30</v>
      </c>
      <c r="D32" s="39">
        <v>79.214299999999994</v>
      </c>
      <c r="E32" s="39">
        <v>91.84</v>
      </c>
      <c r="F32" s="39">
        <f t="shared" si="1"/>
        <v>378.7710000000003</v>
      </c>
      <c r="G32" s="39">
        <f t="shared" si="2"/>
        <v>2376.4289999999996</v>
      </c>
      <c r="H32" s="179">
        <f t="shared" si="3"/>
        <v>0.15938662589961675</v>
      </c>
      <c r="I32" s="39"/>
      <c r="J32" s="39"/>
      <c r="K32" s="39"/>
      <c r="L32" s="39"/>
      <c r="O32" s="81">
        <v>0.97</v>
      </c>
      <c r="P32" s="81">
        <f t="shared" si="0"/>
        <v>98.581099999999992</v>
      </c>
      <c r="W32" s="134"/>
    </row>
    <row r="33" spans="1:23" x14ac:dyDescent="0.25">
      <c r="A33" s="29"/>
      <c r="B33" s="164">
        <v>43186</v>
      </c>
      <c r="C33" s="10">
        <v>30</v>
      </c>
      <c r="D33" s="39">
        <v>79.214299999999994</v>
      </c>
      <c r="E33" s="39">
        <v>90.4</v>
      </c>
      <c r="F33" s="39">
        <f t="shared" si="1"/>
        <v>335.57100000000037</v>
      </c>
      <c r="G33" s="39">
        <f t="shared" si="2"/>
        <v>2376.4289999999996</v>
      </c>
      <c r="H33" s="179">
        <f t="shared" si="3"/>
        <v>0.14120808995345552</v>
      </c>
      <c r="I33" s="39"/>
      <c r="J33" s="39"/>
      <c r="K33" s="39"/>
      <c r="L33" s="39"/>
      <c r="O33" s="81">
        <v>0.96</v>
      </c>
      <c r="P33" s="81">
        <f t="shared" si="0"/>
        <v>97.564799999999991</v>
      </c>
      <c r="W33" s="134"/>
    </row>
    <row r="34" spans="1:23" x14ac:dyDescent="0.25">
      <c r="B34" s="164">
        <v>43226</v>
      </c>
      <c r="C34" s="10">
        <v>30</v>
      </c>
      <c r="D34" s="39">
        <v>79.214299999999994</v>
      </c>
      <c r="E34" s="39">
        <v>94.89</v>
      </c>
      <c r="F34" s="39">
        <f t="shared" si="1"/>
        <v>470.27100000000019</v>
      </c>
      <c r="G34" s="39">
        <f t="shared" si="2"/>
        <v>2376.4289999999996</v>
      </c>
      <c r="H34" s="179">
        <f t="shared" si="3"/>
        <v>0.19788977495224988</v>
      </c>
      <c r="I34" s="39"/>
      <c r="J34" s="39"/>
      <c r="K34" s="39"/>
      <c r="L34" s="39">
        <v>19.98</v>
      </c>
      <c r="O34" s="81">
        <v>0.95</v>
      </c>
      <c r="P34" s="81">
        <f t="shared" si="0"/>
        <v>96.54849999999999</v>
      </c>
      <c r="W34" s="134"/>
    </row>
    <row r="35" spans="1:23" x14ac:dyDescent="0.25">
      <c r="B35" s="164">
        <v>43230</v>
      </c>
      <c r="C35" s="10">
        <v>30</v>
      </c>
      <c r="D35" s="39">
        <v>79.214299999999994</v>
      </c>
      <c r="E35" s="39">
        <v>97.55</v>
      </c>
      <c r="F35" s="39">
        <f t="shared" si="1"/>
        <v>550.07100000000014</v>
      </c>
      <c r="G35" s="39">
        <f t="shared" si="2"/>
        <v>2376.4289999999996</v>
      </c>
      <c r="H35" s="179">
        <f t="shared" si="3"/>
        <v>0.23146957051946435</v>
      </c>
      <c r="I35" s="39"/>
      <c r="J35" s="39"/>
      <c r="K35" s="39"/>
      <c r="L35" s="39">
        <v>20.54</v>
      </c>
      <c r="O35" s="81">
        <v>0.94</v>
      </c>
      <c r="P35" s="81">
        <f t="shared" si="0"/>
        <v>95.532199999999989</v>
      </c>
      <c r="W35" s="134"/>
    </row>
    <row r="36" spans="1:23" x14ac:dyDescent="0.25">
      <c r="A36">
        <v>30</v>
      </c>
      <c r="B36" s="164">
        <v>43231</v>
      </c>
      <c r="C36" s="10">
        <v>30</v>
      </c>
      <c r="D36" s="39">
        <v>79.034300000000002</v>
      </c>
      <c r="E36" s="39">
        <v>97.42</v>
      </c>
      <c r="F36" s="39">
        <f t="shared" si="1"/>
        <v>551.57100000000003</v>
      </c>
      <c r="G36" s="39">
        <f t="shared" si="2"/>
        <v>2371.029</v>
      </c>
      <c r="H36" s="179">
        <f t="shared" si="3"/>
        <v>0.23262937737159689</v>
      </c>
      <c r="I36" s="39"/>
      <c r="J36" s="39"/>
      <c r="K36" s="39"/>
      <c r="L36" s="39">
        <v>20.51</v>
      </c>
      <c r="O36" s="81">
        <v>0.93</v>
      </c>
      <c r="P36" s="81">
        <f t="shared" si="0"/>
        <v>94.515900000000002</v>
      </c>
      <c r="W36" s="134"/>
    </row>
    <row r="37" spans="1:23" x14ac:dyDescent="0.25">
      <c r="B37" s="164">
        <v>43236</v>
      </c>
      <c r="C37" s="10">
        <v>0</v>
      </c>
      <c r="D37" s="39">
        <v>79.03</v>
      </c>
      <c r="E37" s="39">
        <v>99.12</v>
      </c>
      <c r="F37" s="39">
        <v>604.29999999999995</v>
      </c>
      <c r="G37" s="39">
        <f t="shared" si="2"/>
        <v>0</v>
      </c>
      <c r="H37" s="179">
        <f t="shared" si="3"/>
        <v>0.25420726306465902</v>
      </c>
      <c r="I37" s="39"/>
      <c r="J37" s="39"/>
      <c r="K37" s="39"/>
      <c r="L37" s="39">
        <v>20.87</v>
      </c>
      <c r="O37" s="81">
        <v>0.92</v>
      </c>
      <c r="P37" s="81">
        <f t="shared" si="0"/>
        <v>93.499600000000001</v>
      </c>
      <c r="W37" s="134"/>
    </row>
    <row r="38" spans="1:23" x14ac:dyDescent="0.25">
      <c r="A38">
        <v>0</v>
      </c>
      <c r="B38" s="164">
        <v>43360</v>
      </c>
      <c r="C38" s="7">
        <v>100</v>
      </c>
      <c r="D38" s="43">
        <v>92.236999999999995</v>
      </c>
      <c r="E38" s="39">
        <v>98.55</v>
      </c>
      <c r="F38" s="39">
        <f t="shared" ref="F38:F45" si="4">C38*(E38-D38)</f>
        <v>631.30000000000018</v>
      </c>
      <c r="G38" s="39">
        <f t="shared" ref="G38:G46" si="5">D38*C38</f>
        <v>9223.6999999999989</v>
      </c>
      <c r="H38" s="179">
        <f t="shared" ref="H38:H46" si="6">(E38-D38)/D38</f>
        <v>6.8443249455207814E-2</v>
      </c>
      <c r="I38" s="39"/>
      <c r="J38" s="39"/>
      <c r="K38" s="39"/>
      <c r="L38" s="39">
        <v>20.75</v>
      </c>
      <c r="O38" s="81">
        <v>0.91</v>
      </c>
      <c r="P38" s="81">
        <f t="shared" si="0"/>
        <v>92.4833</v>
      </c>
      <c r="W38" s="134"/>
    </row>
    <row r="39" spans="1:23" x14ac:dyDescent="0.25">
      <c r="B39" s="164">
        <v>43362</v>
      </c>
      <c r="C39" s="10">
        <v>100</v>
      </c>
      <c r="D39" s="39">
        <v>92.236999999999995</v>
      </c>
      <c r="E39" s="39">
        <v>100.33</v>
      </c>
      <c r="F39" s="778">
        <f t="shared" si="4"/>
        <v>809.30000000000041</v>
      </c>
      <c r="G39" s="39">
        <f t="shared" si="5"/>
        <v>9223.6999999999989</v>
      </c>
      <c r="H39" s="179">
        <f t="shared" si="6"/>
        <v>8.7741361926341965E-2</v>
      </c>
      <c r="I39" s="39"/>
      <c r="J39" s="39"/>
      <c r="K39" s="39"/>
      <c r="L39" s="39">
        <v>21.12</v>
      </c>
      <c r="O39" s="81">
        <v>0.9</v>
      </c>
      <c r="P39" s="81">
        <f t="shared" si="0"/>
        <v>91.466999999999999</v>
      </c>
      <c r="T39" s="134"/>
    </row>
    <row r="40" spans="1:23" x14ac:dyDescent="0.25">
      <c r="B40" s="164">
        <v>43365</v>
      </c>
      <c r="C40" s="10">
        <v>100</v>
      </c>
      <c r="D40" s="39">
        <v>92.236999999999995</v>
      </c>
      <c r="E40" s="39">
        <v>100.98</v>
      </c>
      <c r="F40" s="778">
        <f t="shared" si="4"/>
        <v>874.30000000000086</v>
      </c>
      <c r="G40" s="39">
        <f t="shared" si="5"/>
        <v>9223.6999999999989</v>
      </c>
      <c r="H40" s="179">
        <f t="shared" si="6"/>
        <v>9.4788425469171919E-2</v>
      </c>
      <c r="I40" s="39"/>
      <c r="J40" s="39"/>
      <c r="K40" s="39"/>
      <c r="L40" s="39"/>
      <c r="T40" s="134"/>
    </row>
    <row r="41" spans="1:23" x14ac:dyDescent="0.25">
      <c r="B41" s="164">
        <v>43383</v>
      </c>
      <c r="C41" s="10">
        <v>100</v>
      </c>
      <c r="D41" s="39">
        <v>92.24</v>
      </c>
      <c r="E41" s="39">
        <v>92.88</v>
      </c>
      <c r="F41" s="101">
        <f t="shared" si="4"/>
        <v>64.000000000000057</v>
      </c>
      <c r="G41" s="39">
        <f t="shared" si="5"/>
        <v>9224</v>
      </c>
      <c r="H41" s="179">
        <f t="shared" si="6"/>
        <v>6.9384215091066849E-3</v>
      </c>
      <c r="I41" s="39"/>
      <c r="J41" s="39"/>
      <c r="K41" s="39"/>
      <c r="L41" s="39">
        <v>19.55</v>
      </c>
      <c r="Q41" s="2"/>
      <c r="T41" s="134"/>
    </row>
    <row r="42" spans="1:23" x14ac:dyDescent="0.25">
      <c r="A42">
        <v>100</v>
      </c>
      <c r="B42" s="164">
        <v>43394</v>
      </c>
      <c r="C42" s="10">
        <v>100</v>
      </c>
      <c r="D42" s="39">
        <v>92.24</v>
      </c>
      <c r="E42" s="39">
        <v>89.88</v>
      </c>
      <c r="F42" s="101">
        <f t="shared" si="4"/>
        <v>-235.99999999999994</v>
      </c>
      <c r="G42" s="39">
        <f t="shared" si="5"/>
        <v>9224</v>
      </c>
      <c r="H42" s="179">
        <f t="shared" si="6"/>
        <v>-2.558542931483087E-2</v>
      </c>
      <c r="I42" s="39"/>
      <c r="J42" s="39"/>
      <c r="K42" s="39"/>
      <c r="L42" s="39">
        <v>18.920000000000002</v>
      </c>
      <c r="Q42" s="2"/>
      <c r="T42" s="134"/>
    </row>
    <row r="43" spans="1:23" x14ac:dyDescent="0.25">
      <c r="A43">
        <v>100</v>
      </c>
      <c r="B43" s="164">
        <v>43415</v>
      </c>
      <c r="C43" s="7">
        <v>100</v>
      </c>
      <c r="D43" s="43">
        <v>92.057000000000002</v>
      </c>
      <c r="E43" s="39">
        <v>92.9</v>
      </c>
      <c r="F43" s="39">
        <f t="shared" si="4"/>
        <v>84.300000000000352</v>
      </c>
      <c r="G43" s="39">
        <f t="shared" si="5"/>
        <v>9205.7000000000007</v>
      </c>
      <c r="H43" s="179">
        <f t="shared" si="6"/>
        <v>9.1573698903940331E-3</v>
      </c>
      <c r="I43" s="39"/>
      <c r="J43" s="39"/>
      <c r="K43" s="39"/>
      <c r="L43" s="39">
        <v>19.559999999999999</v>
      </c>
      <c r="Q43" s="2"/>
      <c r="T43" s="134"/>
    </row>
    <row r="44" spans="1:23" x14ac:dyDescent="0.25">
      <c r="A44">
        <v>100</v>
      </c>
      <c r="B44" s="164">
        <v>43442</v>
      </c>
      <c r="C44" s="10">
        <v>100</v>
      </c>
      <c r="D44" s="39">
        <v>92.057000000000002</v>
      </c>
      <c r="E44" s="39">
        <v>94.47</v>
      </c>
      <c r="F44" s="39">
        <f t="shared" si="4"/>
        <v>241.29999999999967</v>
      </c>
      <c r="G44" s="39">
        <f t="shared" si="5"/>
        <v>9205.7000000000007</v>
      </c>
      <c r="H44" s="179">
        <f t="shared" si="6"/>
        <v>2.6212020813191791E-2</v>
      </c>
      <c r="I44" s="39"/>
      <c r="J44" s="39"/>
      <c r="K44" s="39"/>
      <c r="L44" s="39">
        <v>19.89</v>
      </c>
      <c r="Q44" s="2"/>
      <c r="T44" s="134"/>
    </row>
    <row r="45" spans="1:23" x14ac:dyDescent="0.25">
      <c r="A45">
        <v>100</v>
      </c>
      <c r="B45" s="164">
        <v>43510</v>
      </c>
      <c r="C45" s="7">
        <v>100</v>
      </c>
      <c r="D45" s="43">
        <v>91.876999999999995</v>
      </c>
      <c r="E45" s="39">
        <v>99.54</v>
      </c>
      <c r="F45" s="39">
        <f t="shared" si="4"/>
        <v>766.30000000000109</v>
      </c>
      <c r="G45" s="39">
        <f t="shared" si="5"/>
        <v>9187.6999999999989</v>
      </c>
      <c r="H45" s="179">
        <f t="shared" si="6"/>
        <v>8.3404987102321707E-2</v>
      </c>
      <c r="I45" s="39"/>
      <c r="J45" s="39"/>
      <c r="K45" s="39"/>
      <c r="L45" s="39">
        <v>20.96</v>
      </c>
      <c r="Q45" s="2"/>
      <c r="T45" s="134"/>
    </row>
    <row r="46" spans="1:23" x14ac:dyDescent="0.25">
      <c r="B46" s="164">
        <v>43511</v>
      </c>
      <c r="C46" s="10">
        <v>0</v>
      </c>
      <c r="D46" s="39">
        <v>91.88</v>
      </c>
      <c r="E46" s="39">
        <v>101.63</v>
      </c>
      <c r="F46" s="778">
        <v>977.17</v>
      </c>
      <c r="G46" s="39">
        <f t="shared" si="5"/>
        <v>0</v>
      </c>
      <c r="H46" s="179">
        <f t="shared" si="6"/>
        <v>0.10611667392250762</v>
      </c>
      <c r="I46" s="39"/>
      <c r="J46" s="39"/>
      <c r="K46" s="39"/>
      <c r="L46" s="39"/>
      <c r="Q46" s="2"/>
      <c r="T46" s="134"/>
    </row>
    <row r="47" spans="1:23" x14ac:dyDescent="0.25">
      <c r="B47" s="164"/>
      <c r="C47" s="10"/>
      <c r="D47" s="39"/>
      <c r="E47" s="39"/>
      <c r="F47" s="39"/>
      <c r="G47" s="39"/>
      <c r="H47" s="179"/>
      <c r="I47" s="39"/>
      <c r="J47" s="39"/>
      <c r="K47" s="39"/>
      <c r="L47" s="39"/>
      <c r="Q47" s="2"/>
      <c r="T47" s="134"/>
    </row>
    <row r="48" spans="1:23" x14ac:dyDescent="0.25">
      <c r="B48" s="164"/>
      <c r="C48" s="10"/>
      <c r="D48" s="39"/>
      <c r="E48" s="39"/>
      <c r="F48" s="39"/>
      <c r="G48" s="39"/>
      <c r="H48" s="179"/>
      <c r="I48" s="39"/>
      <c r="J48" s="39"/>
      <c r="K48" s="39"/>
      <c r="L48" s="39"/>
      <c r="Q48" s="2"/>
      <c r="T48" s="134"/>
    </row>
    <row r="49" spans="1:23" x14ac:dyDescent="0.25">
      <c r="B49" s="164"/>
      <c r="C49" s="10"/>
      <c r="D49" s="39"/>
      <c r="E49" s="39"/>
      <c r="F49" s="39"/>
      <c r="G49" s="39"/>
      <c r="H49" s="179"/>
      <c r="I49" s="39"/>
      <c r="J49" s="39"/>
      <c r="K49" s="39"/>
      <c r="L49" s="39"/>
      <c r="Q49" s="2"/>
      <c r="T49" s="134"/>
    </row>
    <row r="50" spans="1:23" x14ac:dyDescent="0.25">
      <c r="B50" s="164"/>
      <c r="C50" s="10"/>
      <c r="D50" s="39"/>
      <c r="E50" s="39"/>
      <c r="F50" s="39"/>
      <c r="G50" s="39"/>
      <c r="H50" s="179"/>
      <c r="I50" s="39"/>
      <c r="J50" s="39"/>
      <c r="K50" s="39"/>
      <c r="L50" s="39"/>
      <c r="Q50" s="2"/>
      <c r="T50" s="134"/>
    </row>
    <row r="51" spans="1:23" x14ac:dyDescent="0.25">
      <c r="B51" s="164"/>
      <c r="C51" s="10"/>
      <c r="D51" s="39"/>
      <c r="E51" s="39"/>
      <c r="F51" s="39"/>
      <c r="G51" s="39"/>
      <c r="H51" s="179"/>
      <c r="I51" s="39"/>
      <c r="J51" s="39"/>
      <c r="K51" s="39"/>
      <c r="L51" s="39"/>
      <c r="Q51" s="2"/>
      <c r="T51" s="134"/>
    </row>
    <row r="52" spans="1:23" x14ac:dyDescent="0.25">
      <c r="B52" s="72"/>
      <c r="C52" s="4"/>
      <c r="D52" s="3"/>
      <c r="E52" s="3"/>
      <c r="F52" s="3"/>
      <c r="G52" s="3"/>
      <c r="H52" s="216"/>
      <c r="I52" s="3"/>
      <c r="Q52" s="2"/>
      <c r="T52" s="134"/>
    </row>
    <row r="53" spans="1:23" x14ac:dyDescent="0.25">
      <c r="B53" s="72"/>
      <c r="C53" s="4"/>
      <c r="D53" s="3"/>
      <c r="E53" s="3"/>
      <c r="F53" s="3"/>
      <c r="G53" s="3"/>
      <c r="H53" s="216"/>
      <c r="I53" s="3"/>
      <c r="Q53" s="2"/>
      <c r="T53" s="134"/>
    </row>
    <row r="54" spans="1:23" x14ac:dyDescent="0.25">
      <c r="A54" s="4"/>
      <c r="B54" s="72"/>
      <c r="C54" s="4"/>
      <c r="D54" s="3"/>
      <c r="E54" s="3"/>
      <c r="F54" s="3"/>
      <c r="G54" s="3"/>
      <c r="H54" s="216"/>
      <c r="I54" s="3"/>
      <c r="J54" s="3"/>
      <c r="K54" s="3"/>
      <c r="L54" s="4"/>
      <c r="T54" s="134"/>
    </row>
    <row r="55" spans="1:23" x14ac:dyDescent="0.25">
      <c r="A55" s="4"/>
      <c r="B55" s="72"/>
      <c r="C55" s="4"/>
      <c r="D55" s="3"/>
      <c r="E55" s="3"/>
      <c r="F55" s="3"/>
      <c r="G55" s="3"/>
      <c r="H55" s="216"/>
      <c r="I55" s="3"/>
      <c r="J55" s="3"/>
      <c r="K55" s="3"/>
      <c r="L55" s="4"/>
      <c r="T55" s="134"/>
    </row>
    <row r="56" spans="1:23" x14ac:dyDescent="0.25">
      <c r="A56" s="4"/>
      <c r="B56" s="72"/>
      <c r="C56" s="4"/>
      <c r="D56" s="3"/>
      <c r="E56" s="3"/>
      <c r="F56" s="3"/>
      <c r="G56" s="3"/>
      <c r="H56" s="216"/>
      <c r="I56" s="3"/>
      <c r="J56" s="3"/>
      <c r="K56" s="3"/>
      <c r="L56" s="4"/>
      <c r="T56" s="134"/>
    </row>
    <row r="57" spans="1:23" x14ac:dyDescent="0.25">
      <c r="A57" s="4"/>
      <c r="B57" s="72"/>
      <c r="C57" s="4"/>
      <c r="D57" s="3"/>
      <c r="E57" s="3"/>
      <c r="F57" s="3"/>
      <c r="G57" s="3"/>
      <c r="H57" s="216"/>
      <c r="I57" s="3"/>
      <c r="J57" s="3"/>
      <c r="K57" s="3"/>
      <c r="L57" s="4"/>
      <c r="T57" s="134"/>
    </row>
    <row r="58" spans="1:23" x14ac:dyDescent="0.25">
      <c r="A58" s="4"/>
      <c r="B58" s="72"/>
      <c r="C58" s="4"/>
      <c r="D58" s="3"/>
      <c r="E58" s="3"/>
      <c r="F58" s="3"/>
      <c r="G58" s="3"/>
      <c r="H58" s="216"/>
      <c r="I58" s="3"/>
      <c r="J58" s="3"/>
      <c r="K58" s="3"/>
      <c r="L58" s="4"/>
      <c r="T58" s="134"/>
    </row>
    <row r="59" spans="1:23" x14ac:dyDescent="0.25">
      <c r="A59" s="4"/>
      <c r="B59" s="72"/>
      <c r="C59" s="4"/>
      <c r="D59" s="3"/>
      <c r="E59" s="3"/>
      <c r="F59" s="3"/>
      <c r="G59" s="3"/>
      <c r="H59" s="216"/>
      <c r="I59" s="3"/>
      <c r="J59" s="3"/>
      <c r="K59" s="3"/>
      <c r="L59" s="4"/>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0</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803</v>
      </c>
      <c r="B68" s="426"/>
      <c r="C68" s="427"/>
      <c r="D68" s="429"/>
      <c r="E68" s="429"/>
      <c r="F68" s="429"/>
      <c r="G68" s="427"/>
      <c r="H68" s="443"/>
      <c r="I68" s="429"/>
      <c r="J68" s="429"/>
      <c r="K68" s="429"/>
      <c r="L68" s="427"/>
      <c r="M68" s="427"/>
      <c r="W68" s="134"/>
    </row>
    <row r="69" spans="1:23" x14ac:dyDescent="0.25">
      <c r="A69" s="444" t="s">
        <v>71</v>
      </c>
      <c r="B69" s="426"/>
      <c r="C69" s="427"/>
      <c r="D69" s="429"/>
      <c r="E69" s="429"/>
      <c r="F69" s="429"/>
      <c r="G69" s="427"/>
      <c r="H69" s="443"/>
      <c r="I69" s="429"/>
      <c r="J69" s="429"/>
      <c r="K69" s="429"/>
      <c r="L69" s="427"/>
      <c r="M69" s="427"/>
      <c r="W69" s="134"/>
    </row>
    <row r="70" spans="1:23" x14ac:dyDescent="0.25">
      <c r="A70" s="427"/>
      <c r="B70" s="427"/>
      <c r="C70" s="427"/>
      <c r="D70" s="429"/>
      <c r="E70" s="429"/>
      <c r="F70" s="429"/>
      <c r="G70" s="427"/>
      <c r="H70" s="443"/>
      <c r="I70" s="429"/>
      <c r="J70" s="429"/>
      <c r="K70" s="429"/>
      <c r="L70" s="427"/>
      <c r="M70" s="427"/>
    </row>
    <row r="71" spans="1:23" x14ac:dyDescent="0.25">
      <c r="A71" s="427"/>
      <c r="B71" s="427"/>
      <c r="C71" s="427"/>
      <c r="D71" s="429"/>
      <c r="E71" s="429"/>
      <c r="F71" s="429"/>
      <c r="G71" s="427"/>
      <c r="H71" s="443"/>
      <c r="I71" s="429"/>
      <c r="J71" s="429"/>
      <c r="K71" s="429"/>
      <c r="L71" s="427"/>
      <c r="M71" s="427"/>
    </row>
    <row r="72" spans="1:23" x14ac:dyDescent="0.25">
      <c r="A72" s="427"/>
      <c r="B72" s="427"/>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18:P18"/>
  </mergeCells>
  <conditionalFormatting sqref="O19:O39">
    <cfRule type="colorScale" priority="29">
      <colorScale>
        <cfvo type="min"/>
        <cfvo type="percentile" val="50"/>
        <cfvo type="max"/>
        <color rgb="FFF8696B"/>
        <color rgb="FFFFEB84"/>
        <color rgb="FF63BE7B"/>
      </colorScale>
    </cfRule>
  </conditionalFormatting>
  <conditionalFormatting sqref="P19:P39">
    <cfRule type="colorScale" priority="28">
      <colorScale>
        <cfvo type="min"/>
        <cfvo type="percentile" val="50"/>
        <cfvo type="max"/>
        <color rgb="FFF8696B"/>
        <color rgb="FFFFEB84"/>
        <color rgb="FF63BE7B"/>
      </colorScale>
    </cfRule>
  </conditionalFormatting>
  <conditionalFormatting sqref="W1:W38 W60:W69 T39:T59">
    <cfRule type="iconSet" priority="27">
      <iconSet iconSet="3Arrows">
        <cfvo type="percent" val="0"/>
        <cfvo type="num" val="0"/>
        <cfvo type="num" val="0"/>
      </iconSet>
    </cfRule>
  </conditionalFormatting>
  <conditionalFormatting sqref="F52:F63 H52:H63">
    <cfRule type="expression" dxfId="2002" priority="25">
      <formula>F52&gt;0</formula>
    </cfRule>
    <cfRule type="expression" dxfId="2001" priority="26">
      <formula>F52&lt;0</formula>
    </cfRule>
  </conditionalFormatting>
  <conditionalFormatting sqref="Q7">
    <cfRule type="expression" dxfId="2000" priority="23">
      <formula>Q7&gt;0</formula>
    </cfRule>
    <cfRule type="expression" dxfId="1999" priority="24">
      <formula>Q7&lt;0</formula>
    </cfRule>
  </conditionalFormatting>
  <conditionalFormatting sqref="Q8">
    <cfRule type="expression" dxfId="1998" priority="21">
      <formula>Q8&gt;0</formula>
    </cfRule>
    <cfRule type="expression" dxfId="1997" priority="22">
      <formula>Q8&lt;0</formula>
    </cfRule>
  </conditionalFormatting>
  <conditionalFormatting sqref="F25:F37 F43:F51">
    <cfRule type="expression" dxfId="1996" priority="19">
      <formula>F25&gt;0</formula>
    </cfRule>
    <cfRule type="expression" dxfId="1995" priority="20">
      <formula>F25&lt;0</formula>
    </cfRule>
  </conditionalFormatting>
  <conditionalFormatting sqref="H25:H37 H41:H51">
    <cfRule type="expression" dxfId="1994" priority="17">
      <formula>H25&gt;0</formula>
    </cfRule>
    <cfRule type="expression" dxfId="1993" priority="18">
      <formula>H25&lt;0</formula>
    </cfRule>
  </conditionalFormatting>
  <conditionalFormatting sqref="F89:F110">
    <cfRule type="expression" dxfId="1992" priority="15">
      <formula>F89&gt;0</formula>
    </cfRule>
    <cfRule type="expression" dxfId="1991" priority="16">
      <formula>F89&lt;0</formula>
    </cfRule>
  </conditionalFormatting>
  <conditionalFormatting sqref="H89:H110">
    <cfRule type="expression" dxfId="1990" priority="13">
      <formula>H89&gt;0</formula>
    </cfRule>
    <cfRule type="expression" dxfId="1989" priority="14">
      <formula>H89&lt;0</formula>
    </cfRule>
  </conditionalFormatting>
  <conditionalFormatting sqref="Q10">
    <cfRule type="expression" dxfId="1988" priority="11">
      <formula>Q10&gt;0</formula>
    </cfRule>
    <cfRule type="expression" dxfId="1987" priority="12">
      <formula>Q10&lt;0</formula>
    </cfRule>
  </conditionalFormatting>
  <conditionalFormatting sqref="J25:J38">
    <cfRule type="expression" dxfId="1986" priority="9">
      <formula>J25&gt;0</formula>
    </cfRule>
    <cfRule type="expression" dxfId="1985" priority="10">
      <formula>J25&lt;0</formula>
    </cfRule>
  </conditionalFormatting>
  <conditionalFormatting sqref="K25:K38">
    <cfRule type="expression" dxfId="1984" priority="7">
      <formula>K25&gt;0</formula>
    </cfRule>
    <cfRule type="expression" dxfId="1983" priority="8">
      <formula>K25&lt;0</formula>
    </cfRule>
  </conditionalFormatting>
  <conditionalFormatting sqref="F38:F42">
    <cfRule type="expression" dxfId="1982" priority="3">
      <formula>F38&gt;0</formula>
    </cfRule>
    <cfRule type="expression" dxfId="1981" priority="4">
      <formula>F38&lt;0</formula>
    </cfRule>
  </conditionalFormatting>
  <conditionalFormatting sqref="H38:H40">
    <cfRule type="expression" dxfId="1980" priority="1">
      <formula>H38&gt;0</formula>
    </cfRule>
    <cfRule type="expression" dxfId="1979" priority="2">
      <formula>H38&lt;0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656</v>
      </c>
      <c r="B2" s="368">
        <v>42892</v>
      </c>
      <c r="C2" s="7">
        <v>25</v>
      </c>
      <c r="D2" s="43">
        <v>132.88</v>
      </c>
      <c r="E2" s="43">
        <v>0</v>
      </c>
      <c r="F2" s="43">
        <f t="shared" ref="F2:F12" si="0">C2*D2+E2</f>
        <v>3322</v>
      </c>
      <c r="G2" s="368">
        <v>42963</v>
      </c>
      <c r="H2" s="7">
        <v>50</v>
      </c>
      <c r="I2" s="43">
        <v>92.48</v>
      </c>
      <c r="J2" s="43">
        <v>0.11</v>
      </c>
      <c r="K2" s="43">
        <f t="shared" ref="K2:K11" si="1">H2*I2-J2</f>
        <v>4623.8900000000003</v>
      </c>
      <c r="L2" s="72">
        <v>42923</v>
      </c>
      <c r="M2" s="43">
        <v>1.5</v>
      </c>
      <c r="O2" s="11" t="s">
        <v>57</v>
      </c>
      <c r="Q2">
        <f>C18-H18</f>
        <v>0</v>
      </c>
      <c r="T2" s="29">
        <v>43100</v>
      </c>
      <c r="U2" t="s">
        <v>801</v>
      </c>
    </row>
    <row r="3" spans="1:21" x14ac:dyDescent="0.25">
      <c r="A3" s="22" t="s">
        <v>71</v>
      </c>
      <c r="B3" s="368">
        <v>42921</v>
      </c>
      <c r="C3" s="7">
        <v>25</v>
      </c>
      <c r="D3" s="43">
        <v>109.4</v>
      </c>
      <c r="E3" s="43">
        <v>-8.9</v>
      </c>
      <c r="F3" s="43">
        <f t="shared" si="0"/>
        <v>2726.1</v>
      </c>
      <c r="G3" s="368">
        <v>43053</v>
      </c>
      <c r="H3" s="80">
        <v>75</v>
      </c>
      <c r="I3" s="43">
        <v>94.58</v>
      </c>
      <c r="J3" s="43">
        <v>0.16</v>
      </c>
      <c r="K3" s="43">
        <f t="shared" si="1"/>
        <v>7093.34</v>
      </c>
      <c r="L3" s="72">
        <v>43017</v>
      </c>
      <c r="M3" s="43">
        <v>4.5</v>
      </c>
      <c r="O3" s="11" t="s">
        <v>58</v>
      </c>
      <c r="Q3" s="178">
        <f>IF(Q2=0, Q4, (F18-K18-M18)/Q2)</f>
        <v>159.04</v>
      </c>
    </row>
    <row r="4" spans="1:21" x14ac:dyDescent="0.25">
      <c r="B4" s="368">
        <v>42921</v>
      </c>
      <c r="C4" s="7">
        <v>25</v>
      </c>
      <c r="D4" s="43">
        <v>105</v>
      </c>
      <c r="E4" s="43">
        <v>0</v>
      </c>
      <c r="F4" s="43">
        <f t="shared" si="0"/>
        <v>2625</v>
      </c>
      <c r="G4" s="368">
        <v>43068</v>
      </c>
      <c r="H4" s="80">
        <v>25</v>
      </c>
      <c r="I4" s="43">
        <v>98.85</v>
      </c>
      <c r="J4" s="43">
        <v>0.06</v>
      </c>
      <c r="K4" s="43">
        <f t="shared" si="1"/>
        <v>2471.19</v>
      </c>
      <c r="L4" s="72">
        <v>43105</v>
      </c>
      <c r="M4" s="43">
        <v>6</v>
      </c>
      <c r="O4" s="11" t="s">
        <v>66</v>
      </c>
      <c r="Q4" s="54">
        <v>159.04</v>
      </c>
      <c r="R4" s="425">
        <v>1.29E-2</v>
      </c>
      <c r="T4" s="29">
        <v>42738</v>
      </c>
      <c r="U4" t="s">
        <v>800</v>
      </c>
    </row>
    <row r="5" spans="1:21" x14ac:dyDescent="0.25">
      <c r="B5" s="368">
        <v>42962</v>
      </c>
      <c r="C5" s="7">
        <v>50</v>
      </c>
      <c r="D5" s="43">
        <v>90</v>
      </c>
      <c r="E5" s="43">
        <v>0</v>
      </c>
      <c r="F5" s="43">
        <f t="shared" si="0"/>
        <v>4500</v>
      </c>
      <c r="G5" s="368">
        <v>43104</v>
      </c>
      <c r="H5" s="80">
        <v>10</v>
      </c>
      <c r="I5" s="43">
        <v>109.88</v>
      </c>
      <c r="J5" s="43">
        <v>0.03</v>
      </c>
      <c r="K5" s="43">
        <f t="shared" si="1"/>
        <v>1098.77</v>
      </c>
      <c r="L5" s="72">
        <v>43195</v>
      </c>
      <c r="M5" s="43">
        <v>3</v>
      </c>
      <c r="O5" s="11" t="s">
        <v>67</v>
      </c>
      <c r="Q5" s="3">
        <f>Q4*Q2</f>
        <v>0</v>
      </c>
      <c r="T5" s="29">
        <v>43105</v>
      </c>
      <c r="U5" t="s">
        <v>827</v>
      </c>
    </row>
    <row r="6" spans="1:21" x14ac:dyDescent="0.25">
      <c r="B6" s="368">
        <v>43017</v>
      </c>
      <c r="C6" s="7">
        <v>10</v>
      </c>
      <c r="D6" s="43">
        <v>91.81</v>
      </c>
      <c r="E6" s="43">
        <v>0</v>
      </c>
      <c r="F6" s="43">
        <f t="shared" si="0"/>
        <v>918.1</v>
      </c>
      <c r="G6" s="368">
        <v>43112</v>
      </c>
      <c r="H6" s="80">
        <v>15</v>
      </c>
      <c r="I6" s="43">
        <v>115</v>
      </c>
      <c r="J6" s="43">
        <v>0.04</v>
      </c>
      <c r="K6" s="43">
        <f t="shared" si="1"/>
        <v>1724.96</v>
      </c>
      <c r="L6" s="4"/>
      <c r="M6" s="4"/>
      <c r="O6" s="11" t="s">
        <v>64</v>
      </c>
      <c r="Q6" s="2">
        <f>Q3*Q2</f>
        <v>0</v>
      </c>
    </row>
    <row r="7" spans="1:21" x14ac:dyDescent="0.25">
      <c r="B7" s="368">
        <v>43017</v>
      </c>
      <c r="C7" s="7">
        <v>40</v>
      </c>
      <c r="D7" s="43">
        <v>91.81</v>
      </c>
      <c r="E7" s="43">
        <v>0</v>
      </c>
      <c r="F7" s="43">
        <f t="shared" si="0"/>
        <v>3672.4</v>
      </c>
      <c r="G7" s="368">
        <v>43124</v>
      </c>
      <c r="H7" s="80">
        <v>25</v>
      </c>
      <c r="I7" s="43">
        <v>120.38</v>
      </c>
      <c r="J7" s="43">
        <v>7.0000000000000007E-2</v>
      </c>
      <c r="K7" s="43">
        <f t="shared" si="1"/>
        <v>3009.43</v>
      </c>
      <c r="L7" s="4"/>
      <c r="M7" s="4"/>
      <c r="O7" s="11" t="s">
        <v>177</v>
      </c>
      <c r="Q7" s="2">
        <f>Q10+Q8</f>
        <v>2714.0600000000013</v>
      </c>
      <c r="R7">
        <v>0</v>
      </c>
      <c r="T7" s="29">
        <v>43112</v>
      </c>
      <c r="U7" t="s">
        <v>833</v>
      </c>
    </row>
    <row r="8" spans="1:21" x14ac:dyDescent="0.25">
      <c r="B8" s="368">
        <v>43020</v>
      </c>
      <c r="C8" s="7">
        <v>25</v>
      </c>
      <c r="D8" s="43">
        <v>87.28</v>
      </c>
      <c r="E8" s="43">
        <v>0</v>
      </c>
      <c r="F8" s="43">
        <f t="shared" si="0"/>
        <v>2182</v>
      </c>
      <c r="G8" s="368">
        <v>43152</v>
      </c>
      <c r="H8" s="80">
        <v>15</v>
      </c>
      <c r="I8" s="43">
        <v>111.5</v>
      </c>
      <c r="J8" s="43">
        <v>0.04</v>
      </c>
      <c r="K8" s="43">
        <f t="shared" si="1"/>
        <v>1672.46</v>
      </c>
      <c r="L8" s="4"/>
      <c r="M8" s="4"/>
      <c r="O8" s="11" t="s">
        <v>179</v>
      </c>
      <c r="P8" s="33"/>
      <c r="Q8" s="2">
        <f>K18+M18-F18+Q2*Q4</f>
        <v>2714.0600000000013</v>
      </c>
    </row>
    <row r="9" spans="1:21" x14ac:dyDescent="0.25">
      <c r="B9" s="368">
        <v>43045</v>
      </c>
      <c r="C9" s="7">
        <v>50</v>
      </c>
      <c r="D9" s="43">
        <v>80.58</v>
      </c>
      <c r="E9" s="43">
        <v>0</v>
      </c>
      <c r="F9" s="43">
        <f t="shared" si="0"/>
        <v>4029</v>
      </c>
      <c r="G9" s="368">
        <v>43172</v>
      </c>
      <c r="H9" s="80">
        <v>10</v>
      </c>
      <c r="I9" s="43">
        <v>119.38</v>
      </c>
      <c r="J9" s="43">
        <v>0.03</v>
      </c>
      <c r="K9" s="43">
        <f t="shared" si="1"/>
        <v>1193.77</v>
      </c>
      <c r="L9" s="4"/>
      <c r="M9" s="4"/>
      <c r="O9" s="11" t="s">
        <v>204</v>
      </c>
      <c r="Q9" s="134">
        <f>IF(Q2=0, 0, Q8/Q6)</f>
        <v>0</v>
      </c>
      <c r="T9" s="29">
        <v>43114</v>
      </c>
      <c r="U9" t="s">
        <v>854</v>
      </c>
    </row>
    <row r="10" spans="1:21" x14ac:dyDescent="0.25">
      <c r="B10" s="368">
        <v>43130</v>
      </c>
      <c r="C10" s="7">
        <v>10</v>
      </c>
      <c r="D10" s="43">
        <v>118</v>
      </c>
      <c r="E10" s="43">
        <v>0</v>
      </c>
      <c r="F10" s="43">
        <f t="shared" si="0"/>
        <v>1180</v>
      </c>
      <c r="G10" s="368">
        <v>43217</v>
      </c>
      <c r="H10" s="80">
        <v>25</v>
      </c>
      <c r="I10" s="43">
        <v>115.94</v>
      </c>
      <c r="J10" s="43">
        <v>7.0000000000000007E-2</v>
      </c>
      <c r="K10" s="43">
        <f t="shared" si="1"/>
        <v>2898.43</v>
      </c>
      <c r="O10" s="11" t="s">
        <v>203</v>
      </c>
      <c r="P10" s="33"/>
      <c r="Q10" s="2">
        <f>M70</f>
        <v>0</v>
      </c>
      <c r="U10" t="s">
        <v>855</v>
      </c>
    </row>
    <row r="11" spans="1:21" x14ac:dyDescent="0.25">
      <c r="B11" s="368">
        <v>43151</v>
      </c>
      <c r="C11" s="7">
        <v>15</v>
      </c>
      <c r="D11" s="43">
        <v>104.1</v>
      </c>
      <c r="E11" s="43">
        <v>0</v>
      </c>
      <c r="F11" s="43">
        <f t="shared" si="0"/>
        <v>1561.5</v>
      </c>
      <c r="G11" s="368">
        <v>43250</v>
      </c>
      <c r="H11" s="80">
        <v>50</v>
      </c>
      <c r="I11" s="43">
        <v>127.98</v>
      </c>
      <c r="J11" s="43">
        <v>0.08</v>
      </c>
      <c r="K11" s="43">
        <f t="shared" si="1"/>
        <v>6398.92</v>
      </c>
      <c r="O11" s="11" t="s">
        <v>175</v>
      </c>
      <c r="P11" s="33"/>
      <c r="Q11" s="134">
        <v>2.8E-3</v>
      </c>
      <c r="R11">
        <v>0.06</v>
      </c>
    </row>
    <row r="12" spans="1:21" x14ac:dyDescent="0.25">
      <c r="B12" s="368">
        <v>43196</v>
      </c>
      <c r="C12" s="7">
        <v>25</v>
      </c>
      <c r="D12" s="43">
        <v>110.8</v>
      </c>
      <c r="E12" s="43">
        <v>0</v>
      </c>
      <c r="F12" s="43">
        <f t="shared" si="0"/>
        <v>2770</v>
      </c>
      <c r="H12" s="70"/>
      <c r="O12" s="11" t="s">
        <v>969</v>
      </c>
      <c r="Q12" s="29"/>
      <c r="T12" s="29">
        <v>43193</v>
      </c>
      <c r="U12" t="s">
        <v>940</v>
      </c>
    </row>
    <row r="13" spans="1:21" x14ac:dyDescent="0.25">
      <c r="C13" s="4"/>
      <c r="D13" s="3"/>
      <c r="E13" s="3"/>
      <c r="F13" s="3"/>
      <c r="H13" s="70"/>
      <c r="O13" s="11" t="s">
        <v>947</v>
      </c>
      <c r="Q13">
        <f>Q4/6.69</f>
        <v>23.772795216741404</v>
      </c>
    </row>
    <row r="14" spans="1:21" x14ac:dyDescent="0.25">
      <c r="C14" s="4"/>
      <c r="D14" s="3"/>
      <c r="E14" s="3"/>
      <c r="F14" s="3"/>
      <c r="H14" s="70"/>
    </row>
    <row r="15" spans="1:21" x14ac:dyDescent="0.25">
      <c r="H15" s="70"/>
    </row>
    <row r="16" spans="1:21" x14ac:dyDescent="0.25">
      <c r="H16" s="70"/>
    </row>
    <row r="17" spans="1:17" ht="20.25" thickBot="1" x14ac:dyDescent="0.35">
      <c r="O17" s="884" t="s">
        <v>78</v>
      </c>
      <c r="P17" s="884"/>
    </row>
    <row r="18" spans="1:17" ht="15.75" thickTop="1" x14ac:dyDescent="0.25">
      <c r="A18" s="31" t="s">
        <v>81</v>
      </c>
      <c r="B18" s="14"/>
      <c r="C18" s="14">
        <f>SUM(C2:C13)</f>
        <v>300</v>
      </c>
      <c r="D18" s="18"/>
      <c r="E18" s="18"/>
      <c r="F18" s="18">
        <f>SUM(F2:F13)</f>
        <v>29486.100000000002</v>
      </c>
      <c r="G18" s="14"/>
      <c r="H18" s="71">
        <f>SUM(H2:H11)</f>
        <v>300</v>
      </c>
      <c r="I18" s="18"/>
      <c r="J18" s="18"/>
      <c r="K18" s="18">
        <f>SUM(K2:K11)</f>
        <v>32185.160000000003</v>
      </c>
      <c r="L18" s="14"/>
      <c r="M18" s="18">
        <f>SUM(M2:M10)</f>
        <v>15</v>
      </c>
      <c r="O18" s="81">
        <v>1.1000000000000001</v>
      </c>
      <c r="P18" s="81">
        <f>O18*$Q$4</f>
        <v>174.94400000000002</v>
      </c>
      <c r="Q18" s="2"/>
    </row>
    <row r="19" spans="1:17" ht="15.75" thickBot="1" x14ac:dyDescent="0.3">
      <c r="A19" s="277" t="s">
        <v>191</v>
      </c>
      <c r="B19" s="278"/>
      <c r="C19" s="279">
        <f>SumByColor($A$19,C2:C17)</f>
        <v>300</v>
      </c>
      <c r="D19" s="279"/>
      <c r="E19" s="279"/>
      <c r="F19" s="280">
        <f>SumByColor($A$19,F2:F17)</f>
        <v>29486</v>
      </c>
      <c r="G19" s="279"/>
      <c r="H19" s="279">
        <f>SumByColor($A$19,H2:H17)</f>
        <v>300</v>
      </c>
      <c r="I19" s="279"/>
      <c r="J19" s="279"/>
      <c r="K19" s="280">
        <f>SumByColor($A$19,K2:K17)</f>
        <v>32184</v>
      </c>
      <c r="L19" s="279"/>
      <c r="M19" s="280">
        <f>SumByColor($A$19,M2:M17)</f>
        <v>15</v>
      </c>
      <c r="O19" s="81">
        <v>1.0900000000000001</v>
      </c>
      <c r="P19" s="81">
        <f t="shared" ref="P19:P38" si="2">O19*$Q$4</f>
        <v>173.3536</v>
      </c>
      <c r="Q19" s="2"/>
    </row>
    <row r="20" spans="1:17" x14ac:dyDescent="0.25">
      <c r="O20" s="81">
        <v>1.08</v>
      </c>
      <c r="P20" s="81">
        <f t="shared" si="2"/>
        <v>171.76320000000001</v>
      </c>
      <c r="Q20" s="2"/>
    </row>
    <row r="21" spans="1:17" x14ac:dyDescent="0.25">
      <c r="O21" s="81">
        <v>1.07</v>
      </c>
      <c r="P21" s="81">
        <f t="shared" si="2"/>
        <v>170.1728</v>
      </c>
      <c r="Q21" s="2"/>
    </row>
    <row r="22" spans="1:17" x14ac:dyDescent="0.25">
      <c r="O22" s="81">
        <v>1.06</v>
      </c>
      <c r="P22" s="81">
        <f t="shared" si="2"/>
        <v>168.58240000000001</v>
      </c>
      <c r="Q22" s="2"/>
    </row>
    <row r="23" spans="1:17" x14ac:dyDescent="0.25">
      <c r="O23" s="81">
        <v>1.05</v>
      </c>
      <c r="P23" s="81">
        <f t="shared" si="2"/>
        <v>166.99199999999999</v>
      </c>
      <c r="Q23" s="2"/>
    </row>
    <row r="24" spans="1:17" x14ac:dyDescent="0.25">
      <c r="B24" s="162" t="s">
        <v>113</v>
      </c>
      <c r="C24" s="162" t="s">
        <v>145</v>
      </c>
      <c r="D24" s="163" t="s">
        <v>144</v>
      </c>
      <c r="E24" s="165" t="s">
        <v>146</v>
      </c>
      <c r="F24" s="165" t="s">
        <v>65</v>
      </c>
      <c r="G24" s="177" t="s">
        <v>150</v>
      </c>
      <c r="H24" s="177" t="s">
        <v>88</v>
      </c>
      <c r="I24" s="177" t="s">
        <v>153</v>
      </c>
      <c r="J24" s="177" t="s">
        <v>149</v>
      </c>
      <c r="K24" s="177" t="s">
        <v>646</v>
      </c>
      <c r="L24" s="177" t="s">
        <v>487</v>
      </c>
      <c r="M24" s="177" t="s">
        <v>70</v>
      </c>
      <c r="O24" s="81">
        <v>1.04</v>
      </c>
      <c r="P24" s="81">
        <f t="shared" si="2"/>
        <v>165.4016</v>
      </c>
      <c r="Q24" s="2"/>
    </row>
    <row r="25" spans="1:17" x14ac:dyDescent="0.25">
      <c r="B25" s="164">
        <v>42892</v>
      </c>
      <c r="C25" s="10">
        <v>25</v>
      </c>
      <c r="D25" s="39">
        <v>132.88</v>
      </c>
      <c r="E25" s="39">
        <v>131.30000000000001</v>
      </c>
      <c r="F25" s="39">
        <f t="shared" ref="F25:F45" si="3">C25*(E25-D25)</f>
        <v>-39.499999999999602</v>
      </c>
      <c r="G25" s="39">
        <f t="shared" ref="G25:G45" si="4">D25*C25</f>
        <v>3322</v>
      </c>
      <c r="H25" s="179">
        <f t="shared" ref="H25:H45" si="5">(E25-D25)/D25</f>
        <v>-1.1890427453341242E-2</v>
      </c>
      <c r="I25" s="39"/>
      <c r="J25" s="39"/>
      <c r="K25" s="39"/>
      <c r="L25" s="39"/>
      <c r="M25" s="39"/>
      <c r="O25" s="81">
        <v>1.03</v>
      </c>
      <c r="P25" s="81">
        <f t="shared" si="2"/>
        <v>163.81119999999999</v>
      </c>
      <c r="Q25" s="2"/>
    </row>
    <row r="26" spans="1:17" x14ac:dyDescent="0.25">
      <c r="B26" s="164">
        <v>42926</v>
      </c>
      <c r="C26" s="10">
        <v>50</v>
      </c>
      <c r="D26" s="39">
        <v>115.62130000000001</v>
      </c>
      <c r="E26" s="39">
        <v>100.92</v>
      </c>
      <c r="F26" s="39">
        <f t="shared" si="3"/>
        <v>-735.06500000000017</v>
      </c>
      <c r="G26" s="39">
        <f t="shared" si="4"/>
        <v>5781.0650000000005</v>
      </c>
      <c r="H26" s="179">
        <f t="shared" si="5"/>
        <v>-0.12715044719268856</v>
      </c>
      <c r="I26" s="39"/>
      <c r="J26" s="39"/>
      <c r="K26" s="39"/>
      <c r="L26" s="39"/>
      <c r="M26" s="39"/>
      <c r="O26" s="81">
        <v>1.02</v>
      </c>
      <c r="P26" s="81">
        <f t="shared" si="2"/>
        <v>162.2208</v>
      </c>
      <c r="Q26" s="2"/>
    </row>
    <row r="27" spans="1:17" x14ac:dyDescent="0.25">
      <c r="B27" s="164">
        <v>42947</v>
      </c>
      <c r="C27" s="10">
        <v>75</v>
      </c>
      <c r="D27" s="39">
        <v>115.62130000000001</v>
      </c>
      <c r="E27" s="39">
        <v>112.01</v>
      </c>
      <c r="F27" s="39">
        <f t="shared" si="3"/>
        <v>-270.84749999999997</v>
      </c>
      <c r="G27" s="39">
        <f t="shared" si="4"/>
        <v>8671.5974999999999</v>
      </c>
      <c r="H27" s="179">
        <f t="shared" si="5"/>
        <v>-3.1233864348524015E-2</v>
      </c>
      <c r="I27" s="39"/>
      <c r="J27" s="39"/>
      <c r="K27" s="39"/>
      <c r="L27" s="155"/>
      <c r="M27" s="155"/>
      <c r="O27" s="81">
        <v>1.01</v>
      </c>
      <c r="P27" s="81">
        <f t="shared" si="2"/>
        <v>160.63039999999998</v>
      </c>
      <c r="Q27" s="2"/>
    </row>
    <row r="28" spans="1:17" x14ac:dyDescent="0.25">
      <c r="B28" s="164">
        <v>42962</v>
      </c>
      <c r="C28" s="10">
        <v>125</v>
      </c>
      <c r="D28" s="39">
        <v>105.3728</v>
      </c>
      <c r="E28" s="39">
        <v>87.08</v>
      </c>
      <c r="F28" s="39">
        <f t="shared" si="3"/>
        <v>-2286.6</v>
      </c>
      <c r="G28" s="39">
        <f t="shared" si="4"/>
        <v>13171.6</v>
      </c>
      <c r="H28" s="179">
        <f t="shared" si="5"/>
        <v>-0.17360077743022867</v>
      </c>
      <c r="I28" s="39"/>
      <c r="J28" s="39"/>
      <c r="K28" s="39"/>
      <c r="L28" s="155"/>
      <c r="M28" s="155"/>
      <c r="O28" s="81">
        <v>1</v>
      </c>
      <c r="P28" s="81">
        <f t="shared" si="2"/>
        <v>159.04</v>
      </c>
      <c r="Q28" s="2"/>
    </row>
    <row r="29" spans="1:17" x14ac:dyDescent="0.25">
      <c r="B29" s="164">
        <v>42963</v>
      </c>
      <c r="C29" s="10">
        <v>75</v>
      </c>
      <c r="D29" s="39">
        <v>113.97</v>
      </c>
      <c r="E29" s="39">
        <v>87.08</v>
      </c>
      <c r="F29" s="39">
        <f t="shared" si="3"/>
        <v>-2016.75</v>
      </c>
      <c r="G29" s="39">
        <f t="shared" si="4"/>
        <v>8547.75</v>
      </c>
      <c r="H29" s="179">
        <f t="shared" si="5"/>
        <v>-0.23593928226726332</v>
      </c>
      <c r="I29" s="39"/>
      <c r="J29" s="39"/>
      <c r="K29" s="39"/>
      <c r="L29" s="155"/>
      <c r="M29" s="155"/>
      <c r="O29" s="81">
        <v>0.99</v>
      </c>
      <c r="P29" s="81">
        <f t="shared" si="2"/>
        <v>157.4496</v>
      </c>
      <c r="Q29" s="2"/>
    </row>
    <row r="30" spans="1:17" x14ac:dyDescent="0.25">
      <c r="A30">
        <v>25</v>
      </c>
      <c r="B30" s="164">
        <v>42974</v>
      </c>
      <c r="C30" s="10">
        <v>75</v>
      </c>
      <c r="D30" s="39">
        <v>113.97</v>
      </c>
      <c r="E30" s="39">
        <v>95.8</v>
      </c>
      <c r="F30" s="39">
        <f t="shared" si="3"/>
        <v>-1362.7500000000002</v>
      </c>
      <c r="G30" s="39">
        <f t="shared" si="4"/>
        <v>8547.75</v>
      </c>
      <c r="H30" s="179">
        <f t="shared" si="5"/>
        <v>-0.15942791962797229</v>
      </c>
      <c r="I30" s="39"/>
      <c r="J30" s="39"/>
      <c r="K30" s="39"/>
      <c r="L30" s="155"/>
      <c r="M30" s="155"/>
      <c r="O30" s="81">
        <v>0.98</v>
      </c>
      <c r="P30" s="81">
        <f t="shared" si="2"/>
        <v>155.85919999999999</v>
      </c>
      <c r="Q30" s="2"/>
    </row>
    <row r="31" spans="1:17" x14ac:dyDescent="0.25">
      <c r="A31">
        <v>25</v>
      </c>
      <c r="B31" s="164">
        <v>42983</v>
      </c>
      <c r="C31" s="7">
        <v>75</v>
      </c>
      <c r="D31" s="43">
        <v>113.97</v>
      </c>
      <c r="E31" s="39">
        <v>96.73</v>
      </c>
      <c r="F31" s="39">
        <f t="shared" si="3"/>
        <v>-1292.9999999999995</v>
      </c>
      <c r="G31" s="39">
        <f t="shared" si="4"/>
        <v>8547.75</v>
      </c>
      <c r="H31" s="179">
        <f t="shared" si="5"/>
        <v>-0.15126787751162582</v>
      </c>
      <c r="I31" s="39">
        <v>110</v>
      </c>
      <c r="J31" s="39"/>
      <c r="K31" s="39"/>
      <c r="L31" s="155"/>
      <c r="M31" s="155"/>
      <c r="O31" s="81">
        <v>0.97</v>
      </c>
      <c r="P31" s="81">
        <f t="shared" si="2"/>
        <v>154.2688</v>
      </c>
    </row>
    <row r="32" spans="1:17" x14ac:dyDescent="0.25">
      <c r="B32" s="164">
        <v>42988</v>
      </c>
      <c r="C32" s="10">
        <v>75</v>
      </c>
      <c r="D32" s="39">
        <v>113.97</v>
      </c>
      <c r="E32" s="39">
        <v>94.03</v>
      </c>
      <c r="F32" s="39">
        <f t="shared" si="3"/>
        <v>-1495.4999999999998</v>
      </c>
      <c r="G32" s="39">
        <f t="shared" si="4"/>
        <v>8547.75</v>
      </c>
      <c r="H32" s="179">
        <f t="shared" si="5"/>
        <v>-0.17495832236553477</v>
      </c>
      <c r="I32" s="39">
        <v>110</v>
      </c>
      <c r="J32" s="39"/>
      <c r="K32" s="39"/>
      <c r="L32" s="155"/>
      <c r="M32" s="155"/>
      <c r="O32" s="81">
        <v>0.96</v>
      </c>
      <c r="P32" s="81">
        <f t="shared" si="2"/>
        <v>152.67839999999998</v>
      </c>
    </row>
    <row r="33" spans="1:16" x14ac:dyDescent="0.25">
      <c r="A33">
        <v>75</v>
      </c>
      <c r="B33" s="164">
        <v>43009</v>
      </c>
      <c r="C33" s="10">
        <v>75</v>
      </c>
      <c r="D33" s="39">
        <v>113.9695</v>
      </c>
      <c r="E33" s="39">
        <v>99.2</v>
      </c>
      <c r="F33" s="39">
        <f t="shared" si="3"/>
        <v>-1107.7124999999996</v>
      </c>
      <c r="G33" s="39">
        <f t="shared" si="4"/>
        <v>8547.7124999999996</v>
      </c>
      <c r="H33" s="179">
        <f t="shared" si="5"/>
        <v>-0.12959168900451432</v>
      </c>
      <c r="I33" s="39">
        <v>110</v>
      </c>
      <c r="J33" s="39"/>
      <c r="K33" s="39"/>
      <c r="L33" s="155"/>
      <c r="M33" s="155"/>
      <c r="O33" s="81">
        <v>0.95</v>
      </c>
      <c r="P33" s="81">
        <f t="shared" si="2"/>
        <v>151.08799999999999</v>
      </c>
    </row>
    <row r="34" spans="1:16" x14ac:dyDescent="0.25">
      <c r="A34">
        <v>75</v>
      </c>
      <c r="B34" s="164">
        <v>43017</v>
      </c>
      <c r="C34" s="10">
        <v>125</v>
      </c>
      <c r="D34" s="39">
        <v>105.0697</v>
      </c>
      <c r="E34" s="39">
        <v>91.12</v>
      </c>
      <c r="F34" s="39">
        <f t="shared" si="3"/>
        <v>-1743.7124999999992</v>
      </c>
      <c r="G34" s="39">
        <f t="shared" si="4"/>
        <v>13133.7125</v>
      </c>
      <c r="H34" s="179">
        <f t="shared" si="5"/>
        <v>-0.13276615427663727</v>
      </c>
      <c r="I34" s="39">
        <v>100</v>
      </c>
      <c r="J34" s="39"/>
      <c r="K34" s="39"/>
      <c r="L34" s="155"/>
      <c r="M34" s="155"/>
      <c r="O34" s="81">
        <v>0.94</v>
      </c>
      <c r="P34" s="81">
        <f t="shared" si="2"/>
        <v>149.49759999999998</v>
      </c>
    </row>
    <row r="35" spans="1:16" x14ac:dyDescent="0.25">
      <c r="A35">
        <v>75</v>
      </c>
      <c r="B35" s="164">
        <v>43020</v>
      </c>
      <c r="C35" s="10">
        <v>150</v>
      </c>
      <c r="D35" s="39">
        <v>102.10469999999999</v>
      </c>
      <c r="E35" s="39">
        <v>87.98</v>
      </c>
      <c r="F35" s="39">
        <f t="shared" si="3"/>
        <v>-2118.7049999999986</v>
      </c>
      <c r="G35" s="39">
        <f t="shared" si="4"/>
        <v>15315.705</v>
      </c>
      <c r="H35" s="179">
        <f t="shared" si="5"/>
        <v>-0.13833545370585282</v>
      </c>
      <c r="I35" s="39">
        <v>100</v>
      </c>
      <c r="J35" s="39"/>
      <c r="K35" s="39"/>
      <c r="L35" s="39"/>
      <c r="M35" s="39"/>
      <c r="O35" s="81">
        <v>0.93</v>
      </c>
      <c r="P35" s="81">
        <f t="shared" si="2"/>
        <v>147.90719999999999</v>
      </c>
    </row>
    <row r="36" spans="1:16" x14ac:dyDescent="0.25">
      <c r="A36">
        <v>75</v>
      </c>
      <c r="B36" s="164">
        <v>43021</v>
      </c>
      <c r="C36" s="10">
        <v>150</v>
      </c>
      <c r="D36" s="39">
        <v>102.10469999999999</v>
      </c>
      <c r="E36" s="39">
        <v>85.51</v>
      </c>
      <c r="F36" s="39">
        <f t="shared" si="3"/>
        <v>-2489.2049999999981</v>
      </c>
      <c r="G36" s="39">
        <f t="shared" si="4"/>
        <v>15315.705</v>
      </c>
      <c r="H36" s="179">
        <f t="shared" si="5"/>
        <v>-0.16252630877912563</v>
      </c>
      <c r="I36" s="39"/>
      <c r="J36" s="39"/>
      <c r="K36" s="39"/>
      <c r="L36" s="39">
        <v>26.5</v>
      </c>
      <c r="M36" s="39"/>
      <c r="O36" s="81">
        <v>0.92</v>
      </c>
      <c r="P36" s="81">
        <f t="shared" si="2"/>
        <v>146.3168</v>
      </c>
    </row>
    <row r="37" spans="1:16" x14ac:dyDescent="0.25">
      <c r="A37">
        <v>75</v>
      </c>
      <c r="B37" s="164">
        <v>43028</v>
      </c>
      <c r="C37" s="10">
        <v>150</v>
      </c>
      <c r="D37" s="39">
        <v>102.10469999999999</v>
      </c>
      <c r="E37" s="39">
        <v>86.78</v>
      </c>
      <c r="F37" s="39">
        <f t="shared" si="3"/>
        <v>-2298.704999999999</v>
      </c>
      <c r="G37" s="39">
        <f t="shared" si="4"/>
        <v>15315.705</v>
      </c>
      <c r="H37" s="179">
        <f t="shared" si="5"/>
        <v>-0.15008809584671415</v>
      </c>
      <c r="I37" s="39"/>
      <c r="J37" s="39"/>
      <c r="K37" s="39"/>
      <c r="L37" s="39">
        <v>33.119999999999997</v>
      </c>
      <c r="M37" s="39"/>
      <c r="O37" s="81">
        <v>0.91</v>
      </c>
      <c r="P37" s="81">
        <f t="shared" si="2"/>
        <v>144.72639999999998</v>
      </c>
    </row>
    <row r="38" spans="1:16" x14ac:dyDescent="0.25">
      <c r="A38">
        <v>75</v>
      </c>
      <c r="B38" s="164">
        <v>43031</v>
      </c>
      <c r="C38" s="10">
        <v>150</v>
      </c>
      <c r="D38" s="39">
        <v>102.10469999999999</v>
      </c>
      <c r="E38" s="39">
        <v>85.91</v>
      </c>
      <c r="F38" s="39">
        <f t="shared" si="3"/>
        <v>-2429.2049999999995</v>
      </c>
      <c r="G38" s="39">
        <f t="shared" si="4"/>
        <v>15315.705</v>
      </c>
      <c r="H38" s="179">
        <f t="shared" si="5"/>
        <v>-0.15860876139883862</v>
      </c>
      <c r="I38" s="39"/>
      <c r="J38" s="39"/>
      <c r="K38" s="39"/>
      <c r="L38" s="39"/>
      <c r="M38" s="39"/>
      <c r="O38" s="81">
        <v>0.9</v>
      </c>
      <c r="P38" s="81">
        <f t="shared" si="2"/>
        <v>143.136</v>
      </c>
    </row>
    <row r="39" spans="1:16" x14ac:dyDescent="0.25">
      <c r="A39">
        <v>75</v>
      </c>
      <c r="B39" s="164">
        <v>43044</v>
      </c>
      <c r="C39" s="10">
        <v>150</v>
      </c>
      <c r="D39" s="39">
        <v>102.10469999999999</v>
      </c>
      <c r="E39" s="39">
        <v>81.8</v>
      </c>
      <c r="F39" s="39">
        <f t="shared" si="3"/>
        <v>-3045.7049999999995</v>
      </c>
      <c r="G39" s="39">
        <f t="shared" si="4"/>
        <v>15315.705</v>
      </c>
      <c r="H39" s="179">
        <f t="shared" si="5"/>
        <v>-0.19886156073128855</v>
      </c>
      <c r="I39" s="39">
        <v>100</v>
      </c>
      <c r="J39" s="39"/>
      <c r="K39" s="39"/>
      <c r="L39" s="39">
        <v>32.200000000000003</v>
      </c>
      <c r="M39" s="39"/>
    </row>
    <row r="40" spans="1:16" x14ac:dyDescent="0.25">
      <c r="A40">
        <v>75</v>
      </c>
      <c r="B40" s="164">
        <v>43045</v>
      </c>
      <c r="C40" s="10">
        <v>200</v>
      </c>
      <c r="D40" s="39">
        <v>96.724000000000004</v>
      </c>
      <c r="E40" s="39">
        <v>80.709999999999994</v>
      </c>
      <c r="F40" s="39">
        <f t="shared" si="3"/>
        <v>-3202.800000000002</v>
      </c>
      <c r="G40" s="39">
        <f t="shared" si="4"/>
        <v>19344.8</v>
      </c>
      <c r="H40" s="179">
        <f t="shared" si="5"/>
        <v>-0.16556387246185031</v>
      </c>
      <c r="I40" s="39"/>
      <c r="J40" s="39"/>
      <c r="K40" s="39"/>
      <c r="L40" s="39"/>
      <c r="M40" s="39"/>
    </row>
    <row r="41" spans="1:16" x14ac:dyDescent="0.25">
      <c r="A41">
        <v>75</v>
      </c>
      <c r="B41" s="164">
        <v>43053</v>
      </c>
      <c r="C41" s="10">
        <v>125</v>
      </c>
      <c r="D41" s="39">
        <v>98.01</v>
      </c>
      <c r="E41" s="39">
        <v>95.72</v>
      </c>
      <c r="F41" s="39">
        <f t="shared" si="3"/>
        <v>-286.2500000000008</v>
      </c>
      <c r="G41" s="39">
        <f t="shared" si="4"/>
        <v>12251.25</v>
      </c>
      <c r="H41" s="179">
        <f t="shared" si="5"/>
        <v>-2.3364962758902215E-2</v>
      </c>
      <c r="I41" s="39"/>
      <c r="J41" s="39"/>
      <c r="K41" s="39"/>
      <c r="L41" s="39"/>
      <c r="M41" s="39"/>
    </row>
    <row r="42" spans="1:16" x14ac:dyDescent="0.25">
      <c r="A42">
        <v>75</v>
      </c>
      <c r="B42" s="164">
        <v>43057</v>
      </c>
      <c r="C42" s="10">
        <v>125</v>
      </c>
      <c r="D42" s="39">
        <v>98.01</v>
      </c>
      <c r="E42" s="39">
        <v>89.27</v>
      </c>
      <c r="F42" s="39">
        <f t="shared" si="3"/>
        <v>-1092.5000000000011</v>
      </c>
      <c r="G42" s="39">
        <f t="shared" si="4"/>
        <v>12251.25</v>
      </c>
      <c r="H42" s="179">
        <f t="shared" si="5"/>
        <v>-8.9174574023058964E-2</v>
      </c>
      <c r="I42" s="39"/>
      <c r="J42" s="39"/>
      <c r="K42" s="39"/>
      <c r="L42" s="39">
        <v>55.15</v>
      </c>
      <c r="M42" s="39"/>
    </row>
    <row r="43" spans="1:16" x14ac:dyDescent="0.25">
      <c r="A43">
        <v>50</v>
      </c>
      <c r="B43" s="164">
        <v>43068</v>
      </c>
      <c r="C43" s="10">
        <v>100</v>
      </c>
      <c r="D43" s="39">
        <v>97.8</v>
      </c>
      <c r="E43" s="39">
        <v>99.69</v>
      </c>
      <c r="F43" s="39">
        <f t="shared" si="3"/>
        <v>189.00000000000006</v>
      </c>
      <c r="G43" s="39">
        <f t="shared" si="4"/>
        <v>9780</v>
      </c>
      <c r="H43" s="179">
        <f t="shared" si="5"/>
        <v>1.9325153374233135E-2</v>
      </c>
      <c r="I43" s="39">
        <v>97.3</v>
      </c>
      <c r="J43" s="39"/>
      <c r="K43" s="39"/>
      <c r="L43" s="39"/>
      <c r="M43" s="39"/>
    </row>
    <row r="44" spans="1:16" x14ac:dyDescent="0.25">
      <c r="A44">
        <v>100</v>
      </c>
      <c r="B44" s="164">
        <v>43102</v>
      </c>
      <c r="C44" s="10">
        <v>100</v>
      </c>
      <c r="D44" s="39">
        <v>97.8</v>
      </c>
      <c r="E44" s="39">
        <v>106.09</v>
      </c>
      <c r="F44" s="39">
        <f t="shared" si="3"/>
        <v>829.00000000000068</v>
      </c>
      <c r="G44" s="39">
        <f t="shared" si="4"/>
        <v>9780</v>
      </c>
      <c r="H44" s="179">
        <f t="shared" si="5"/>
        <v>8.4764826175869182E-2</v>
      </c>
      <c r="I44" s="39"/>
      <c r="J44" s="39"/>
      <c r="K44" s="39"/>
      <c r="L44" s="39"/>
      <c r="M44" s="39"/>
    </row>
    <row r="45" spans="1:16" x14ac:dyDescent="0.25">
      <c r="B45" s="164">
        <v>43104</v>
      </c>
      <c r="C45" s="10">
        <v>90</v>
      </c>
      <c r="D45" s="39">
        <v>96.46</v>
      </c>
      <c r="E45" s="39">
        <v>109.88</v>
      </c>
      <c r="F45" s="39">
        <f t="shared" si="3"/>
        <v>1207.8000000000002</v>
      </c>
      <c r="G45" s="39">
        <f t="shared" si="4"/>
        <v>8681.4</v>
      </c>
      <c r="H45" s="179">
        <f t="shared" si="5"/>
        <v>0.13912502591747877</v>
      </c>
      <c r="I45" s="39"/>
      <c r="J45" s="39"/>
      <c r="K45" s="39"/>
      <c r="L45" s="39"/>
      <c r="M45" s="39"/>
    </row>
    <row r="46" spans="1:16" x14ac:dyDescent="0.25">
      <c r="A46">
        <v>90</v>
      </c>
      <c r="B46" s="164">
        <v>43105</v>
      </c>
      <c r="C46" s="10">
        <v>90</v>
      </c>
      <c r="D46" s="39">
        <v>96.3934</v>
      </c>
      <c r="E46" s="39">
        <v>112.18</v>
      </c>
      <c r="F46" s="39">
        <f t="shared" ref="F46:F52" si="6">C46*(E46-D46)</f>
        <v>1420.7940000000006</v>
      </c>
      <c r="G46" s="39">
        <f t="shared" ref="G46:G52" si="7">D46*C46</f>
        <v>8675.4060000000009</v>
      </c>
      <c r="H46" s="179">
        <f t="shared" ref="H46:H52" si="8">(E46-D46)/D46</f>
        <v>0.16377262343687438</v>
      </c>
      <c r="I46" s="39"/>
      <c r="J46" s="39"/>
      <c r="K46" s="39"/>
      <c r="L46" s="39"/>
      <c r="M46" s="39"/>
    </row>
    <row r="47" spans="1:16" x14ac:dyDescent="0.25">
      <c r="A47">
        <v>75</v>
      </c>
      <c r="B47" s="164">
        <v>43112</v>
      </c>
      <c r="C47" s="7">
        <v>75</v>
      </c>
      <c r="D47" s="43">
        <v>92.672700000000006</v>
      </c>
      <c r="E47" s="39">
        <v>115.94</v>
      </c>
      <c r="F47" s="39">
        <f t="shared" si="6"/>
        <v>1745.0474999999994</v>
      </c>
      <c r="G47" s="39">
        <f t="shared" si="7"/>
        <v>6950.4525000000003</v>
      </c>
      <c r="H47" s="179">
        <f t="shared" si="8"/>
        <v>0.25106962460357785</v>
      </c>
      <c r="I47" s="173" t="s">
        <v>832</v>
      </c>
      <c r="J47" s="39"/>
      <c r="K47" s="39"/>
      <c r="L47" s="39">
        <v>74.34</v>
      </c>
      <c r="M47" s="39" t="s">
        <v>853</v>
      </c>
    </row>
    <row r="48" spans="1:16" x14ac:dyDescent="0.25">
      <c r="B48" s="164">
        <v>43124</v>
      </c>
      <c r="C48" s="10">
        <v>50</v>
      </c>
      <c r="D48" s="39">
        <v>78.819999999999993</v>
      </c>
      <c r="E48" s="39">
        <v>120.99</v>
      </c>
      <c r="F48" s="39">
        <f t="shared" si="6"/>
        <v>2108.5</v>
      </c>
      <c r="G48" s="39">
        <f t="shared" si="7"/>
        <v>3940.9999999999995</v>
      </c>
      <c r="H48" s="179">
        <f t="shared" si="8"/>
        <v>0.53501649327581835</v>
      </c>
      <c r="I48" s="39"/>
      <c r="J48" s="39"/>
      <c r="K48" s="39"/>
      <c r="L48" s="39"/>
      <c r="M48" s="39"/>
    </row>
    <row r="49" spans="1:13" x14ac:dyDescent="0.25">
      <c r="A49">
        <v>50</v>
      </c>
      <c r="B49" s="164">
        <v>43130</v>
      </c>
      <c r="C49" s="10">
        <v>60</v>
      </c>
      <c r="D49" s="39">
        <v>85.35</v>
      </c>
      <c r="E49" s="39">
        <v>119.27</v>
      </c>
      <c r="F49" s="39">
        <f t="shared" si="6"/>
        <v>2035.2</v>
      </c>
      <c r="G49" s="39">
        <f t="shared" si="7"/>
        <v>5121</v>
      </c>
      <c r="H49" s="179">
        <f t="shared" si="8"/>
        <v>0.39742237844171063</v>
      </c>
      <c r="I49" s="39"/>
      <c r="J49" s="39"/>
      <c r="K49" s="39"/>
      <c r="L49" s="39"/>
      <c r="M49" s="39"/>
    </row>
    <row r="50" spans="1:13" x14ac:dyDescent="0.25">
      <c r="A50">
        <v>50</v>
      </c>
      <c r="B50" s="164">
        <v>43146</v>
      </c>
      <c r="C50" s="10">
        <v>60</v>
      </c>
      <c r="D50" s="39">
        <v>85.35</v>
      </c>
      <c r="E50" s="39">
        <v>108.78</v>
      </c>
      <c r="F50" s="39">
        <f t="shared" si="6"/>
        <v>1405.8000000000004</v>
      </c>
      <c r="G50" s="39">
        <f t="shared" si="7"/>
        <v>5121</v>
      </c>
      <c r="H50" s="179">
        <f t="shared" si="8"/>
        <v>0.27451669595782086</v>
      </c>
      <c r="I50" s="39"/>
      <c r="J50" s="39"/>
      <c r="K50" s="39"/>
      <c r="L50" s="39"/>
      <c r="M50" s="39"/>
    </row>
    <row r="51" spans="1:13" x14ac:dyDescent="0.25">
      <c r="A51">
        <v>50</v>
      </c>
      <c r="B51" s="164">
        <v>43151</v>
      </c>
      <c r="C51" s="7">
        <v>75</v>
      </c>
      <c r="D51" s="43">
        <v>89.1</v>
      </c>
      <c r="E51" s="39">
        <v>104</v>
      </c>
      <c r="F51" s="39">
        <f t="shared" si="6"/>
        <v>1117.5000000000005</v>
      </c>
      <c r="G51" s="39">
        <f t="shared" si="7"/>
        <v>6682.5</v>
      </c>
      <c r="H51" s="179">
        <f t="shared" si="8"/>
        <v>0.16722783389450063</v>
      </c>
      <c r="I51" s="39" t="s">
        <v>915</v>
      </c>
      <c r="J51" s="39"/>
      <c r="K51" s="39"/>
      <c r="L51" s="39"/>
      <c r="M51" s="39"/>
    </row>
    <row r="52" spans="1:13" x14ac:dyDescent="0.25">
      <c r="A52">
        <v>35</v>
      </c>
      <c r="B52" s="164">
        <v>43152</v>
      </c>
      <c r="C52" s="10">
        <v>60</v>
      </c>
      <c r="D52" s="39">
        <v>83.5</v>
      </c>
      <c r="E52" s="39">
        <v>114</v>
      </c>
      <c r="F52" s="39">
        <f t="shared" si="6"/>
        <v>1830</v>
      </c>
      <c r="G52" s="39">
        <f t="shared" si="7"/>
        <v>5010</v>
      </c>
      <c r="H52" s="179">
        <f t="shared" si="8"/>
        <v>0.3652694610778443</v>
      </c>
      <c r="I52" s="39"/>
      <c r="J52" s="39"/>
      <c r="K52" s="39"/>
      <c r="L52" s="39"/>
      <c r="M52" s="39"/>
    </row>
    <row r="53" spans="1:13" x14ac:dyDescent="0.25">
      <c r="A53">
        <v>35</v>
      </c>
      <c r="B53" s="164">
        <v>43158</v>
      </c>
      <c r="C53" s="10">
        <v>60</v>
      </c>
      <c r="D53" s="39">
        <v>83.5</v>
      </c>
      <c r="E53" s="39">
        <v>109.8</v>
      </c>
      <c r="F53" s="39">
        <f>C53*(E53-D53)</f>
        <v>1577.9999999999998</v>
      </c>
      <c r="G53" s="39">
        <f>D53*C53</f>
        <v>5010</v>
      </c>
      <c r="H53" s="179">
        <f>(E53-D53)/D53</f>
        <v>0.31497005988023946</v>
      </c>
      <c r="I53" s="39"/>
      <c r="J53" s="39"/>
      <c r="K53" s="39"/>
      <c r="L53" s="39"/>
      <c r="M53" s="39"/>
    </row>
    <row r="54" spans="1:13" x14ac:dyDescent="0.25">
      <c r="A54" s="4">
        <v>45</v>
      </c>
      <c r="B54" s="164">
        <v>43172</v>
      </c>
      <c r="C54" s="10">
        <v>50</v>
      </c>
      <c r="D54" s="39">
        <v>76.33</v>
      </c>
      <c r="E54" s="39">
        <v>119</v>
      </c>
      <c r="F54" s="39">
        <f>C54*(E54-D54)</f>
        <v>2133.5</v>
      </c>
      <c r="G54" s="39">
        <f>D54*C54</f>
        <v>3816.5</v>
      </c>
      <c r="H54" s="179">
        <f>(E54-D54)/D54</f>
        <v>0.55902004454342991</v>
      </c>
      <c r="I54" s="39"/>
      <c r="J54" s="39"/>
      <c r="K54" s="39"/>
      <c r="L54" s="39"/>
      <c r="M54" s="39"/>
    </row>
    <row r="55" spans="1:13" x14ac:dyDescent="0.25">
      <c r="A55" s="4">
        <v>50</v>
      </c>
      <c r="B55" s="164">
        <v>43184</v>
      </c>
      <c r="C55" s="10">
        <v>50</v>
      </c>
      <c r="D55" s="39">
        <v>76.33</v>
      </c>
      <c r="E55" s="39">
        <v>110.84</v>
      </c>
      <c r="F55" s="39">
        <f>C55*(E55-D55)</f>
        <v>1725.5000000000002</v>
      </c>
      <c r="G55" s="39">
        <f>D55*C55</f>
        <v>3816.5</v>
      </c>
      <c r="H55" s="179">
        <f>(E55-D55)/D55</f>
        <v>0.45211581291759473</v>
      </c>
      <c r="I55" s="39"/>
      <c r="J55" s="39"/>
      <c r="K55" s="39"/>
      <c r="L55" s="39"/>
      <c r="M55" s="39"/>
    </row>
    <row r="56" spans="1:13" x14ac:dyDescent="0.25">
      <c r="A56" s="4">
        <v>50</v>
      </c>
      <c r="B56" s="164">
        <v>43185</v>
      </c>
      <c r="C56" s="10">
        <v>50</v>
      </c>
      <c r="D56" s="39">
        <v>76.33</v>
      </c>
      <c r="E56" s="39">
        <v>114.77</v>
      </c>
      <c r="F56" s="39">
        <f t="shared" ref="F56:F61" si="9">C56*(E56-D56)</f>
        <v>1922</v>
      </c>
      <c r="G56" s="39">
        <f t="shared" ref="G56:G61" si="10">D56*C56</f>
        <v>3816.5</v>
      </c>
      <c r="H56" s="179">
        <f t="shared" ref="H56:H61" si="11">(E56-D56)/D56</f>
        <v>0.50360277741386084</v>
      </c>
      <c r="I56" s="39"/>
      <c r="J56" s="39"/>
      <c r="K56" s="39"/>
      <c r="L56" s="39"/>
      <c r="M56" s="39"/>
    </row>
    <row r="57" spans="1:13" x14ac:dyDescent="0.25">
      <c r="A57" s="4">
        <v>50</v>
      </c>
      <c r="B57" s="164">
        <v>43196</v>
      </c>
      <c r="C57" s="7">
        <v>75</v>
      </c>
      <c r="D57" s="43">
        <v>87.82</v>
      </c>
      <c r="E57" s="39">
        <v>110.8</v>
      </c>
      <c r="F57" s="39">
        <f t="shared" si="9"/>
        <v>1723.5000000000002</v>
      </c>
      <c r="G57" s="39">
        <f t="shared" si="10"/>
        <v>6586.4999999999991</v>
      </c>
      <c r="H57" s="179">
        <f t="shared" si="11"/>
        <v>0.26167160100204973</v>
      </c>
      <c r="I57" s="39" t="s">
        <v>945</v>
      </c>
      <c r="J57" s="39"/>
      <c r="K57" s="39"/>
      <c r="L57" s="39"/>
      <c r="M57" s="39"/>
    </row>
    <row r="58" spans="1:13" x14ac:dyDescent="0.25">
      <c r="A58" s="4">
        <v>50</v>
      </c>
      <c r="B58" s="164">
        <v>43197</v>
      </c>
      <c r="C58" s="7">
        <v>75</v>
      </c>
      <c r="D58" s="43">
        <v>87.78</v>
      </c>
      <c r="E58" s="39">
        <v>111.91</v>
      </c>
      <c r="F58" s="39">
        <f t="shared" si="9"/>
        <v>1809.7499999999995</v>
      </c>
      <c r="G58" s="39">
        <f t="shared" si="10"/>
        <v>6583.5</v>
      </c>
      <c r="H58" s="179">
        <f t="shared" si="11"/>
        <v>0.27489177489177485</v>
      </c>
      <c r="I58" s="39">
        <v>87.5</v>
      </c>
      <c r="J58" s="39"/>
      <c r="K58" s="39"/>
      <c r="L58" s="39"/>
      <c r="M58" s="39" t="s">
        <v>184</v>
      </c>
    </row>
    <row r="59" spans="1:13" x14ac:dyDescent="0.25">
      <c r="A59" s="4">
        <v>50</v>
      </c>
      <c r="B59" s="164">
        <v>43207</v>
      </c>
      <c r="C59" s="10">
        <v>75</v>
      </c>
      <c r="D59" s="39">
        <v>87.78</v>
      </c>
      <c r="E59" s="39">
        <v>108.2</v>
      </c>
      <c r="F59" s="39">
        <f t="shared" si="9"/>
        <v>1531.5000000000002</v>
      </c>
      <c r="G59" s="39">
        <f t="shared" si="10"/>
        <v>6583.5</v>
      </c>
      <c r="H59" s="179">
        <f t="shared" si="11"/>
        <v>0.23262702210070632</v>
      </c>
      <c r="I59" s="39"/>
      <c r="J59" s="39"/>
      <c r="K59" s="39"/>
      <c r="L59" s="39"/>
      <c r="M59" s="39"/>
    </row>
    <row r="60" spans="1:13" x14ac:dyDescent="0.25">
      <c r="A60" s="4">
        <v>25</v>
      </c>
      <c r="B60" s="164">
        <v>43217</v>
      </c>
      <c r="C60" s="10">
        <v>50</v>
      </c>
      <c r="D60" s="39">
        <v>73.697199999999995</v>
      </c>
      <c r="E60" s="39">
        <v>116.34</v>
      </c>
      <c r="F60" s="39">
        <f t="shared" si="9"/>
        <v>2132.1400000000003</v>
      </c>
      <c r="G60" s="39">
        <f t="shared" si="10"/>
        <v>3684.8599999999997</v>
      </c>
      <c r="H60" s="179">
        <f t="shared" si="11"/>
        <v>0.57862171154399367</v>
      </c>
      <c r="I60" s="39"/>
      <c r="J60" s="39"/>
      <c r="K60" s="39"/>
      <c r="L60" s="39"/>
      <c r="M60" s="39"/>
    </row>
    <row r="61" spans="1:13" x14ac:dyDescent="0.25">
      <c r="A61" s="4">
        <v>50</v>
      </c>
      <c r="B61" s="164">
        <v>36647</v>
      </c>
      <c r="C61" s="10">
        <v>50</v>
      </c>
      <c r="D61" s="39">
        <v>73.7</v>
      </c>
      <c r="E61" s="39">
        <v>117.99</v>
      </c>
      <c r="F61" s="39">
        <f t="shared" si="9"/>
        <v>2214.4999999999995</v>
      </c>
      <c r="G61" s="39">
        <f t="shared" si="10"/>
        <v>3685</v>
      </c>
      <c r="H61" s="179">
        <f t="shared" si="11"/>
        <v>0.60094979647218438</v>
      </c>
      <c r="I61" s="39"/>
      <c r="J61" s="39"/>
      <c r="K61" s="39"/>
      <c r="L61" s="39"/>
      <c r="M61" s="39"/>
    </row>
    <row r="62" spans="1:13" x14ac:dyDescent="0.25">
      <c r="A62" s="4">
        <v>50</v>
      </c>
      <c r="B62" s="164">
        <v>43248</v>
      </c>
      <c r="C62" s="10">
        <v>50</v>
      </c>
      <c r="D62" s="39">
        <v>73.7</v>
      </c>
      <c r="E62" s="39">
        <v>124.91</v>
      </c>
      <c r="F62" s="39">
        <f>C62*(E62-D62)</f>
        <v>2560.4999999999995</v>
      </c>
      <c r="G62" s="39">
        <f>D62*C62</f>
        <v>3685</v>
      </c>
      <c r="H62" s="179">
        <f>(E62-D62)/D62</f>
        <v>0.69484396200814103</v>
      </c>
      <c r="I62" s="39"/>
      <c r="J62" s="39"/>
      <c r="K62" s="39"/>
      <c r="L62" s="39"/>
      <c r="M62" s="39"/>
    </row>
    <row r="63" spans="1:13" x14ac:dyDescent="0.25">
      <c r="A63" s="4"/>
      <c r="B63" s="164">
        <v>43250</v>
      </c>
      <c r="C63" s="10">
        <v>0</v>
      </c>
      <c r="D63" s="39"/>
      <c r="E63" s="39">
        <v>128.53</v>
      </c>
      <c r="F63" s="39">
        <v>2714.06</v>
      </c>
      <c r="G63" s="39"/>
      <c r="H63" s="179"/>
      <c r="I63" s="39"/>
      <c r="J63" s="39"/>
      <c r="K63" s="39"/>
      <c r="L63" s="39"/>
      <c r="M63" s="39"/>
    </row>
    <row r="64" spans="1:13" x14ac:dyDescent="0.25">
      <c r="A64" s="4"/>
      <c r="B64" s="164"/>
      <c r="C64" s="10"/>
      <c r="D64" s="39"/>
      <c r="E64" s="39"/>
      <c r="F64" s="39"/>
      <c r="G64" s="39"/>
      <c r="H64" s="179"/>
      <c r="I64" s="39"/>
      <c r="J64" s="39"/>
      <c r="K64" s="39"/>
      <c r="L64" s="39"/>
      <c r="M64" s="39"/>
    </row>
    <row r="65" spans="1:13" x14ac:dyDescent="0.25">
      <c r="A65" s="4"/>
      <c r="B65" s="164"/>
      <c r="C65" s="10"/>
      <c r="D65" s="39"/>
      <c r="E65" s="39"/>
      <c r="F65" s="39"/>
      <c r="G65" s="39"/>
      <c r="H65" s="179"/>
      <c r="I65" s="39"/>
      <c r="J65" s="39"/>
      <c r="K65" s="39"/>
      <c r="L65" s="39"/>
      <c r="M65" s="39"/>
    </row>
    <row r="66" spans="1:13" x14ac:dyDescent="0.25">
      <c r="A66" s="4"/>
      <c r="B66" s="164"/>
      <c r="C66" s="10"/>
      <c r="D66" s="39"/>
      <c r="E66" s="39"/>
      <c r="F66" s="39"/>
      <c r="G66" s="39"/>
      <c r="H66" s="179"/>
      <c r="I66" s="39"/>
      <c r="J66" s="39"/>
      <c r="K66" s="39"/>
      <c r="L66" s="39"/>
      <c r="M66" s="39"/>
    </row>
    <row r="67" spans="1:13" x14ac:dyDescent="0.25">
      <c r="A67" s="4"/>
      <c r="B67" s="164"/>
      <c r="C67" s="10"/>
      <c r="D67" s="39"/>
      <c r="E67" s="39"/>
      <c r="F67" s="39"/>
      <c r="G67" s="39"/>
      <c r="H67" s="179"/>
      <c r="I67" s="39"/>
      <c r="J67" s="39"/>
      <c r="K67" s="39"/>
      <c r="L67" s="39"/>
      <c r="M67" s="39"/>
    </row>
    <row r="68" spans="1:13" x14ac:dyDescent="0.25">
      <c r="A68" s="4"/>
      <c r="B68" s="164"/>
      <c r="C68" s="10"/>
      <c r="D68" s="39"/>
      <c r="E68" s="39"/>
      <c r="F68" s="39"/>
      <c r="G68" s="39"/>
      <c r="H68" s="179"/>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40" t="s">
        <v>1</v>
      </c>
      <c r="B71" s="440" t="s">
        <v>2</v>
      </c>
      <c r="C71" s="440" t="s">
        <v>4</v>
      </c>
      <c r="D71" s="441" t="s">
        <v>5</v>
      </c>
      <c r="E71" s="441" t="s">
        <v>94</v>
      </c>
      <c r="F71" s="441" t="s">
        <v>60</v>
      </c>
      <c r="G71" s="440" t="s">
        <v>3</v>
      </c>
      <c r="H71" s="440" t="s">
        <v>6</v>
      </c>
      <c r="I71" s="441" t="s">
        <v>7</v>
      </c>
      <c r="J71" s="441" t="s">
        <v>95</v>
      </c>
      <c r="K71" s="441" t="s">
        <v>61</v>
      </c>
      <c r="L71" s="440" t="s">
        <v>37</v>
      </c>
      <c r="M71" s="440" t="s">
        <v>38</v>
      </c>
    </row>
    <row r="72" spans="1:13" x14ac:dyDescent="0.25">
      <c r="A72" s="442"/>
      <c r="B72" s="426"/>
      <c r="C72" s="427"/>
      <c r="D72" s="429"/>
      <c r="E72" s="429"/>
      <c r="F72" s="429"/>
      <c r="G72" s="426"/>
      <c r="H72" s="443"/>
      <c r="I72" s="429"/>
      <c r="J72" s="429"/>
      <c r="K72" s="429"/>
      <c r="L72" s="426"/>
      <c r="M72" s="429"/>
    </row>
    <row r="73" spans="1:13" x14ac:dyDescent="0.25">
      <c r="A73" s="444"/>
      <c r="B73" s="426"/>
      <c r="C73" s="427"/>
      <c r="D73" s="429"/>
      <c r="E73" s="429"/>
      <c r="F73" s="429"/>
      <c r="G73" s="426"/>
      <c r="H73" s="443"/>
      <c r="I73" s="429"/>
      <c r="J73" s="429"/>
      <c r="K73" s="429"/>
      <c r="L73" s="427"/>
      <c r="M73" s="427"/>
    </row>
    <row r="74" spans="1:13" x14ac:dyDescent="0.25">
      <c r="A74" s="427"/>
      <c r="B74" s="426"/>
      <c r="C74" s="427"/>
      <c r="D74" s="429"/>
      <c r="E74" s="429"/>
      <c r="F74" s="429"/>
      <c r="G74" s="426"/>
      <c r="H74" s="443"/>
      <c r="I74" s="429"/>
      <c r="J74" s="429"/>
      <c r="K74" s="429"/>
      <c r="L74" s="427"/>
      <c r="M74" s="427"/>
    </row>
    <row r="75" spans="1:13" x14ac:dyDescent="0.25">
      <c r="A75" s="427"/>
      <c r="B75" s="426"/>
      <c r="C75" s="427"/>
      <c r="D75" s="429"/>
      <c r="E75" s="429"/>
      <c r="F75" s="429"/>
      <c r="G75" s="427"/>
      <c r="H75" s="443"/>
      <c r="I75" s="429"/>
      <c r="J75" s="429"/>
      <c r="K75" s="429"/>
      <c r="L75" s="427"/>
      <c r="M75" s="427"/>
    </row>
    <row r="76" spans="1:13" x14ac:dyDescent="0.25">
      <c r="A76" s="427"/>
      <c r="B76" s="426"/>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43"/>
      <c r="I83" s="429"/>
      <c r="J83" s="429"/>
      <c r="K83" s="429"/>
      <c r="L83" s="427"/>
      <c r="M83" s="427"/>
    </row>
    <row r="84" spans="1:13" x14ac:dyDescent="0.25">
      <c r="A84" s="427"/>
      <c r="B84" s="427"/>
      <c r="C84" s="427"/>
      <c r="D84" s="429"/>
      <c r="E84" s="429"/>
      <c r="F84" s="429"/>
      <c r="G84" s="427"/>
      <c r="H84" s="443"/>
      <c r="I84" s="429"/>
      <c r="J84" s="429"/>
      <c r="K84" s="429"/>
      <c r="L84" s="427"/>
      <c r="M84" s="427"/>
    </row>
    <row r="85" spans="1:13" x14ac:dyDescent="0.25">
      <c r="A85" s="427"/>
      <c r="B85" s="427"/>
      <c r="C85" s="427"/>
      <c r="D85" s="429"/>
      <c r="E85" s="429"/>
      <c r="F85" s="429"/>
      <c r="G85" s="427"/>
      <c r="H85" s="443"/>
      <c r="I85" s="429"/>
      <c r="J85" s="429"/>
      <c r="K85" s="429"/>
      <c r="L85" s="427"/>
      <c r="M85" s="427"/>
    </row>
    <row r="86" spans="1:13" x14ac:dyDescent="0.25">
      <c r="A86" s="427"/>
      <c r="B86" s="427"/>
      <c r="C86" s="427"/>
      <c r="D86" s="429"/>
      <c r="E86" s="429"/>
      <c r="F86" s="429"/>
      <c r="G86" s="427"/>
      <c r="H86" s="443"/>
      <c r="I86" s="429"/>
      <c r="J86" s="429"/>
      <c r="K86" s="429"/>
      <c r="L86" s="427"/>
      <c r="M86" s="427"/>
    </row>
    <row r="87" spans="1:13" x14ac:dyDescent="0.25">
      <c r="A87" s="427"/>
      <c r="B87" s="427"/>
      <c r="C87" s="427"/>
      <c r="D87" s="429"/>
      <c r="E87" s="429"/>
      <c r="F87" s="429"/>
      <c r="G87" s="427"/>
      <c r="H87" s="427"/>
      <c r="I87" s="429"/>
      <c r="J87" s="429"/>
      <c r="K87" s="429"/>
      <c r="L87" s="427"/>
      <c r="M87" s="427"/>
    </row>
    <row r="88" spans="1:13" x14ac:dyDescent="0.25">
      <c r="A88" s="445" t="s">
        <v>81</v>
      </c>
      <c r="B88" s="446"/>
      <c r="C88" s="446">
        <f>SUM(C72:C76)</f>
        <v>0</v>
      </c>
      <c r="D88" s="447"/>
      <c r="E88" s="447"/>
      <c r="F88" s="447">
        <f>SUM(F72:F76)</f>
        <v>0</v>
      </c>
      <c r="G88" s="446"/>
      <c r="H88" s="468">
        <f>SUM(H72:H75)</f>
        <v>0</v>
      </c>
      <c r="I88" s="447"/>
      <c r="J88" s="447"/>
      <c r="K88" s="447">
        <f>SUM(K72:K75)</f>
        <v>0</v>
      </c>
      <c r="L88" s="446"/>
      <c r="M88" s="447">
        <f>SUM(M72:M80)</f>
        <v>0</v>
      </c>
    </row>
    <row r="89" spans="1:13" ht="15.75" thickBot="1" x14ac:dyDescent="0.3">
      <c r="A89" s="448" t="s">
        <v>191</v>
      </c>
      <c r="B89" s="449"/>
      <c r="C89" s="450">
        <f>SumByColor($A$19,C72:C87)</f>
        <v>0</v>
      </c>
      <c r="D89" s="450"/>
      <c r="E89" s="450"/>
      <c r="F89" s="451">
        <f>SumByColor($A$19,F72:F87)</f>
        <v>0</v>
      </c>
      <c r="G89" s="450"/>
      <c r="H89" s="450">
        <f>SumByColor($A$19,H72:H87)</f>
        <v>0</v>
      </c>
      <c r="I89" s="450"/>
      <c r="J89" s="450"/>
      <c r="K89" s="451">
        <f>SumByColor($A$19,K73:K87)</f>
        <v>0</v>
      </c>
      <c r="L89" s="450"/>
      <c r="M89" s="451">
        <f>SumByColor($A$19,M72:M87)</f>
        <v>0</v>
      </c>
    </row>
    <row r="92" spans="1:13" x14ac:dyDescent="0.25">
      <c r="B92" s="586" t="s">
        <v>113</v>
      </c>
      <c r="C92" s="586" t="s">
        <v>145</v>
      </c>
      <c r="D92" s="587" t="s">
        <v>144</v>
      </c>
      <c r="E92" s="588" t="s">
        <v>146</v>
      </c>
      <c r="F92" s="588" t="s">
        <v>65</v>
      </c>
      <c r="G92" s="589" t="s">
        <v>150</v>
      </c>
      <c r="H92" s="589" t="s">
        <v>88</v>
      </c>
      <c r="I92" s="589" t="s">
        <v>153</v>
      </c>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row r="111" spans="2:9" x14ac:dyDescent="0.25">
      <c r="B111" s="494"/>
      <c r="C111" s="491"/>
      <c r="D111" s="492"/>
      <c r="E111" s="492"/>
      <c r="F111" s="492"/>
      <c r="G111" s="492"/>
      <c r="H111" s="590"/>
      <c r="I111" s="492"/>
    </row>
    <row r="112" spans="2:9" x14ac:dyDescent="0.25">
      <c r="B112" s="494"/>
      <c r="C112" s="491"/>
      <c r="D112" s="492"/>
      <c r="E112" s="492"/>
      <c r="F112" s="492"/>
      <c r="G112" s="492"/>
      <c r="H112" s="590"/>
      <c r="I112" s="492"/>
    </row>
    <row r="113" spans="2:9" x14ac:dyDescent="0.25">
      <c r="B113" s="494"/>
      <c r="C113" s="491"/>
      <c r="D113" s="492"/>
      <c r="E113" s="492"/>
      <c r="F113" s="492"/>
      <c r="G113" s="492"/>
      <c r="H113" s="590"/>
      <c r="I113" s="492"/>
    </row>
    <row r="114" spans="2:9" x14ac:dyDescent="0.25">
      <c r="B114" s="494"/>
      <c r="C114" s="491"/>
      <c r="D114" s="492"/>
      <c r="E114" s="492"/>
      <c r="F114" s="492"/>
      <c r="G114" s="492"/>
      <c r="H114" s="590"/>
      <c r="I114" s="492"/>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1978" priority="25">
      <formula>F7&gt;0</formula>
    </cfRule>
    <cfRule type="expression" dxfId="1977" priority="26">
      <formula>F7&lt;0</formula>
    </cfRule>
  </conditionalFormatting>
  <conditionalFormatting sqref="Q8">
    <cfRule type="expression" dxfId="1976" priority="23">
      <formula>Q8&gt;0</formula>
    </cfRule>
    <cfRule type="expression" dxfId="1975" priority="24">
      <formula>Q8&lt;0</formula>
    </cfRule>
  </conditionalFormatting>
  <conditionalFormatting sqref="F93:F114">
    <cfRule type="expression" dxfId="1974" priority="17">
      <formula>F93&gt;0</formula>
    </cfRule>
    <cfRule type="expression" dxfId="1973" priority="18">
      <formula>F93&lt;0</formula>
    </cfRule>
  </conditionalFormatting>
  <conditionalFormatting sqref="H93:H114">
    <cfRule type="expression" dxfId="1972" priority="15">
      <formula>H93&gt;0</formula>
    </cfRule>
    <cfRule type="expression" dxfId="1971" priority="16">
      <formula>H93&lt;0</formula>
    </cfRule>
  </conditionalFormatting>
  <conditionalFormatting sqref="Q10">
    <cfRule type="expression" dxfId="1970" priority="13">
      <formula>Q10&gt;0</formula>
    </cfRule>
    <cfRule type="expression" dxfId="1969" priority="14">
      <formula>Q10&lt;0</formula>
    </cfRule>
  </conditionalFormatting>
  <conditionalFormatting sqref="J25:J38">
    <cfRule type="expression" dxfId="1968" priority="11">
      <formula>J25&gt;0</formula>
    </cfRule>
    <cfRule type="expression" dxfId="1967" priority="12">
      <formula>J25&lt;0</formula>
    </cfRule>
  </conditionalFormatting>
  <conditionalFormatting sqref="K25:K38">
    <cfRule type="expression" dxfId="1966" priority="9">
      <formula>K25&gt;0</formula>
    </cfRule>
    <cfRule type="expression" dxfId="1965" priority="10">
      <formula>K25&lt;0</formula>
    </cfRule>
  </conditionalFormatting>
  <conditionalFormatting sqref="L25:L34">
    <cfRule type="expression" dxfId="1964" priority="7">
      <formula>L25&gt;0</formula>
    </cfRule>
    <cfRule type="expression" dxfId="1963" priority="8">
      <formula>L25&lt;0</formula>
    </cfRule>
  </conditionalFormatting>
  <conditionalFormatting sqref="J43">
    <cfRule type="expression" dxfId="1962" priority="5">
      <formula>J43&gt;0</formula>
    </cfRule>
    <cfRule type="expression" dxfId="1961" priority="6">
      <formula>J43&lt;0</formula>
    </cfRule>
  </conditionalFormatting>
  <conditionalFormatting sqref="M25:M34">
    <cfRule type="expression" dxfId="1960" priority="3">
      <formula>M25&gt;0</formula>
    </cfRule>
    <cfRule type="expression" dxfId="1959" priority="4">
      <formula>M25&lt;0</formula>
    </cfRule>
  </conditionalFormatting>
  <conditionalFormatting sqref="H61:H64 F61:F64">
    <cfRule type="expression" dxfId="1958" priority="1">
      <formula>F61&gt;0</formula>
    </cfRule>
    <cfRule type="expression" dxfId="1957" priority="2">
      <formula>F61&lt;0</formula>
    </cfRule>
  </conditionalFormatting>
  <hyperlinks>
    <hyperlink ref="A3"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932</v>
      </c>
      <c r="B2" s="368">
        <v>43178</v>
      </c>
      <c r="C2" s="7">
        <v>100</v>
      </c>
      <c r="D2" s="43">
        <v>35.380000000000003</v>
      </c>
      <c r="E2" s="43">
        <v>0</v>
      </c>
      <c r="F2" s="43">
        <f t="shared" ref="F2:F10" si="0">C2*D2+E2</f>
        <v>3538.0000000000005</v>
      </c>
      <c r="G2" s="368">
        <v>43245</v>
      </c>
      <c r="H2" s="7">
        <v>100</v>
      </c>
      <c r="I2" s="43">
        <v>31.8</v>
      </c>
      <c r="J2" s="43">
        <v>0.04</v>
      </c>
      <c r="K2" s="43">
        <f t="shared" ref="K2:K11" si="1">H2*I2-J2</f>
        <v>3179.96</v>
      </c>
      <c r="L2" s="72">
        <v>43216</v>
      </c>
      <c r="M2" s="43">
        <v>28.5</v>
      </c>
      <c r="O2" s="11" t="s">
        <v>57</v>
      </c>
      <c r="Q2">
        <f>C18-H18</f>
        <v>0</v>
      </c>
      <c r="T2" s="1"/>
      <c r="U2" t="s">
        <v>1262</v>
      </c>
    </row>
    <row r="3" spans="1:21" x14ac:dyDescent="0.25">
      <c r="A3" s="22" t="s">
        <v>71</v>
      </c>
      <c r="B3" s="368">
        <v>43178</v>
      </c>
      <c r="C3" s="7">
        <v>50</v>
      </c>
      <c r="D3" s="43">
        <v>35.380000000000003</v>
      </c>
      <c r="E3" s="43">
        <v>0</v>
      </c>
      <c r="F3" s="43">
        <f t="shared" si="0"/>
        <v>1769.0000000000002</v>
      </c>
      <c r="G3" s="368">
        <v>43265</v>
      </c>
      <c r="H3" s="80">
        <v>150</v>
      </c>
      <c r="I3" s="43">
        <v>33.58</v>
      </c>
      <c r="J3" s="43">
        <v>7.0000000000000007E-2</v>
      </c>
      <c r="K3" s="43">
        <f t="shared" si="1"/>
        <v>5036.93</v>
      </c>
      <c r="L3" s="72">
        <v>43306</v>
      </c>
      <c r="M3" s="43">
        <v>47.5</v>
      </c>
      <c r="O3" s="11" t="s">
        <v>58</v>
      </c>
      <c r="Q3" s="178">
        <f>IF(Q2=0, Q4, (F18-K18-M18)/Q2)</f>
        <v>39.1</v>
      </c>
    </row>
    <row r="4" spans="1:21" x14ac:dyDescent="0.25">
      <c r="B4" s="368">
        <v>43217</v>
      </c>
      <c r="C4" s="7">
        <v>150</v>
      </c>
      <c r="D4" s="43">
        <v>31.87</v>
      </c>
      <c r="E4" s="43">
        <v>0</v>
      </c>
      <c r="F4" s="43">
        <f t="shared" si="0"/>
        <v>4780.5</v>
      </c>
      <c r="G4" s="368">
        <v>43271</v>
      </c>
      <c r="H4" s="80">
        <v>50</v>
      </c>
      <c r="I4" s="43">
        <v>33.68</v>
      </c>
      <c r="J4" s="43">
        <v>0.02</v>
      </c>
      <c r="K4" s="43">
        <f t="shared" si="1"/>
        <v>1683.98</v>
      </c>
      <c r="L4" s="72">
        <v>43397</v>
      </c>
      <c r="M4" s="43">
        <v>19</v>
      </c>
      <c r="O4" s="11" t="s">
        <v>66</v>
      </c>
      <c r="Q4" s="54">
        <v>39.1</v>
      </c>
      <c r="R4" s="425">
        <v>1.11E-2</v>
      </c>
    </row>
    <row r="5" spans="1:21" x14ac:dyDescent="0.25">
      <c r="B5" s="368">
        <v>43228</v>
      </c>
      <c r="C5" s="7">
        <v>100</v>
      </c>
      <c r="D5" s="43">
        <v>30.6</v>
      </c>
      <c r="E5" s="43">
        <v>0</v>
      </c>
      <c r="F5" s="43">
        <f t="shared" si="0"/>
        <v>3060</v>
      </c>
      <c r="G5" s="368">
        <v>43292</v>
      </c>
      <c r="H5" s="80">
        <v>100</v>
      </c>
      <c r="I5" s="43">
        <v>34</v>
      </c>
      <c r="J5" s="43">
        <v>0.54</v>
      </c>
      <c r="K5" s="43">
        <f t="shared" si="1"/>
        <v>3399.46</v>
      </c>
      <c r="L5" s="72">
        <v>43488</v>
      </c>
      <c r="M5" s="43">
        <v>19</v>
      </c>
      <c r="O5" s="11" t="s">
        <v>67</v>
      </c>
      <c r="Q5" s="3">
        <f>Q4*Q2</f>
        <v>0</v>
      </c>
    </row>
    <row r="6" spans="1:21" x14ac:dyDescent="0.25">
      <c r="B6" s="368">
        <v>43269</v>
      </c>
      <c r="C6" s="7">
        <v>150</v>
      </c>
      <c r="D6" s="43">
        <v>32.68</v>
      </c>
      <c r="E6" s="43">
        <v>0</v>
      </c>
      <c r="F6" s="43">
        <f t="shared" si="0"/>
        <v>4902</v>
      </c>
      <c r="G6" s="368">
        <v>43307</v>
      </c>
      <c r="H6" s="80">
        <v>100</v>
      </c>
      <c r="I6" s="43">
        <v>34.78</v>
      </c>
      <c r="J6" s="43">
        <v>0.05</v>
      </c>
      <c r="K6" s="43">
        <f t="shared" si="1"/>
        <v>3477.95</v>
      </c>
      <c r="L6" s="4"/>
      <c r="M6" s="4"/>
      <c r="O6" s="11" t="s">
        <v>64</v>
      </c>
      <c r="Q6" s="2">
        <f>Q3*Q2</f>
        <v>0</v>
      </c>
    </row>
    <row r="7" spans="1:21" x14ac:dyDescent="0.25">
      <c r="B7" s="368">
        <v>43306</v>
      </c>
      <c r="C7" s="7">
        <v>100</v>
      </c>
      <c r="D7" s="43">
        <v>32.979999999999997</v>
      </c>
      <c r="E7" s="43">
        <v>0</v>
      </c>
      <c r="F7" s="43">
        <f t="shared" si="0"/>
        <v>3297.9999999999995</v>
      </c>
      <c r="G7" s="368">
        <v>43336</v>
      </c>
      <c r="H7" s="80">
        <v>50</v>
      </c>
      <c r="I7" s="43">
        <v>36.28</v>
      </c>
      <c r="J7" s="43">
        <v>0.02</v>
      </c>
      <c r="K7" s="43">
        <f t="shared" si="1"/>
        <v>1813.98</v>
      </c>
      <c r="L7" s="4"/>
      <c r="M7" s="4"/>
      <c r="O7" s="11" t="s">
        <v>177</v>
      </c>
      <c r="Q7" s="2">
        <f>Q10+Q8</f>
        <v>1966.5599999999977</v>
      </c>
      <c r="R7">
        <v>0</v>
      </c>
    </row>
    <row r="8" spans="1:21" x14ac:dyDescent="0.25">
      <c r="B8" s="368">
        <v>43378</v>
      </c>
      <c r="C8" s="7">
        <v>100</v>
      </c>
      <c r="D8" s="43">
        <v>34.479999999999997</v>
      </c>
      <c r="E8" s="43">
        <v>0</v>
      </c>
      <c r="F8" s="43">
        <f t="shared" si="0"/>
        <v>3447.9999999999995</v>
      </c>
      <c r="G8" s="368">
        <v>43388</v>
      </c>
      <c r="H8" s="80">
        <v>100</v>
      </c>
      <c r="I8" s="43">
        <v>35.6</v>
      </c>
      <c r="J8" s="43">
        <v>0.05</v>
      </c>
      <c r="K8" s="43">
        <f t="shared" si="1"/>
        <v>3559.95</v>
      </c>
      <c r="L8" s="4"/>
      <c r="M8" s="4"/>
      <c r="O8" s="11" t="s">
        <v>179</v>
      </c>
      <c r="P8" s="33"/>
      <c r="Q8" s="2">
        <f>K18+M18-F18+Q2*Q4</f>
        <v>1966.5599999999977</v>
      </c>
    </row>
    <row r="9" spans="1:21" x14ac:dyDescent="0.25">
      <c r="B9" s="368">
        <v>43397</v>
      </c>
      <c r="C9" s="7">
        <v>100</v>
      </c>
      <c r="D9" s="43">
        <v>34.6</v>
      </c>
      <c r="E9" s="43">
        <v>0</v>
      </c>
      <c r="F9" s="43">
        <f t="shared" si="0"/>
        <v>3460</v>
      </c>
      <c r="G9" s="368">
        <v>43413</v>
      </c>
      <c r="H9" s="80">
        <v>100</v>
      </c>
      <c r="I9" s="43">
        <v>38.68</v>
      </c>
      <c r="J9" s="43">
        <v>0.05</v>
      </c>
      <c r="K9" s="43">
        <f t="shared" si="1"/>
        <v>3867.95</v>
      </c>
      <c r="L9" s="4"/>
      <c r="M9" s="4"/>
      <c r="O9" s="11" t="s">
        <v>204</v>
      </c>
      <c r="Q9" s="134">
        <f>IF(Q2=0, 0, Q8/Q6)</f>
        <v>0</v>
      </c>
    </row>
    <row r="10" spans="1:21" x14ac:dyDescent="0.25">
      <c r="B10" s="368">
        <v>43493</v>
      </c>
      <c r="C10" s="7">
        <v>100</v>
      </c>
      <c r="D10" s="43">
        <v>34.68</v>
      </c>
      <c r="E10" s="43">
        <v>0</v>
      </c>
      <c r="F10" s="43">
        <f t="shared" si="0"/>
        <v>3468</v>
      </c>
      <c r="G10" s="368">
        <v>43494</v>
      </c>
      <c r="H10" s="80">
        <v>100</v>
      </c>
      <c r="I10" s="43">
        <v>36.18</v>
      </c>
      <c r="J10" s="43">
        <v>0.05</v>
      </c>
      <c r="K10" s="43">
        <f t="shared" si="1"/>
        <v>3617.95</v>
      </c>
      <c r="L10" s="4"/>
      <c r="M10" s="4"/>
      <c r="O10" s="11" t="s">
        <v>203</v>
      </c>
      <c r="P10" s="33"/>
      <c r="Q10" s="2">
        <f>M66</f>
        <v>0</v>
      </c>
    </row>
    <row r="11" spans="1:21" x14ac:dyDescent="0.25">
      <c r="B11" s="4"/>
      <c r="C11" s="4"/>
      <c r="D11" s="3"/>
      <c r="E11" s="3"/>
      <c r="F11" s="3"/>
      <c r="G11" s="368">
        <v>43525</v>
      </c>
      <c r="H11" s="80">
        <v>100</v>
      </c>
      <c r="I11" s="43">
        <v>39.380000000000003</v>
      </c>
      <c r="J11" s="43">
        <v>0.05</v>
      </c>
      <c r="K11" s="43">
        <f t="shared" si="1"/>
        <v>3937.9500000000003</v>
      </c>
      <c r="L11" s="4"/>
      <c r="M11" s="4"/>
      <c r="O11" s="11" t="s">
        <v>175</v>
      </c>
      <c r="P11" s="33"/>
      <c r="Q11" s="134">
        <f>R11*4/Q4</f>
        <v>1.9437340153452685E-2</v>
      </c>
      <c r="R11">
        <v>0.19</v>
      </c>
    </row>
    <row r="12" spans="1:21" x14ac:dyDescent="0.25">
      <c r="H12" s="70"/>
      <c r="O12" s="11" t="s">
        <v>969</v>
      </c>
      <c r="Q12" s="1" t="s">
        <v>1366</v>
      </c>
    </row>
    <row r="13" spans="1:21" x14ac:dyDescent="0.25">
      <c r="H13" s="70"/>
      <c r="O13" s="11" t="s">
        <v>947</v>
      </c>
      <c r="Q13" s="2">
        <f>Q4/2.5</f>
        <v>15.64</v>
      </c>
      <c r="T13" s="1">
        <v>43215</v>
      </c>
      <c r="U13" t="s">
        <v>1000</v>
      </c>
    </row>
    <row r="14" spans="1:21" x14ac:dyDescent="0.25">
      <c r="H14" s="70"/>
      <c r="O14" s="11" t="s">
        <v>1012</v>
      </c>
      <c r="Q14" s="1">
        <v>43366</v>
      </c>
      <c r="T14" s="693"/>
      <c r="U14" s="30" t="s">
        <v>1001</v>
      </c>
    </row>
    <row r="15" spans="1:21" x14ac:dyDescent="0.25">
      <c r="H15" s="70"/>
    </row>
    <row r="16" spans="1:21" x14ac:dyDescent="0.25">
      <c r="H16" s="70"/>
      <c r="T16" s="1">
        <v>43217</v>
      </c>
      <c r="U16" t="s">
        <v>1008</v>
      </c>
    </row>
    <row r="18" spans="1:21" x14ac:dyDescent="0.25">
      <c r="A18" s="31" t="s">
        <v>81</v>
      </c>
      <c r="B18" s="14"/>
      <c r="C18" s="14">
        <f>SUM(C2:C10)</f>
        <v>950</v>
      </c>
      <c r="D18" s="18"/>
      <c r="E18" s="18"/>
      <c r="F18" s="18">
        <f>SUM(F2:F10)</f>
        <v>31723.5</v>
      </c>
      <c r="G18" s="14"/>
      <c r="H18" s="71">
        <f>SUM(H2:H11)</f>
        <v>950</v>
      </c>
      <c r="I18" s="18"/>
      <c r="J18" s="18"/>
      <c r="K18" s="18">
        <f>SUM(K2:K11)</f>
        <v>33576.06</v>
      </c>
      <c r="L18" s="14"/>
      <c r="M18" s="18">
        <f>SUM(M2:M17)</f>
        <v>114</v>
      </c>
      <c r="T18" s="1">
        <v>43228</v>
      </c>
      <c r="U18" t="s">
        <v>1043</v>
      </c>
    </row>
    <row r="19" spans="1:21" ht="15.75" thickBot="1" x14ac:dyDescent="0.3">
      <c r="A19" s="277" t="s">
        <v>191</v>
      </c>
      <c r="B19" s="278"/>
      <c r="C19" s="279">
        <f>SumByColor($A$19,C2:C17)</f>
        <v>950</v>
      </c>
      <c r="D19" s="279"/>
      <c r="E19" s="279"/>
      <c r="F19" s="280">
        <f>SumByColor($A$19,F2:F17)</f>
        <v>31724</v>
      </c>
      <c r="G19" s="279"/>
      <c r="H19" s="279">
        <f>SumByColor($A$19,H2:H17)</f>
        <v>950</v>
      </c>
      <c r="I19" s="279"/>
      <c r="J19" s="279"/>
      <c r="K19" s="280">
        <f>SumByColor($A$19,K2:K17)</f>
        <v>33576</v>
      </c>
      <c r="L19" s="279"/>
      <c r="M19" s="280">
        <f>SumByColor($A$19,M2:M17)</f>
        <v>114</v>
      </c>
      <c r="T19" s="156"/>
    </row>
    <row r="21" spans="1:21" x14ac:dyDescent="0.25">
      <c r="T21" s="156">
        <v>43262</v>
      </c>
      <c r="U21" t="s">
        <v>1009</v>
      </c>
    </row>
    <row r="22" spans="1:21" ht="20.25" thickBot="1" x14ac:dyDescent="0.35">
      <c r="O22" s="717" t="s">
        <v>78</v>
      </c>
      <c r="P22" s="717"/>
      <c r="T22" s="67"/>
    </row>
    <row r="23" spans="1:21" ht="15.75" thickTop="1" x14ac:dyDescent="0.25">
      <c r="O23" s="81">
        <v>1.1000000000000001</v>
      </c>
      <c r="P23" s="81">
        <f>O23*$Q$4</f>
        <v>43.010000000000005</v>
      </c>
      <c r="Q23" s="2"/>
      <c r="T23" s="156">
        <v>43263</v>
      </c>
      <c r="U23" t="s">
        <v>1086</v>
      </c>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2">O24*$Q$4</f>
        <v>42.619000000000007</v>
      </c>
      <c r="Q24" s="2"/>
    </row>
    <row r="25" spans="1:21" x14ac:dyDescent="0.25">
      <c r="B25" s="164">
        <v>43178</v>
      </c>
      <c r="C25" s="10">
        <v>150</v>
      </c>
      <c r="D25" s="39">
        <v>35.380000000000003</v>
      </c>
      <c r="E25" s="39">
        <v>35.35</v>
      </c>
      <c r="F25" s="39">
        <f>C25*(E25-D25)</f>
        <v>-4.5000000000001705</v>
      </c>
      <c r="G25" s="39">
        <f>D25*C25</f>
        <v>5307</v>
      </c>
      <c r="H25" s="179">
        <f>(E25-D25)/D25</f>
        <v>-8.4793668739404E-4</v>
      </c>
      <c r="I25" s="39"/>
      <c r="J25" s="39">
        <v>-4.5000000000001705</v>
      </c>
      <c r="K25" s="39"/>
      <c r="L25" s="39"/>
      <c r="O25" s="81">
        <v>1.08</v>
      </c>
      <c r="P25" s="81">
        <f t="shared" si="2"/>
        <v>42.228000000000002</v>
      </c>
      <c r="Q25" s="2"/>
      <c r="T25" s="1">
        <v>43271</v>
      </c>
      <c r="U25" t="s">
        <v>1104</v>
      </c>
    </row>
    <row r="26" spans="1:21" x14ac:dyDescent="0.25">
      <c r="B26" s="164">
        <v>43184</v>
      </c>
      <c r="C26" s="10">
        <v>150</v>
      </c>
      <c r="D26" s="39">
        <v>35.380000000000003</v>
      </c>
      <c r="E26" s="39">
        <v>33.17</v>
      </c>
      <c r="F26" s="39">
        <f>C26*(E26-D26)</f>
        <v>-331.50000000000011</v>
      </c>
      <c r="G26" s="39">
        <f>D26*C26</f>
        <v>5307</v>
      </c>
      <c r="H26" s="179">
        <f>(E26-D26)/D26</f>
        <v>-6.2464669304691939E-2</v>
      </c>
      <c r="I26" s="39">
        <v>35</v>
      </c>
      <c r="J26" s="39">
        <v>-331.50000000000011</v>
      </c>
      <c r="K26" s="39"/>
      <c r="L26" s="39"/>
      <c r="O26" s="81">
        <v>1.07</v>
      </c>
      <c r="P26" s="81">
        <f t="shared" si="2"/>
        <v>41.837000000000003</v>
      </c>
      <c r="Q26" s="2"/>
      <c r="T26" s="1">
        <v>43300</v>
      </c>
      <c r="U26" t="s">
        <v>1181</v>
      </c>
    </row>
    <row r="27" spans="1:21" x14ac:dyDescent="0.25">
      <c r="B27" s="164">
        <v>43186</v>
      </c>
      <c r="C27" s="10">
        <v>150</v>
      </c>
      <c r="D27" s="39">
        <v>35.380000000000003</v>
      </c>
      <c r="E27" s="39">
        <v>32.99</v>
      </c>
      <c r="F27" s="39">
        <f>C27*(E27-D27)</f>
        <v>-358.50000000000011</v>
      </c>
      <c r="G27" s="39">
        <f>D27*C27</f>
        <v>5307</v>
      </c>
      <c r="H27" s="179">
        <f>(E27-D27)/D27</f>
        <v>-6.7552289429055973E-2</v>
      </c>
      <c r="I27" s="39"/>
      <c r="J27" s="39">
        <v>-358.50000000000011</v>
      </c>
      <c r="K27" s="39"/>
      <c r="L27" s="155"/>
      <c r="O27" s="81">
        <v>1.06</v>
      </c>
      <c r="P27" s="81">
        <f t="shared" si="2"/>
        <v>41.446000000000005</v>
      </c>
      <c r="Q27" s="2"/>
      <c r="T27" s="156">
        <v>43308</v>
      </c>
      <c r="U27" t="s">
        <v>1135</v>
      </c>
    </row>
    <row r="28" spans="1:21" x14ac:dyDescent="0.25">
      <c r="B28" s="164">
        <v>43200</v>
      </c>
      <c r="C28" s="10">
        <v>150</v>
      </c>
      <c r="D28" s="39">
        <v>35.380000000000003</v>
      </c>
      <c r="E28" s="39">
        <v>33.86</v>
      </c>
      <c r="F28" s="39">
        <f t="shared" ref="F28:F33" si="3">C28*(E28-D28)</f>
        <v>-228.00000000000045</v>
      </c>
      <c r="G28" s="39">
        <f t="shared" ref="G28:G33" si="4">D28*C28</f>
        <v>5307</v>
      </c>
      <c r="H28" s="179">
        <f t="shared" ref="H28:H33" si="5">(E28-D28)/D28</f>
        <v>-4.296212549462982E-2</v>
      </c>
      <c r="I28" s="39"/>
      <c r="J28" s="39">
        <v>-228.00000000000045</v>
      </c>
      <c r="K28" s="39"/>
      <c r="L28" s="155"/>
      <c r="O28" s="81">
        <v>1.05</v>
      </c>
      <c r="P28" s="81">
        <f t="shared" si="2"/>
        <v>41.055</v>
      </c>
      <c r="Q28" s="2"/>
    </row>
    <row r="29" spans="1:21" x14ac:dyDescent="0.25">
      <c r="B29" s="164">
        <v>43215</v>
      </c>
      <c r="C29" s="10">
        <v>150</v>
      </c>
      <c r="D29" s="39">
        <v>35.380000000000003</v>
      </c>
      <c r="E29" s="39">
        <v>34.26</v>
      </c>
      <c r="F29" s="39">
        <f t="shared" si="3"/>
        <v>-168.00000000000068</v>
      </c>
      <c r="G29" s="39">
        <f t="shared" si="4"/>
        <v>5307</v>
      </c>
      <c r="H29" s="179">
        <f t="shared" si="5"/>
        <v>-3.1656302996043086E-2</v>
      </c>
      <c r="I29" s="39">
        <v>35</v>
      </c>
      <c r="J29" s="39">
        <v>-168.00000000000068</v>
      </c>
      <c r="K29" s="39"/>
      <c r="L29" s="155"/>
      <c r="O29" s="81">
        <v>1.04</v>
      </c>
      <c r="P29" s="81">
        <f t="shared" si="2"/>
        <v>40.664000000000001</v>
      </c>
      <c r="Q29" s="2"/>
    </row>
    <row r="30" spans="1:21" x14ac:dyDescent="0.25">
      <c r="B30" s="164">
        <v>43217</v>
      </c>
      <c r="C30" s="7">
        <v>300</v>
      </c>
      <c r="D30" s="43">
        <v>33.53</v>
      </c>
      <c r="E30" s="39">
        <v>31.81</v>
      </c>
      <c r="F30" s="39">
        <f t="shared" si="3"/>
        <v>-516.00000000000068</v>
      </c>
      <c r="G30" s="39">
        <f t="shared" si="4"/>
        <v>10059</v>
      </c>
      <c r="H30" s="179">
        <f t="shared" si="5"/>
        <v>-5.1297345660602518E-2</v>
      </c>
      <c r="I30" s="39">
        <v>33</v>
      </c>
      <c r="J30" s="39">
        <v>-516.00000000000068</v>
      </c>
      <c r="K30" s="39"/>
      <c r="L30" s="155"/>
      <c r="O30" s="81">
        <v>1.03</v>
      </c>
      <c r="P30" s="81">
        <f t="shared" si="2"/>
        <v>40.273000000000003</v>
      </c>
      <c r="Q30" s="2"/>
    </row>
    <row r="31" spans="1:21" x14ac:dyDescent="0.25">
      <c r="A31">
        <v>150</v>
      </c>
      <c r="B31" s="164">
        <v>43228</v>
      </c>
      <c r="C31" s="10">
        <v>400</v>
      </c>
      <c r="D31" s="39">
        <v>32.798000000000002</v>
      </c>
      <c r="E31" s="39">
        <v>30.59</v>
      </c>
      <c r="F31" s="39">
        <f t="shared" si="3"/>
        <v>-883.20000000000073</v>
      </c>
      <c r="G31" s="39">
        <f t="shared" si="4"/>
        <v>13119.2</v>
      </c>
      <c r="H31" s="179">
        <f t="shared" si="5"/>
        <v>-6.7321178120617164E-2</v>
      </c>
      <c r="I31" s="39"/>
      <c r="J31" s="39">
        <v>-883.20000000000073</v>
      </c>
      <c r="K31" s="39"/>
      <c r="L31" s="155"/>
      <c r="O31" s="81">
        <v>1.02</v>
      </c>
      <c r="P31" s="81">
        <f t="shared" si="2"/>
        <v>39.882000000000005</v>
      </c>
      <c r="Q31" s="2"/>
    </row>
    <row r="32" spans="1:21" x14ac:dyDescent="0.25">
      <c r="A32">
        <v>150</v>
      </c>
      <c r="B32" s="164">
        <v>43236</v>
      </c>
      <c r="C32" s="10">
        <v>400</v>
      </c>
      <c r="D32" s="39">
        <v>32.797499999999999</v>
      </c>
      <c r="E32" s="39">
        <v>32.549999999999997</v>
      </c>
      <c r="F32" s="39">
        <f t="shared" si="3"/>
        <v>-99.000000000000909</v>
      </c>
      <c r="G32" s="39">
        <f t="shared" si="4"/>
        <v>13119</v>
      </c>
      <c r="H32" s="179">
        <f t="shared" si="5"/>
        <v>-7.5463068831466504E-3</v>
      </c>
      <c r="I32" s="39"/>
      <c r="J32" s="39">
        <v>-99.000000000000909</v>
      </c>
      <c r="K32" s="39"/>
      <c r="L32" s="155"/>
      <c r="O32" s="81">
        <v>1.01</v>
      </c>
      <c r="P32" s="81">
        <f t="shared" si="2"/>
        <v>39.491</v>
      </c>
      <c r="Q32" s="2"/>
    </row>
    <row r="33" spans="1:17" x14ac:dyDescent="0.25">
      <c r="A33">
        <v>50</v>
      </c>
      <c r="B33" s="164">
        <v>43245</v>
      </c>
      <c r="C33" s="10">
        <v>300</v>
      </c>
      <c r="D33" s="39">
        <v>33.130000000000003</v>
      </c>
      <c r="E33" s="39">
        <v>31.75</v>
      </c>
      <c r="F33" s="39">
        <f t="shared" si="3"/>
        <v>-414.0000000000008</v>
      </c>
      <c r="G33" s="39">
        <f t="shared" si="4"/>
        <v>9939</v>
      </c>
      <c r="H33" s="179">
        <f t="shared" si="5"/>
        <v>-4.1654089948687065E-2</v>
      </c>
      <c r="I33" s="39">
        <v>33</v>
      </c>
      <c r="J33" s="39">
        <v>-414.0000000000008</v>
      </c>
      <c r="K33" s="39"/>
      <c r="L33" s="155"/>
      <c r="O33" s="81">
        <v>1</v>
      </c>
      <c r="P33" s="81">
        <f t="shared" si="2"/>
        <v>39.1</v>
      </c>
      <c r="Q33" s="2"/>
    </row>
    <row r="34" spans="1:17" x14ac:dyDescent="0.25">
      <c r="A34">
        <v>300</v>
      </c>
      <c r="B34" s="164">
        <v>43261</v>
      </c>
      <c r="C34" s="7">
        <v>300</v>
      </c>
      <c r="D34" s="43">
        <v>33.130000000000003</v>
      </c>
      <c r="E34" s="39">
        <v>32.08</v>
      </c>
      <c r="F34" s="39">
        <f t="shared" ref="F34:F43" si="6">C34*(E34-D34)</f>
        <v>-315.00000000000125</v>
      </c>
      <c r="G34" s="39">
        <f t="shared" ref="G34:G43" si="7">D34*C34</f>
        <v>9939</v>
      </c>
      <c r="H34" s="179">
        <f t="shared" ref="H34:H43" si="8">(E34-D34)/D34</f>
        <v>-3.1693329308783706E-2</v>
      </c>
      <c r="I34" s="39">
        <v>33</v>
      </c>
      <c r="J34" s="39">
        <v>-315.00000000000125</v>
      </c>
      <c r="K34" s="39">
        <v>12.83</v>
      </c>
      <c r="L34" s="155"/>
      <c r="O34" s="81">
        <v>0.99</v>
      </c>
      <c r="P34" s="81">
        <f t="shared" si="2"/>
        <v>38.709000000000003</v>
      </c>
      <c r="Q34" s="2"/>
    </row>
    <row r="35" spans="1:17" x14ac:dyDescent="0.25">
      <c r="B35" s="164">
        <v>43265</v>
      </c>
      <c r="C35" s="10">
        <v>150</v>
      </c>
      <c r="D35" s="39">
        <v>32.680700000000002</v>
      </c>
      <c r="E35" s="39">
        <v>33.82</v>
      </c>
      <c r="F35" s="39">
        <f t="shared" si="6"/>
        <v>170.89499999999981</v>
      </c>
      <c r="G35" s="39">
        <f t="shared" si="7"/>
        <v>4902.1050000000005</v>
      </c>
      <c r="H35" s="179">
        <f t="shared" si="8"/>
        <v>3.48615543730703E-2</v>
      </c>
      <c r="I35" s="39" t="s">
        <v>1101</v>
      </c>
      <c r="J35" s="39">
        <v>170.89499999999981</v>
      </c>
      <c r="K35" s="39">
        <v>13.53</v>
      </c>
      <c r="L35" s="155"/>
      <c r="O35" s="81">
        <v>0.98</v>
      </c>
      <c r="P35" s="81">
        <f t="shared" si="2"/>
        <v>38.317999999999998</v>
      </c>
      <c r="Q35" s="2"/>
    </row>
    <row r="36" spans="1:17" x14ac:dyDescent="0.25">
      <c r="A36">
        <v>150</v>
      </c>
      <c r="B36" s="164">
        <v>43269</v>
      </c>
      <c r="C36" s="7">
        <v>300</v>
      </c>
      <c r="D36" s="43">
        <v>32.680399999999999</v>
      </c>
      <c r="E36" s="39">
        <v>32.58</v>
      </c>
      <c r="F36" s="39">
        <f t="shared" si="6"/>
        <v>-30.120000000000147</v>
      </c>
      <c r="G36" s="39">
        <f t="shared" si="7"/>
        <v>9804.119999999999</v>
      </c>
      <c r="H36" s="179">
        <f t="shared" si="8"/>
        <v>-3.0721778191209561E-3</v>
      </c>
      <c r="I36" s="39" t="s">
        <v>1101</v>
      </c>
      <c r="J36" s="39">
        <v>-30.120000000000147</v>
      </c>
      <c r="K36" s="39">
        <v>13.03</v>
      </c>
      <c r="L36" s="39"/>
      <c r="O36" s="81">
        <v>0.97</v>
      </c>
      <c r="P36" s="81">
        <f t="shared" si="2"/>
        <v>37.927</v>
      </c>
    </row>
    <row r="37" spans="1:17" x14ac:dyDescent="0.25">
      <c r="A37">
        <v>100</v>
      </c>
      <c r="B37" s="164">
        <v>43271</v>
      </c>
      <c r="C37" s="10">
        <v>250</v>
      </c>
      <c r="D37" s="39">
        <v>32.480499999999999</v>
      </c>
      <c r="E37" s="39">
        <v>33.39</v>
      </c>
      <c r="F37" s="39">
        <f t="shared" si="6"/>
        <v>227.37500000000034</v>
      </c>
      <c r="G37" s="39">
        <f t="shared" si="7"/>
        <v>8120.125</v>
      </c>
      <c r="H37" s="179">
        <f t="shared" si="8"/>
        <v>2.8001416234356039E-2</v>
      </c>
      <c r="I37" s="39"/>
      <c r="J37" s="39">
        <v>227.37500000000034</v>
      </c>
      <c r="K37" s="39">
        <v>13.36</v>
      </c>
      <c r="L37" s="39"/>
      <c r="O37" s="81">
        <v>0.96</v>
      </c>
      <c r="P37" s="81">
        <f t="shared" si="2"/>
        <v>37.536000000000001</v>
      </c>
    </row>
    <row r="38" spans="1:17" x14ac:dyDescent="0.25">
      <c r="A38">
        <v>100</v>
      </c>
      <c r="B38" s="164">
        <v>43278</v>
      </c>
      <c r="C38" s="10">
        <v>250</v>
      </c>
      <c r="D38" s="39">
        <v>32.480499999999999</v>
      </c>
      <c r="E38" s="39">
        <v>32.29</v>
      </c>
      <c r="F38" s="39">
        <f t="shared" si="6"/>
        <v>-47.625000000000028</v>
      </c>
      <c r="G38" s="39">
        <f t="shared" si="7"/>
        <v>8120.125</v>
      </c>
      <c r="H38" s="179">
        <f t="shared" si="8"/>
        <v>-5.8650574960360871E-3</v>
      </c>
      <c r="I38" s="39"/>
      <c r="J38" s="39">
        <v>-47.625000000000028</v>
      </c>
      <c r="K38" s="39">
        <v>12.92</v>
      </c>
      <c r="L38" s="39"/>
      <c r="O38" s="81">
        <v>0.95</v>
      </c>
      <c r="P38" s="81">
        <f t="shared" si="2"/>
        <v>37.145000000000003</v>
      </c>
    </row>
    <row r="39" spans="1:17" x14ac:dyDescent="0.25">
      <c r="A39">
        <v>100</v>
      </c>
      <c r="B39" s="164">
        <v>43288</v>
      </c>
      <c r="C39" s="10">
        <v>250</v>
      </c>
      <c r="D39" s="39">
        <v>32.480499999999999</v>
      </c>
      <c r="E39" s="39">
        <v>33.58</v>
      </c>
      <c r="F39" s="39">
        <f t="shared" si="6"/>
        <v>274.87499999999977</v>
      </c>
      <c r="G39" s="39">
        <f t="shared" si="7"/>
        <v>8120.125</v>
      </c>
      <c r="H39" s="179">
        <f t="shared" si="8"/>
        <v>3.385107987869642E-2</v>
      </c>
      <c r="I39" s="39"/>
      <c r="J39" s="39">
        <v>274.87499999999977</v>
      </c>
      <c r="K39" s="39">
        <v>13.432</v>
      </c>
      <c r="L39" s="39"/>
      <c r="O39" s="81">
        <v>0.94</v>
      </c>
      <c r="P39" s="81">
        <f t="shared" si="2"/>
        <v>36.753999999999998</v>
      </c>
    </row>
    <row r="40" spans="1:17" x14ac:dyDescent="0.25">
      <c r="A40">
        <v>0</v>
      </c>
      <c r="B40" s="164">
        <v>43292</v>
      </c>
      <c r="C40" s="10">
        <v>150</v>
      </c>
      <c r="D40" s="39">
        <v>31.4711</v>
      </c>
      <c r="E40" s="39">
        <v>34</v>
      </c>
      <c r="F40" s="39">
        <f t="shared" si="6"/>
        <v>379.33500000000004</v>
      </c>
      <c r="G40" s="39">
        <f t="shared" si="7"/>
        <v>4720.665</v>
      </c>
      <c r="H40" s="179">
        <f t="shared" si="8"/>
        <v>8.0356263365436872E-2</v>
      </c>
      <c r="I40" s="39"/>
      <c r="J40" s="39">
        <v>379.33500000000004</v>
      </c>
      <c r="K40" s="39">
        <v>13.6</v>
      </c>
      <c r="L40" s="39"/>
      <c r="O40" s="81">
        <v>0.93</v>
      </c>
      <c r="P40" s="81">
        <f t="shared" si="2"/>
        <v>36.363000000000007</v>
      </c>
    </row>
    <row r="41" spans="1:17" x14ac:dyDescent="0.25">
      <c r="A41">
        <v>150</v>
      </c>
      <c r="B41" s="164">
        <v>43305</v>
      </c>
      <c r="C41" s="10">
        <v>150</v>
      </c>
      <c r="D41" s="39">
        <v>31.154499999999999</v>
      </c>
      <c r="E41" s="39">
        <v>33.39</v>
      </c>
      <c r="F41" s="39">
        <f t="shared" si="6"/>
        <v>335.32500000000027</v>
      </c>
      <c r="G41" s="39">
        <f t="shared" si="7"/>
        <v>4673.1750000000002</v>
      </c>
      <c r="H41" s="179">
        <f t="shared" si="8"/>
        <v>7.175528414835744E-2</v>
      </c>
      <c r="I41" s="39" t="s">
        <v>1190</v>
      </c>
      <c r="J41" s="39">
        <v>335.32500000000027</v>
      </c>
      <c r="K41" s="39">
        <v>13.356</v>
      </c>
      <c r="L41" s="39" t="s">
        <v>184</v>
      </c>
      <c r="O41" s="81">
        <v>0.92</v>
      </c>
      <c r="P41" s="81">
        <f t="shared" si="2"/>
        <v>35.972000000000001</v>
      </c>
    </row>
    <row r="42" spans="1:17" x14ac:dyDescent="0.25">
      <c r="B42" s="164">
        <v>43306</v>
      </c>
      <c r="C42" s="10">
        <v>250</v>
      </c>
      <c r="D42" s="39">
        <v>31.884699999999999</v>
      </c>
      <c r="E42" s="39">
        <v>32.979999999999997</v>
      </c>
      <c r="F42" s="39">
        <f t="shared" si="6"/>
        <v>273.82499999999953</v>
      </c>
      <c r="G42" s="39">
        <f t="shared" si="7"/>
        <v>7971.1749999999993</v>
      </c>
      <c r="H42" s="179">
        <f t="shared" si="8"/>
        <v>3.4351899186757226E-2</v>
      </c>
      <c r="I42" s="39"/>
      <c r="J42" s="39">
        <v>273.82499999999953</v>
      </c>
      <c r="K42" s="39">
        <v>13.19</v>
      </c>
      <c r="L42" s="39"/>
      <c r="O42" s="81">
        <v>0.91</v>
      </c>
      <c r="P42" s="81">
        <f t="shared" si="2"/>
        <v>35.581000000000003</v>
      </c>
    </row>
    <row r="43" spans="1:17" x14ac:dyDescent="0.25">
      <c r="A43">
        <v>50</v>
      </c>
      <c r="B43" s="164">
        <v>43307</v>
      </c>
      <c r="C43" s="10">
        <v>150</v>
      </c>
      <c r="D43" s="39">
        <v>29.954799999999999</v>
      </c>
      <c r="E43" s="39">
        <v>34.78</v>
      </c>
      <c r="F43" s="39">
        <f t="shared" si="6"/>
        <v>723.78000000000031</v>
      </c>
      <c r="G43" s="39">
        <f t="shared" si="7"/>
        <v>4493.22</v>
      </c>
      <c r="H43" s="179">
        <f t="shared" si="8"/>
        <v>0.16108269793155028</v>
      </c>
      <c r="I43" s="39" t="s">
        <v>1191</v>
      </c>
      <c r="J43" s="39">
        <v>723.78000000000031</v>
      </c>
      <c r="K43" s="39"/>
      <c r="L43" s="39"/>
      <c r="O43" s="81">
        <v>0.9</v>
      </c>
      <c r="P43" s="81">
        <f t="shared" si="2"/>
        <v>35.190000000000005</v>
      </c>
    </row>
    <row r="44" spans="1:17" x14ac:dyDescent="0.25">
      <c r="A44">
        <v>50</v>
      </c>
      <c r="B44" s="164">
        <v>43316</v>
      </c>
      <c r="C44" s="10">
        <v>150</v>
      </c>
      <c r="D44" s="39">
        <v>29.954799999999999</v>
      </c>
      <c r="E44" s="39">
        <v>35.409999999999997</v>
      </c>
      <c r="F44" s="39">
        <f t="shared" ref="F44:F57" si="9">C44*(E44-D44)</f>
        <v>818.27999999999963</v>
      </c>
      <c r="G44" s="39">
        <f t="shared" ref="G44:G57" si="10">D44*C44</f>
        <v>4493.22</v>
      </c>
      <c r="H44" s="179">
        <f t="shared" ref="H44:H57" si="11">(E44-D44)/D44</f>
        <v>0.18211438567441607</v>
      </c>
      <c r="I44" s="39"/>
      <c r="J44" s="39">
        <v>818.27999999999963</v>
      </c>
      <c r="K44" s="39"/>
      <c r="L44" s="39"/>
    </row>
    <row r="45" spans="1:17" x14ac:dyDescent="0.25">
      <c r="B45" s="164">
        <v>43325</v>
      </c>
      <c r="C45" s="10">
        <v>150</v>
      </c>
      <c r="D45" s="39">
        <v>29.95</v>
      </c>
      <c r="E45" s="39">
        <v>35.04</v>
      </c>
      <c r="F45" s="39">
        <f t="shared" si="9"/>
        <v>763.5</v>
      </c>
      <c r="G45" s="39">
        <f t="shared" si="10"/>
        <v>4492.5</v>
      </c>
      <c r="H45" s="179">
        <f t="shared" si="11"/>
        <v>0.1699499165275459</v>
      </c>
      <c r="I45" s="39"/>
      <c r="J45" s="39">
        <v>763.5</v>
      </c>
      <c r="K45" s="39"/>
      <c r="L45" s="39"/>
    </row>
    <row r="46" spans="1:17" x14ac:dyDescent="0.25">
      <c r="B46" s="164">
        <v>43332</v>
      </c>
      <c r="C46" s="10">
        <v>150</v>
      </c>
      <c r="D46" s="39">
        <v>29.95</v>
      </c>
      <c r="E46" s="39">
        <v>35.43</v>
      </c>
      <c r="F46" s="39">
        <f t="shared" si="9"/>
        <v>822.00000000000011</v>
      </c>
      <c r="G46" s="39">
        <f t="shared" si="10"/>
        <v>4492.5</v>
      </c>
      <c r="H46" s="179">
        <f t="shared" si="11"/>
        <v>0.18297161936560938</v>
      </c>
      <c r="I46" s="39"/>
      <c r="J46" s="39">
        <v>822.00000000000011</v>
      </c>
      <c r="K46" s="39"/>
      <c r="L46" s="39"/>
    </row>
    <row r="47" spans="1:17" x14ac:dyDescent="0.25">
      <c r="A47">
        <v>0</v>
      </c>
      <c r="B47" s="164">
        <v>43336</v>
      </c>
      <c r="C47" s="357">
        <v>100</v>
      </c>
      <c r="D47" s="358">
        <v>26.792000000000002</v>
      </c>
      <c r="E47" s="39">
        <v>36.5</v>
      </c>
      <c r="F47" s="778">
        <f t="shared" si="9"/>
        <v>970.79999999999984</v>
      </c>
      <c r="G47" s="39">
        <f t="shared" si="10"/>
        <v>2679.2000000000003</v>
      </c>
      <c r="H47" s="179">
        <f t="shared" si="11"/>
        <v>0.36234696924455051</v>
      </c>
      <c r="I47" s="39"/>
      <c r="J47" s="39">
        <v>970.79999999999984</v>
      </c>
      <c r="K47" s="39">
        <v>14.6</v>
      </c>
      <c r="L47" s="39"/>
    </row>
    <row r="48" spans="1:17" x14ac:dyDescent="0.25">
      <c r="B48" s="164">
        <v>43378</v>
      </c>
      <c r="C48" s="10">
        <v>200</v>
      </c>
      <c r="D48" s="39">
        <v>30.636199999999999</v>
      </c>
      <c r="E48" s="39">
        <v>34.56</v>
      </c>
      <c r="F48" s="39">
        <f t="shared" si="9"/>
        <v>784.76000000000067</v>
      </c>
      <c r="G48" s="39">
        <f t="shared" si="10"/>
        <v>6127.24</v>
      </c>
      <c r="H48" s="179">
        <f t="shared" si="11"/>
        <v>0.12807724195559514</v>
      </c>
      <c r="I48" s="39"/>
      <c r="J48" s="39">
        <v>784.76000000000067</v>
      </c>
      <c r="K48" s="39">
        <v>14.08</v>
      </c>
      <c r="L48" s="39"/>
    </row>
    <row r="49" spans="1:12" x14ac:dyDescent="0.25">
      <c r="A49">
        <v>0</v>
      </c>
      <c r="B49" s="164">
        <v>43388</v>
      </c>
      <c r="C49" s="357">
        <v>100</v>
      </c>
      <c r="D49" s="358">
        <v>25.672899999999998</v>
      </c>
      <c r="E49" s="39">
        <v>35.6</v>
      </c>
      <c r="F49" s="778">
        <f t="shared" si="9"/>
        <v>992.71000000000026</v>
      </c>
      <c r="G49" s="39">
        <f t="shared" si="10"/>
        <v>2567.29</v>
      </c>
      <c r="H49" s="179">
        <f t="shared" si="11"/>
        <v>0.38667622278745306</v>
      </c>
      <c r="I49" s="39"/>
      <c r="J49" s="39">
        <v>992.71000000000026</v>
      </c>
      <c r="K49" s="39">
        <v>13.85</v>
      </c>
      <c r="L49" s="39"/>
    </row>
    <row r="50" spans="1:12" x14ac:dyDescent="0.25">
      <c r="A50">
        <v>0</v>
      </c>
      <c r="B50" s="164">
        <v>43397</v>
      </c>
      <c r="C50" s="10">
        <v>200</v>
      </c>
      <c r="D50" s="39">
        <v>30.041499999999999</v>
      </c>
      <c r="E50" s="39">
        <v>34.119999999999997</v>
      </c>
      <c r="F50" s="39">
        <f t="shared" si="9"/>
        <v>815.69999999999959</v>
      </c>
      <c r="G50" s="39">
        <f t="shared" si="10"/>
        <v>6008.3</v>
      </c>
      <c r="H50" s="179">
        <f t="shared" si="11"/>
        <v>0.1357621956293793</v>
      </c>
      <c r="I50" s="39"/>
      <c r="J50" s="39">
        <v>815.69999999999959</v>
      </c>
      <c r="K50" s="39">
        <v>13.65</v>
      </c>
      <c r="L50" s="39"/>
    </row>
    <row r="51" spans="1:12" x14ac:dyDescent="0.25">
      <c r="A51">
        <v>100</v>
      </c>
      <c r="B51" s="164">
        <v>43413</v>
      </c>
      <c r="C51" s="357">
        <v>100</v>
      </c>
      <c r="D51" s="358">
        <v>21.403400000000001</v>
      </c>
      <c r="E51" s="39">
        <v>38.340000000000003</v>
      </c>
      <c r="F51" s="778">
        <f t="shared" si="9"/>
        <v>1693.6600000000003</v>
      </c>
      <c r="G51" s="39">
        <f t="shared" si="10"/>
        <v>2140.34</v>
      </c>
      <c r="H51" s="179">
        <f t="shared" si="11"/>
        <v>0.7913041853163516</v>
      </c>
      <c r="I51" s="39"/>
      <c r="J51" s="39">
        <v>1693.6600000000003</v>
      </c>
      <c r="K51" s="39">
        <v>15.34</v>
      </c>
      <c r="L51" s="39"/>
    </row>
    <row r="52" spans="1:12" x14ac:dyDescent="0.25">
      <c r="A52">
        <v>100</v>
      </c>
      <c r="B52" s="164">
        <v>43436</v>
      </c>
      <c r="C52" s="10">
        <v>100</v>
      </c>
      <c r="D52" s="39">
        <v>21.4</v>
      </c>
      <c r="E52" s="39">
        <v>39.01</v>
      </c>
      <c r="F52" s="778">
        <f t="shared" si="9"/>
        <v>1761</v>
      </c>
      <c r="G52" s="39">
        <f t="shared" si="10"/>
        <v>2140</v>
      </c>
      <c r="H52" s="179">
        <f t="shared" si="11"/>
        <v>0.82289719626168223</v>
      </c>
      <c r="I52" s="39"/>
      <c r="J52" s="39">
        <v>1761</v>
      </c>
      <c r="K52" s="39">
        <v>15.6</v>
      </c>
      <c r="L52" s="39"/>
    </row>
    <row r="53" spans="1:12" x14ac:dyDescent="0.25">
      <c r="A53">
        <v>100</v>
      </c>
      <c r="B53" s="164">
        <v>43471</v>
      </c>
      <c r="C53" s="10">
        <v>100</v>
      </c>
      <c r="D53" s="39">
        <v>21.4</v>
      </c>
      <c r="E53" s="39">
        <v>35.81</v>
      </c>
      <c r="F53" s="39">
        <f t="shared" si="9"/>
        <v>1441.0000000000005</v>
      </c>
      <c r="G53" s="39">
        <f t="shared" si="10"/>
        <v>2140</v>
      </c>
      <c r="H53" s="179">
        <f t="shared" si="11"/>
        <v>0.6733644859813086</v>
      </c>
      <c r="I53" s="39"/>
      <c r="J53" s="39">
        <v>1441.0000000000005</v>
      </c>
      <c r="K53" s="39">
        <v>14.32</v>
      </c>
      <c r="L53" s="39"/>
    </row>
    <row r="54" spans="1:12" x14ac:dyDescent="0.25">
      <c r="A54" s="4">
        <v>100</v>
      </c>
      <c r="B54" s="164">
        <v>43488</v>
      </c>
      <c r="C54" s="357">
        <v>100</v>
      </c>
      <c r="D54" s="358">
        <v>21.2134</v>
      </c>
      <c r="E54" s="39">
        <v>36.89</v>
      </c>
      <c r="F54" s="39">
        <f t="shared" si="9"/>
        <v>1567.66</v>
      </c>
      <c r="G54" s="39">
        <f t="shared" si="10"/>
        <v>2121.34</v>
      </c>
      <c r="H54" s="179">
        <f t="shared" si="11"/>
        <v>0.73899516343443294</v>
      </c>
      <c r="I54" s="39"/>
      <c r="J54" s="39">
        <v>1567.66</v>
      </c>
      <c r="K54" s="39">
        <v>14.76</v>
      </c>
      <c r="L54" s="39"/>
    </row>
    <row r="55" spans="1:12" x14ac:dyDescent="0.25">
      <c r="A55" s="4"/>
      <c r="B55" s="164">
        <v>43493</v>
      </c>
      <c r="C55" s="10">
        <v>200</v>
      </c>
      <c r="D55" s="39">
        <v>27.9467</v>
      </c>
      <c r="E55" s="39">
        <v>35.369999999999997</v>
      </c>
      <c r="F55" s="39">
        <f t="shared" si="9"/>
        <v>1484.6599999999994</v>
      </c>
      <c r="G55" s="39">
        <f t="shared" si="10"/>
        <v>5589.34</v>
      </c>
      <c r="H55" s="179">
        <f t="shared" si="11"/>
        <v>0.265623490429997</v>
      </c>
      <c r="I55" s="39"/>
      <c r="J55" s="39">
        <v>1484.6599999999994</v>
      </c>
      <c r="K55" s="39">
        <v>14.15</v>
      </c>
      <c r="L55" s="39"/>
    </row>
    <row r="56" spans="1:12" x14ac:dyDescent="0.25">
      <c r="A56" s="4">
        <v>0</v>
      </c>
      <c r="B56" s="164">
        <v>43494</v>
      </c>
      <c r="C56" s="357">
        <v>100</v>
      </c>
      <c r="D56" s="358">
        <v>19.713899999999999</v>
      </c>
      <c r="E56" s="39">
        <v>36.08</v>
      </c>
      <c r="F56" s="39">
        <f t="shared" si="9"/>
        <v>1636.61</v>
      </c>
      <c r="G56" s="39">
        <f t="shared" si="10"/>
        <v>1971.3899999999999</v>
      </c>
      <c r="H56" s="179">
        <f t="shared" si="11"/>
        <v>0.83018073542018578</v>
      </c>
      <c r="I56" s="39"/>
      <c r="J56" s="39">
        <v>1636.61</v>
      </c>
      <c r="K56" s="39">
        <v>14.43</v>
      </c>
      <c r="L56" s="39"/>
    </row>
    <row r="57" spans="1:12" x14ac:dyDescent="0.25">
      <c r="A57" s="4"/>
      <c r="B57" s="164">
        <v>43525</v>
      </c>
      <c r="C57" s="10">
        <v>0</v>
      </c>
      <c r="D57" s="39">
        <v>19.71</v>
      </c>
      <c r="E57" s="39">
        <v>39.1</v>
      </c>
      <c r="F57" s="39">
        <f t="shared" si="9"/>
        <v>0</v>
      </c>
      <c r="G57" s="39">
        <f t="shared" si="10"/>
        <v>0</v>
      </c>
      <c r="H57" s="179">
        <f t="shared" si="11"/>
        <v>0.98376458650431253</v>
      </c>
      <c r="I57" s="39"/>
      <c r="J57" s="778">
        <v>1966.56</v>
      </c>
      <c r="K57" s="39">
        <v>15.64</v>
      </c>
      <c r="L57" s="39"/>
    </row>
    <row r="58" spans="1:12" x14ac:dyDescent="0.25">
      <c r="A58" s="4"/>
      <c r="B58" s="164"/>
      <c r="C58" s="10"/>
      <c r="D58" s="39"/>
      <c r="E58" s="39"/>
      <c r="F58" s="39"/>
      <c r="G58" s="39"/>
      <c r="H58" s="179"/>
      <c r="I58" s="39"/>
      <c r="J58" s="39"/>
      <c r="K58" s="39"/>
      <c r="L58" s="39"/>
    </row>
    <row r="59" spans="1:12" x14ac:dyDescent="0.25">
      <c r="A59" s="4"/>
      <c r="B59" s="164"/>
      <c r="C59" s="10"/>
      <c r="D59" s="39"/>
      <c r="E59" s="39"/>
      <c r="F59" s="39"/>
      <c r="G59" s="39"/>
      <c r="H59" s="179"/>
      <c r="I59" s="39"/>
      <c r="J59" s="39"/>
      <c r="K59" s="39"/>
      <c r="L59" s="39"/>
    </row>
    <row r="60" spans="1:12" x14ac:dyDescent="0.25">
      <c r="A60" s="4"/>
      <c r="B60" s="164"/>
      <c r="C60" s="10"/>
      <c r="D60" s="39"/>
      <c r="E60" s="39"/>
      <c r="F60" s="39"/>
      <c r="G60" s="39"/>
      <c r="H60" s="179"/>
      <c r="I60" s="39"/>
      <c r="J60" s="39"/>
      <c r="K60" s="39"/>
      <c r="L60" s="39"/>
    </row>
    <row r="61" spans="1:12" x14ac:dyDescent="0.25">
      <c r="A61" s="4"/>
      <c r="B61" s="164"/>
      <c r="C61" s="10"/>
      <c r="D61" s="39"/>
      <c r="E61" s="39"/>
      <c r="F61" s="39"/>
      <c r="G61" s="39"/>
      <c r="H61" s="179"/>
      <c r="I61" s="39"/>
      <c r="J61" s="39"/>
      <c r="K61" s="39"/>
      <c r="L61" s="39"/>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1956" priority="35">
      <formula>F62&gt;0</formula>
    </cfRule>
    <cfRule type="expression" dxfId="1955" priority="36">
      <formula>F62&lt;0</formula>
    </cfRule>
  </conditionalFormatting>
  <conditionalFormatting sqref="Q7">
    <cfRule type="expression" dxfId="1954" priority="33">
      <formula>Q7&gt;0</formula>
    </cfRule>
    <cfRule type="expression" dxfId="1953" priority="34">
      <formula>Q7&lt;0</formula>
    </cfRule>
  </conditionalFormatting>
  <conditionalFormatting sqref="Q8">
    <cfRule type="expression" dxfId="1952" priority="31">
      <formula>Q8&gt;0</formula>
    </cfRule>
    <cfRule type="expression" dxfId="1951" priority="32">
      <formula>Q8&lt;0</formula>
    </cfRule>
  </conditionalFormatting>
  <conditionalFormatting sqref="F30:F61">
    <cfRule type="expression" dxfId="1950" priority="29">
      <formula>F30&gt;0</formula>
    </cfRule>
    <cfRule type="expression" dxfId="1949" priority="30">
      <formula>F30&lt;0</formula>
    </cfRule>
  </conditionalFormatting>
  <conditionalFormatting sqref="H30:H61">
    <cfRule type="expression" dxfId="1948" priority="27">
      <formula>H30&gt;0</formula>
    </cfRule>
    <cfRule type="expression" dxfId="1947" priority="28">
      <formula>H30&lt;0</formula>
    </cfRule>
  </conditionalFormatting>
  <conditionalFormatting sqref="Q10">
    <cfRule type="expression" dxfId="1946" priority="25">
      <formula>Q10&gt;0</formula>
    </cfRule>
    <cfRule type="expression" dxfId="1945" priority="26">
      <formula>Q10&lt;0</formula>
    </cfRule>
  </conditionalFormatting>
  <conditionalFormatting sqref="J25:J38">
    <cfRule type="expression" dxfId="1944" priority="23">
      <formula>J25&gt;0</formula>
    </cfRule>
    <cfRule type="expression" dxfId="1943" priority="24">
      <formula>J25&lt;0</formula>
    </cfRule>
  </conditionalFormatting>
  <conditionalFormatting sqref="K25:K33">
    <cfRule type="expression" dxfId="1942" priority="21">
      <formula>K25&gt;0</formula>
    </cfRule>
    <cfRule type="expression" dxfId="1941" priority="22">
      <formula>K25&lt;0</formula>
    </cfRule>
  </conditionalFormatting>
  <conditionalFormatting sqref="L25:L38">
    <cfRule type="expression" dxfId="1940" priority="19">
      <formula>L25&gt;0</formula>
    </cfRule>
    <cfRule type="expression" dxfId="1939" priority="20">
      <formula>L25&lt;0</formula>
    </cfRule>
  </conditionalFormatting>
  <conditionalFormatting sqref="F89:F110">
    <cfRule type="expression" dxfId="1938" priority="17">
      <formula>F89&gt;0</formula>
    </cfRule>
    <cfRule type="expression" dxfId="1937" priority="18">
      <formula>F89&lt;0</formula>
    </cfRule>
  </conditionalFormatting>
  <conditionalFormatting sqref="H89:H110">
    <cfRule type="expression" dxfId="1936" priority="15">
      <formula>H89&gt;0</formula>
    </cfRule>
    <cfRule type="expression" dxfId="1935" priority="16">
      <formula>H89&lt;0</formula>
    </cfRule>
  </conditionalFormatting>
  <conditionalFormatting sqref="J89:J102">
    <cfRule type="expression" dxfId="1934" priority="13">
      <formula>J89&gt;0</formula>
    </cfRule>
    <cfRule type="expression" dxfId="1933" priority="14">
      <formula>J89&lt;0</formula>
    </cfRule>
  </conditionalFormatting>
  <conditionalFormatting sqref="K89:K102">
    <cfRule type="expression" dxfId="1932" priority="11">
      <formula>K89&gt;0</formula>
    </cfRule>
    <cfRule type="expression" dxfId="1931" priority="12">
      <formula>K89&lt;0</formula>
    </cfRule>
  </conditionalFormatting>
  <conditionalFormatting sqref="L89:L102">
    <cfRule type="expression" dxfId="1930" priority="9">
      <formula>L89&gt;0</formula>
    </cfRule>
    <cfRule type="expression" dxfId="1929" priority="10">
      <formula>L89&lt;0</formula>
    </cfRule>
  </conditionalFormatting>
  <conditionalFormatting sqref="F25:F29">
    <cfRule type="expression" dxfId="1928" priority="7">
      <formula>F25&gt;0</formula>
    </cfRule>
    <cfRule type="expression" dxfId="1927" priority="8">
      <formula>F25&lt;0</formula>
    </cfRule>
  </conditionalFormatting>
  <conditionalFormatting sqref="H25:H29">
    <cfRule type="expression" dxfId="1926" priority="5">
      <formula>H25&gt;0</formula>
    </cfRule>
    <cfRule type="expression" dxfId="1925" priority="6">
      <formula>H25&lt;0</formula>
    </cfRule>
  </conditionalFormatting>
  <conditionalFormatting sqref="F29">
    <cfRule type="expression" dxfId="1924" priority="3">
      <formula>F29&gt;0</formula>
    </cfRule>
    <cfRule type="expression" dxfId="1923" priority="4">
      <formula>F29&lt;0</formula>
    </cfRule>
  </conditionalFormatting>
  <conditionalFormatting sqref="J57">
    <cfRule type="expression" dxfId="1922" priority="1">
      <formula>J57&gt;0</formula>
    </cfRule>
    <cfRule type="expression" dxfId="1921"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933</v>
      </c>
      <c r="B2" s="368">
        <v>43178</v>
      </c>
      <c r="C2" s="7">
        <v>50</v>
      </c>
      <c r="D2" s="43">
        <v>90.58</v>
      </c>
      <c r="E2" s="43">
        <v>0</v>
      </c>
      <c r="F2" s="43">
        <f>C2*D2+E2</f>
        <v>4529</v>
      </c>
      <c r="G2" s="368">
        <v>43210</v>
      </c>
      <c r="H2" s="7">
        <v>50</v>
      </c>
      <c r="I2" s="43">
        <v>100.6</v>
      </c>
      <c r="J2" s="43">
        <v>0.12</v>
      </c>
      <c r="K2" s="43">
        <f>H2*I2-J2</f>
        <v>5029.88</v>
      </c>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76.37</v>
      </c>
      <c r="T3" s="1"/>
    </row>
    <row r="4" spans="1:21" x14ac:dyDescent="0.25">
      <c r="B4" s="72"/>
      <c r="C4" s="4"/>
      <c r="D4" s="3"/>
      <c r="E4" s="3"/>
      <c r="F4" s="3"/>
      <c r="G4" s="72"/>
      <c r="H4" s="161"/>
      <c r="I4" s="3"/>
      <c r="J4" s="3"/>
      <c r="K4" s="3"/>
      <c r="L4" s="4"/>
      <c r="M4" s="4"/>
      <c r="O4" s="11" t="s">
        <v>66</v>
      </c>
      <c r="Q4" s="54">
        <v>76.37</v>
      </c>
      <c r="R4" s="425">
        <v>6.7000000000000002E-3</v>
      </c>
      <c r="T4" s="693"/>
      <c r="U4" s="30"/>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500.88000000000011</v>
      </c>
      <c r="R7">
        <v>0</v>
      </c>
    </row>
    <row r="8" spans="1:21" x14ac:dyDescent="0.25">
      <c r="B8" s="72"/>
      <c r="C8" s="4"/>
      <c r="D8" s="3"/>
      <c r="E8" s="3"/>
      <c r="F8" s="3"/>
      <c r="G8" s="4"/>
      <c r="H8" s="161"/>
      <c r="I8" s="3"/>
      <c r="J8" s="3"/>
      <c r="K8" s="3"/>
      <c r="L8" s="4"/>
      <c r="M8" s="4"/>
      <c r="O8" s="11" t="s">
        <v>179</v>
      </c>
      <c r="P8" s="33"/>
      <c r="Q8" s="2">
        <f>K18+M18-F18+Q2*Q4</f>
        <v>500.88000000000011</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8.3802540264501773E-3</v>
      </c>
      <c r="R11">
        <v>0.16</v>
      </c>
    </row>
    <row r="12" spans="1:21" x14ac:dyDescent="0.25">
      <c r="H12" s="70"/>
      <c r="O12" s="11" t="s">
        <v>969</v>
      </c>
      <c r="Q12" s="1"/>
    </row>
    <row r="13" spans="1:21" x14ac:dyDescent="0.25">
      <c r="H13" s="70"/>
      <c r="O13" s="11" t="s">
        <v>947</v>
      </c>
      <c r="Q13" s="2">
        <f>Q4/7.38</f>
        <v>10.348238482384824</v>
      </c>
    </row>
    <row r="14" spans="1:21" x14ac:dyDescent="0.25">
      <c r="H14" s="70"/>
    </row>
    <row r="15" spans="1:21" x14ac:dyDescent="0.25">
      <c r="H15" s="70"/>
    </row>
    <row r="16" spans="1:21" x14ac:dyDescent="0.25">
      <c r="H16" s="70"/>
    </row>
    <row r="18" spans="1:17" x14ac:dyDescent="0.25">
      <c r="A18" s="31" t="s">
        <v>81</v>
      </c>
      <c r="B18" s="14"/>
      <c r="C18" s="14">
        <f>SUM(C2:C8)</f>
        <v>50</v>
      </c>
      <c r="D18" s="18"/>
      <c r="E18" s="18"/>
      <c r="F18" s="18">
        <f>SUM(F2:F8)</f>
        <v>4529</v>
      </c>
      <c r="G18" s="14"/>
      <c r="H18" s="71">
        <f>SUM(H2:H5)</f>
        <v>50</v>
      </c>
      <c r="I18" s="18"/>
      <c r="J18" s="18"/>
      <c r="K18" s="18">
        <f>SUM(K2:K5)</f>
        <v>5029.88</v>
      </c>
      <c r="L18" s="14"/>
      <c r="M18" s="18">
        <f>SUM(M2:M10)</f>
        <v>0</v>
      </c>
    </row>
    <row r="19" spans="1:17" ht="15.75" thickBot="1" x14ac:dyDescent="0.3">
      <c r="A19" s="277" t="s">
        <v>191</v>
      </c>
      <c r="B19" s="278"/>
      <c r="C19" s="279">
        <f>SumByColor($A$19,C2:C17)</f>
        <v>50</v>
      </c>
      <c r="D19" s="279"/>
      <c r="E19" s="279"/>
      <c r="F19" s="280">
        <f>SumByColor($A$19,F2:F17)</f>
        <v>4529</v>
      </c>
      <c r="G19" s="279"/>
      <c r="H19" s="279">
        <f>SumByColor($A$19,H2:H17)</f>
        <v>50</v>
      </c>
      <c r="I19" s="279"/>
      <c r="J19" s="279"/>
      <c r="K19" s="280">
        <f>SumByColor($A$19,K2:K17)</f>
        <v>5030</v>
      </c>
      <c r="L19" s="279"/>
      <c r="M19" s="280">
        <f>SumByColor($A$19,M2:M17)</f>
        <v>0</v>
      </c>
    </row>
    <row r="22" spans="1:17" ht="20.25" thickBot="1" x14ac:dyDescent="0.35">
      <c r="O22" s="717" t="s">
        <v>78</v>
      </c>
      <c r="P22" s="717"/>
    </row>
    <row r="23" spans="1:17" ht="15.75" thickTop="1" x14ac:dyDescent="0.25">
      <c r="O23" s="81">
        <v>1.1000000000000001</v>
      </c>
      <c r="P23" s="81">
        <f>O23*$Q$4</f>
        <v>84.007000000000005</v>
      </c>
      <c r="Q23" s="2"/>
    </row>
    <row r="24" spans="1:17" x14ac:dyDescent="0.25">
      <c r="B24" s="162" t="s">
        <v>113</v>
      </c>
      <c r="C24" s="162" t="s">
        <v>145</v>
      </c>
      <c r="D24" s="163" t="s">
        <v>144</v>
      </c>
      <c r="E24" s="165" t="s">
        <v>146</v>
      </c>
      <c r="F24" s="165" t="s">
        <v>65</v>
      </c>
      <c r="G24" s="177" t="s">
        <v>150</v>
      </c>
      <c r="H24" s="177" t="s">
        <v>88</v>
      </c>
      <c r="I24" s="177" t="s">
        <v>153</v>
      </c>
      <c r="J24" s="177" t="s">
        <v>149</v>
      </c>
      <c r="K24" s="177"/>
      <c r="L24" s="177"/>
      <c r="O24" s="81">
        <v>1.0900000000000001</v>
      </c>
      <c r="P24" s="81">
        <f t="shared" ref="P24:P43" si="0">O24*$Q$4</f>
        <v>83.243300000000005</v>
      </c>
      <c r="Q24" s="2"/>
    </row>
    <row r="25" spans="1:17" x14ac:dyDescent="0.25">
      <c r="B25" s="164">
        <v>43178</v>
      </c>
      <c r="C25" s="10">
        <v>50</v>
      </c>
      <c r="D25" s="39">
        <v>90.58</v>
      </c>
      <c r="E25" s="39">
        <v>91.65</v>
      </c>
      <c r="F25" s="39">
        <f>C25*(E25-D25)</f>
        <v>53.500000000000369</v>
      </c>
      <c r="G25" s="39">
        <f>D25*C25</f>
        <v>4529</v>
      </c>
      <c r="H25" s="179">
        <f>(E25-D25)/D25</f>
        <v>1.1812762199161045E-2</v>
      </c>
      <c r="I25" s="39"/>
      <c r="J25" s="39"/>
      <c r="K25" s="39"/>
      <c r="L25" s="39"/>
      <c r="O25" s="81">
        <v>1.08</v>
      </c>
      <c r="P25" s="81">
        <f t="shared" si="0"/>
        <v>82.479600000000005</v>
      </c>
      <c r="Q25" s="2"/>
    </row>
    <row r="26" spans="1:17" x14ac:dyDescent="0.25">
      <c r="B26" s="164">
        <v>43185</v>
      </c>
      <c r="C26" s="10">
        <v>50</v>
      </c>
      <c r="D26" s="39">
        <v>90.58</v>
      </c>
      <c r="E26" s="39">
        <v>94.77</v>
      </c>
      <c r="F26" s="39">
        <f>C26*(E26-D26)</f>
        <v>209.49999999999989</v>
      </c>
      <c r="G26" s="39">
        <f>D26*C26</f>
        <v>4529</v>
      </c>
      <c r="H26" s="179">
        <f>(E26-D26)/D26</f>
        <v>4.6257451976153649E-2</v>
      </c>
      <c r="I26" s="39"/>
      <c r="J26" s="39"/>
      <c r="K26" s="39"/>
      <c r="L26" s="39"/>
      <c r="O26" s="81">
        <v>1.07</v>
      </c>
      <c r="P26" s="81">
        <f t="shared" si="0"/>
        <v>81.715900000000005</v>
      </c>
      <c r="Q26" s="2"/>
    </row>
    <row r="27" spans="1:17" x14ac:dyDescent="0.25">
      <c r="B27" s="164">
        <v>43196</v>
      </c>
      <c r="C27" s="10">
        <v>50</v>
      </c>
      <c r="D27" s="39">
        <v>90.58</v>
      </c>
      <c r="E27" s="39">
        <v>90.46</v>
      </c>
      <c r="F27" s="39">
        <f>C27*(E27-D27)</f>
        <v>-6.0000000000002274</v>
      </c>
      <c r="G27" s="39">
        <f>D27*C27</f>
        <v>4529</v>
      </c>
      <c r="H27" s="179">
        <f>(E27-D27)/D27</f>
        <v>-1.3247957606536162E-3</v>
      </c>
      <c r="I27" s="39"/>
      <c r="J27" s="39"/>
      <c r="K27" s="39"/>
      <c r="L27" s="155"/>
      <c r="O27" s="81">
        <v>1.06</v>
      </c>
      <c r="P27" s="81">
        <f t="shared" si="0"/>
        <v>80.952200000000005</v>
      </c>
      <c r="Q27" s="2"/>
    </row>
    <row r="28" spans="1:17" x14ac:dyDescent="0.25">
      <c r="B28" s="164">
        <v>43206</v>
      </c>
      <c r="C28" s="10">
        <v>50</v>
      </c>
      <c r="D28" s="39">
        <v>90.58</v>
      </c>
      <c r="E28" s="39">
        <v>96.72</v>
      </c>
      <c r="F28" s="39">
        <f>C28*(E28-D28)</f>
        <v>307</v>
      </c>
      <c r="G28" s="39">
        <f>D28*C28</f>
        <v>4529</v>
      </c>
      <c r="H28" s="179">
        <f>(E28-D28)/D28</f>
        <v>6.7785383086774134E-2</v>
      </c>
      <c r="I28" s="39"/>
      <c r="J28" s="39"/>
      <c r="K28" s="39"/>
      <c r="L28" s="155"/>
      <c r="O28" s="81">
        <v>1.05</v>
      </c>
      <c r="P28" s="81">
        <f t="shared" si="0"/>
        <v>80.188500000000005</v>
      </c>
      <c r="Q28" s="2"/>
    </row>
    <row r="29" spans="1:17" x14ac:dyDescent="0.25">
      <c r="B29" s="164">
        <v>43208</v>
      </c>
      <c r="C29" s="10">
        <v>50</v>
      </c>
      <c r="D29" s="39">
        <v>90.58</v>
      </c>
      <c r="E29" s="39">
        <v>100.97</v>
      </c>
      <c r="F29" s="39">
        <f>C29*(E29-D29)</f>
        <v>519.5</v>
      </c>
      <c r="G29" s="39">
        <f>D29*C29</f>
        <v>4529</v>
      </c>
      <c r="H29" s="179">
        <f>(E29-D29)/D29</f>
        <v>0.11470523294325459</v>
      </c>
      <c r="I29" s="39"/>
      <c r="J29" s="39"/>
      <c r="K29" s="39"/>
      <c r="L29" s="155"/>
      <c r="O29" s="81">
        <v>1.04</v>
      </c>
      <c r="P29" s="81">
        <f t="shared" si="0"/>
        <v>79.424800000000005</v>
      </c>
      <c r="Q29" s="2"/>
    </row>
    <row r="30" spans="1:17" x14ac:dyDescent="0.25">
      <c r="B30" s="164">
        <v>43210</v>
      </c>
      <c r="C30" s="10">
        <v>0</v>
      </c>
      <c r="D30" s="39"/>
      <c r="E30" s="39">
        <v>100.44</v>
      </c>
      <c r="F30" s="39">
        <v>500.88</v>
      </c>
      <c r="G30" s="39"/>
      <c r="H30" s="179"/>
      <c r="I30" s="39"/>
      <c r="J30" s="39"/>
      <c r="K30" s="39"/>
      <c r="L30" s="155"/>
      <c r="O30" s="81">
        <v>1.03</v>
      </c>
      <c r="P30" s="81">
        <f t="shared" si="0"/>
        <v>78.661100000000005</v>
      </c>
      <c r="Q30" s="2"/>
    </row>
    <row r="31" spans="1:17" x14ac:dyDescent="0.25">
      <c r="B31" s="164"/>
      <c r="C31" s="10"/>
      <c r="D31" s="39"/>
      <c r="E31" s="39"/>
      <c r="F31" s="39"/>
      <c r="G31" s="39"/>
      <c r="H31" s="179"/>
      <c r="I31" s="39"/>
      <c r="J31" s="39"/>
      <c r="K31" s="39"/>
      <c r="L31" s="155"/>
      <c r="O31" s="81">
        <v>1.02</v>
      </c>
      <c r="P31" s="81">
        <f t="shared" si="0"/>
        <v>77.897400000000005</v>
      </c>
      <c r="Q31" s="2"/>
    </row>
    <row r="32" spans="1:17" x14ac:dyDescent="0.25">
      <c r="B32" s="164"/>
      <c r="C32" s="10"/>
      <c r="D32" s="39"/>
      <c r="E32" s="39"/>
      <c r="F32" s="39"/>
      <c r="G32" s="39"/>
      <c r="H32" s="179"/>
      <c r="I32" s="39"/>
      <c r="J32" s="39"/>
      <c r="K32" s="39"/>
      <c r="L32" s="155"/>
      <c r="O32" s="81">
        <v>1.01</v>
      </c>
      <c r="P32" s="81">
        <f t="shared" si="0"/>
        <v>77.133700000000005</v>
      </c>
      <c r="Q32" s="2"/>
    </row>
    <row r="33" spans="2:17" x14ac:dyDescent="0.25">
      <c r="B33" s="164"/>
      <c r="C33" s="10"/>
      <c r="D33" s="39"/>
      <c r="E33" s="39"/>
      <c r="F33" s="39"/>
      <c r="G33" s="39"/>
      <c r="H33" s="179"/>
      <c r="I33" s="39"/>
      <c r="J33" s="39"/>
      <c r="K33" s="39"/>
      <c r="L33" s="155"/>
      <c r="O33" s="81">
        <v>1</v>
      </c>
      <c r="P33" s="81">
        <f t="shared" si="0"/>
        <v>76.37</v>
      </c>
      <c r="Q33" s="2"/>
    </row>
    <row r="34" spans="2:17" x14ac:dyDescent="0.25">
      <c r="B34" s="164"/>
      <c r="C34" s="10"/>
      <c r="D34" s="39"/>
      <c r="E34" s="39"/>
      <c r="F34" s="39"/>
      <c r="G34" s="39"/>
      <c r="H34" s="179"/>
      <c r="I34" s="39"/>
      <c r="J34" s="39"/>
      <c r="K34" s="39"/>
      <c r="L34" s="155"/>
      <c r="O34" s="81">
        <v>0.99</v>
      </c>
      <c r="P34" s="81">
        <f t="shared" si="0"/>
        <v>75.606300000000005</v>
      </c>
      <c r="Q34" s="2"/>
    </row>
    <row r="35" spans="2:17" x14ac:dyDescent="0.25">
      <c r="B35" s="164"/>
      <c r="C35" s="10"/>
      <c r="D35" s="39"/>
      <c r="E35" s="39"/>
      <c r="F35" s="39"/>
      <c r="G35" s="39"/>
      <c r="H35" s="179"/>
      <c r="I35" s="39"/>
      <c r="J35" s="39"/>
      <c r="K35" s="39"/>
      <c r="L35" s="155"/>
      <c r="O35" s="81">
        <v>0.98</v>
      </c>
      <c r="P35" s="81">
        <f t="shared" si="0"/>
        <v>74.842600000000004</v>
      </c>
      <c r="Q35" s="2"/>
    </row>
    <row r="36" spans="2:17" x14ac:dyDescent="0.25">
      <c r="B36" s="164"/>
      <c r="C36" s="10"/>
      <c r="D36" s="39"/>
      <c r="E36" s="39"/>
      <c r="F36" s="39"/>
      <c r="G36" s="39"/>
      <c r="H36" s="179"/>
      <c r="I36" s="39"/>
      <c r="J36" s="39"/>
      <c r="K36" s="39"/>
      <c r="L36" s="39"/>
      <c r="O36" s="81">
        <v>0.97</v>
      </c>
      <c r="P36" s="81">
        <f t="shared" si="0"/>
        <v>74.078900000000004</v>
      </c>
    </row>
    <row r="37" spans="2:17" x14ac:dyDescent="0.25">
      <c r="B37" s="164"/>
      <c r="C37" s="10"/>
      <c r="D37" s="39"/>
      <c r="E37" s="39"/>
      <c r="F37" s="39"/>
      <c r="G37" s="39"/>
      <c r="H37" s="179"/>
      <c r="I37" s="39"/>
      <c r="J37" s="39"/>
      <c r="K37" s="39"/>
      <c r="L37" s="39"/>
      <c r="O37" s="81">
        <v>0.96</v>
      </c>
      <c r="P37" s="81">
        <f t="shared" si="0"/>
        <v>73.315200000000004</v>
      </c>
    </row>
    <row r="38" spans="2:17" x14ac:dyDescent="0.25">
      <c r="B38" s="164"/>
      <c r="C38" s="10"/>
      <c r="D38" s="39"/>
      <c r="E38" s="39"/>
      <c r="F38" s="39"/>
      <c r="G38" s="39"/>
      <c r="H38" s="179"/>
      <c r="I38" s="39"/>
      <c r="J38" s="39"/>
      <c r="K38" s="39"/>
      <c r="L38" s="39"/>
      <c r="O38" s="81">
        <v>0.95</v>
      </c>
      <c r="P38" s="81">
        <f t="shared" si="0"/>
        <v>72.551500000000004</v>
      </c>
    </row>
    <row r="39" spans="2:17" x14ac:dyDescent="0.25">
      <c r="B39" s="164"/>
      <c r="C39" s="10"/>
      <c r="D39" s="39"/>
      <c r="E39" s="39"/>
      <c r="F39" s="39"/>
      <c r="G39" s="39"/>
      <c r="H39" s="179"/>
      <c r="I39" s="39"/>
      <c r="J39" s="39"/>
      <c r="K39" s="39"/>
      <c r="L39" s="39"/>
      <c r="O39" s="81">
        <v>0.94</v>
      </c>
      <c r="P39" s="81">
        <f t="shared" si="0"/>
        <v>71.787800000000004</v>
      </c>
    </row>
    <row r="40" spans="2:17" x14ac:dyDescent="0.25">
      <c r="B40" s="164"/>
      <c r="C40" s="10"/>
      <c r="D40" s="39"/>
      <c r="E40" s="39"/>
      <c r="F40" s="39"/>
      <c r="G40" s="39"/>
      <c r="H40" s="179"/>
      <c r="I40" s="39"/>
      <c r="J40" s="39"/>
      <c r="K40" s="39"/>
      <c r="L40" s="39"/>
      <c r="O40" s="81">
        <v>0.93</v>
      </c>
      <c r="P40" s="81">
        <f t="shared" si="0"/>
        <v>71.024100000000004</v>
      </c>
    </row>
    <row r="41" spans="2:17" x14ac:dyDescent="0.25">
      <c r="B41" s="164"/>
      <c r="C41" s="10"/>
      <c r="D41" s="39"/>
      <c r="E41" s="39"/>
      <c r="F41" s="39"/>
      <c r="G41" s="39"/>
      <c r="H41" s="179"/>
      <c r="I41" s="39"/>
      <c r="J41" s="39"/>
      <c r="K41" s="39"/>
      <c r="L41" s="39"/>
      <c r="O41" s="81">
        <v>0.92</v>
      </c>
      <c r="P41" s="81">
        <f t="shared" si="0"/>
        <v>70.260400000000004</v>
      </c>
    </row>
    <row r="42" spans="2:17" x14ac:dyDescent="0.25">
      <c r="B42" s="164"/>
      <c r="C42" s="10"/>
      <c r="D42" s="39"/>
      <c r="E42" s="39"/>
      <c r="F42" s="39"/>
      <c r="G42" s="39"/>
      <c r="H42" s="179"/>
      <c r="I42" s="39"/>
      <c r="J42" s="39"/>
      <c r="K42" s="39"/>
      <c r="L42" s="39"/>
      <c r="O42" s="81">
        <v>0.91</v>
      </c>
      <c r="P42" s="81">
        <f t="shared" si="0"/>
        <v>69.496700000000004</v>
      </c>
    </row>
    <row r="43" spans="2:17" x14ac:dyDescent="0.25">
      <c r="B43" s="164"/>
      <c r="C43" s="10"/>
      <c r="D43" s="39"/>
      <c r="E43" s="39"/>
      <c r="F43" s="39"/>
      <c r="G43" s="39"/>
      <c r="H43" s="179"/>
      <c r="I43" s="39"/>
      <c r="J43" s="39"/>
      <c r="K43" s="39"/>
      <c r="L43" s="39"/>
      <c r="O43" s="81">
        <v>0.9</v>
      </c>
      <c r="P43" s="81">
        <f t="shared" si="0"/>
        <v>68.733000000000004</v>
      </c>
    </row>
    <row r="44" spans="2:17" x14ac:dyDescent="0.25">
      <c r="B44" s="164"/>
      <c r="C44" s="10"/>
      <c r="D44" s="39"/>
      <c r="E44" s="39"/>
      <c r="F44" s="39"/>
      <c r="G44" s="39"/>
      <c r="H44" s="179"/>
      <c r="I44" s="39"/>
      <c r="J44" s="39"/>
      <c r="K44" s="39"/>
      <c r="L44" s="39"/>
    </row>
    <row r="45" spans="2:17" x14ac:dyDescent="0.25">
      <c r="B45" s="164"/>
      <c r="C45" s="10"/>
      <c r="D45" s="39"/>
      <c r="E45" s="39"/>
      <c r="F45" s="39"/>
      <c r="G45" s="39"/>
      <c r="H45" s="179"/>
      <c r="I45" s="39"/>
      <c r="J45" s="39"/>
      <c r="K45" s="39"/>
      <c r="L45" s="39"/>
    </row>
    <row r="46" spans="2:17" x14ac:dyDescent="0.25">
      <c r="B46" s="164"/>
      <c r="C46" s="10"/>
      <c r="D46" s="39"/>
      <c r="E46" s="39"/>
      <c r="F46" s="39"/>
      <c r="G46" s="39"/>
      <c r="H46" s="179"/>
      <c r="I46" s="39"/>
      <c r="J46" s="39"/>
      <c r="K46" s="39"/>
      <c r="L46" s="39"/>
    </row>
    <row r="47" spans="2:17" x14ac:dyDescent="0.25">
      <c r="B47" s="72"/>
      <c r="C47" s="4"/>
      <c r="D47" s="3"/>
      <c r="E47" s="3"/>
      <c r="F47" s="3"/>
      <c r="G47" s="3"/>
      <c r="H47" s="216"/>
      <c r="I47" s="214"/>
    </row>
    <row r="48" spans="2:17" x14ac:dyDescent="0.25">
      <c r="B48" s="72"/>
      <c r="C48" s="4"/>
      <c r="D48" s="3"/>
      <c r="E48" s="3"/>
      <c r="F48" s="3"/>
      <c r="G48" s="3"/>
      <c r="H48" s="216"/>
      <c r="I48" s="3"/>
    </row>
    <row r="49" spans="1:12" x14ac:dyDescent="0.25">
      <c r="B49" s="72"/>
      <c r="C49" s="4"/>
      <c r="D49" s="3"/>
      <c r="E49" s="3"/>
      <c r="F49" s="3"/>
      <c r="G49" s="3"/>
      <c r="H49" s="216"/>
      <c r="I49" s="3"/>
    </row>
    <row r="50" spans="1:12" x14ac:dyDescent="0.25">
      <c r="B50" s="72"/>
      <c r="C50" s="4"/>
      <c r="D50" s="3"/>
      <c r="E50" s="3"/>
      <c r="F50" s="3"/>
      <c r="G50" s="3"/>
      <c r="H50" s="216"/>
      <c r="I50" s="3"/>
    </row>
    <row r="51" spans="1:12" x14ac:dyDescent="0.25">
      <c r="B51" s="72"/>
      <c r="C51" s="4"/>
      <c r="D51" s="3"/>
      <c r="E51" s="3"/>
      <c r="F51" s="3"/>
      <c r="G51" s="3"/>
      <c r="H51" s="216"/>
      <c r="I51" s="3"/>
    </row>
    <row r="52" spans="1:12" x14ac:dyDescent="0.25">
      <c r="B52" s="72"/>
      <c r="C52" s="4"/>
      <c r="D52" s="3"/>
      <c r="E52" s="3"/>
      <c r="F52" s="3"/>
      <c r="G52" s="3"/>
      <c r="H52" s="216"/>
      <c r="I52" s="3"/>
    </row>
    <row r="53" spans="1:12" x14ac:dyDescent="0.25">
      <c r="B53" s="72"/>
      <c r="C53" s="4"/>
      <c r="D53" s="3"/>
      <c r="E53" s="3"/>
      <c r="F53" s="3"/>
      <c r="G53" s="3"/>
      <c r="H53" s="216"/>
      <c r="I53" s="3"/>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892</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1920" priority="31">
      <formula>F47&gt;0</formula>
    </cfRule>
    <cfRule type="expression" dxfId="1919" priority="32">
      <formula>F47&lt;0</formula>
    </cfRule>
  </conditionalFormatting>
  <conditionalFormatting sqref="Q7">
    <cfRule type="expression" dxfId="1918" priority="29">
      <formula>Q7&gt;0</formula>
    </cfRule>
    <cfRule type="expression" dxfId="1917" priority="30">
      <formula>Q7&lt;0</formula>
    </cfRule>
  </conditionalFormatting>
  <conditionalFormatting sqref="Q8">
    <cfRule type="expression" dxfId="1916" priority="27">
      <formula>Q8&gt;0</formula>
    </cfRule>
    <cfRule type="expression" dxfId="1915" priority="28">
      <formula>Q8&lt;0</formula>
    </cfRule>
  </conditionalFormatting>
  <conditionalFormatting sqref="F30:F46">
    <cfRule type="expression" dxfId="1914" priority="25">
      <formula>F30&gt;0</formula>
    </cfRule>
    <cfRule type="expression" dxfId="1913" priority="26">
      <formula>F30&lt;0</formula>
    </cfRule>
  </conditionalFormatting>
  <conditionalFormatting sqref="H30:H46">
    <cfRule type="expression" dxfId="1912" priority="23">
      <formula>H30&gt;0</formula>
    </cfRule>
    <cfRule type="expression" dxfId="1911" priority="24">
      <formula>H30&lt;0</formula>
    </cfRule>
  </conditionalFormatting>
  <conditionalFormatting sqref="Q10">
    <cfRule type="expression" dxfId="1910" priority="21">
      <formula>Q10&gt;0</formula>
    </cfRule>
    <cfRule type="expression" dxfId="1909" priority="22">
      <formula>Q10&lt;0</formula>
    </cfRule>
  </conditionalFormatting>
  <conditionalFormatting sqref="J25:J38">
    <cfRule type="expression" dxfId="1908" priority="19">
      <formula>J25&gt;0</formula>
    </cfRule>
    <cfRule type="expression" dxfId="1907" priority="20">
      <formula>J25&lt;0</formula>
    </cfRule>
  </conditionalFormatting>
  <conditionalFormatting sqref="K25:K38">
    <cfRule type="expression" dxfId="1906" priority="17">
      <formula>K25&gt;0</formula>
    </cfRule>
    <cfRule type="expression" dxfId="1905" priority="18">
      <formula>K25&lt;0</formula>
    </cfRule>
  </conditionalFormatting>
  <conditionalFormatting sqref="L25:L38">
    <cfRule type="expression" dxfId="1904" priority="15">
      <formula>L25&gt;0</formula>
    </cfRule>
    <cfRule type="expression" dxfId="1903" priority="16">
      <formula>L25&lt;0</formula>
    </cfRule>
  </conditionalFormatting>
  <conditionalFormatting sqref="F89:F110">
    <cfRule type="expression" dxfId="1902" priority="13">
      <formula>F89&gt;0</formula>
    </cfRule>
    <cfRule type="expression" dxfId="1901" priority="14">
      <formula>F89&lt;0</formula>
    </cfRule>
  </conditionalFormatting>
  <conditionalFormatting sqref="H89:H110">
    <cfRule type="expression" dxfId="1900" priority="11">
      <formula>H89&gt;0</formula>
    </cfRule>
    <cfRule type="expression" dxfId="1899" priority="12">
      <formula>H89&lt;0</formula>
    </cfRule>
  </conditionalFormatting>
  <conditionalFormatting sqref="J89:J102">
    <cfRule type="expression" dxfId="1898" priority="9">
      <formula>J89&gt;0</formula>
    </cfRule>
    <cfRule type="expression" dxfId="1897" priority="10">
      <formula>J89&lt;0</formula>
    </cfRule>
  </conditionalFormatting>
  <conditionalFormatting sqref="K89:K102">
    <cfRule type="expression" dxfId="1896" priority="7">
      <formula>K89&gt;0</formula>
    </cfRule>
    <cfRule type="expression" dxfId="1895" priority="8">
      <formula>K89&lt;0</formula>
    </cfRule>
  </conditionalFormatting>
  <conditionalFormatting sqref="L89:L102">
    <cfRule type="expression" dxfId="1894" priority="5">
      <formula>L89&gt;0</formula>
    </cfRule>
    <cfRule type="expression" dxfId="1893" priority="6">
      <formula>L89&lt;0</formula>
    </cfRule>
  </conditionalFormatting>
  <conditionalFormatting sqref="F25:F29">
    <cfRule type="expression" dxfId="1892" priority="3">
      <formula>F25&gt;0</formula>
    </cfRule>
    <cfRule type="expression" dxfId="1891" priority="4">
      <formula>F25&lt;0</formula>
    </cfRule>
  </conditionalFormatting>
  <conditionalFormatting sqref="H25:H29">
    <cfRule type="expression" dxfId="1890" priority="1">
      <formula>H25&gt;0</formula>
    </cfRule>
    <cfRule type="expression" dxfId="1889" priority="2">
      <formula>H25&lt;0</formula>
    </cfRule>
  </conditionalFormatting>
  <hyperlinks>
    <hyperlink ref="A3" location="ACTIVE!A1" display="Back"/>
  </hyperlinks>
  <pageMargins left="0.7" right="0.7" top="0.75" bottom="0.75" header="0.3" footer="0.3"/>
  <pageSetup orientation="portrait"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5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2"/>
    </row>
    <row r="2" spans="1:21" x14ac:dyDescent="0.25">
      <c r="A2" s="6" t="s">
        <v>1237</v>
      </c>
      <c r="B2" s="368">
        <v>43325</v>
      </c>
      <c r="C2" s="4">
        <v>100</v>
      </c>
      <c r="D2" s="3">
        <v>54.48</v>
      </c>
      <c r="E2" s="3">
        <v>0</v>
      </c>
      <c r="F2" s="3">
        <f t="shared" ref="F2:F12" si="0">C2*D2+E2</f>
        <v>5448</v>
      </c>
      <c r="G2" s="368">
        <v>43427</v>
      </c>
      <c r="H2" s="80">
        <v>100</v>
      </c>
      <c r="I2" s="43">
        <v>45.45</v>
      </c>
      <c r="J2" s="43">
        <v>0.06</v>
      </c>
      <c r="K2" s="43">
        <f t="shared" ref="K2:K7" si="1">H2*I2-J2</f>
        <v>4544.9399999999996</v>
      </c>
      <c r="L2" s="72">
        <v>43423</v>
      </c>
      <c r="M2" s="43">
        <v>182</v>
      </c>
      <c r="O2" s="11" t="s">
        <v>57</v>
      </c>
      <c r="Q2">
        <f>C18-H18</f>
        <v>300</v>
      </c>
      <c r="T2" s="1" t="s">
        <v>1112</v>
      </c>
      <c r="U2" s="755" t="s">
        <v>1248</v>
      </c>
    </row>
    <row r="3" spans="1:21" x14ac:dyDescent="0.25">
      <c r="A3" s="22" t="s">
        <v>71</v>
      </c>
      <c r="B3" s="368">
        <v>43369</v>
      </c>
      <c r="C3" s="4">
        <v>100</v>
      </c>
      <c r="D3" s="3">
        <v>53.28</v>
      </c>
      <c r="E3" s="3">
        <v>0</v>
      </c>
      <c r="F3" s="3">
        <f t="shared" si="0"/>
        <v>5328</v>
      </c>
      <c r="G3" s="368">
        <v>43508</v>
      </c>
      <c r="H3" s="80">
        <v>100</v>
      </c>
      <c r="I3" s="43">
        <v>38.72</v>
      </c>
      <c r="J3" s="43">
        <v>0.05</v>
      </c>
      <c r="K3" s="43">
        <f t="shared" si="1"/>
        <v>3871.95</v>
      </c>
      <c r="L3" s="72">
        <v>43521</v>
      </c>
      <c r="M3" s="43">
        <v>227.5</v>
      </c>
      <c r="O3" s="11" t="s">
        <v>58</v>
      </c>
      <c r="Q3" s="78">
        <f>IF(Q2=0, Q4, (F18-K18-M18)/Q2)</f>
        <v>48.429700000000011</v>
      </c>
      <c r="T3" s="1" t="s">
        <v>1247</v>
      </c>
      <c r="U3" s="755">
        <v>17.05</v>
      </c>
    </row>
    <row r="4" spans="1:21" x14ac:dyDescent="0.25">
      <c r="B4" s="368">
        <v>43377</v>
      </c>
      <c r="C4" s="4">
        <v>50</v>
      </c>
      <c r="D4" s="3">
        <v>50.98</v>
      </c>
      <c r="E4" s="3">
        <v>0</v>
      </c>
      <c r="F4" s="3">
        <f t="shared" si="0"/>
        <v>2549</v>
      </c>
      <c r="G4" s="368">
        <v>43515</v>
      </c>
      <c r="H4" s="80">
        <v>100</v>
      </c>
      <c r="I4" s="43">
        <v>39.479999999999997</v>
      </c>
      <c r="J4" s="43">
        <v>0.05</v>
      </c>
      <c r="K4" s="43">
        <f t="shared" si="1"/>
        <v>3947.9499999999994</v>
      </c>
      <c r="L4" s="4"/>
      <c r="M4" s="4"/>
      <c r="O4" s="11" t="s">
        <v>66</v>
      </c>
      <c r="Q4" s="54">
        <v>39.89</v>
      </c>
      <c r="R4" s="425">
        <v>1.8100000000000002E-2</v>
      </c>
      <c r="T4" s="693"/>
      <c r="U4" s="773"/>
    </row>
    <row r="5" spans="1:21" x14ac:dyDescent="0.25">
      <c r="B5" s="368">
        <v>43381</v>
      </c>
      <c r="C5" s="4">
        <v>50</v>
      </c>
      <c r="D5" s="3">
        <v>49.38</v>
      </c>
      <c r="E5" s="3">
        <v>0</v>
      </c>
      <c r="F5" s="3">
        <f t="shared" si="0"/>
        <v>2469</v>
      </c>
      <c r="G5" s="368">
        <v>43516</v>
      </c>
      <c r="H5" s="80">
        <v>100</v>
      </c>
      <c r="I5" s="43">
        <v>40.44</v>
      </c>
      <c r="J5" s="43">
        <v>0.05</v>
      </c>
      <c r="K5" s="43">
        <f t="shared" si="1"/>
        <v>4043.95</v>
      </c>
      <c r="L5" s="4"/>
      <c r="M5" s="4"/>
      <c r="O5" s="11" t="s">
        <v>67</v>
      </c>
      <c r="Q5" s="3">
        <f>Q4*Q2</f>
        <v>11967</v>
      </c>
      <c r="T5" s="1"/>
    </row>
    <row r="6" spans="1:21" x14ac:dyDescent="0.25">
      <c r="B6" s="368">
        <v>43383</v>
      </c>
      <c r="C6" s="7">
        <v>100</v>
      </c>
      <c r="D6" s="43">
        <v>44.2</v>
      </c>
      <c r="E6" s="43">
        <v>0</v>
      </c>
      <c r="F6" s="43">
        <f t="shared" si="0"/>
        <v>4420</v>
      </c>
      <c r="G6" s="368">
        <v>43529</v>
      </c>
      <c r="H6" s="80">
        <v>200</v>
      </c>
      <c r="I6" s="43">
        <v>38.68</v>
      </c>
      <c r="J6" s="43">
        <v>0.1</v>
      </c>
      <c r="K6" s="43">
        <f t="shared" si="1"/>
        <v>7735.9</v>
      </c>
      <c r="L6" s="4"/>
      <c r="M6" s="4"/>
      <c r="O6" s="11" t="s">
        <v>64</v>
      </c>
      <c r="Q6" s="2">
        <f>Q3*Q2</f>
        <v>14528.910000000003</v>
      </c>
      <c r="T6" s="1">
        <v>43354</v>
      </c>
      <c r="U6" s="755" t="s">
        <v>1245</v>
      </c>
    </row>
    <row r="7" spans="1:21" x14ac:dyDescent="0.25">
      <c r="B7" s="368">
        <v>43497</v>
      </c>
      <c r="C7" s="7">
        <v>100</v>
      </c>
      <c r="D7" s="43">
        <v>39.68</v>
      </c>
      <c r="E7" s="43">
        <v>0</v>
      </c>
      <c r="F7" s="43">
        <f t="shared" si="0"/>
        <v>3968</v>
      </c>
      <c r="G7" s="368">
        <v>43556</v>
      </c>
      <c r="H7" s="80">
        <v>200</v>
      </c>
      <c r="I7" s="43">
        <v>39.58</v>
      </c>
      <c r="J7" s="43">
        <v>0.1</v>
      </c>
      <c r="K7" s="43">
        <f t="shared" si="1"/>
        <v>7915.9</v>
      </c>
      <c r="L7" s="4"/>
      <c r="M7" s="4"/>
      <c r="O7" s="11" t="s">
        <v>177</v>
      </c>
      <c r="Q7" s="2">
        <f>Q10+Q8</f>
        <v>-2561.9100000000035</v>
      </c>
      <c r="R7">
        <v>100</v>
      </c>
    </row>
    <row r="8" spans="1:21" x14ac:dyDescent="0.25">
      <c r="B8" s="368">
        <v>43497</v>
      </c>
      <c r="C8" s="7">
        <v>100</v>
      </c>
      <c r="D8" s="43">
        <v>38.770000000000003</v>
      </c>
      <c r="E8" s="43">
        <v>0</v>
      </c>
      <c r="F8" s="43">
        <f t="shared" si="0"/>
        <v>3877.0000000000005</v>
      </c>
      <c r="G8" s="72"/>
      <c r="H8" s="161"/>
      <c r="I8" s="3"/>
      <c r="J8" s="3"/>
      <c r="K8" s="3"/>
      <c r="L8" s="4"/>
      <c r="M8" s="4"/>
      <c r="O8" s="11" t="s">
        <v>179</v>
      </c>
      <c r="P8" s="33"/>
      <c r="Q8" s="2">
        <f>K18+M18-F18+Q2*Q4</f>
        <v>-2561.9100000000035</v>
      </c>
      <c r="T8" s="1">
        <v>43362</v>
      </c>
      <c r="U8" s="755" t="s">
        <v>1273</v>
      </c>
    </row>
    <row r="9" spans="1:21" x14ac:dyDescent="0.25">
      <c r="B9" s="368">
        <v>43503</v>
      </c>
      <c r="C9" s="7">
        <v>100</v>
      </c>
      <c r="D9" s="43">
        <v>37.5</v>
      </c>
      <c r="E9" s="43">
        <v>0</v>
      </c>
      <c r="F9" s="43">
        <f t="shared" si="0"/>
        <v>3750</v>
      </c>
      <c r="G9" s="4"/>
      <c r="H9" s="161"/>
      <c r="I9" s="3"/>
      <c r="J9" s="3"/>
      <c r="K9" s="3"/>
      <c r="L9" s="4"/>
      <c r="M9" s="4"/>
      <c r="O9" s="11" t="s">
        <v>204</v>
      </c>
      <c r="Q9" s="134">
        <f>IF(Q2=0, 0, Q8/Q6)</f>
        <v>-0.17633187899161071</v>
      </c>
      <c r="T9" s="156"/>
    </row>
    <row r="10" spans="1:21" x14ac:dyDescent="0.25">
      <c r="B10" s="368">
        <v>43517</v>
      </c>
      <c r="C10" s="7">
        <v>100</v>
      </c>
      <c r="D10" s="43">
        <v>39.08</v>
      </c>
      <c r="E10" s="43">
        <v>0</v>
      </c>
      <c r="F10" s="43">
        <f t="shared" si="0"/>
        <v>3908</v>
      </c>
      <c r="G10" s="72"/>
      <c r="H10" s="161"/>
      <c r="I10" s="3"/>
      <c r="J10" s="3"/>
      <c r="K10" s="3"/>
      <c r="L10" s="4"/>
      <c r="M10" s="4"/>
      <c r="O10" s="11" t="s">
        <v>203</v>
      </c>
      <c r="P10" s="33"/>
      <c r="Q10" s="2">
        <f>M66</f>
        <v>0</v>
      </c>
    </row>
    <row r="11" spans="1:21" x14ac:dyDescent="0.25">
      <c r="B11" s="72">
        <v>43525</v>
      </c>
      <c r="C11" s="7">
        <v>100</v>
      </c>
      <c r="D11" s="43">
        <v>37.58</v>
      </c>
      <c r="E11" s="43">
        <v>0</v>
      </c>
      <c r="F11" s="43">
        <f t="shared" si="0"/>
        <v>3758</v>
      </c>
      <c r="G11" s="4"/>
      <c r="H11" s="161"/>
      <c r="I11" s="3"/>
      <c r="J11" s="3"/>
      <c r="K11" s="3"/>
      <c r="L11" s="4"/>
      <c r="M11" s="4"/>
      <c r="O11" s="11" t="s">
        <v>175</v>
      </c>
      <c r="P11" s="33"/>
      <c r="Q11" s="134">
        <f>R11*4/Q4</f>
        <v>4.5625470042617196E-2</v>
      </c>
      <c r="R11">
        <f>1.82/4</f>
        <v>0.45500000000000002</v>
      </c>
      <c r="T11" s="1">
        <v>43391</v>
      </c>
      <c r="U11" s="755" t="s">
        <v>1288</v>
      </c>
    </row>
    <row r="12" spans="1:21" x14ac:dyDescent="0.25">
      <c r="B12" s="404">
        <v>43539</v>
      </c>
      <c r="C12" s="7">
        <v>200</v>
      </c>
      <c r="D12" s="43">
        <v>37.619999999999997</v>
      </c>
      <c r="E12" s="43">
        <v>0</v>
      </c>
      <c r="F12" s="43">
        <f t="shared" si="0"/>
        <v>7523.9999999999991</v>
      </c>
      <c r="H12" s="70"/>
      <c r="O12" s="11" t="s">
        <v>921</v>
      </c>
      <c r="Q12" s="1" t="s">
        <v>1389</v>
      </c>
    </row>
    <row r="13" spans="1:21" x14ac:dyDescent="0.25">
      <c r="H13" s="70"/>
      <c r="O13" s="11" t="s">
        <v>947</v>
      </c>
      <c r="Q13" s="2">
        <f>Q4/4.6</f>
        <v>8.6717391304347835</v>
      </c>
      <c r="T13" s="1">
        <v>43421</v>
      </c>
      <c r="U13" s="755" t="s">
        <v>1308</v>
      </c>
    </row>
    <row r="14" spans="1:21" x14ac:dyDescent="0.25">
      <c r="H14" s="70"/>
      <c r="O14" s="11" t="s">
        <v>1034</v>
      </c>
      <c r="Q14" s="1">
        <v>43423</v>
      </c>
      <c r="T14" s="693"/>
    </row>
    <row r="15" spans="1:21" x14ac:dyDescent="0.25">
      <c r="H15" s="70"/>
    </row>
    <row r="16" spans="1:21" ht="20.25" thickBot="1" x14ac:dyDescent="0.35">
      <c r="H16" s="70"/>
      <c r="O16" s="884" t="s">
        <v>78</v>
      </c>
      <c r="P16" s="884"/>
    </row>
    <row r="17" spans="1:20" ht="15.75" thickTop="1" x14ac:dyDescent="0.25">
      <c r="O17" s="81">
        <v>1.1000000000000001</v>
      </c>
      <c r="P17" s="81">
        <f>O17*$Q$4</f>
        <v>43.879000000000005</v>
      </c>
    </row>
    <row r="18" spans="1:20" x14ac:dyDescent="0.25">
      <c r="A18" s="31" t="s">
        <v>81</v>
      </c>
      <c r="B18" s="14"/>
      <c r="C18" s="14">
        <f>SUM(C2:C12)</f>
        <v>1100</v>
      </c>
      <c r="D18" s="18"/>
      <c r="E18" s="18"/>
      <c r="F18" s="18">
        <f>SUM(F2:F12)</f>
        <v>46999</v>
      </c>
      <c r="G18" s="14"/>
      <c r="H18" s="71">
        <f>SUM(H2:H7)</f>
        <v>800</v>
      </c>
      <c r="I18" s="18"/>
      <c r="J18" s="18"/>
      <c r="K18" s="18">
        <f>SUM(K2:K7)</f>
        <v>32060.589999999997</v>
      </c>
      <c r="L18" s="14"/>
      <c r="M18" s="18">
        <f>SUM(M2:M10)</f>
        <v>409.5</v>
      </c>
      <c r="O18" s="81">
        <v>1.0900000000000001</v>
      </c>
      <c r="P18" s="81">
        <f t="shared" ref="P18:P37" si="2">O18*$Q$4</f>
        <v>43.480100000000007</v>
      </c>
      <c r="T18" s="1"/>
    </row>
    <row r="19" spans="1:20" ht="15.75" thickBot="1" x14ac:dyDescent="0.3">
      <c r="A19" s="277" t="s">
        <v>191</v>
      </c>
      <c r="B19" s="278"/>
      <c r="C19" s="279">
        <f>SumByColor($A$19,C2:C17)</f>
        <v>800</v>
      </c>
      <c r="D19" s="279"/>
      <c r="E19" s="279"/>
      <c r="F19" s="280">
        <f>SumByColor($A$19,F2:F17)</f>
        <v>31205</v>
      </c>
      <c r="G19" s="279"/>
      <c r="H19" s="279">
        <f>SumByColor($A$19,H2:H17)</f>
        <v>800</v>
      </c>
      <c r="I19" s="279"/>
      <c r="J19" s="279"/>
      <c r="K19" s="280">
        <f>SumByColor($A$19,K2:K17)</f>
        <v>32061</v>
      </c>
      <c r="L19" s="279"/>
      <c r="M19" s="280">
        <f>SumByColor($A$19,M2:M17)</f>
        <v>410</v>
      </c>
      <c r="O19" s="81">
        <v>1.08</v>
      </c>
      <c r="P19" s="81">
        <f t="shared" si="2"/>
        <v>43.081200000000003</v>
      </c>
    </row>
    <row r="20" spans="1:20" x14ac:dyDescent="0.25">
      <c r="O20" s="81">
        <v>1.07</v>
      </c>
      <c r="P20" s="81">
        <f t="shared" si="2"/>
        <v>42.682300000000005</v>
      </c>
    </row>
    <row r="21" spans="1:20" x14ac:dyDescent="0.25">
      <c r="O21" s="81">
        <v>1.06</v>
      </c>
      <c r="P21" s="81">
        <f t="shared" si="2"/>
        <v>42.2834</v>
      </c>
    </row>
    <row r="22" spans="1:20" x14ac:dyDescent="0.25">
      <c r="O22" s="81">
        <v>1.05</v>
      </c>
      <c r="P22" s="81">
        <f t="shared" si="2"/>
        <v>41.884500000000003</v>
      </c>
    </row>
    <row r="23" spans="1:20" x14ac:dyDescent="0.25">
      <c r="O23" s="81">
        <v>1.04</v>
      </c>
      <c r="P23" s="81">
        <f t="shared" si="2"/>
        <v>41.485600000000005</v>
      </c>
    </row>
    <row r="24" spans="1:20" x14ac:dyDescent="0.25">
      <c r="B24" s="162" t="s">
        <v>113</v>
      </c>
      <c r="C24" s="162" t="s">
        <v>145</v>
      </c>
      <c r="D24" s="163" t="s">
        <v>144</v>
      </c>
      <c r="E24" s="165" t="s">
        <v>146</v>
      </c>
      <c r="F24" s="165" t="s">
        <v>65</v>
      </c>
      <c r="G24" s="177" t="s">
        <v>150</v>
      </c>
      <c r="H24" s="177" t="s">
        <v>88</v>
      </c>
      <c r="I24" s="177" t="s">
        <v>153</v>
      </c>
      <c r="J24" s="177" t="s">
        <v>149</v>
      </c>
      <c r="K24" s="177" t="s">
        <v>947</v>
      </c>
      <c r="L24" s="177" t="s">
        <v>487</v>
      </c>
      <c r="O24" s="81">
        <v>1.03</v>
      </c>
      <c r="P24" s="81">
        <f t="shared" si="2"/>
        <v>41.0867</v>
      </c>
    </row>
    <row r="25" spans="1:20" x14ac:dyDescent="0.25">
      <c r="B25" s="164">
        <v>43325</v>
      </c>
      <c r="C25" s="10">
        <v>100</v>
      </c>
      <c r="D25" s="39">
        <v>54.48</v>
      </c>
      <c r="E25" s="39">
        <v>54.71</v>
      </c>
      <c r="F25" s="39">
        <f t="shared" ref="F25:F31" si="3">C25*(E25-D25)</f>
        <v>23.000000000000398</v>
      </c>
      <c r="G25" s="39">
        <f t="shared" ref="G25:G31" si="4">D25*C25</f>
        <v>5448</v>
      </c>
      <c r="H25" s="179">
        <f t="shared" ref="H25:H31" si="5">(E25-D25)/D25</f>
        <v>4.2217327459618944E-3</v>
      </c>
      <c r="I25" s="39"/>
      <c r="J25" s="39"/>
      <c r="K25" s="39"/>
      <c r="L25" s="39"/>
      <c r="O25" s="81">
        <v>1.02</v>
      </c>
      <c r="P25" s="81">
        <f t="shared" si="2"/>
        <v>40.687800000000003</v>
      </c>
    </row>
    <row r="26" spans="1:20" x14ac:dyDescent="0.25">
      <c r="B26" s="164">
        <v>43332</v>
      </c>
      <c r="C26" s="10">
        <v>100</v>
      </c>
      <c r="D26" s="39">
        <v>54.48</v>
      </c>
      <c r="E26" s="39">
        <v>55.6</v>
      </c>
      <c r="F26" s="39">
        <f t="shared" si="3"/>
        <v>112.00000000000045</v>
      </c>
      <c r="G26" s="39">
        <f t="shared" si="4"/>
        <v>5448</v>
      </c>
      <c r="H26" s="179">
        <f t="shared" si="5"/>
        <v>2.0558002936857646E-2</v>
      </c>
      <c r="I26" s="39"/>
      <c r="J26" s="39"/>
      <c r="K26" s="39"/>
      <c r="L26" s="39"/>
      <c r="O26" s="81">
        <v>1.01</v>
      </c>
      <c r="P26" s="81">
        <f t="shared" si="2"/>
        <v>40.288899999999998</v>
      </c>
    </row>
    <row r="27" spans="1:20" x14ac:dyDescent="0.25">
      <c r="B27" s="164">
        <v>43362</v>
      </c>
      <c r="C27" s="10">
        <v>100</v>
      </c>
      <c r="D27" s="39">
        <v>54.48</v>
      </c>
      <c r="E27" s="39">
        <v>56.61</v>
      </c>
      <c r="F27" s="39">
        <f t="shared" si="3"/>
        <v>213.00000000000026</v>
      </c>
      <c r="G27" s="39">
        <f t="shared" si="4"/>
        <v>5448</v>
      </c>
      <c r="H27" s="179">
        <f t="shared" si="5"/>
        <v>3.9096916299559518E-2</v>
      </c>
      <c r="I27" s="39"/>
      <c r="J27" s="39"/>
      <c r="K27" s="39"/>
      <c r="L27" s="39"/>
      <c r="O27" s="81">
        <v>1</v>
      </c>
      <c r="P27" s="81">
        <f t="shared" si="2"/>
        <v>39.89</v>
      </c>
    </row>
    <row r="28" spans="1:20" x14ac:dyDescent="0.25">
      <c r="A28">
        <v>100</v>
      </c>
      <c r="B28" s="164">
        <v>43369</v>
      </c>
      <c r="C28" s="10">
        <v>200</v>
      </c>
      <c r="D28" s="39">
        <v>53.88</v>
      </c>
      <c r="E28" s="39">
        <v>53.69</v>
      </c>
      <c r="F28" s="39">
        <f t="shared" si="3"/>
        <v>-38.000000000000966</v>
      </c>
      <c r="G28" s="39">
        <f t="shared" si="4"/>
        <v>10776</v>
      </c>
      <c r="H28" s="179">
        <f t="shared" si="5"/>
        <v>-3.5263548626578473E-3</v>
      </c>
      <c r="I28" s="39"/>
      <c r="J28" s="39"/>
      <c r="K28" s="39"/>
      <c r="L28" s="39"/>
      <c r="O28" s="81">
        <v>0.99</v>
      </c>
      <c r="P28" s="81">
        <f t="shared" si="2"/>
        <v>39.491100000000003</v>
      </c>
    </row>
    <row r="29" spans="1:20" x14ac:dyDescent="0.25">
      <c r="B29" s="164">
        <v>43377</v>
      </c>
      <c r="C29" s="10">
        <v>250</v>
      </c>
      <c r="D29" s="39">
        <v>53.3</v>
      </c>
      <c r="E29" s="39">
        <v>50.98</v>
      </c>
      <c r="F29" s="39">
        <f t="shared" si="3"/>
        <v>-580.00000000000011</v>
      </c>
      <c r="G29" s="39">
        <f t="shared" si="4"/>
        <v>13325</v>
      </c>
      <c r="H29" s="179">
        <f t="shared" si="5"/>
        <v>-4.3527204502814269E-2</v>
      </c>
      <c r="I29" s="39"/>
      <c r="J29" s="39"/>
      <c r="K29" s="39"/>
      <c r="L29" s="39"/>
      <c r="O29" s="81">
        <v>0.98</v>
      </c>
      <c r="P29" s="81">
        <f t="shared" si="2"/>
        <v>39.092199999999998</v>
      </c>
    </row>
    <row r="30" spans="1:20" x14ac:dyDescent="0.25">
      <c r="A30">
        <v>100</v>
      </c>
      <c r="B30" s="164">
        <v>43381</v>
      </c>
      <c r="C30" s="7">
        <v>300</v>
      </c>
      <c r="D30" s="43">
        <v>52.646999999999998</v>
      </c>
      <c r="E30" s="39">
        <v>49.13</v>
      </c>
      <c r="F30" s="39">
        <f t="shared" si="3"/>
        <v>-1055.0999999999988</v>
      </c>
      <c r="G30" s="39">
        <f t="shared" si="4"/>
        <v>15794.1</v>
      </c>
      <c r="H30" s="179">
        <f t="shared" si="5"/>
        <v>-6.6803426596007298E-2</v>
      </c>
      <c r="I30" s="39"/>
      <c r="J30" s="39"/>
      <c r="K30" s="39"/>
      <c r="L30" s="39"/>
      <c r="O30" s="81">
        <v>0.97</v>
      </c>
      <c r="P30" s="81">
        <f t="shared" si="2"/>
        <v>38.693300000000001</v>
      </c>
    </row>
    <row r="31" spans="1:20" x14ac:dyDescent="0.25">
      <c r="A31">
        <v>100</v>
      </c>
      <c r="B31" s="164">
        <v>43383</v>
      </c>
      <c r="C31" s="10">
        <v>400</v>
      </c>
      <c r="D31" s="39">
        <v>50.534999999999997</v>
      </c>
      <c r="E31" s="39">
        <v>43.63</v>
      </c>
      <c r="F31" s="39">
        <f t="shared" si="3"/>
        <v>-2761.9999999999977</v>
      </c>
      <c r="G31" s="39">
        <f t="shared" si="4"/>
        <v>20214</v>
      </c>
      <c r="H31" s="179">
        <f t="shared" si="5"/>
        <v>-0.13663797368160671</v>
      </c>
      <c r="I31" s="39"/>
      <c r="J31" s="39"/>
      <c r="K31" s="39"/>
      <c r="L31" s="39"/>
      <c r="O31" s="81">
        <v>0.96</v>
      </c>
      <c r="P31" s="81">
        <f t="shared" si="2"/>
        <v>38.294399999999996</v>
      </c>
    </row>
    <row r="32" spans="1:20" x14ac:dyDescent="0.25">
      <c r="A32">
        <v>100</v>
      </c>
      <c r="B32" s="164">
        <v>43385</v>
      </c>
      <c r="C32" s="10">
        <v>400</v>
      </c>
      <c r="D32" s="39">
        <v>50.534999999999997</v>
      </c>
      <c r="E32" s="39">
        <v>42.61</v>
      </c>
      <c r="F32" s="39">
        <f t="shared" ref="F32:F55" si="6">C32*(E32-D32)</f>
        <v>-3169.9999999999991</v>
      </c>
      <c r="G32" s="39">
        <f t="shared" ref="G32:G55" si="7">D32*C32</f>
        <v>20214</v>
      </c>
      <c r="H32" s="179">
        <f t="shared" ref="H32:H55" si="8">(E32-D32)/D32</f>
        <v>-0.15682200455130102</v>
      </c>
      <c r="I32" s="39"/>
      <c r="J32" s="39"/>
      <c r="K32" s="39"/>
      <c r="L32" s="39"/>
      <c r="O32" s="81">
        <v>0.95</v>
      </c>
      <c r="P32" s="81">
        <f t="shared" si="2"/>
        <v>37.895499999999998</v>
      </c>
    </row>
    <row r="33" spans="1:21" x14ac:dyDescent="0.25">
      <c r="B33" s="164">
        <v>43402</v>
      </c>
      <c r="C33" s="10">
        <v>400</v>
      </c>
      <c r="D33" s="39">
        <v>50.534999999999997</v>
      </c>
      <c r="E33" s="39">
        <v>40.94</v>
      </c>
      <c r="F33" s="39">
        <f t="shared" si="6"/>
        <v>-3837.9999999999995</v>
      </c>
      <c r="G33" s="39">
        <f t="shared" si="7"/>
        <v>20214</v>
      </c>
      <c r="H33" s="179">
        <f t="shared" si="8"/>
        <v>-0.18986840803403582</v>
      </c>
      <c r="I33" s="39"/>
      <c r="J33" s="39"/>
      <c r="K33" s="39"/>
      <c r="L33" s="39"/>
      <c r="O33" s="81">
        <v>0.94</v>
      </c>
      <c r="P33" s="81">
        <f t="shared" si="2"/>
        <v>37.496600000000001</v>
      </c>
    </row>
    <row r="34" spans="1:21" x14ac:dyDescent="0.25">
      <c r="B34" s="164">
        <v>43404</v>
      </c>
      <c r="C34" s="10">
        <v>400</v>
      </c>
      <c r="D34" s="39">
        <v>50.54</v>
      </c>
      <c r="E34" s="39">
        <v>42.97</v>
      </c>
      <c r="F34" s="39">
        <f t="shared" si="6"/>
        <v>-3028</v>
      </c>
      <c r="G34" s="39">
        <f t="shared" si="7"/>
        <v>20216</v>
      </c>
      <c r="H34" s="179">
        <f t="shared" si="8"/>
        <v>-0.14978235061337555</v>
      </c>
      <c r="I34" s="39"/>
      <c r="J34" s="39"/>
      <c r="K34" s="39"/>
      <c r="L34" s="39"/>
      <c r="O34" s="81">
        <v>0.93</v>
      </c>
      <c r="P34" s="81">
        <f t="shared" si="2"/>
        <v>37.097700000000003</v>
      </c>
    </row>
    <row r="35" spans="1:21" x14ac:dyDescent="0.25">
      <c r="B35" s="164">
        <v>43410</v>
      </c>
      <c r="C35" s="10">
        <v>400</v>
      </c>
      <c r="D35" s="39">
        <v>50.534999999999997</v>
      </c>
      <c r="E35" s="39">
        <v>46.73</v>
      </c>
      <c r="F35" s="39">
        <f t="shared" si="6"/>
        <v>-1522</v>
      </c>
      <c r="G35" s="39">
        <f t="shared" si="7"/>
        <v>20214</v>
      </c>
      <c r="H35" s="179">
        <f t="shared" si="8"/>
        <v>-7.529435045018304E-2</v>
      </c>
      <c r="I35" s="39"/>
      <c r="J35" s="39"/>
      <c r="K35" s="39"/>
      <c r="L35" s="39"/>
      <c r="O35" s="81">
        <v>0.92</v>
      </c>
      <c r="P35" s="81">
        <f t="shared" si="2"/>
        <v>36.698800000000006</v>
      </c>
    </row>
    <row r="36" spans="1:21" x14ac:dyDescent="0.25">
      <c r="B36" s="164">
        <v>43417</v>
      </c>
      <c r="C36" s="10">
        <v>400</v>
      </c>
      <c r="D36" s="39">
        <v>50.534999999999997</v>
      </c>
      <c r="E36" s="39">
        <v>45.33</v>
      </c>
      <c r="F36" s="39">
        <f t="shared" si="6"/>
        <v>-2081.9999999999991</v>
      </c>
      <c r="G36" s="39">
        <f t="shared" si="7"/>
        <v>20214</v>
      </c>
      <c r="H36" s="179">
        <f t="shared" si="8"/>
        <v>-0.10299792223211633</v>
      </c>
      <c r="I36" s="39"/>
      <c r="J36" s="39"/>
      <c r="K36" s="39"/>
      <c r="L36" s="39"/>
      <c r="O36" s="81">
        <v>0.91</v>
      </c>
      <c r="P36" s="81">
        <f t="shared" si="2"/>
        <v>36.299900000000001</v>
      </c>
    </row>
    <row r="37" spans="1:21" x14ac:dyDescent="0.25">
      <c r="A37">
        <v>400</v>
      </c>
      <c r="B37" s="164">
        <v>43420</v>
      </c>
      <c r="C37" s="10">
        <v>400</v>
      </c>
      <c r="D37" s="39">
        <v>50.54</v>
      </c>
      <c r="E37" s="39">
        <v>46.15</v>
      </c>
      <c r="F37" s="39">
        <f t="shared" si="6"/>
        <v>-1756.0000000000002</v>
      </c>
      <c r="G37" s="39">
        <f t="shared" si="7"/>
        <v>20216</v>
      </c>
      <c r="H37" s="179">
        <f t="shared" si="8"/>
        <v>-8.6861891571032857E-2</v>
      </c>
      <c r="I37" s="39"/>
      <c r="J37" s="39"/>
      <c r="K37" s="39">
        <v>10.029999999999999</v>
      </c>
      <c r="L37" s="39"/>
      <c r="O37" s="81">
        <v>0.9</v>
      </c>
      <c r="P37" s="81">
        <f t="shared" si="2"/>
        <v>35.901000000000003</v>
      </c>
    </row>
    <row r="38" spans="1:21" x14ac:dyDescent="0.25">
      <c r="A38">
        <v>400</v>
      </c>
      <c r="B38" s="164">
        <v>43423</v>
      </c>
      <c r="C38" s="10">
        <v>400</v>
      </c>
      <c r="D38" s="39">
        <v>50.08</v>
      </c>
      <c r="E38" s="39">
        <v>46.07</v>
      </c>
      <c r="F38" s="39">
        <f t="shared" si="6"/>
        <v>-1603.9999999999991</v>
      </c>
      <c r="G38" s="39">
        <f t="shared" si="7"/>
        <v>20032</v>
      </c>
      <c r="H38" s="179">
        <f t="shared" si="8"/>
        <v>-8.0071884984025524E-2</v>
      </c>
      <c r="I38" s="39"/>
      <c r="J38" s="39"/>
      <c r="K38" s="39">
        <v>10.02</v>
      </c>
      <c r="L38" s="39"/>
    </row>
    <row r="39" spans="1:21" x14ac:dyDescent="0.25">
      <c r="A39">
        <v>300</v>
      </c>
      <c r="B39" s="164">
        <v>43427</v>
      </c>
      <c r="C39" s="7">
        <v>300</v>
      </c>
      <c r="D39" s="43">
        <v>51.624000000000002</v>
      </c>
      <c r="E39" s="39">
        <v>45.55</v>
      </c>
      <c r="F39" s="39">
        <f t="shared" si="6"/>
        <v>-1822.2000000000016</v>
      </c>
      <c r="G39" s="39">
        <f t="shared" si="7"/>
        <v>15487.2</v>
      </c>
      <c r="H39" s="179">
        <f t="shared" si="8"/>
        <v>-0.11765845343251211</v>
      </c>
      <c r="I39" s="39"/>
      <c r="J39" s="39"/>
      <c r="K39" s="39">
        <v>9.9</v>
      </c>
      <c r="L39" s="39"/>
      <c r="T39" s="1">
        <v>43496</v>
      </c>
      <c r="U39" s="755" t="s">
        <v>1344</v>
      </c>
    </row>
    <row r="40" spans="1:21" x14ac:dyDescent="0.25">
      <c r="A40">
        <v>300</v>
      </c>
      <c r="B40" s="164">
        <v>43436</v>
      </c>
      <c r="C40" s="10">
        <v>300</v>
      </c>
      <c r="D40" s="39">
        <v>51.62</v>
      </c>
      <c r="E40" s="39">
        <v>47.11</v>
      </c>
      <c r="F40" s="39">
        <f t="shared" si="6"/>
        <v>-1352.9999999999993</v>
      </c>
      <c r="G40" s="39">
        <f t="shared" si="7"/>
        <v>15486</v>
      </c>
      <c r="H40" s="179">
        <f t="shared" si="8"/>
        <v>-8.7369236729949604E-2</v>
      </c>
      <c r="I40" s="39"/>
      <c r="J40" s="39"/>
      <c r="K40" s="39">
        <v>10.24</v>
      </c>
      <c r="L40" s="39"/>
    </row>
    <row r="41" spans="1:21" x14ac:dyDescent="0.25">
      <c r="A41">
        <v>300</v>
      </c>
      <c r="B41" s="164">
        <v>43442</v>
      </c>
      <c r="C41" s="10">
        <v>300</v>
      </c>
      <c r="D41" s="39">
        <v>51.62</v>
      </c>
      <c r="E41" s="39">
        <v>45.29</v>
      </c>
      <c r="F41" s="39">
        <f t="shared" si="6"/>
        <v>-1898.9999999999995</v>
      </c>
      <c r="G41" s="39">
        <f t="shared" si="7"/>
        <v>15486</v>
      </c>
      <c r="H41" s="179">
        <f t="shared" si="8"/>
        <v>-0.12262688880278959</v>
      </c>
      <c r="I41" s="39"/>
      <c r="J41" s="39"/>
      <c r="K41" s="39">
        <v>9.85</v>
      </c>
      <c r="L41" s="39"/>
      <c r="Q41" s="2"/>
    </row>
    <row r="42" spans="1:21" x14ac:dyDescent="0.25">
      <c r="A42">
        <v>300</v>
      </c>
      <c r="B42" s="164">
        <v>43467</v>
      </c>
      <c r="C42" s="10">
        <v>300</v>
      </c>
      <c r="D42" s="39">
        <v>51.624000000000002</v>
      </c>
      <c r="E42" s="39">
        <v>38.89</v>
      </c>
      <c r="F42" s="39">
        <f t="shared" si="6"/>
        <v>-3820.2000000000007</v>
      </c>
      <c r="G42" s="39">
        <f t="shared" si="7"/>
        <v>15487.2</v>
      </c>
      <c r="H42" s="179">
        <f t="shared" si="8"/>
        <v>-0.24666821633348832</v>
      </c>
      <c r="I42" s="39"/>
      <c r="J42" s="39"/>
      <c r="K42" s="39">
        <v>8.4499999999999993</v>
      </c>
      <c r="L42" s="39"/>
      <c r="Q42" s="2"/>
    </row>
    <row r="43" spans="1:21" x14ac:dyDescent="0.25">
      <c r="B43" s="164">
        <v>43491</v>
      </c>
      <c r="C43" s="10">
        <v>300</v>
      </c>
      <c r="D43" s="39">
        <v>51.62</v>
      </c>
      <c r="E43" s="39">
        <v>42.29</v>
      </c>
      <c r="F43" s="39">
        <f t="shared" si="6"/>
        <v>-2798.9999999999995</v>
      </c>
      <c r="G43" s="39">
        <f t="shared" si="7"/>
        <v>15486</v>
      </c>
      <c r="H43" s="179">
        <f t="shared" si="8"/>
        <v>-0.18074389771406429</v>
      </c>
      <c r="I43" s="39"/>
      <c r="J43" s="39"/>
      <c r="K43" s="39"/>
      <c r="L43" s="39"/>
      <c r="Q43" s="2"/>
    </row>
    <row r="44" spans="1:21" x14ac:dyDescent="0.25">
      <c r="B44" s="164">
        <v>43498</v>
      </c>
      <c r="C44" s="10">
        <v>400</v>
      </c>
      <c r="D44" s="39">
        <v>48.637999999999998</v>
      </c>
      <c r="E44" s="39">
        <v>38.700000000000003</v>
      </c>
      <c r="F44" s="39">
        <f t="shared" si="6"/>
        <v>-3975.199999999998</v>
      </c>
      <c r="G44" s="39">
        <f t="shared" si="7"/>
        <v>19455.2</v>
      </c>
      <c r="H44" s="179">
        <f t="shared" si="8"/>
        <v>-0.20432583576627319</v>
      </c>
      <c r="I44" s="39"/>
      <c r="J44" s="39"/>
      <c r="K44" s="39"/>
      <c r="L44" s="39"/>
      <c r="Q44" s="2"/>
    </row>
    <row r="45" spans="1:21" x14ac:dyDescent="0.25">
      <c r="A45">
        <v>300</v>
      </c>
      <c r="B45" s="164">
        <v>43498</v>
      </c>
      <c r="C45" s="359">
        <v>500</v>
      </c>
      <c r="D45" s="360">
        <v>46.664000000000001</v>
      </c>
      <c r="E45" s="39">
        <v>38.700000000000003</v>
      </c>
      <c r="F45" s="39">
        <f t="shared" si="6"/>
        <v>-3981.9999999999991</v>
      </c>
      <c r="G45" s="39">
        <f t="shared" si="7"/>
        <v>23332</v>
      </c>
      <c r="H45" s="179">
        <f t="shared" si="8"/>
        <v>-0.17066689525115716</v>
      </c>
      <c r="I45" s="39"/>
      <c r="J45" s="39"/>
      <c r="K45" s="39">
        <v>8.41</v>
      </c>
      <c r="L45" s="39"/>
      <c r="Q45" s="2"/>
    </row>
    <row r="46" spans="1:21" x14ac:dyDescent="0.25">
      <c r="A46">
        <v>300</v>
      </c>
      <c r="B46" s="164">
        <v>43503</v>
      </c>
      <c r="C46" s="10">
        <v>600</v>
      </c>
      <c r="D46" s="39">
        <v>45.137</v>
      </c>
      <c r="E46" s="39">
        <v>37.9</v>
      </c>
      <c r="F46" s="39">
        <f t="shared" si="6"/>
        <v>-4342.2000000000007</v>
      </c>
      <c r="G46" s="39">
        <f t="shared" si="7"/>
        <v>27082.2</v>
      </c>
      <c r="H46" s="179">
        <f t="shared" si="8"/>
        <v>-0.16033409398054815</v>
      </c>
      <c r="I46" s="39"/>
      <c r="J46" s="39"/>
      <c r="K46" s="39">
        <v>8.24</v>
      </c>
      <c r="L46" s="39"/>
      <c r="Q46" s="2"/>
    </row>
    <row r="47" spans="1:21" x14ac:dyDescent="0.25">
      <c r="A47">
        <v>200</v>
      </c>
      <c r="B47" s="164">
        <v>43508</v>
      </c>
      <c r="C47" s="359">
        <v>500</v>
      </c>
      <c r="D47" s="360">
        <v>46.42</v>
      </c>
      <c r="E47" s="39">
        <v>38.71</v>
      </c>
      <c r="F47" s="39">
        <f t="shared" si="6"/>
        <v>-3855.0000000000005</v>
      </c>
      <c r="G47" s="39">
        <f t="shared" si="7"/>
        <v>23210</v>
      </c>
      <c r="H47" s="179">
        <f t="shared" si="8"/>
        <v>-0.16609220163722535</v>
      </c>
      <c r="I47" s="39"/>
      <c r="J47" s="39"/>
      <c r="K47" s="39">
        <v>8.42</v>
      </c>
      <c r="L47" s="39"/>
      <c r="Q47" s="2"/>
    </row>
    <row r="48" spans="1:21" x14ac:dyDescent="0.25">
      <c r="A48">
        <v>100</v>
      </c>
      <c r="B48" s="164">
        <v>43515</v>
      </c>
      <c r="C48" s="10">
        <v>400</v>
      </c>
      <c r="D48" s="39">
        <v>48.155000000000001</v>
      </c>
      <c r="E48" s="39">
        <v>39.26</v>
      </c>
      <c r="F48" s="39">
        <f t="shared" si="6"/>
        <v>-3558.0000000000014</v>
      </c>
      <c r="G48" s="39">
        <f t="shared" si="7"/>
        <v>19262</v>
      </c>
      <c r="H48" s="179">
        <f t="shared" si="8"/>
        <v>-0.18471602118160113</v>
      </c>
      <c r="I48" s="39"/>
      <c r="J48" s="39"/>
      <c r="K48" s="39">
        <v>8.5299999999999994</v>
      </c>
      <c r="L48" s="39"/>
      <c r="Q48" s="2"/>
    </row>
    <row r="49" spans="1:17" x14ac:dyDescent="0.25">
      <c r="A49">
        <v>0</v>
      </c>
      <c r="B49" s="164">
        <v>43516</v>
      </c>
      <c r="C49" s="7">
        <v>300</v>
      </c>
      <c r="D49" s="43">
        <v>50.726999999999997</v>
      </c>
      <c r="E49" s="39">
        <v>40.44</v>
      </c>
      <c r="F49" s="39">
        <f t="shared" si="6"/>
        <v>-3086.1</v>
      </c>
      <c r="G49" s="39">
        <f t="shared" si="7"/>
        <v>15218.099999999999</v>
      </c>
      <c r="H49" s="179">
        <f t="shared" si="8"/>
        <v>-0.20279141285705837</v>
      </c>
      <c r="I49" s="39"/>
      <c r="J49" s="39"/>
      <c r="K49" s="39">
        <v>8.7899999999999991</v>
      </c>
      <c r="L49" s="39"/>
      <c r="Q49" s="2"/>
    </row>
    <row r="50" spans="1:17" x14ac:dyDescent="0.25">
      <c r="A50">
        <v>0</v>
      </c>
      <c r="B50" s="164">
        <v>43517</v>
      </c>
      <c r="C50" s="10">
        <v>400</v>
      </c>
      <c r="D50" s="39">
        <v>47.816000000000003</v>
      </c>
      <c r="E50" s="39">
        <v>39.26</v>
      </c>
      <c r="F50" s="39">
        <f t="shared" si="6"/>
        <v>-3422.4000000000019</v>
      </c>
      <c r="G50" s="39">
        <f t="shared" si="7"/>
        <v>19126.400000000001</v>
      </c>
      <c r="H50" s="179">
        <f t="shared" si="8"/>
        <v>-0.17893592103061745</v>
      </c>
      <c r="I50" s="39"/>
      <c r="J50" s="39"/>
      <c r="K50" s="39">
        <v>8.5299999999999994</v>
      </c>
      <c r="L50" s="39"/>
      <c r="Q50" s="2"/>
    </row>
    <row r="51" spans="1:17" x14ac:dyDescent="0.25">
      <c r="A51">
        <v>0</v>
      </c>
      <c r="B51" s="164">
        <v>43521</v>
      </c>
      <c r="C51" s="10">
        <v>400</v>
      </c>
      <c r="D51" s="39">
        <v>47.247</v>
      </c>
      <c r="E51" s="39">
        <v>39.67</v>
      </c>
      <c r="F51" s="39">
        <f t="shared" si="6"/>
        <v>-3030.7999999999993</v>
      </c>
      <c r="G51" s="39">
        <f t="shared" si="7"/>
        <v>18898.8</v>
      </c>
      <c r="H51" s="179">
        <f t="shared" si="8"/>
        <v>-0.16036997058014263</v>
      </c>
      <c r="I51" s="39"/>
      <c r="J51" s="39"/>
      <c r="K51" s="39">
        <v>8.6199999999999992</v>
      </c>
      <c r="L51" s="39"/>
      <c r="Q51" s="2"/>
    </row>
    <row r="52" spans="1:17" x14ac:dyDescent="0.25">
      <c r="A52">
        <v>0</v>
      </c>
      <c r="B52" s="164">
        <v>43525</v>
      </c>
      <c r="C52" s="359">
        <v>500</v>
      </c>
      <c r="D52" s="360">
        <v>45.313000000000002</v>
      </c>
      <c r="E52" s="39">
        <v>37.380000000000003</v>
      </c>
      <c r="F52" s="39">
        <f t="shared" si="6"/>
        <v>-3966.5</v>
      </c>
      <c r="G52" s="39">
        <f t="shared" si="7"/>
        <v>22656.5</v>
      </c>
      <c r="H52" s="179">
        <f t="shared" si="8"/>
        <v>-0.17507117162845098</v>
      </c>
      <c r="I52" s="39"/>
      <c r="J52" s="39"/>
      <c r="K52" s="39">
        <v>8.1300000000000008</v>
      </c>
      <c r="L52" s="39"/>
      <c r="Q52" s="2"/>
    </row>
    <row r="53" spans="1:17" x14ac:dyDescent="0.25">
      <c r="A53">
        <v>0</v>
      </c>
      <c r="B53" s="164">
        <v>43529</v>
      </c>
      <c r="C53" s="7">
        <v>300</v>
      </c>
      <c r="D53" s="43">
        <v>49.735999999999997</v>
      </c>
      <c r="E53" s="39">
        <v>38.53</v>
      </c>
      <c r="F53" s="39">
        <f t="shared" si="6"/>
        <v>-3361.7999999999988</v>
      </c>
      <c r="G53" s="39">
        <f t="shared" si="7"/>
        <v>14920.8</v>
      </c>
      <c r="H53" s="179">
        <f t="shared" si="8"/>
        <v>-0.22530963487212474</v>
      </c>
      <c r="I53" s="39"/>
      <c r="J53" s="39"/>
      <c r="K53" s="39">
        <v>8.3800000000000008</v>
      </c>
      <c r="L53" s="39"/>
      <c r="Q53" s="2"/>
    </row>
    <row r="54" spans="1:17" x14ac:dyDescent="0.25">
      <c r="A54">
        <v>100</v>
      </c>
      <c r="B54" s="164">
        <v>43541</v>
      </c>
      <c r="C54" s="359">
        <v>500</v>
      </c>
      <c r="D54" s="360">
        <v>44.89</v>
      </c>
      <c r="E54" s="39">
        <v>37.549999999999997</v>
      </c>
      <c r="F54" s="39">
        <f t="shared" si="6"/>
        <v>-3670.0000000000018</v>
      </c>
      <c r="G54" s="39">
        <f t="shared" si="7"/>
        <v>22445</v>
      </c>
      <c r="H54" s="179">
        <f t="shared" si="8"/>
        <v>-0.16351080418801522</v>
      </c>
      <c r="I54" s="39"/>
      <c r="J54" s="39"/>
      <c r="K54" s="39">
        <v>8.16</v>
      </c>
      <c r="L54" s="39"/>
    </row>
    <row r="55" spans="1:17" x14ac:dyDescent="0.25">
      <c r="A55">
        <v>100</v>
      </c>
      <c r="B55" s="164">
        <v>43556</v>
      </c>
      <c r="C55" s="7">
        <v>300</v>
      </c>
      <c r="D55" s="43">
        <v>48.43</v>
      </c>
      <c r="E55" s="39">
        <v>39.770000000000003</v>
      </c>
      <c r="F55" s="39">
        <f t="shared" si="6"/>
        <v>-2597.9999999999991</v>
      </c>
      <c r="G55" s="39">
        <f t="shared" si="7"/>
        <v>14529</v>
      </c>
      <c r="H55" s="179">
        <f t="shared" si="8"/>
        <v>-0.17881478422465408</v>
      </c>
      <c r="I55" s="39"/>
      <c r="J55" s="39"/>
      <c r="K55" s="39">
        <v>8.65</v>
      </c>
      <c r="L55" s="39"/>
    </row>
    <row r="56" spans="1:17" x14ac:dyDescent="0.25">
      <c r="B56" s="164"/>
      <c r="C56" s="10"/>
      <c r="D56" s="39"/>
      <c r="E56" s="39"/>
      <c r="F56" s="39"/>
      <c r="G56" s="39"/>
      <c r="H56" s="179"/>
      <c r="I56" s="39"/>
      <c r="J56" s="39"/>
      <c r="K56" s="39"/>
      <c r="L56" s="39"/>
    </row>
    <row r="57" spans="1:17" x14ac:dyDescent="0.25">
      <c r="B57" s="164"/>
      <c r="C57" s="10"/>
      <c r="D57" s="39"/>
      <c r="E57" s="39"/>
      <c r="F57" s="39"/>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1237</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62:F63 H62:H63">
    <cfRule type="expression" dxfId="1888" priority="35">
      <formula>F62&gt;0</formula>
    </cfRule>
    <cfRule type="expression" dxfId="1887" priority="36">
      <formula>F62&lt;0</formula>
    </cfRule>
  </conditionalFormatting>
  <conditionalFormatting sqref="Q7">
    <cfRule type="expression" dxfId="1886" priority="33">
      <formula>Q7&gt;0</formula>
    </cfRule>
    <cfRule type="expression" dxfId="1885" priority="34">
      <formula>Q7&lt;0</formula>
    </cfRule>
  </conditionalFormatting>
  <conditionalFormatting sqref="Q8">
    <cfRule type="expression" dxfId="1884" priority="31">
      <formula>Q8&gt;0</formula>
    </cfRule>
    <cfRule type="expression" dxfId="1883" priority="32">
      <formula>Q8&lt;0</formula>
    </cfRule>
  </conditionalFormatting>
  <conditionalFormatting sqref="F30:F61">
    <cfRule type="expression" dxfId="1882" priority="29">
      <formula>F30&gt;0</formula>
    </cfRule>
    <cfRule type="expression" dxfId="1881" priority="30">
      <formula>F30&lt;0</formula>
    </cfRule>
  </conditionalFormatting>
  <conditionalFormatting sqref="H30:H61">
    <cfRule type="expression" dxfId="1880" priority="27">
      <formula>H30&gt;0</formula>
    </cfRule>
    <cfRule type="expression" dxfId="1879" priority="28">
      <formula>H30&lt;0</formula>
    </cfRule>
  </conditionalFormatting>
  <conditionalFormatting sqref="Q10">
    <cfRule type="expression" dxfId="1878" priority="25">
      <formula>Q10&gt;0</formula>
    </cfRule>
    <cfRule type="expression" dxfId="1877" priority="26">
      <formula>Q10&lt;0</formula>
    </cfRule>
  </conditionalFormatting>
  <conditionalFormatting sqref="J25:J39">
    <cfRule type="expression" dxfId="1876" priority="23">
      <formula>J25&gt;0</formula>
    </cfRule>
    <cfRule type="expression" dxfId="1875" priority="24">
      <formula>J25&lt;0</formula>
    </cfRule>
  </conditionalFormatting>
  <conditionalFormatting sqref="K25:K36">
    <cfRule type="expression" dxfId="1874" priority="21">
      <formula>K25&gt;0</formula>
    </cfRule>
    <cfRule type="expression" dxfId="1873" priority="22">
      <formula>K25&lt;0</formula>
    </cfRule>
  </conditionalFormatting>
  <conditionalFormatting sqref="L25">
    <cfRule type="expression" dxfId="1872" priority="19">
      <formula>L25&gt;0</formula>
    </cfRule>
    <cfRule type="expression" dxfId="1871" priority="20">
      <formula>L25&lt;0</formula>
    </cfRule>
  </conditionalFormatting>
  <conditionalFormatting sqref="F89:F110">
    <cfRule type="expression" dxfId="1870" priority="17">
      <formula>F89&gt;0</formula>
    </cfRule>
    <cfRule type="expression" dxfId="1869" priority="18">
      <formula>F89&lt;0</formula>
    </cfRule>
  </conditionalFormatting>
  <conditionalFormatting sqref="H89:H110">
    <cfRule type="expression" dxfId="1868" priority="15">
      <formula>H89&gt;0</formula>
    </cfRule>
    <cfRule type="expression" dxfId="1867" priority="16">
      <formula>H89&lt;0</formula>
    </cfRule>
  </conditionalFormatting>
  <conditionalFormatting sqref="J89:J102">
    <cfRule type="expression" dxfId="1866" priority="13">
      <formula>J89&gt;0</formula>
    </cfRule>
    <cfRule type="expression" dxfId="1865" priority="14">
      <formula>J89&lt;0</formula>
    </cfRule>
  </conditionalFormatting>
  <conditionalFormatting sqref="K89:K102">
    <cfRule type="expression" dxfId="1864" priority="11">
      <formula>K89&gt;0</formula>
    </cfRule>
    <cfRule type="expression" dxfId="1863" priority="12">
      <formula>K89&lt;0</formula>
    </cfRule>
  </conditionalFormatting>
  <conditionalFormatting sqref="L89:L102">
    <cfRule type="expression" dxfId="1862" priority="9">
      <formula>L89&gt;0</formula>
    </cfRule>
    <cfRule type="expression" dxfId="1861" priority="10">
      <formula>L89&lt;0</formula>
    </cfRule>
  </conditionalFormatting>
  <conditionalFormatting sqref="F25:F29">
    <cfRule type="expression" dxfId="1860" priority="7">
      <formula>F25&gt;0</formula>
    </cfRule>
    <cfRule type="expression" dxfId="1859" priority="8">
      <formula>F25&lt;0</formula>
    </cfRule>
  </conditionalFormatting>
  <conditionalFormatting sqref="H25:H29">
    <cfRule type="expression" dxfId="1858" priority="5">
      <formula>H25&gt;0</formula>
    </cfRule>
    <cfRule type="expression" dxfId="1857" priority="6">
      <formula>H25&lt;0</formula>
    </cfRule>
  </conditionalFormatting>
  <hyperlinks>
    <hyperlink ref="A3" location="ACTIVE!A1" display="Back"/>
  </hyperlinks>
  <pageMargins left="0.7" right="0.7" top="0.75" bottom="0.75" header="0.3" footer="0.3"/>
  <pageSetup orientation="portrait" r:id="rId1"/>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12"/>
  <sheetViews>
    <sheetView workbookViewId="0">
      <pane ySplit="1" topLeftCell="A2" activePane="bottomLeft" state="frozen"/>
      <selection activeCell="A2" sqref="A2"/>
      <selection pane="bottomLeft" activeCell="M63" sqref="M6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8">
        <v>43180</v>
      </c>
      <c r="C2" s="7">
        <v>100</v>
      </c>
      <c r="D2" s="43">
        <v>60.57</v>
      </c>
      <c r="E2" s="43">
        <v>0</v>
      </c>
      <c r="F2" s="43">
        <f t="shared" ref="F2:F10" si="0">C2*D2+E2</f>
        <v>6057</v>
      </c>
      <c r="G2" s="368">
        <v>43287</v>
      </c>
      <c r="H2" s="7">
        <v>50</v>
      </c>
      <c r="I2" s="43">
        <v>58.38</v>
      </c>
      <c r="J2" s="43">
        <v>0.04</v>
      </c>
      <c r="K2" s="43">
        <f t="shared" ref="K2:K9" si="1">H2*I2-J2</f>
        <v>2918.96</v>
      </c>
      <c r="L2" s="72">
        <v>43291</v>
      </c>
      <c r="M2" s="43">
        <v>105</v>
      </c>
      <c r="O2" s="11" t="s">
        <v>57</v>
      </c>
      <c r="Q2">
        <f>C18-H18</f>
        <v>200</v>
      </c>
      <c r="T2" s="1"/>
      <c r="U2" t="s">
        <v>1131</v>
      </c>
    </row>
    <row r="3" spans="1:21" x14ac:dyDescent="0.25">
      <c r="A3" s="22" t="s">
        <v>71</v>
      </c>
      <c r="B3" s="368">
        <v>43209</v>
      </c>
      <c r="C3" s="7">
        <v>50</v>
      </c>
      <c r="D3" s="43">
        <v>58.38</v>
      </c>
      <c r="E3" s="43">
        <v>0</v>
      </c>
      <c r="F3" s="43">
        <f t="shared" si="0"/>
        <v>2919</v>
      </c>
      <c r="G3" s="368">
        <v>43291</v>
      </c>
      <c r="H3" s="80">
        <v>50</v>
      </c>
      <c r="I3" s="43">
        <v>58.77</v>
      </c>
      <c r="J3" s="43">
        <v>0.04</v>
      </c>
      <c r="K3" s="43">
        <f t="shared" si="1"/>
        <v>2938.46</v>
      </c>
      <c r="L3" s="72">
        <v>43475</v>
      </c>
      <c r="M3" s="43">
        <v>160</v>
      </c>
      <c r="O3" s="11" t="s">
        <v>58</v>
      </c>
      <c r="Q3" s="78">
        <f>IF(Q2=0, Q4, (F18-K18-M18)/Q2)</f>
        <v>47.935299999999991</v>
      </c>
      <c r="T3" s="1"/>
    </row>
    <row r="4" spans="1:21" x14ac:dyDescent="0.25">
      <c r="B4" s="368">
        <v>43283</v>
      </c>
      <c r="C4" s="7">
        <v>50</v>
      </c>
      <c r="D4" s="43">
        <v>55.8</v>
      </c>
      <c r="E4" s="43">
        <v>0</v>
      </c>
      <c r="F4" s="43">
        <f t="shared" si="0"/>
        <v>2790</v>
      </c>
      <c r="G4" s="368">
        <v>43300</v>
      </c>
      <c r="H4" s="80">
        <v>50</v>
      </c>
      <c r="I4" s="43">
        <v>56.45</v>
      </c>
      <c r="J4" s="43">
        <v>0.04</v>
      </c>
      <c r="K4" s="43">
        <f t="shared" si="1"/>
        <v>2822.46</v>
      </c>
      <c r="L4" s="4"/>
      <c r="M4" s="4"/>
      <c r="O4" s="11" t="s">
        <v>66</v>
      </c>
      <c r="Q4" s="54">
        <v>54.77</v>
      </c>
      <c r="R4" s="425">
        <v>3.0999999999999999E-3</v>
      </c>
      <c r="T4" s="693"/>
      <c r="U4" s="30"/>
    </row>
    <row r="5" spans="1:21" x14ac:dyDescent="0.25">
      <c r="B5" s="368">
        <v>43297</v>
      </c>
      <c r="C5" s="7">
        <v>100</v>
      </c>
      <c r="D5" s="43">
        <v>57.43</v>
      </c>
      <c r="E5" s="43">
        <v>0</v>
      </c>
      <c r="F5" s="43">
        <f t="shared" si="0"/>
        <v>5743</v>
      </c>
      <c r="G5" s="368">
        <v>43314</v>
      </c>
      <c r="H5" s="80">
        <v>50</v>
      </c>
      <c r="I5" s="43">
        <v>58.78</v>
      </c>
      <c r="J5" s="43">
        <v>0.04</v>
      </c>
      <c r="K5" s="43">
        <f t="shared" si="1"/>
        <v>2938.96</v>
      </c>
      <c r="L5" s="4"/>
      <c r="M5" s="4"/>
      <c r="O5" s="11" t="s">
        <v>67</v>
      </c>
      <c r="Q5" s="3">
        <f>Q4*Q2</f>
        <v>10954</v>
      </c>
      <c r="T5" s="1">
        <v>43209</v>
      </c>
      <c r="U5" t="s">
        <v>981</v>
      </c>
    </row>
    <row r="6" spans="1:21" x14ac:dyDescent="0.25">
      <c r="B6" s="368">
        <v>43300</v>
      </c>
      <c r="C6" s="7">
        <v>100</v>
      </c>
      <c r="D6" s="43">
        <v>55.38</v>
      </c>
      <c r="E6" s="43">
        <v>0</v>
      </c>
      <c r="F6" s="43">
        <f t="shared" si="0"/>
        <v>5538</v>
      </c>
      <c r="G6" s="368">
        <v>43355</v>
      </c>
      <c r="H6" s="80">
        <v>100</v>
      </c>
      <c r="I6" s="43">
        <v>63.85</v>
      </c>
      <c r="J6" s="43">
        <v>0.08</v>
      </c>
      <c r="K6" s="43">
        <f t="shared" si="1"/>
        <v>6384.92</v>
      </c>
      <c r="L6" s="4"/>
      <c r="M6" s="4"/>
      <c r="O6" s="11" t="s">
        <v>64</v>
      </c>
      <c r="Q6" s="2">
        <f>Q3*Q2</f>
        <v>9587.0599999999977</v>
      </c>
      <c r="U6" t="s">
        <v>982</v>
      </c>
    </row>
    <row r="7" spans="1:21" x14ac:dyDescent="0.25">
      <c r="B7" s="368">
        <v>43367</v>
      </c>
      <c r="C7" s="7">
        <v>100</v>
      </c>
      <c r="D7" s="43">
        <v>61.08</v>
      </c>
      <c r="E7" s="43">
        <v>0</v>
      </c>
      <c r="F7" s="43">
        <f t="shared" si="0"/>
        <v>6108</v>
      </c>
      <c r="G7" s="368">
        <v>43355</v>
      </c>
      <c r="H7" s="80">
        <v>100</v>
      </c>
      <c r="I7" s="43">
        <v>62</v>
      </c>
      <c r="J7" s="43">
        <v>0.08</v>
      </c>
      <c r="K7" s="43">
        <f t="shared" si="1"/>
        <v>6199.92</v>
      </c>
      <c r="L7" s="4"/>
      <c r="M7" s="4"/>
      <c r="O7" s="11" t="s">
        <v>177</v>
      </c>
      <c r="Q7" s="2">
        <f>Q10+Q8</f>
        <v>1366.9400000000023</v>
      </c>
      <c r="R7">
        <v>200</v>
      </c>
    </row>
    <row r="8" spans="1:21" x14ac:dyDescent="0.25">
      <c r="B8" s="368">
        <v>43416</v>
      </c>
      <c r="C8" s="4">
        <v>100</v>
      </c>
      <c r="D8" s="3">
        <v>60.38</v>
      </c>
      <c r="E8" s="3">
        <v>0</v>
      </c>
      <c r="F8" s="3">
        <f t="shared" si="0"/>
        <v>6038</v>
      </c>
      <c r="G8" s="368">
        <v>43402</v>
      </c>
      <c r="H8" s="80">
        <v>100</v>
      </c>
      <c r="I8" s="43">
        <v>64.88</v>
      </c>
      <c r="J8" s="43">
        <v>0.08</v>
      </c>
      <c r="K8" s="43">
        <f t="shared" si="1"/>
        <v>6487.92</v>
      </c>
      <c r="L8" s="4"/>
      <c r="M8" s="4"/>
      <c r="O8" s="11" t="s">
        <v>179</v>
      </c>
      <c r="P8" s="33"/>
      <c r="Q8" s="2">
        <f>K18+M18-F18+Q2*Q4</f>
        <v>1366.9400000000023</v>
      </c>
      <c r="T8" s="1">
        <v>43216</v>
      </c>
      <c r="U8" t="s">
        <v>1005</v>
      </c>
    </row>
    <row r="9" spans="1:21" x14ac:dyDescent="0.25">
      <c r="B9" s="72">
        <v>43423</v>
      </c>
      <c r="C9" s="4">
        <v>100</v>
      </c>
      <c r="D9" s="3">
        <v>55.45</v>
      </c>
      <c r="E9" s="3">
        <v>0</v>
      </c>
      <c r="F9" s="3">
        <f t="shared" si="0"/>
        <v>5545</v>
      </c>
      <c r="G9" s="368">
        <v>43493</v>
      </c>
      <c r="H9" s="80">
        <v>100</v>
      </c>
      <c r="I9" s="43">
        <v>45.42</v>
      </c>
      <c r="J9" s="43">
        <v>-0.34</v>
      </c>
      <c r="K9" s="43">
        <f t="shared" si="1"/>
        <v>4542.34</v>
      </c>
      <c r="L9" s="4"/>
      <c r="M9" s="4"/>
      <c r="O9" s="11" t="s">
        <v>204</v>
      </c>
      <c r="Q9" s="134">
        <f>IF(Q2=0, 0, Q8/Q6)</f>
        <v>0.14258177167974359</v>
      </c>
      <c r="T9" s="156"/>
      <c r="U9" t="s">
        <v>1006</v>
      </c>
    </row>
    <row r="10" spans="1:21" x14ac:dyDescent="0.25">
      <c r="B10" s="72">
        <v>43489</v>
      </c>
      <c r="C10" s="7">
        <v>100</v>
      </c>
      <c r="D10" s="43">
        <v>43.48</v>
      </c>
      <c r="E10" s="43">
        <v>0</v>
      </c>
      <c r="F10" s="43">
        <f t="shared" si="0"/>
        <v>4348</v>
      </c>
      <c r="G10" s="4"/>
      <c r="H10" s="161"/>
      <c r="I10" s="3"/>
      <c r="J10" s="3"/>
      <c r="K10" s="3"/>
      <c r="L10" s="4"/>
      <c r="M10" s="4"/>
      <c r="O10" s="11" t="s">
        <v>203</v>
      </c>
      <c r="P10" s="33"/>
      <c r="Q10" s="2">
        <f>M68</f>
        <v>0</v>
      </c>
    </row>
    <row r="11" spans="1:21" x14ac:dyDescent="0.25">
      <c r="B11" s="4"/>
      <c r="C11" s="4"/>
      <c r="D11" s="3"/>
      <c r="E11" s="3"/>
      <c r="F11" s="3"/>
      <c r="G11" s="4"/>
      <c r="H11" s="161"/>
      <c r="I11" s="3"/>
      <c r="J11" s="3"/>
      <c r="K11" s="3"/>
      <c r="L11" s="4"/>
      <c r="M11" s="4"/>
      <c r="O11" s="11" t="s">
        <v>175</v>
      </c>
      <c r="P11" s="33"/>
      <c r="Q11" s="134">
        <f>R11*4/Q4</f>
        <v>5.112287748767573E-2</v>
      </c>
      <c r="R11">
        <v>0.7</v>
      </c>
      <c r="T11" s="1">
        <v>43285</v>
      </c>
      <c r="U11" t="s">
        <v>1130</v>
      </c>
    </row>
    <row r="12" spans="1:21" x14ac:dyDescent="0.25">
      <c r="H12" s="70"/>
      <c r="O12" s="11" t="s">
        <v>921</v>
      </c>
      <c r="Q12" s="1" t="s">
        <v>1369</v>
      </c>
    </row>
    <row r="13" spans="1:21" x14ac:dyDescent="0.25">
      <c r="H13" s="70"/>
      <c r="O13" s="11" t="s">
        <v>947</v>
      </c>
      <c r="Q13" s="2">
        <f>Q4/(3.94+4.03)*2</f>
        <v>13.744040150564617</v>
      </c>
    </row>
    <row r="14" spans="1:21" x14ac:dyDescent="0.25">
      <c r="H14" s="70"/>
      <c r="O14" s="11" t="s">
        <v>1034</v>
      </c>
      <c r="Q14" s="1">
        <v>43426</v>
      </c>
      <c r="T14" s="693">
        <v>43300</v>
      </c>
      <c r="U14" t="s">
        <v>1154</v>
      </c>
    </row>
    <row r="15" spans="1:21" x14ac:dyDescent="0.25">
      <c r="H15" s="70"/>
      <c r="U15" t="s">
        <v>1179</v>
      </c>
    </row>
    <row r="16" spans="1:21" ht="20.25" thickBot="1" x14ac:dyDescent="0.35">
      <c r="H16" s="70"/>
      <c r="O16" s="884" t="s">
        <v>78</v>
      </c>
      <c r="P16" s="884"/>
    </row>
    <row r="17" spans="1:21" ht="15.75" thickTop="1" x14ac:dyDescent="0.25">
      <c r="O17" s="81">
        <v>1.1000000000000001</v>
      </c>
      <c r="P17" s="81">
        <f>O17*$Q$4</f>
        <v>60.247000000000007</v>
      </c>
    </row>
    <row r="18" spans="1:21" x14ac:dyDescent="0.25">
      <c r="A18" s="31" t="s">
        <v>81</v>
      </c>
      <c r="B18" s="14"/>
      <c r="C18" s="14">
        <f>SUM(C2:C10)</f>
        <v>800</v>
      </c>
      <c r="D18" s="18"/>
      <c r="E18" s="18"/>
      <c r="F18" s="18">
        <f>SUM(F2:F10)</f>
        <v>45086</v>
      </c>
      <c r="G18" s="14"/>
      <c r="H18" s="71">
        <f>SUM(H2:H10)</f>
        <v>600</v>
      </c>
      <c r="I18" s="18"/>
      <c r="J18" s="18"/>
      <c r="K18" s="18">
        <f>SUM(K2:K10)</f>
        <v>35233.94</v>
      </c>
      <c r="L18" s="14"/>
      <c r="M18" s="18">
        <f>SUM(M2:M10)</f>
        <v>265</v>
      </c>
      <c r="O18" s="81">
        <v>1.0900000000000001</v>
      </c>
      <c r="P18" s="81">
        <f t="shared" ref="P18:P37" si="2">O18*$Q$4</f>
        <v>59.699300000000008</v>
      </c>
      <c r="T18" s="1">
        <v>43307</v>
      </c>
      <c r="U18" t="s">
        <v>1192</v>
      </c>
    </row>
    <row r="19" spans="1:21" ht="15.75" thickBot="1" x14ac:dyDescent="0.3">
      <c r="A19" s="277" t="s">
        <v>191</v>
      </c>
      <c r="B19" s="278"/>
      <c r="C19" s="279">
        <f>SumByColor($A$19,C2:C17)</f>
        <v>600</v>
      </c>
      <c r="D19" s="279"/>
      <c r="E19" s="279"/>
      <c r="F19" s="280">
        <f>SumByColor($A$19,F2:F17)</f>
        <v>33503</v>
      </c>
      <c r="G19" s="279"/>
      <c r="H19" s="279">
        <f>SumByColor($A$19,H2:H17)</f>
        <v>600</v>
      </c>
      <c r="I19" s="279"/>
      <c r="J19" s="279"/>
      <c r="K19" s="280">
        <f>SumByColor($A$19,K2:K17)</f>
        <v>35233</v>
      </c>
      <c r="L19" s="279"/>
      <c r="M19" s="280">
        <f>SumByColor($A$19,M2:M17)</f>
        <v>265</v>
      </c>
      <c r="O19" s="81">
        <v>1.08</v>
      </c>
      <c r="P19" s="81">
        <f t="shared" si="2"/>
        <v>59.151600000000009</v>
      </c>
    </row>
    <row r="20" spans="1:21" x14ac:dyDescent="0.25">
      <c r="O20" s="81">
        <v>1.07</v>
      </c>
      <c r="P20" s="81">
        <f t="shared" si="2"/>
        <v>58.60390000000001</v>
      </c>
      <c r="T20" s="1">
        <v>43416</v>
      </c>
      <c r="U20" t="s">
        <v>1298</v>
      </c>
    </row>
    <row r="21" spans="1:21" x14ac:dyDescent="0.25">
      <c r="O21" s="81">
        <v>1.06</v>
      </c>
      <c r="P21" s="81">
        <f t="shared" si="2"/>
        <v>58.056200000000004</v>
      </c>
    </row>
    <row r="22" spans="1:21" x14ac:dyDescent="0.25">
      <c r="O22" s="81">
        <v>1.05</v>
      </c>
      <c r="P22" s="81">
        <f t="shared" si="2"/>
        <v>57.508500000000005</v>
      </c>
    </row>
    <row r="23" spans="1:21" x14ac:dyDescent="0.25">
      <c r="O23" s="81">
        <v>1.04</v>
      </c>
      <c r="P23" s="81">
        <f t="shared" si="2"/>
        <v>56.960800000000006</v>
      </c>
    </row>
    <row r="24" spans="1:21" x14ac:dyDescent="0.25">
      <c r="B24" s="162" t="s">
        <v>113</v>
      </c>
      <c r="C24" s="162" t="s">
        <v>145</v>
      </c>
      <c r="D24" s="163" t="s">
        <v>144</v>
      </c>
      <c r="E24" s="165" t="s">
        <v>146</v>
      </c>
      <c r="F24" s="165" t="s">
        <v>65</v>
      </c>
      <c r="G24" s="177" t="s">
        <v>150</v>
      </c>
      <c r="H24" s="177" t="s">
        <v>88</v>
      </c>
      <c r="I24" s="177" t="s">
        <v>153</v>
      </c>
      <c r="J24" s="177" t="s">
        <v>149</v>
      </c>
      <c r="K24" s="177" t="s">
        <v>487</v>
      </c>
      <c r="L24" s="177" t="s">
        <v>487</v>
      </c>
      <c r="O24" s="81">
        <v>1.03</v>
      </c>
      <c r="P24" s="81">
        <f t="shared" si="2"/>
        <v>56.413100000000007</v>
      </c>
    </row>
    <row r="25" spans="1:21" x14ac:dyDescent="0.25">
      <c r="B25" s="164">
        <v>43180</v>
      </c>
      <c r="C25" s="10">
        <v>100</v>
      </c>
      <c r="D25" s="39">
        <v>60.57</v>
      </c>
      <c r="E25" s="39">
        <v>60.57</v>
      </c>
      <c r="F25" s="39">
        <f t="shared" ref="F25:F38" si="3">C25*(E25-D25)</f>
        <v>0</v>
      </c>
      <c r="G25" s="39">
        <f t="shared" ref="G25:G38" si="4">D25*C25</f>
        <v>6057</v>
      </c>
      <c r="H25" s="179">
        <f t="shared" ref="H25:H38" si="5">(E25-D25)/D25</f>
        <v>0</v>
      </c>
      <c r="I25" s="39"/>
      <c r="J25" s="39">
        <v>0</v>
      </c>
      <c r="K25" s="39"/>
      <c r="L25" s="39"/>
      <c r="O25" s="81">
        <v>1.02</v>
      </c>
      <c r="P25" s="81">
        <f t="shared" si="2"/>
        <v>55.865400000000001</v>
      </c>
    </row>
    <row r="26" spans="1:21" x14ac:dyDescent="0.25">
      <c r="B26" s="164">
        <v>43184</v>
      </c>
      <c r="C26" s="185">
        <v>100</v>
      </c>
      <c r="D26" s="186">
        <v>60.57</v>
      </c>
      <c r="E26" s="39">
        <v>59.27</v>
      </c>
      <c r="F26" s="39">
        <f t="shared" si="3"/>
        <v>-129.99999999999972</v>
      </c>
      <c r="G26" s="39">
        <f t="shared" si="4"/>
        <v>6057</v>
      </c>
      <c r="H26" s="179">
        <f t="shared" si="5"/>
        <v>-2.1462770348357224E-2</v>
      </c>
      <c r="I26" s="39"/>
      <c r="J26" s="39">
        <v>-129.99999999999972</v>
      </c>
      <c r="K26" s="39"/>
      <c r="L26" s="39"/>
      <c r="O26" s="81">
        <v>1.01</v>
      </c>
      <c r="P26" s="81">
        <f t="shared" si="2"/>
        <v>55.317700000000002</v>
      </c>
    </row>
    <row r="27" spans="1:21" x14ac:dyDescent="0.25">
      <c r="B27" s="164">
        <v>43209</v>
      </c>
      <c r="C27" s="10">
        <v>150</v>
      </c>
      <c r="D27" s="39">
        <v>59.84</v>
      </c>
      <c r="E27" s="39">
        <v>57.78</v>
      </c>
      <c r="F27" s="39">
        <f t="shared" si="3"/>
        <v>-309.00000000000034</v>
      </c>
      <c r="G27" s="39">
        <f t="shared" si="4"/>
        <v>8976</v>
      </c>
      <c r="H27" s="179">
        <f t="shared" si="5"/>
        <v>-3.4425133689839606E-2</v>
      </c>
      <c r="I27" s="39"/>
      <c r="J27" s="39">
        <v>-309.00000000000034</v>
      </c>
      <c r="K27" s="39"/>
      <c r="L27" s="39"/>
      <c r="O27" s="81">
        <v>1</v>
      </c>
      <c r="P27" s="81">
        <f t="shared" si="2"/>
        <v>54.77</v>
      </c>
    </row>
    <row r="28" spans="1:21" x14ac:dyDescent="0.25">
      <c r="A28">
        <v>100</v>
      </c>
      <c r="B28" s="164">
        <v>43216</v>
      </c>
      <c r="C28" s="10">
        <v>150</v>
      </c>
      <c r="D28" s="39">
        <v>59.84</v>
      </c>
      <c r="E28" s="39">
        <v>54.77</v>
      </c>
      <c r="F28" s="39">
        <f t="shared" si="3"/>
        <v>-760.5</v>
      </c>
      <c r="G28" s="39">
        <f t="shared" si="4"/>
        <v>8976</v>
      </c>
      <c r="H28" s="179">
        <f t="shared" si="5"/>
        <v>-8.4725935828877011E-2</v>
      </c>
      <c r="I28" s="39"/>
      <c r="J28" s="39">
        <v>-760.5</v>
      </c>
      <c r="K28" s="39"/>
      <c r="L28" s="39">
        <v>13.81</v>
      </c>
      <c r="O28" s="81">
        <v>0.99</v>
      </c>
      <c r="P28" s="81">
        <f t="shared" si="2"/>
        <v>54.222300000000004</v>
      </c>
    </row>
    <row r="29" spans="1:21" x14ac:dyDescent="0.25">
      <c r="A29">
        <v>150</v>
      </c>
      <c r="B29" s="164">
        <v>43278</v>
      </c>
      <c r="C29" s="10">
        <v>150</v>
      </c>
      <c r="D29" s="39">
        <v>59.84</v>
      </c>
      <c r="E29" s="39">
        <v>55.99</v>
      </c>
      <c r="F29" s="39">
        <f t="shared" si="3"/>
        <v>-577.50000000000023</v>
      </c>
      <c r="G29" s="39">
        <f t="shared" si="4"/>
        <v>8976</v>
      </c>
      <c r="H29" s="179">
        <f t="shared" si="5"/>
        <v>-6.4338235294117668E-2</v>
      </c>
      <c r="I29" s="39"/>
      <c r="J29" s="39">
        <v>-577.50000000000023</v>
      </c>
      <c r="K29" s="39"/>
      <c r="L29" s="39">
        <v>14.12</v>
      </c>
      <c r="O29" s="81">
        <v>0.98</v>
      </c>
      <c r="P29" s="81">
        <f t="shared" si="2"/>
        <v>53.674600000000005</v>
      </c>
    </row>
    <row r="30" spans="1:21" x14ac:dyDescent="0.25">
      <c r="A30">
        <v>150</v>
      </c>
      <c r="B30" s="164">
        <v>43283</v>
      </c>
      <c r="C30" s="7">
        <v>200</v>
      </c>
      <c r="D30" s="43">
        <v>58.83</v>
      </c>
      <c r="E30" s="39">
        <v>55.87</v>
      </c>
      <c r="F30" s="39">
        <f t="shared" si="3"/>
        <v>-592.00000000000023</v>
      </c>
      <c r="G30" s="39">
        <f t="shared" si="4"/>
        <v>11766</v>
      </c>
      <c r="H30" s="179">
        <f t="shared" si="5"/>
        <v>-5.0314465408805048E-2</v>
      </c>
      <c r="I30" s="39"/>
      <c r="J30" s="39">
        <v>-592.00000000000023</v>
      </c>
      <c r="K30" s="39"/>
      <c r="L30" s="39">
        <v>14.09</v>
      </c>
      <c r="O30" s="81">
        <v>0.97</v>
      </c>
      <c r="P30" s="81">
        <f t="shared" si="2"/>
        <v>53.126899999999999</v>
      </c>
    </row>
    <row r="31" spans="1:21" x14ac:dyDescent="0.25">
      <c r="A31">
        <v>150</v>
      </c>
      <c r="B31" s="164">
        <v>43285</v>
      </c>
      <c r="C31" s="10">
        <v>200</v>
      </c>
      <c r="D31" s="39">
        <v>58.83</v>
      </c>
      <c r="E31" s="39">
        <v>56.46</v>
      </c>
      <c r="F31" s="39">
        <f t="shared" si="3"/>
        <v>-473.99999999999949</v>
      </c>
      <c r="G31" s="39">
        <f t="shared" si="4"/>
        <v>11766</v>
      </c>
      <c r="H31" s="179">
        <f t="shared" si="5"/>
        <v>-4.0285568587455335E-2</v>
      </c>
      <c r="I31" s="39"/>
      <c r="J31" s="39">
        <v>-473.99999999999949</v>
      </c>
      <c r="K31" s="39"/>
      <c r="L31" s="39">
        <v>14.24</v>
      </c>
      <c r="O31" s="81">
        <v>0.96</v>
      </c>
      <c r="P31" s="81">
        <f t="shared" si="2"/>
        <v>52.5792</v>
      </c>
    </row>
    <row r="32" spans="1:21" x14ac:dyDescent="0.25">
      <c r="B32" s="164">
        <v>43287</v>
      </c>
      <c r="C32" s="10">
        <v>150</v>
      </c>
      <c r="D32" s="39">
        <v>58.98</v>
      </c>
      <c r="E32" s="39">
        <v>57.63</v>
      </c>
      <c r="F32" s="39">
        <f t="shared" si="3"/>
        <v>-202.49999999999915</v>
      </c>
      <c r="G32" s="39">
        <f t="shared" si="4"/>
        <v>8847</v>
      </c>
      <c r="H32" s="179">
        <f t="shared" si="5"/>
        <v>-2.2889114954221676E-2</v>
      </c>
      <c r="I32" s="39"/>
      <c r="J32" s="39">
        <v>-202.49999999999915</v>
      </c>
      <c r="K32" s="39"/>
      <c r="L32" s="39">
        <v>14.53</v>
      </c>
      <c r="O32" s="81">
        <v>0.95</v>
      </c>
      <c r="P32" s="81">
        <f t="shared" si="2"/>
        <v>52.031500000000001</v>
      </c>
    </row>
    <row r="33" spans="1:17" x14ac:dyDescent="0.25">
      <c r="A33" t="s">
        <v>1163</v>
      </c>
      <c r="B33" s="164">
        <v>43291</v>
      </c>
      <c r="C33" s="10">
        <v>150</v>
      </c>
      <c r="D33" s="39">
        <v>58.28</v>
      </c>
      <c r="E33" s="39">
        <v>58.75</v>
      </c>
      <c r="F33" s="39">
        <f t="shared" si="3"/>
        <v>70.499999999999829</v>
      </c>
      <c r="G33" s="39">
        <f t="shared" si="4"/>
        <v>8742</v>
      </c>
      <c r="H33" s="179">
        <f t="shared" si="5"/>
        <v>8.0645161290322388E-3</v>
      </c>
      <c r="I33" s="39"/>
      <c r="J33" s="39">
        <v>70.499999999999829</v>
      </c>
      <c r="K33" s="39"/>
      <c r="L33" s="39">
        <v>14.63</v>
      </c>
      <c r="O33" s="81">
        <v>0.94</v>
      </c>
      <c r="P33" s="81">
        <f t="shared" si="2"/>
        <v>51.483800000000002</v>
      </c>
    </row>
    <row r="34" spans="1:17" x14ac:dyDescent="0.25">
      <c r="A34">
        <v>50</v>
      </c>
      <c r="B34" s="164">
        <v>43291</v>
      </c>
      <c r="C34" s="10">
        <v>100</v>
      </c>
      <c r="D34" s="39">
        <v>58.04</v>
      </c>
      <c r="E34" s="39">
        <v>58.77</v>
      </c>
      <c r="F34" s="39">
        <f t="shared" si="3"/>
        <v>73.000000000000398</v>
      </c>
      <c r="G34" s="39">
        <f t="shared" si="4"/>
        <v>5804</v>
      </c>
      <c r="H34" s="179">
        <f t="shared" si="5"/>
        <v>1.2577532736044176E-2</v>
      </c>
      <c r="I34" s="39"/>
      <c r="J34" s="39">
        <v>73.000000000000398</v>
      </c>
      <c r="K34" s="39"/>
      <c r="L34" s="39">
        <v>14.824999999999999</v>
      </c>
      <c r="O34" s="81">
        <v>0.93</v>
      </c>
      <c r="P34" s="81">
        <f t="shared" si="2"/>
        <v>50.936100000000003</v>
      </c>
    </row>
    <row r="35" spans="1:17" x14ac:dyDescent="0.25">
      <c r="A35">
        <v>50</v>
      </c>
      <c r="B35" s="164">
        <v>43297</v>
      </c>
      <c r="C35" s="7">
        <v>200</v>
      </c>
      <c r="D35" s="43">
        <v>57.732999999999997</v>
      </c>
      <c r="E35" s="39">
        <v>57.43</v>
      </c>
      <c r="F35" s="39">
        <f t="shared" si="3"/>
        <v>-60.599999999999454</v>
      </c>
      <c r="G35" s="39">
        <f t="shared" si="4"/>
        <v>11546.599999999999</v>
      </c>
      <c r="H35" s="179">
        <f t="shared" si="5"/>
        <v>-5.2482982003359824E-3</v>
      </c>
      <c r="I35" s="39"/>
      <c r="J35" s="39">
        <v>-60.599999999999454</v>
      </c>
      <c r="K35" s="39"/>
      <c r="L35" s="39">
        <v>14.48</v>
      </c>
      <c r="O35" s="81">
        <v>0.92</v>
      </c>
      <c r="P35" s="81">
        <f t="shared" si="2"/>
        <v>50.388400000000004</v>
      </c>
    </row>
    <row r="36" spans="1:17" x14ac:dyDescent="0.25">
      <c r="B36" s="164">
        <v>43300</v>
      </c>
      <c r="C36" s="359">
        <v>300</v>
      </c>
      <c r="D36" s="360">
        <v>56.948999999999998</v>
      </c>
      <c r="E36" s="39">
        <v>55.38</v>
      </c>
      <c r="F36" s="39">
        <f t="shared" si="3"/>
        <v>-470.69999999999868</v>
      </c>
      <c r="G36" s="39">
        <f t="shared" si="4"/>
        <v>17084.7</v>
      </c>
      <c r="H36" s="179">
        <f t="shared" si="5"/>
        <v>-2.7550966654374891E-2</v>
      </c>
      <c r="I36" s="39"/>
      <c r="J36" s="39">
        <v>-470.69999999999868</v>
      </c>
      <c r="K36" s="39"/>
      <c r="L36" s="39"/>
      <c r="O36" s="81">
        <v>0.91</v>
      </c>
      <c r="P36" s="81">
        <f t="shared" si="2"/>
        <v>49.840700000000005</v>
      </c>
    </row>
    <row r="37" spans="1:17" x14ac:dyDescent="0.25">
      <c r="A37">
        <v>0</v>
      </c>
      <c r="B37" s="164">
        <v>43300</v>
      </c>
      <c r="C37" s="10">
        <v>250</v>
      </c>
      <c r="D37" s="39">
        <v>57.048000000000002</v>
      </c>
      <c r="E37" s="39">
        <v>56.45</v>
      </c>
      <c r="F37" s="39">
        <f t="shared" si="3"/>
        <v>-149.49999999999974</v>
      </c>
      <c r="G37" s="39">
        <f t="shared" si="4"/>
        <v>14262</v>
      </c>
      <c r="H37" s="179">
        <f t="shared" si="5"/>
        <v>-1.0482400785303585E-2</v>
      </c>
      <c r="I37" s="39"/>
      <c r="J37" s="39">
        <v>-149.49999999999974</v>
      </c>
      <c r="K37" s="39"/>
      <c r="L37" s="39">
        <v>14.24</v>
      </c>
      <c r="O37" s="81">
        <v>0.9</v>
      </c>
      <c r="P37" s="81">
        <f t="shared" si="2"/>
        <v>49.293000000000006</v>
      </c>
    </row>
    <row r="38" spans="1:17" x14ac:dyDescent="0.25">
      <c r="A38">
        <v>0</v>
      </c>
      <c r="B38" s="164">
        <v>43303</v>
      </c>
      <c r="C38" s="10">
        <v>250</v>
      </c>
      <c r="D38" s="39">
        <v>57.05</v>
      </c>
      <c r="E38" s="39">
        <v>57.64</v>
      </c>
      <c r="F38" s="39">
        <f t="shared" si="3"/>
        <v>147.50000000000085</v>
      </c>
      <c r="G38" s="39">
        <f t="shared" si="4"/>
        <v>14262.5</v>
      </c>
      <c r="H38" s="179">
        <f t="shared" si="5"/>
        <v>1.0341805433830033E-2</v>
      </c>
      <c r="I38" s="39"/>
      <c r="J38" s="39">
        <v>147.50000000000085</v>
      </c>
      <c r="K38" s="39"/>
      <c r="L38" s="39">
        <v>14.54</v>
      </c>
    </row>
    <row r="39" spans="1:17" x14ac:dyDescent="0.25">
      <c r="A39">
        <v>0</v>
      </c>
      <c r="B39" s="164">
        <v>43307</v>
      </c>
      <c r="C39" s="10">
        <v>250</v>
      </c>
      <c r="D39" s="39">
        <v>57.05</v>
      </c>
      <c r="E39" s="39">
        <v>56.1</v>
      </c>
      <c r="F39" s="39">
        <f t="shared" ref="F39:F44" si="6">C39*(E39-D39)</f>
        <v>-237.49999999999892</v>
      </c>
      <c r="G39" s="39">
        <f t="shared" ref="G39:G44" si="7">D39*C39</f>
        <v>14262.5</v>
      </c>
      <c r="H39" s="179">
        <f t="shared" ref="H39:H44" si="8">(E39-D39)/D39</f>
        <v>-1.66520595968448E-2</v>
      </c>
      <c r="I39" s="39"/>
      <c r="J39" s="39">
        <v>-237.49999999999892</v>
      </c>
      <c r="K39" s="39"/>
      <c r="L39" s="39">
        <v>14.08</v>
      </c>
    </row>
    <row r="40" spans="1:17" x14ac:dyDescent="0.25">
      <c r="A40">
        <v>0</v>
      </c>
      <c r="B40" s="164">
        <v>43312</v>
      </c>
      <c r="C40" s="10">
        <v>250</v>
      </c>
      <c r="D40" s="39">
        <v>57.05</v>
      </c>
      <c r="E40" s="39">
        <v>58.68</v>
      </c>
      <c r="F40" s="39">
        <f t="shared" si="6"/>
        <v>407.50000000000063</v>
      </c>
      <c r="G40" s="39">
        <f t="shared" si="7"/>
        <v>14262.5</v>
      </c>
      <c r="H40" s="179">
        <f t="shared" si="8"/>
        <v>2.8571428571428619E-2</v>
      </c>
      <c r="I40" s="39"/>
      <c r="J40" s="39">
        <v>407.50000000000063</v>
      </c>
      <c r="K40" s="39"/>
      <c r="L40" s="39">
        <v>14.73</v>
      </c>
    </row>
    <row r="41" spans="1:17" x14ac:dyDescent="0.25">
      <c r="B41" s="164">
        <v>43314</v>
      </c>
      <c r="C41" s="7">
        <v>200</v>
      </c>
      <c r="D41" s="43">
        <v>56.616</v>
      </c>
      <c r="E41" s="39">
        <v>58.78</v>
      </c>
      <c r="F41" s="39">
        <f t="shared" si="6"/>
        <v>432.8000000000003</v>
      </c>
      <c r="G41" s="39">
        <f t="shared" si="7"/>
        <v>11323.2</v>
      </c>
      <c r="H41" s="179">
        <f t="shared" si="8"/>
        <v>3.8222410625971481E-2</v>
      </c>
      <c r="I41" s="39"/>
      <c r="J41" s="39">
        <v>432.8000000000003</v>
      </c>
      <c r="K41" s="39"/>
      <c r="L41" s="39">
        <v>14.75</v>
      </c>
      <c r="Q41" s="2"/>
    </row>
    <row r="42" spans="1:17" x14ac:dyDescent="0.25">
      <c r="B42" s="164">
        <v>43316</v>
      </c>
      <c r="C42" s="10">
        <v>200</v>
      </c>
      <c r="D42" s="39">
        <v>56.62</v>
      </c>
      <c r="E42" s="39">
        <v>59.73</v>
      </c>
      <c r="F42" s="39">
        <f t="shared" si="6"/>
        <v>621.99999999999989</v>
      </c>
      <c r="G42" s="39">
        <f t="shared" si="7"/>
        <v>11324</v>
      </c>
      <c r="H42" s="179">
        <f t="shared" si="8"/>
        <v>5.4927587424938175E-2</v>
      </c>
      <c r="I42" s="39"/>
      <c r="J42" s="39">
        <v>621.99999999999989</v>
      </c>
      <c r="K42" s="39"/>
      <c r="L42" s="39">
        <v>14.99</v>
      </c>
      <c r="Q42" s="2"/>
    </row>
    <row r="43" spans="1:17" x14ac:dyDescent="0.25">
      <c r="B43" s="164">
        <v>43320</v>
      </c>
      <c r="C43" s="10">
        <v>200</v>
      </c>
      <c r="D43" s="39">
        <v>56.62</v>
      </c>
      <c r="E43" s="39">
        <v>58.61</v>
      </c>
      <c r="F43" s="39">
        <f t="shared" si="6"/>
        <v>398.0000000000004</v>
      </c>
      <c r="G43" s="39">
        <f t="shared" si="7"/>
        <v>11324</v>
      </c>
      <c r="H43" s="179">
        <f t="shared" si="8"/>
        <v>3.5146591310491027E-2</v>
      </c>
      <c r="I43" s="39">
        <v>56</v>
      </c>
      <c r="J43" s="39">
        <v>398.0000000000004</v>
      </c>
      <c r="K43" s="39"/>
      <c r="L43" s="39">
        <v>15.99</v>
      </c>
      <c r="Q43" s="2"/>
    </row>
    <row r="44" spans="1:17" x14ac:dyDescent="0.25">
      <c r="B44" s="164">
        <v>43324</v>
      </c>
      <c r="C44" s="10">
        <v>200</v>
      </c>
      <c r="D44" s="39">
        <v>56.62</v>
      </c>
      <c r="E44" s="39">
        <v>59.05</v>
      </c>
      <c r="F44" s="39">
        <f t="shared" si="6"/>
        <v>485.99999999999994</v>
      </c>
      <c r="G44" s="39">
        <f t="shared" si="7"/>
        <v>11324</v>
      </c>
      <c r="H44" s="179">
        <f t="shared" si="8"/>
        <v>4.2917696926880959E-2</v>
      </c>
      <c r="I44" s="39"/>
      <c r="J44" s="39">
        <v>485.99999999999994</v>
      </c>
      <c r="K44" s="39"/>
      <c r="L44" s="39">
        <v>14.82</v>
      </c>
      <c r="Q44" s="2"/>
    </row>
    <row r="45" spans="1:17" x14ac:dyDescent="0.25">
      <c r="B45" s="164">
        <v>43328</v>
      </c>
      <c r="C45" s="10">
        <v>200</v>
      </c>
      <c r="D45" s="39">
        <v>56.62</v>
      </c>
      <c r="E45" s="39">
        <v>60.83</v>
      </c>
      <c r="F45" s="39">
        <f t="shared" ref="F45:F55" si="9">C45*(E45-D45)</f>
        <v>842.00000000000023</v>
      </c>
      <c r="G45" s="39">
        <f t="shared" ref="G45:G55" si="10">D45*C45</f>
        <v>11324</v>
      </c>
      <c r="H45" s="179">
        <f t="shared" ref="H45:H55" si="11">(E45-D45)/D45</f>
        <v>7.4355351465913128E-2</v>
      </c>
      <c r="I45" s="39"/>
      <c r="J45" s="39">
        <v>842.00000000000023</v>
      </c>
      <c r="K45" s="39"/>
      <c r="L45" s="39"/>
      <c r="Q45" s="2"/>
    </row>
    <row r="46" spans="1:17" x14ac:dyDescent="0.25">
      <c r="A46">
        <v>100</v>
      </c>
      <c r="B46" s="164">
        <v>43329</v>
      </c>
      <c r="C46" s="10">
        <v>200</v>
      </c>
      <c r="D46" s="39">
        <v>56.616</v>
      </c>
      <c r="E46" s="39">
        <v>61</v>
      </c>
      <c r="F46" s="778">
        <f t="shared" si="9"/>
        <v>876.80000000000007</v>
      </c>
      <c r="G46" s="39">
        <f t="shared" si="10"/>
        <v>11323.2</v>
      </c>
      <c r="H46" s="179">
        <f t="shared" si="11"/>
        <v>7.7433940935424619E-2</v>
      </c>
      <c r="I46" s="39"/>
      <c r="J46" s="39">
        <v>876.80000000000007</v>
      </c>
      <c r="K46" s="39"/>
      <c r="L46" s="39">
        <v>15.31</v>
      </c>
      <c r="Q46" s="2"/>
    </row>
    <row r="47" spans="1:17" x14ac:dyDescent="0.25">
      <c r="A47">
        <v>200</v>
      </c>
      <c r="B47" s="164">
        <v>43344</v>
      </c>
      <c r="C47" s="10">
        <v>200</v>
      </c>
      <c r="D47" s="39">
        <v>56.616</v>
      </c>
      <c r="E47" s="39">
        <v>58.52</v>
      </c>
      <c r="F47" s="39">
        <f t="shared" si="9"/>
        <v>380.80000000000069</v>
      </c>
      <c r="G47" s="39">
        <f t="shared" si="10"/>
        <v>11323.2</v>
      </c>
      <c r="H47" s="179">
        <f t="shared" si="11"/>
        <v>3.3630069238377906E-2</v>
      </c>
      <c r="I47" s="39"/>
      <c r="J47" s="39">
        <v>380.80000000000069</v>
      </c>
      <c r="K47" s="39">
        <v>46.55</v>
      </c>
      <c r="L47" s="39">
        <v>14.69</v>
      </c>
      <c r="Q47" s="2"/>
    </row>
    <row r="48" spans="1:17" x14ac:dyDescent="0.25">
      <c r="A48">
        <v>200</v>
      </c>
      <c r="B48" s="164">
        <v>43348</v>
      </c>
      <c r="C48" s="10">
        <v>200</v>
      </c>
      <c r="D48" s="39">
        <v>56.616</v>
      </c>
      <c r="E48" s="39">
        <v>60.65</v>
      </c>
      <c r="F48" s="39">
        <f t="shared" si="9"/>
        <v>806.79999999999973</v>
      </c>
      <c r="G48" s="39">
        <f t="shared" si="10"/>
        <v>11323.2</v>
      </c>
      <c r="H48" s="179">
        <f t="shared" si="11"/>
        <v>7.1251942913663963E-2</v>
      </c>
      <c r="I48" s="39"/>
      <c r="J48" s="39">
        <v>806.79999999999973</v>
      </c>
      <c r="K48" s="39"/>
      <c r="L48" s="39">
        <v>15.22</v>
      </c>
      <c r="Q48" s="2"/>
    </row>
    <row r="49" spans="1:17" x14ac:dyDescent="0.25">
      <c r="B49" s="164">
        <v>43355</v>
      </c>
      <c r="C49" s="10">
        <v>0</v>
      </c>
      <c r="D49" s="39">
        <v>56.62</v>
      </c>
      <c r="E49" s="39">
        <v>63.43</v>
      </c>
      <c r="F49" s="39">
        <f t="shared" si="9"/>
        <v>0</v>
      </c>
      <c r="G49" s="39">
        <f t="shared" si="10"/>
        <v>0</v>
      </c>
      <c r="H49" s="179">
        <f t="shared" si="11"/>
        <v>0.12027552101730841</v>
      </c>
      <c r="I49" s="39"/>
      <c r="J49" s="778">
        <v>1261.68</v>
      </c>
      <c r="K49" s="39"/>
      <c r="L49" s="39">
        <v>15.92</v>
      </c>
      <c r="Q49" s="2"/>
    </row>
    <row r="50" spans="1:17" x14ac:dyDescent="0.25">
      <c r="A50">
        <v>0</v>
      </c>
      <c r="B50" s="164">
        <v>43367</v>
      </c>
      <c r="C50" s="10">
        <v>100</v>
      </c>
      <c r="D50" s="39">
        <v>48.463000000000001</v>
      </c>
      <c r="E50" s="39">
        <v>61.06</v>
      </c>
      <c r="F50" s="39">
        <f t="shared" si="9"/>
        <v>1259.7</v>
      </c>
      <c r="G50" s="39">
        <f t="shared" si="10"/>
        <v>4846.3</v>
      </c>
      <c r="H50" s="179">
        <f t="shared" si="11"/>
        <v>0.25993025607164233</v>
      </c>
      <c r="I50" s="39"/>
      <c r="J50" s="39">
        <f>F50+$Q$10</f>
        <v>1259.7</v>
      </c>
      <c r="K50" s="39"/>
      <c r="L50" s="39">
        <v>15.32</v>
      </c>
      <c r="Q50" s="2"/>
    </row>
    <row r="51" spans="1:17" x14ac:dyDescent="0.25">
      <c r="B51" s="164">
        <v>43383</v>
      </c>
      <c r="C51" s="185">
        <v>100</v>
      </c>
      <c r="D51" s="186">
        <v>48.46</v>
      </c>
      <c r="E51" s="39">
        <v>62.91</v>
      </c>
      <c r="F51" s="39">
        <f t="shared" si="9"/>
        <v>1444.9999999999995</v>
      </c>
      <c r="G51" s="39">
        <f t="shared" si="10"/>
        <v>4846</v>
      </c>
      <c r="H51" s="179">
        <f t="shared" si="11"/>
        <v>0.29818406933553437</v>
      </c>
      <c r="I51" s="39"/>
      <c r="J51" s="39">
        <f t="shared" ref="J51:J62" si="12">F51+$Q$10</f>
        <v>1444.9999999999995</v>
      </c>
      <c r="K51" s="39"/>
      <c r="L51" s="39"/>
      <c r="Q51" s="2"/>
    </row>
    <row r="52" spans="1:17" x14ac:dyDescent="0.25">
      <c r="A52">
        <v>0</v>
      </c>
      <c r="B52" s="164">
        <v>43402</v>
      </c>
      <c r="C52" s="10">
        <v>0</v>
      </c>
      <c r="D52" s="39">
        <v>48.46</v>
      </c>
      <c r="E52" s="39">
        <v>64.88</v>
      </c>
      <c r="F52" s="39">
        <f t="shared" si="9"/>
        <v>0</v>
      </c>
      <c r="G52" s="39">
        <f t="shared" si="10"/>
        <v>0</v>
      </c>
      <c r="H52" s="179">
        <f t="shared" si="11"/>
        <v>0.33883615352868335</v>
      </c>
      <c r="I52" s="39"/>
      <c r="J52" s="39">
        <f t="shared" si="12"/>
        <v>0</v>
      </c>
      <c r="K52" s="39"/>
      <c r="L52" s="39">
        <v>16.21</v>
      </c>
      <c r="Q52" s="2"/>
    </row>
    <row r="53" spans="1:17" x14ac:dyDescent="0.25">
      <c r="A53">
        <v>0</v>
      </c>
      <c r="B53" s="164">
        <v>43416</v>
      </c>
      <c r="C53" s="185">
        <v>100</v>
      </c>
      <c r="D53" s="186">
        <v>43.963999999999999</v>
      </c>
      <c r="E53" s="39">
        <v>61.2</v>
      </c>
      <c r="F53" s="39">
        <f t="shared" si="9"/>
        <v>1723.6000000000004</v>
      </c>
      <c r="G53" s="39">
        <f t="shared" si="10"/>
        <v>4396.3999999999996</v>
      </c>
      <c r="H53" s="179">
        <f t="shared" si="11"/>
        <v>0.39204803930488591</v>
      </c>
      <c r="I53" s="39"/>
      <c r="J53" s="778">
        <f t="shared" si="12"/>
        <v>1723.6000000000004</v>
      </c>
      <c r="K53" s="39"/>
      <c r="L53" s="39">
        <v>15.36</v>
      </c>
      <c r="Q53" s="2"/>
    </row>
    <row r="54" spans="1:17" x14ac:dyDescent="0.25">
      <c r="A54">
        <v>0</v>
      </c>
      <c r="B54" s="164">
        <v>43423</v>
      </c>
      <c r="C54" s="7">
        <v>200</v>
      </c>
      <c r="D54" s="43">
        <v>49.707000000000001</v>
      </c>
      <c r="E54" s="39">
        <v>55.68</v>
      </c>
      <c r="F54" s="39">
        <f t="shared" si="9"/>
        <v>1194.5999999999999</v>
      </c>
      <c r="G54" s="39">
        <f t="shared" si="10"/>
        <v>9941.4</v>
      </c>
      <c r="H54" s="179">
        <f t="shared" si="11"/>
        <v>0.12016416198925703</v>
      </c>
      <c r="I54" s="39"/>
      <c r="J54" s="39">
        <f t="shared" si="12"/>
        <v>1194.5999999999999</v>
      </c>
      <c r="K54" s="39"/>
      <c r="L54" s="39">
        <v>13.97</v>
      </c>
    </row>
    <row r="55" spans="1:17" x14ac:dyDescent="0.25">
      <c r="A55">
        <v>0</v>
      </c>
      <c r="B55" s="164">
        <v>43430</v>
      </c>
      <c r="C55" s="10">
        <v>200</v>
      </c>
      <c r="D55" s="39">
        <v>49.71</v>
      </c>
      <c r="E55" s="39">
        <v>53.21</v>
      </c>
      <c r="F55" s="39">
        <f t="shared" si="9"/>
        <v>700</v>
      </c>
      <c r="G55" s="39">
        <f t="shared" si="10"/>
        <v>9942</v>
      </c>
      <c r="H55" s="179">
        <f t="shared" si="11"/>
        <v>7.0408368537517599E-2</v>
      </c>
      <c r="I55" s="39"/>
      <c r="J55" s="39">
        <f t="shared" si="12"/>
        <v>700</v>
      </c>
      <c r="K55" s="39"/>
      <c r="L55" s="39">
        <v>13.35</v>
      </c>
    </row>
    <row r="56" spans="1:17" x14ac:dyDescent="0.25">
      <c r="A56">
        <v>0</v>
      </c>
      <c r="B56" s="164">
        <v>43442</v>
      </c>
      <c r="C56" s="10">
        <v>200</v>
      </c>
      <c r="D56" s="39">
        <v>49.707000000000001</v>
      </c>
      <c r="E56" s="39">
        <v>54.18</v>
      </c>
      <c r="F56" s="39">
        <f t="shared" ref="F56:F62" si="13">C56*(E56-D56)</f>
        <v>894.5999999999998</v>
      </c>
      <c r="G56" s="39">
        <f t="shared" ref="G56:G62" si="14">D56*C56</f>
        <v>9941.4</v>
      </c>
      <c r="H56" s="179">
        <f t="shared" ref="H56:H62" si="15">(E56-D56)/D56</f>
        <v>8.9987325728770579E-2</v>
      </c>
      <c r="I56" s="39"/>
      <c r="J56" s="39">
        <f t="shared" si="12"/>
        <v>894.5999999999998</v>
      </c>
      <c r="K56" s="39"/>
      <c r="L56" s="39">
        <v>13.6</v>
      </c>
    </row>
    <row r="57" spans="1:17" x14ac:dyDescent="0.25">
      <c r="A57">
        <v>200</v>
      </c>
      <c r="B57" s="164">
        <v>43473</v>
      </c>
      <c r="C57" s="10">
        <v>200</v>
      </c>
      <c r="D57" s="39">
        <v>49.71</v>
      </c>
      <c r="E57" s="39">
        <v>49.06</v>
      </c>
      <c r="F57" s="39">
        <f t="shared" si="13"/>
        <v>-129.99999999999972</v>
      </c>
      <c r="G57" s="39">
        <f t="shared" si="14"/>
        <v>9942</v>
      </c>
      <c r="H57" s="179">
        <f t="shared" si="15"/>
        <v>-1.307583987125324E-2</v>
      </c>
      <c r="I57" s="39"/>
      <c r="J57" s="39">
        <f t="shared" si="12"/>
        <v>-129.99999999999972</v>
      </c>
      <c r="K57" s="39"/>
      <c r="L57" s="39">
        <v>12.31</v>
      </c>
    </row>
    <row r="58" spans="1:17" x14ac:dyDescent="0.25">
      <c r="A58" s="4">
        <v>200</v>
      </c>
      <c r="B58" s="164">
        <v>43475</v>
      </c>
      <c r="C58" s="7">
        <v>200</v>
      </c>
      <c r="D58" s="43">
        <v>48.906999999999996</v>
      </c>
      <c r="E58" s="39">
        <v>49.66</v>
      </c>
      <c r="F58" s="39">
        <f t="shared" si="13"/>
        <v>150.60000000000002</v>
      </c>
      <c r="G58" s="39">
        <f t="shared" si="14"/>
        <v>9781.4</v>
      </c>
      <c r="H58" s="179">
        <f t="shared" si="15"/>
        <v>1.5396568998302905E-2</v>
      </c>
      <c r="I58" s="39" t="s">
        <v>184</v>
      </c>
      <c r="J58" s="39">
        <f t="shared" si="12"/>
        <v>150.60000000000002</v>
      </c>
      <c r="K58" s="39"/>
      <c r="L58" s="39">
        <v>12.46</v>
      </c>
    </row>
    <row r="59" spans="1:17" x14ac:dyDescent="0.25">
      <c r="A59" s="4">
        <v>200</v>
      </c>
      <c r="B59" s="164">
        <v>43489</v>
      </c>
      <c r="C59" s="359">
        <v>300</v>
      </c>
      <c r="D59" s="360">
        <v>47.097999999999999</v>
      </c>
      <c r="E59" s="39">
        <v>43.33</v>
      </c>
      <c r="F59" s="39">
        <f t="shared" si="13"/>
        <v>-1130.4000000000001</v>
      </c>
      <c r="G59" s="39">
        <f t="shared" si="14"/>
        <v>14129.4</v>
      </c>
      <c r="H59" s="179">
        <f t="shared" si="15"/>
        <v>-8.0003397171854451E-2</v>
      </c>
      <c r="I59" s="39"/>
      <c r="J59" s="39">
        <f t="shared" si="12"/>
        <v>-1130.4000000000001</v>
      </c>
      <c r="K59" s="39"/>
      <c r="L59" s="39">
        <v>10.87</v>
      </c>
    </row>
    <row r="60" spans="1:17" x14ac:dyDescent="0.25">
      <c r="A60" s="4">
        <v>100</v>
      </c>
      <c r="B60" s="164">
        <v>43493</v>
      </c>
      <c r="C60" s="7">
        <v>200</v>
      </c>
      <c r="D60" s="43">
        <v>47.935000000000002</v>
      </c>
      <c r="E60" s="39">
        <v>45.3</v>
      </c>
      <c r="F60" s="39">
        <f t="shared" si="13"/>
        <v>-527.00000000000102</v>
      </c>
      <c r="G60" s="39">
        <f t="shared" si="14"/>
        <v>9587</v>
      </c>
      <c r="H60" s="179">
        <f t="shared" si="15"/>
        <v>-5.4970272243663396E-2</v>
      </c>
      <c r="I60" s="39"/>
      <c r="J60" s="39">
        <f t="shared" si="12"/>
        <v>-527.00000000000102</v>
      </c>
      <c r="K60" s="39"/>
      <c r="L60" s="39">
        <v>11.37</v>
      </c>
    </row>
    <row r="61" spans="1:17" x14ac:dyDescent="0.25">
      <c r="A61" s="4">
        <v>100</v>
      </c>
      <c r="B61" s="164">
        <v>43499</v>
      </c>
      <c r="C61" s="10">
        <v>200</v>
      </c>
      <c r="D61" s="39">
        <v>47.94</v>
      </c>
      <c r="E61" s="39">
        <v>49.2</v>
      </c>
      <c r="F61" s="39">
        <f t="shared" si="13"/>
        <v>252.00000000000102</v>
      </c>
      <c r="G61" s="39">
        <f t="shared" si="14"/>
        <v>9588</v>
      </c>
      <c r="H61" s="179">
        <f t="shared" si="15"/>
        <v>2.6282853566958805E-2</v>
      </c>
      <c r="I61" s="39"/>
      <c r="J61" s="39">
        <f t="shared" si="12"/>
        <v>252.00000000000102</v>
      </c>
      <c r="K61" s="39"/>
      <c r="L61" s="39">
        <v>12.35</v>
      </c>
    </row>
    <row r="62" spans="1:17" x14ac:dyDescent="0.25">
      <c r="A62" s="4">
        <v>200</v>
      </c>
      <c r="B62" s="164">
        <v>43535</v>
      </c>
      <c r="C62" s="10">
        <v>200</v>
      </c>
      <c r="D62" s="39">
        <v>47.94</v>
      </c>
      <c r="E62" s="39">
        <v>56.01</v>
      </c>
      <c r="F62" s="39">
        <f t="shared" si="13"/>
        <v>1614</v>
      </c>
      <c r="G62" s="39">
        <f t="shared" si="14"/>
        <v>9588</v>
      </c>
      <c r="H62" s="179">
        <f t="shared" si="15"/>
        <v>0.16833541927409262</v>
      </c>
      <c r="I62" s="39"/>
      <c r="J62" s="39">
        <f t="shared" si="12"/>
        <v>1614</v>
      </c>
      <c r="K62" s="39"/>
      <c r="L62" s="39">
        <v>14.06</v>
      </c>
    </row>
    <row r="63" spans="1:17" x14ac:dyDescent="0.25">
      <c r="A63" s="4"/>
      <c r="B63" s="164"/>
      <c r="C63" s="10"/>
      <c r="D63" s="39"/>
      <c r="E63" s="39"/>
      <c r="F63" s="39"/>
      <c r="G63" s="39"/>
      <c r="H63" s="179"/>
      <c r="I63" s="39"/>
      <c r="J63" s="39"/>
      <c r="K63" s="39"/>
      <c r="L63" s="39"/>
    </row>
    <row r="64" spans="1:17" x14ac:dyDescent="0.25">
      <c r="A64" s="4"/>
      <c r="B64" s="164"/>
      <c r="C64" s="10"/>
      <c r="D64" s="39"/>
      <c r="E64" s="39"/>
      <c r="F64" s="39"/>
      <c r="G64" s="39"/>
      <c r="H64" s="179"/>
      <c r="I64" s="39"/>
      <c r="J64" s="39"/>
      <c r="K64" s="39"/>
      <c r="L64" s="39"/>
    </row>
    <row r="65" spans="1:13" x14ac:dyDescent="0.25">
      <c r="A65" s="4"/>
      <c r="B65" s="164"/>
      <c r="C65" s="10"/>
      <c r="D65" s="39"/>
      <c r="E65" s="39"/>
      <c r="F65" s="39"/>
      <c r="G65" s="39"/>
      <c r="H65" s="179"/>
      <c r="I65" s="39"/>
      <c r="J65" s="39"/>
      <c r="K65" s="39"/>
      <c r="L65" s="39"/>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91"/>
      <c r="B68" s="491"/>
      <c r="C68" s="491"/>
      <c r="D68" s="492"/>
      <c r="E68" s="492"/>
      <c r="F68" s="492"/>
      <c r="G68" s="491"/>
      <c r="H68" s="491"/>
      <c r="I68" s="492"/>
      <c r="J68" s="492"/>
      <c r="K68" s="492"/>
      <c r="L68" s="491" t="s">
        <v>65</v>
      </c>
      <c r="M68" s="492">
        <f>M86+K86-F86</f>
        <v>0</v>
      </c>
    </row>
    <row r="69" spans="1:13" x14ac:dyDescent="0.25">
      <c r="A69" s="610" t="s">
        <v>1</v>
      </c>
      <c r="B69" s="610" t="s">
        <v>2</v>
      </c>
      <c r="C69" s="610" t="s">
        <v>4</v>
      </c>
      <c r="D69" s="611" t="s">
        <v>5</v>
      </c>
      <c r="E69" s="611" t="s">
        <v>94</v>
      </c>
      <c r="F69" s="611" t="s">
        <v>60</v>
      </c>
      <c r="G69" s="610" t="s">
        <v>3</v>
      </c>
      <c r="H69" s="610" t="s">
        <v>6</v>
      </c>
      <c r="I69" s="611" t="s">
        <v>7</v>
      </c>
      <c r="J69" s="611" t="s">
        <v>95</v>
      </c>
      <c r="K69" s="611" t="s">
        <v>61</v>
      </c>
      <c r="L69" s="610" t="s">
        <v>37</v>
      </c>
      <c r="M69" s="610" t="s">
        <v>38</v>
      </c>
    </row>
    <row r="70" spans="1:13" x14ac:dyDescent="0.25">
      <c r="A70" s="612" t="s">
        <v>14</v>
      </c>
      <c r="B70" s="494"/>
      <c r="C70" s="491"/>
      <c r="D70" s="492"/>
      <c r="E70" s="492"/>
      <c r="F70" s="492"/>
      <c r="G70" s="494"/>
      <c r="H70" s="491"/>
      <c r="I70" s="492"/>
      <c r="J70" s="492"/>
      <c r="K70" s="492"/>
      <c r="L70" s="494"/>
      <c r="M70" s="492"/>
    </row>
    <row r="71" spans="1:13" x14ac:dyDescent="0.25">
      <c r="A71" s="613"/>
      <c r="B71" s="494"/>
      <c r="C71" s="491"/>
      <c r="D71" s="492"/>
      <c r="E71" s="492"/>
      <c r="F71" s="492"/>
      <c r="G71" s="494"/>
      <c r="H71" s="493"/>
      <c r="I71" s="492"/>
      <c r="J71" s="492"/>
      <c r="K71" s="492"/>
      <c r="L71" s="491"/>
      <c r="M71" s="491"/>
    </row>
    <row r="72" spans="1:13" x14ac:dyDescent="0.25">
      <c r="A72" s="491"/>
      <c r="B72" s="494"/>
      <c r="C72" s="491"/>
      <c r="D72" s="492"/>
      <c r="E72" s="492"/>
      <c r="F72" s="492"/>
      <c r="G72" s="494"/>
      <c r="H72" s="493"/>
      <c r="I72" s="492"/>
      <c r="J72" s="492"/>
      <c r="K72" s="492"/>
      <c r="L72" s="491"/>
      <c r="M72" s="491"/>
    </row>
    <row r="73" spans="1:13" x14ac:dyDescent="0.25">
      <c r="A73" s="491"/>
      <c r="B73" s="494"/>
      <c r="C73" s="491"/>
      <c r="D73" s="492"/>
      <c r="E73" s="492"/>
      <c r="F73" s="492"/>
      <c r="G73" s="491"/>
      <c r="H73" s="493"/>
      <c r="I73" s="492"/>
      <c r="J73" s="492"/>
      <c r="K73" s="492"/>
      <c r="L73" s="491"/>
      <c r="M73" s="491"/>
    </row>
    <row r="74" spans="1:13" x14ac:dyDescent="0.25">
      <c r="A74" s="491"/>
      <c r="B74" s="494"/>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1"/>
      <c r="I85" s="492"/>
      <c r="J85" s="492"/>
      <c r="K85" s="492"/>
      <c r="L85" s="491"/>
      <c r="M85" s="491"/>
    </row>
    <row r="86" spans="1:13" x14ac:dyDescent="0.25">
      <c r="A86" s="614" t="s">
        <v>81</v>
      </c>
      <c r="B86" s="615"/>
      <c r="C86" s="615">
        <f>SUM(C70:C74)</f>
        <v>0</v>
      </c>
      <c r="D86" s="616"/>
      <c r="E86" s="616"/>
      <c r="F86" s="616">
        <f>SUM(F70:F74)</f>
        <v>0</v>
      </c>
      <c r="G86" s="615"/>
      <c r="H86" s="617">
        <f>SUM(H70:H73)</f>
        <v>0</v>
      </c>
      <c r="I86" s="616"/>
      <c r="J86" s="616"/>
      <c r="K86" s="616">
        <f>SUM(K70:K73)</f>
        <v>0</v>
      </c>
      <c r="L86" s="615"/>
      <c r="M86" s="616">
        <f>SUM(M70:M78)</f>
        <v>0</v>
      </c>
    </row>
    <row r="87" spans="1:13" ht="15.75" thickBot="1" x14ac:dyDescent="0.3">
      <c r="A87" s="618" t="s">
        <v>191</v>
      </c>
      <c r="B87" s="650"/>
      <c r="C87" s="619">
        <f>SumByColor($A$19,C70:C85)</f>
        <v>0</v>
      </c>
      <c r="D87" s="619"/>
      <c r="E87" s="619"/>
      <c r="F87" s="620">
        <f>SumByColor($A$19,F70:F85)</f>
        <v>0</v>
      </c>
      <c r="G87" s="619"/>
      <c r="H87" s="619">
        <f>SumByColor($A$19,H70:H85)</f>
        <v>0</v>
      </c>
      <c r="I87" s="619"/>
      <c r="J87" s="619"/>
      <c r="K87" s="620">
        <f>SumByColor($A$19,K71:K85)</f>
        <v>0</v>
      </c>
      <c r="L87" s="619"/>
      <c r="M87" s="620">
        <f>SumByColor($A$19,M70:M85)</f>
        <v>0</v>
      </c>
    </row>
    <row r="90" spans="1:13" x14ac:dyDescent="0.25">
      <c r="B90" s="162" t="s">
        <v>113</v>
      </c>
      <c r="C90" s="162" t="s">
        <v>145</v>
      </c>
      <c r="D90" s="163" t="s">
        <v>144</v>
      </c>
      <c r="E90" s="165" t="s">
        <v>146</v>
      </c>
      <c r="F90" s="165" t="s">
        <v>65</v>
      </c>
      <c r="G90" s="177" t="s">
        <v>150</v>
      </c>
      <c r="H90" s="177" t="s">
        <v>88</v>
      </c>
      <c r="I90" s="177" t="s">
        <v>153</v>
      </c>
      <c r="J90" s="177" t="s">
        <v>149</v>
      </c>
      <c r="K90" s="177" t="s">
        <v>646</v>
      </c>
      <c r="L90" s="177" t="s">
        <v>652</v>
      </c>
    </row>
    <row r="91" spans="1:13" x14ac:dyDescent="0.25">
      <c r="B91" s="164"/>
      <c r="C91" s="10"/>
      <c r="D91" s="39"/>
      <c r="E91" s="39"/>
      <c r="F91" s="39"/>
      <c r="G91" s="39"/>
      <c r="H91" s="179"/>
      <c r="I91" s="39"/>
      <c r="J91" s="39"/>
      <c r="K91" s="39"/>
      <c r="L91" s="39"/>
    </row>
    <row r="92" spans="1:13" x14ac:dyDescent="0.25">
      <c r="B92" s="164"/>
      <c r="C92" s="10"/>
      <c r="D92" s="39"/>
      <c r="E92" s="39"/>
      <c r="F92" s="39"/>
      <c r="G92" s="39"/>
      <c r="H92" s="179"/>
      <c r="I92" s="39"/>
      <c r="J92" s="39"/>
      <c r="K92" s="39"/>
      <c r="L92" s="39"/>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sheetData>
  <mergeCells count="1">
    <mergeCell ref="O16:P16"/>
  </mergeCells>
  <conditionalFormatting sqref="O17:O37">
    <cfRule type="colorScale" priority="54">
      <colorScale>
        <cfvo type="min"/>
        <cfvo type="percentile" val="50"/>
        <cfvo type="max"/>
        <color rgb="FFF8696B"/>
        <color rgb="FFFFEB84"/>
        <color rgb="FF63BE7B"/>
      </colorScale>
    </cfRule>
  </conditionalFormatting>
  <conditionalFormatting sqref="P17:P37">
    <cfRule type="colorScale" priority="53">
      <colorScale>
        <cfvo type="min"/>
        <cfvo type="percentile" val="50"/>
        <cfvo type="max"/>
        <color rgb="FFF8696B"/>
        <color rgb="FFFFEB84"/>
        <color rgb="FF63BE7B"/>
      </colorScale>
    </cfRule>
  </conditionalFormatting>
  <conditionalFormatting sqref="Q7 F30:F61 H30:H61 H64:H65 F64:F65">
    <cfRule type="expression" dxfId="1856" priority="49">
      <formula>F7&gt;0</formula>
    </cfRule>
    <cfRule type="expression" dxfId="1855" priority="50">
      <formula>F7&lt;0</formula>
    </cfRule>
  </conditionalFormatting>
  <conditionalFormatting sqref="Q8">
    <cfRule type="expression" dxfId="1854" priority="47">
      <formula>Q8&gt;0</formula>
    </cfRule>
    <cfRule type="expression" dxfId="1853" priority="48">
      <formula>Q8&lt;0</formula>
    </cfRule>
  </conditionalFormatting>
  <conditionalFormatting sqref="Q10">
    <cfRule type="expression" dxfId="1852" priority="41">
      <formula>Q10&gt;0</formula>
    </cfRule>
    <cfRule type="expression" dxfId="1851" priority="42">
      <formula>Q10&lt;0</formula>
    </cfRule>
  </conditionalFormatting>
  <conditionalFormatting sqref="K25:K39">
    <cfRule type="expression" dxfId="1850" priority="37">
      <formula>K25&gt;0</formula>
    </cfRule>
    <cfRule type="expression" dxfId="1849" priority="38">
      <formula>K25&lt;0</formula>
    </cfRule>
  </conditionalFormatting>
  <conditionalFormatting sqref="L25">
    <cfRule type="expression" dxfId="1848" priority="35">
      <formula>L25&gt;0</formula>
    </cfRule>
    <cfRule type="expression" dxfId="1847" priority="36">
      <formula>L25&lt;0</formula>
    </cfRule>
  </conditionalFormatting>
  <conditionalFormatting sqref="F91:F112">
    <cfRule type="expression" dxfId="1846" priority="33">
      <formula>F91&gt;0</formula>
    </cfRule>
    <cfRule type="expression" dxfId="1845" priority="34">
      <formula>F91&lt;0</formula>
    </cfRule>
  </conditionalFormatting>
  <conditionalFormatting sqref="H91:H112">
    <cfRule type="expression" dxfId="1844" priority="31">
      <formula>H91&gt;0</formula>
    </cfRule>
    <cfRule type="expression" dxfId="1843" priority="32">
      <formula>H91&lt;0</formula>
    </cfRule>
  </conditionalFormatting>
  <conditionalFormatting sqref="J91:J104">
    <cfRule type="expression" dxfId="1842" priority="29">
      <formula>J91&gt;0</formula>
    </cfRule>
    <cfRule type="expression" dxfId="1841" priority="30">
      <formula>J91&lt;0</formula>
    </cfRule>
  </conditionalFormatting>
  <conditionalFormatting sqref="K91:K104">
    <cfRule type="expression" dxfId="1840" priority="27">
      <formula>K91&gt;0</formula>
    </cfRule>
    <cfRule type="expression" dxfId="1839" priority="28">
      <formula>K91&lt;0</formula>
    </cfRule>
  </conditionalFormatting>
  <conditionalFormatting sqref="L91:L104">
    <cfRule type="expression" dxfId="1838" priority="25">
      <formula>L91&gt;0</formula>
    </cfRule>
    <cfRule type="expression" dxfId="1837" priority="26">
      <formula>L91&lt;0</formula>
    </cfRule>
  </conditionalFormatting>
  <conditionalFormatting sqref="F25 F29">
    <cfRule type="expression" dxfId="1836" priority="23">
      <formula>F25&gt;0</formula>
    </cfRule>
    <cfRule type="expression" dxfId="1835" priority="24">
      <formula>F25&lt;0</formula>
    </cfRule>
  </conditionalFormatting>
  <conditionalFormatting sqref="H25 H29">
    <cfRule type="expression" dxfId="1834" priority="21">
      <formula>H25&gt;0</formula>
    </cfRule>
    <cfRule type="expression" dxfId="1833" priority="22">
      <formula>H25&lt;0</formula>
    </cfRule>
  </conditionalFormatting>
  <conditionalFormatting sqref="F26:F28">
    <cfRule type="expression" dxfId="1832" priority="19">
      <formula>F26&gt;0</formula>
    </cfRule>
    <cfRule type="expression" dxfId="1831" priority="20">
      <formula>F26&lt;0</formula>
    </cfRule>
  </conditionalFormatting>
  <conditionalFormatting sqref="H26:H28">
    <cfRule type="expression" dxfId="1830" priority="17">
      <formula>H26&gt;0</formula>
    </cfRule>
    <cfRule type="expression" dxfId="1829" priority="18">
      <formula>H26&lt;0</formula>
    </cfRule>
  </conditionalFormatting>
  <conditionalFormatting sqref="J25:J49">
    <cfRule type="expression" dxfId="1828" priority="13">
      <formula>J25&gt;0</formula>
    </cfRule>
    <cfRule type="expression" dxfId="1827" priority="14">
      <formula>J25&lt;0</formula>
    </cfRule>
  </conditionalFormatting>
  <conditionalFormatting sqref="J50:J61">
    <cfRule type="expression" dxfId="1826" priority="11">
      <formula>J50&gt;0</formula>
    </cfRule>
    <cfRule type="expression" dxfId="1825" priority="12">
      <formula>J50&lt;0</formula>
    </cfRule>
  </conditionalFormatting>
  <conditionalFormatting sqref="H62:H63 F62:F63">
    <cfRule type="expression" dxfId="1824" priority="3">
      <formula>F62&gt;0</formula>
    </cfRule>
    <cfRule type="expression" dxfId="1823" priority="4">
      <formula>F62&lt;0</formula>
    </cfRule>
  </conditionalFormatting>
  <conditionalFormatting sqref="J62">
    <cfRule type="expression" dxfId="1822" priority="1">
      <formula>J62&gt;0</formula>
    </cfRule>
    <cfRule type="expression" dxfId="1821" priority="2">
      <formula>J62&lt;0</formula>
    </cfRule>
  </conditionalFormatting>
  <hyperlinks>
    <hyperlink ref="A3" location="ACTIVE!A1" display="Back"/>
  </hyperlinks>
  <pageMargins left="0.7" right="0.7" top="0.75" bottom="0.75" header="0.3" footer="0.3"/>
  <pageSetup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895</v>
      </c>
      <c r="B2" s="368">
        <v>43136</v>
      </c>
      <c r="C2" s="7">
        <v>100</v>
      </c>
      <c r="D2" s="43">
        <v>36.58</v>
      </c>
      <c r="E2" s="43">
        <v>0</v>
      </c>
      <c r="F2" s="43">
        <f t="shared" ref="F2:F18" si="0">C2*D2+E2</f>
        <v>3658</v>
      </c>
      <c r="G2" s="368">
        <v>43217</v>
      </c>
      <c r="H2" s="7">
        <v>100</v>
      </c>
      <c r="I2" s="43">
        <v>33.49</v>
      </c>
      <c r="J2" s="43">
        <v>0.08</v>
      </c>
      <c r="K2" s="43">
        <f t="shared" ref="K2:K14" si="1">H2*I2-J2</f>
        <v>3348.92</v>
      </c>
      <c r="L2" s="72">
        <v>43222</v>
      </c>
      <c r="M2" s="43">
        <v>50</v>
      </c>
      <c r="O2" s="11" t="s">
        <v>57</v>
      </c>
      <c r="Q2">
        <f>C25-H25</f>
        <v>0</v>
      </c>
      <c r="T2" s="1"/>
      <c r="U2" t="s">
        <v>1062</v>
      </c>
    </row>
    <row r="3" spans="1:21" x14ac:dyDescent="0.25">
      <c r="A3" s="22" t="s">
        <v>71</v>
      </c>
      <c r="B3" s="368">
        <v>43216</v>
      </c>
      <c r="C3" s="7">
        <v>100</v>
      </c>
      <c r="D3" s="43">
        <v>32.68</v>
      </c>
      <c r="E3" s="43">
        <v>0</v>
      </c>
      <c r="F3" s="43">
        <f t="shared" si="0"/>
        <v>3268</v>
      </c>
      <c r="G3" s="368">
        <v>43263</v>
      </c>
      <c r="H3" s="80">
        <v>100</v>
      </c>
      <c r="I3" s="43">
        <v>34.5</v>
      </c>
      <c r="J3" s="43">
        <v>0.04</v>
      </c>
      <c r="K3" s="43">
        <f t="shared" si="1"/>
        <v>3449.96</v>
      </c>
      <c r="L3" s="72">
        <v>43313</v>
      </c>
      <c r="M3" s="43">
        <v>50</v>
      </c>
      <c r="O3" s="11" t="s">
        <v>58</v>
      </c>
      <c r="Q3" s="178">
        <f>IF(Q2=0, Q4, (F25-K25-M25)/Q2)</f>
        <v>31.07</v>
      </c>
      <c r="T3" t="s">
        <v>1112</v>
      </c>
      <c r="U3" t="s">
        <v>1228</v>
      </c>
    </row>
    <row r="4" spans="1:21" x14ac:dyDescent="0.25">
      <c r="B4" s="368">
        <v>43222</v>
      </c>
      <c r="C4" s="7">
        <v>100</v>
      </c>
      <c r="D4" s="43">
        <v>32.08</v>
      </c>
      <c r="E4" s="43">
        <v>0</v>
      </c>
      <c r="F4" s="43">
        <f t="shared" si="0"/>
        <v>3208</v>
      </c>
      <c r="G4" s="368">
        <v>43265</v>
      </c>
      <c r="H4" s="80">
        <v>100</v>
      </c>
      <c r="I4" s="43">
        <v>32.89</v>
      </c>
      <c r="J4" s="43">
        <v>0.04</v>
      </c>
      <c r="K4" s="43">
        <f t="shared" si="1"/>
        <v>3288.96</v>
      </c>
      <c r="L4" s="72">
        <v>43405</v>
      </c>
      <c r="M4" s="43">
        <v>300</v>
      </c>
      <c r="O4" s="11" t="s">
        <v>66</v>
      </c>
      <c r="Q4" s="54">
        <v>31.07</v>
      </c>
      <c r="R4" s="425">
        <v>2.9999999999999997E-4</v>
      </c>
    </row>
    <row r="5" spans="1:21" x14ac:dyDescent="0.25">
      <c r="B5" s="368">
        <v>43264</v>
      </c>
      <c r="C5" s="7">
        <v>100</v>
      </c>
      <c r="D5" s="43">
        <v>32.25</v>
      </c>
      <c r="E5" s="43">
        <v>0</v>
      </c>
      <c r="F5" s="43">
        <f t="shared" si="0"/>
        <v>3225</v>
      </c>
      <c r="G5" s="368">
        <v>43311</v>
      </c>
      <c r="H5" s="80">
        <v>100</v>
      </c>
      <c r="I5" s="43">
        <v>32.08</v>
      </c>
      <c r="J5" s="43">
        <v>0.04</v>
      </c>
      <c r="K5" s="43">
        <f t="shared" si="1"/>
        <v>3207.96</v>
      </c>
      <c r="L5" s="72">
        <v>43497</v>
      </c>
      <c r="M5" s="43">
        <v>408</v>
      </c>
      <c r="O5" s="11" t="s">
        <v>67</v>
      </c>
      <c r="Q5" s="3">
        <f>Q4*Q2</f>
        <v>0</v>
      </c>
    </row>
    <row r="6" spans="1:21" x14ac:dyDescent="0.25">
      <c r="B6" s="368">
        <v>43292</v>
      </c>
      <c r="C6" s="7">
        <v>100</v>
      </c>
      <c r="D6" s="43">
        <v>32.090000000000003</v>
      </c>
      <c r="E6" s="43">
        <v>0</v>
      </c>
      <c r="F6" s="43">
        <f t="shared" si="0"/>
        <v>3209.0000000000005</v>
      </c>
      <c r="G6" s="368">
        <v>43328</v>
      </c>
      <c r="H6" s="80">
        <v>200</v>
      </c>
      <c r="I6" s="43">
        <v>32.950000000000003</v>
      </c>
      <c r="J6" s="43">
        <v>0.09</v>
      </c>
      <c r="K6" s="43">
        <f t="shared" si="1"/>
        <v>6589.9100000000008</v>
      </c>
      <c r="L6" s="4"/>
      <c r="M6" s="4"/>
      <c r="O6" s="11" t="s">
        <v>64</v>
      </c>
      <c r="Q6" s="2">
        <f>Q3*Q2</f>
        <v>0</v>
      </c>
    </row>
    <row r="7" spans="1:21" x14ac:dyDescent="0.25">
      <c r="B7" s="368">
        <v>43294</v>
      </c>
      <c r="C7" s="7">
        <v>100</v>
      </c>
      <c r="D7" s="43">
        <v>31.55</v>
      </c>
      <c r="E7" s="43">
        <v>0</v>
      </c>
      <c r="F7" s="43">
        <f t="shared" si="0"/>
        <v>3155</v>
      </c>
      <c r="G7" s="368">
        <v>43355</v>
      </c>
      <c r="H7" s="80">
        <v>600</v>
      </c>
      <c r="I7" s="43">
        <v>33.18</v>
      </c>
      <c r="J7" s="43">
        <v>0.26</v>
      </c>
      <c r="K7" s="43">
        <f t="shared" si="1"/>
        <v>19907.740000000002</v>
      </c>
      <c r="L7" s="4"/>
      <c r="M7" s="4"/>
      <c r="O7" s="11" t="s">
        <v>177</v>
      </c>
      <c r="Q7" s="2">
        <f>Q10+Q8</f>
        <v>3232.7200000000012</v>
      </c>
      <c r="R7">
        <v>0</v>
      </c>
      <c r="T7" s="1">
        <v>43215</v>
      </c>
      <c r="U7" t="s">
        <v>1002</v>
      </c>
    </row>
    <row r="8" spans="1:21" x14ac:dyDescent="0.25">
      <c r="B8" s="368">
        <v>43306</v>
      </c>
      <c r="C8" s="7">
        <v>300</v>
      </c>
      <c r="D8" s="43">
        <v>30.89</v>
      </c>
      <c r="E8" s="43">
        <v>0</v>
      </c>
      <c r="F8" s="43">
        <f t="shared" si="0"/>
        <v>9267</v>
      </c>
      <c r="G8" s="368">
        <v>43355</v>
      </c>
      <c r="H8" s="80">
        <v>200</v>
      </c>
      <c r="I8" s="43">
        <v>33.619999999999997</v>
      </c>
      <c r="J8" s="43">
        <v>0.09</v>
      </c>
      <c r="K8" s="43">
        <f t="shared" si="1"/>
        <v>6723.9099999999989</v>
      </c>
      <c r="L8" s="4"/>
      <c r="M8" s="4"/>
      <c r="O8" s="11" t="s">
        <v>179</v>
      </c>
      <c r="P8" s="33"/>
      <c r="Q8" s="2">
        <f>K25+M25-F25+Q2*Q4</f>
        <v>3232.7200000000012</v>
      </c>
      <c r="T8" s="693"/>
      <c r="U8" s="30" t="s">
        <v>1003</v>
      </c>
    </row>
    <row r="9" spans="1:21" x14ac:dyDescent="0.25">
      <c r="B9" s="368">
        <v>43306</v>
      </c>
      <c r="C9" s="7">
        <v>600</v>
      </c>
      <c r="D9" s="43">
        <v>30.48</v>
      </c>
      <c r="E9" s="43">
        <v>0</v>
      </c>
      <c r="F9" s="43">
        <f t="shared" si="0"/>
        <v>18288</v>
      </c>
      <c r="G9" s="368">
        <v>43430</v>
      </c>
      <c r="H9" s="80">
        <v>200</v>
      </c>
      <c r="I9" s="43">
        <v>29.98</v>
      </c>
      <c r="J9" s="43">
        <v>0.08</v>
      </c>
      <c r="K9" s="43">
        <f t="shared" si="1"/>
        <v>5995.92</v>
      </c>
      <c r="L9" s="4"/>
      <c r="M9" s="4"/>
      <c r="O9" s="11" t="s">
        <v>204</v>
      </c>
      <c r="Q9" s="179">
        <f>IF(Q2=0, 0, Q8/Q6)</f>
        <v>0</v>
      </c>
    </row>
    <row r="10" spans="1:21" x14ac:dyDescent="0.25">
      <c r="B10" s="368">
        <v>43306</v>
      </c>
      <c r="C10" s="7">
        <v>300</v>
      </c>
      <c r="D10" s="43">
        <v>30.25</v>
      </c>
      <c r="E10" s="43">
        <v>0</v>
      </c>
      <c r="F10" s="43">
        <f t="shared" si="0"/>
        <v>9075</v>
      </c>
      <c r="G10" s="368">
        <v>43472</v>
      </c>
      <c r="H10" s="80">
        <v>200</v>
      </c>
      <c r="I10" s="43">
        <v>30.99</v>
      </c>
      <c r="J10" s="43">
        <v>0.08</v>
      </c>
      <c r="K10" s="43">
        <f t="shared" si="1"/>
        <v>6197.92</v>
      </c>
      <c r="L10" s="4"/>
      <c r="M10" s="4"/>
      <c r="O10" s="11" t="s">
        <v>203</v>
      </c>
      <c r="P10" s="33"/>
      <c r="Q10" s="2">
        <f>M94</f>
        <v>0</v>
      </c>
      <c r="T10" s="1">
        <v>43216</v>
      </c>
      <c r="U10" t="s">
        <v>1004</v>
      </c>
    </row>
    <row r="11" spans="1:21" x14ac:dyDescent="0.25">
      <c r="B11" s="368">
        <v>43341</v>
      </c>
      <c r="C11" s="7">
        <v>200</v>
      </c>
      <c r="D11" s="43">
        <v>32.25</v>
      </c>
      <c r="E11" s="43">
        <v>0</v>
      </c>
      <c r="F11" s="43">
        <f t="shared" si="0"/>
        <v>6450</v>
      </c>
      <c r="G11" s="368">
        <v>43476</v>
      </c>
      <c r="H11" s="80">
        <v>200</v>
      </c>
      <c r="I11" s="43">
        <v>30.85</v>
      </c>
      <c r="J11" s="43">
        <v>0.08</v>
      </c>
      <c r="K11" s="43">
        <f t="shared" si="1"/>
        <v>6169.92</v>
      </c>
      <c r="L11" s="4"/>
      <c r="M11" s="4"/>
      <c r="O11" s="11" t="s">
        <v>175</v>
      </c>
      <c r="P11" s="33"/>
      <c r="Q11" s="134">
        <f>R11*4/Q4</f>
        <v>6.4370775667846797E-2</v>
      </c>
      <c r="R11">
        <v>0.5</v>
      </c>
    </row>
    <row r="12" spans="1:21" x14ac:dyDescent="0.25">
      <c r="A12" s="890" t="s">
        <v>1289</v>
      </c>
      <c r="B12" s="368">
        <v>43383</v>
      </c>
      <c r="C12" s="7">
        <v>100</v>
      </c>
      <c r="D12" s="43">
        <v>32.799999999999997</v>
      </c>
      <c r="E12" s="43">
        <v>0</v>
      </c>
      <c r="F12" s="43">
        <f t="shared" si="0"/>
        <v>3279.9999999999995</v>
      </c>
      <c r="G12" s="368">
        <v>43511</v>
      </c>
      <c r="H12" s="80">
        <v>400</v>
      </c>
      <c r="I12" s="43">
        <v>30.35</v>
      </c>
      <c r="J12" s="43">
        <v>0.16</v>
      </c>
      <c r="K12" s="43">
        <f t="shared" si="1"/>
        <v>12139.84</v>
      </c>
      <c r="O12" s="11" t="s">
        <v>921</v>
      </c>
      <c r="Q12" s="1" t="s">
        <v>1368</v>
      </c>
      <c r="T12" s="1">
        <v>43294</v>
      </c>
      <c r="U12" t="s">
        <v>1167</v>
      </c>
    </row>
    <row r="13" spans="1:21" x14ac:dyDescent="0.25">
      <c r="A13" s="890"/>
      <c r="B13" s="368">
        <v>43384</v>
      </c>
      <c r="C13" s="7">
        <v>100</v>
      </c>
      <c r="D13" s="43">
        <v>32.18</v>
      </c>
      <c r="E13" s="43">
        <v>0</v>
      </c>
      <c r="F13" s="43">
        <f t="shared" si="0"/>
        <v>3218</v>
      </c>
      <c r="G13" s="368">
        <v>43516</v>
      </c>
      <c r="H13" s="80">
        <v>300</v>
      </c>
      <c r="I13" s="43">
        <v>30.87</v>
      </c>
      <c r="J13" s="43">
        <v>0.12</v>
      </c>
      <c r="K13" s="43">
        <f t="shared" si="1"/>
        <v>9260.8799999999992</v>
      </c>
      <c r="O13" s="11" t="s">
        <v>947</v>
      </c>
      <c r="Q13" s="2">
        <f>Q4/3.5</f>
        <v>8.8771428571428572</v>
      </c>
      <c r="T13" s="693"/>
    </row>
    <row r="14" spans="1:21" x14ac:dyDescent="0.25">
      <c r="A14" s="890"/>
      <c r="B14" s="368">
        <v>43397</v>
      </c>
      <c r="C14" s="7">
        <v>200</v>
      </c>
      <c r="D14" s="43">
        <v>30.8</v>
      </c>
      <c r="E14" s="43">
        <v>0</v>
      </c>
      <c r="F14" s="43">
        <f t="shared" si="0"/>
        <v>6160</v>
      </c>
      <c r="G14" s="368">
        <v>43546</v>
      </c>
      <c r="H14" s="80">
        <v>300</v>
      </c>
      <c r="I14" s="43">
        <v>31.16</v>
      </c>
      <c r="J14" s="43">
        <v>0.12</v>
      </c>
      <c r="K14" s="43">
        <f t="shared" si="1"/>
        <v>9347.8799999999992</v>
      </c>
      <c r="O14" s="11" t="s">
        <v>1195</v>
      </c>
      <c r="Q14" s="29">
        <v>43429</v>
      </c>
    </row>
    <row r="15" spans="1:21" x14ac:dyDescent="0.25">
      <c r="B15" s="368">
        <v>43424</v>
      </c>
      <c r="C15" s="7">
        <v>100</v>
      </c>
      <c r="D15" s="43">
        <v>29.68</v>
      </c>
      <c r="E15" s="43">
        <v>0</v>
      </c>
      <c r="F15" s="43">
        <f t="shared" si="0"/>
        <v>2968</v>
      </c>
      <c r="H15" s="70"/>
    </row>
    <row r="16" spans="1:21" x14ac:dyDescent="0.25">
      <c r="B16" s="368">
        <v>43427</v>
      </c>
      <c r="C16" s="7">
        <v>100</v>
      </c>
      <c r="D16" s="43">
        <v>29.36</v>
      </c>
      <c r="E16" s="43">
        <v>0</v>
      </c>
      <c r="F16" s="43">
        <f t="shared" si="0"/>
        <v>2936</v>
      </c>
      <c r="H16" s="70"/>
      <c r="T16" s="1">
        <v>43305</v>
      </c>
      <c r="U16" t="s">
        <v>852</v>
      </c>
    </row>
    <row r="17" spans="1:21" ht="20.25" thickBot="1" x14ac:dyDescent="0.35">
      <c r="B17" s="368">
        <v>43474</v>
      </c>
      <c r="C17" s="7">
        <v>200</v>
      </c>
      <c r="D17" s="43">
        <v>30.2</v>
      </c>
      <c r="E17" s="43">
        <v>0</v>
      </c>
      <c r="F17" s="43">
        <f t="shared" si="0"/>
        <v>6040</v>
      </c>
      <c r="O17" s="884" t="s">
        <v>78</v>
      </c>
      <c r="P17" s="884"/>
    </row>
    <row r="18" spans="1:21" ht="15.75" thickTop="1" x14ac:dyDescent="0.25">
      <c r="B18" s="368">
        <v>43503</v>
      </c>
      <c r="C18" s="7">
        <v>200</v>
      </c>
      <c r="D18" s="43">
        <v>29</v>
      </c>
      <c r="E18" s="43">
        <v>0</v>
      </c>
      <c r="F18" s="43">
        <f t="shared" si="0"/>
        <v>5800</v>
      </c>
      <c r="O18" s="81">
        <v>1.1000000000000001</v>
      </c>
      <c r="P18" s="81">
        <f>O18*$Q$4</f>
        <v>34.177</v>
      </c>
      <c r="T18" s="1">
        <v>43308</v>
      </c>
      <c r="U18" t="s">
        <v>1193</v>
      </c>
    </row>
    <row r="19" spans="1:21" x14ac:dyDescent="0.25">
      <c r="O19" s="81">
        <v>1.0900000000000001</v>
      </c>
      <c r="P19" s="81">
        <f t="shared" ref="P19:P38" si="2">O19*$Q$4</f>
        <v>33.866300000000003</v>
      </c>
    </row>
    <row r="20" spans="1:21" x14ac:dyDescent="0.25">
      <c r="O20" s="81">
        <v>1.08</v>
      </c>
      <c r="P20" s="81">
        <f t="shared" si="2"/>
        <v>33.555600000000005</v>
      </c>
      <c r="T20" s="1">
        <v>43320</v>
      </c>
      <c r="U20" t="s">
        <v>1225</v>
      </c>
    </row>
    <row r="21" spans="1:21" x14ac:dyDescent="0.25">
      <c r="O21" s="81">
        <v>1.07</v>
      </c>
      <c r="P21" s="81">
        <f t="shared" si="2"/>
        <v>33.244900000000001</v>
      </c>
    </row>
    <row r="22" spans="1:21" x14ac:dyDescent="0.25">
      <c r="O22" s="81">
        <v>1.06</v>
      </c>
      <c r="P22" s="81">
        <f t="shared" si="2"/>
        <v>32.934200000000004</v>
      </c>
      <c r="T22" s="1">
        <v>43353</v>
      </c>
      <c r="U22" t="s">
        <v>1261</v>
      </c>
    </row>
    <row r="23" spans="1:21" x14ac:dyDescent="0.25">
      <c r="O23" s="81">
        <v>1.05</v>
      </c>
      <c r="P23" s="81">
        <f t="shared" si="2"/>
        <v>32.6235</v>
      </c>
    </row>
    <row r="24" spans="1:21" x14ac:dyDescent="0.25">
      <c r="O24" s="81">
        <v>1.04</v>
      </c>
      <c r="P24" s="81">
        <f t="shared" si="2"/>
        <v>32.312800000000003</v>
      </c>
      <c r="T24" s="1">
        <v>43383</v>
      </c>
      <c r="U24" t="s">
        <v>1279</v>
      </c>
    </row>
    <row r="25" spans="1:21" x14ac:dyDescent="0.25">
      <c r="A25" s="31" t="s">
        <v>81</v>
      </c>
      <c r="B25" s="14"/>
      <c r="C25" s="14">
        <f>SUM(C2:C18)</f>
        <v>3000</v>
      </c>
      <c r="D25" s="18"/>
      <c r="E25" s="18"/>
      <c r="F25" s="18">
        <f>SUM(F2:F18)</f>
        <v>93205</v>
      </c>
      <c r="G25" s="14"/>
      <c r="H25" s="71">
        <f>SUM(H2:H24)</f>
        <v>3000</v>
      </c>
      <c r="I25" s="18"/>
      <c r="J25" s="18"/>
      <c r="K25" s="18">
        <f>SUM(K2:K24)</f>
        <v>95629.72</v>
      </c>
      <c r="L25" s="14"/>
      <c r="M25" s="18">
        <f>SUM(M2:M10)</f>
        <v>808</v>
      </c>
      <c r="O25" s="81">
        <v>1.03</v>
      </c>
      <c r="P25" s="81">
        <f t="shared" si="2"/>
        <v>32.002099999999999</v>
      </c>
    </row>
    <row r="26" spans="1:21" ht="15.75" thickBot="1" x14ac:dyDescent="0.3">
      <c r="A26" s="277" t="s">
        <v>191</v>
      </c>
      <c r="B26" s="278"/>
      <c r="C26" s="279">
        <f>SumByColor($A$26,C2:C24)</f>
        <v>3000</v>
      </c>
      <c r="D26" s="279"/>
      <c r="E26" s="279"/>
      <c r="F26" s="280">
        <f>SumByColor($A$26,F2:F24)</f>
        <v>93205</v>
      </c>
      <c r="G26" s="279"/>
      <c r="H26" s="279">
        <f>SumByColor($A$26,H2:H24)</f>
        <v>3000</v>
      </c>
      <c r="I26" s="279"/>
      <c r="J26" s="279"/>
      <c r="K26" s="280">
        <f>SumByColor($A$26,K2:K24)</f>
        <v>95631</v>
      </c>
      <c r="L26" s="279"/>
      <c r="M26" s="280">
        <f>SumByColor($A$26,M2:M24)</f>
        <v>808</v>
      </c>
      <c r="O26" s="81">
        <v>1.02</v>
      </c>
      <c r="P26" s="81">
        <f t="shared" si="2"/>
        <v>31.691400000000002</v>
      </c>
    </row>
    <row r="27" spans="1:21" x14ac:dyDescent="0.25">
      <c r="O27" s="81">
        <v>1.01</v>
      </c>
      <c r="P27" s="81">
        <f t="shared" si="2"/>
        <v>31.380700000000001</v>
      </c>
      <c r="T27" s="1">
        <v>43397</v>
      </c>
      <c r="U27" t="s">
        <v>1292</v>
      </c>
    </row>
    <row r="28" spans="1:21" x14ac:dyDescent="0.25">
      <c r="O28" s="81">
        <v>1</v>
      </c>
      <c r="P28" s="81">
        <f t="shared" si="2"/>
        <v>31.07</v>
      </c>
      <c r="T28" s="1">
        <v>43399</v>
      </c>
      <c r="U28" t="s">
        <v>1291</v>
      </c>
    </row>
    <row r="29" spans="1:21" x14ac:dyDescent="0.25">
      <c r="O29" s="81">
        <v>0.99</v>
      </c>
      <c r="P29" s="81">
        <f t="shared" si="2"/>
        <v>30.7593</v>
      </c>
    </row>
    <row r="30" spans="1:21" x14ac:dyDescent="0.25">
      <c r="O30" s="81">
        <v>0.98</v>
      </c>
      <c r="P30" s="81">
        <f t="shared" si="2"/>
        <v>30.448599999999999</v>
      </c>
    </row>
    <row r="31" spans="1:21" x14ac:dyDescent="0.25">
      <c r="B31" s="162" t="s">
        <v>113</v>
      </c>
      <c r="C31" s="162" t="s">
        <v>145</v>
      </c>
      <c r="D31" s="163" t="s">
        <v>144</v>
      </c>
      <c r="E31" s="165" t="s">
        <v>146</v>
      </c>
      <c r="F31" s="165" t="s">
        <v>65</v>
      </c>
      <c r="G31" s="177" t="s">
        <v>150</v>
      </c>
      <c r="H31" s="177" t="s">
        <v>88</v>
      </c>
      <c r="I31" s="177" t="s">
        <v>153</v>
      </c>
      <c r="J31" s="177" t="s">
        <v>149</v>
      </c>
      <c r="K31" s="177" t="s">
        <v>487</v>
      </c>
      <c r="L31" s="177" t="s">
        <v>947</v>
      </c>
      <c r="O31" s="81">
        <v>0.97</v>
      </c>
      <c r="P31" s="81">
        <f t="shared" si="2"/>
        <v>30.137899999999998</v>
      </c>
    </row>
    <row r="32" spans="1:21" x14ac:dyDescent="0.25">
      <c r="B32" s="164">
        <v>43185</v>
      </c>
      <c r="C32" s="10">
        <v>100</v>
      </c>
      <c r="D32" s="39">
        <v>36.58</v>
      </c>
      <c r="E32" s="39">
        <v>34.69</v>
      </c>
      <c r="F32" s="39">
        <f t="shared" ref="F32:F54" si="3">C32*(E32-D32)</f>
        <v>-189.00000000000006</v>
      </c>
      <c r="G32" s="39">
        <f t="shared" ref="G32:G54" si="4">D32*C32</f>
        <v>3658</v>
      </c>
      <c r="H32" s="179">
        <f t="shared" ref="H32:H54" si="5">(E32-D32)/D32</f>
        <v>-5.166757791142703E-2</v>
      </c>
      <c r="I32" s="39"/>
      <c r="J32" s="39">
        <v>-189.00000000000006</v>
      </c>
      <c r="K32" s="39"/>
      <c r="L32" s="39"/>
      <c r="O32" s="81">
        <v>0.96</v>
      </c>
      <c r="P32" s="81">
        <f t="shared" si="2"/>
        <v>29.827199999999998</v>
      </c>
    </row>
    <row r="33" spans="1:21" x14ac:dyDescent="0.25">
      <c r="A33">
        <v>100</v>
      </c>
      <c r="B33" s="164">
        <v>43216</v>
      </c>
      <c r="C33" s="10">
        <v>200</v>
      </c>
      <c r="D33" s="39">
        <v>34.630000000000003</v>
      </c>
      <c r="E33" s="39">
        <v>33.1</v>
      </c>
      <c r="F33" s="39">
        <f t="shared" si="3"/>
        <v>-306.00000000000023</v>
      </c>
      <c r="G33" s="39">
        <f t="shared" si="4"/>
        <v>6926.0000000000009</v>
      </c>
      <c r="H33" s="179">
        <f t="shared" si="5"/>
        <v>-4.4181345654057208E-2</v>
      </c>
      <c r="I33" s="39">
        <v>34</v>
      </c>
      <c r="J33" s="39">
        <v>-306.00000000000023</v>
      </c>
      <c r="K33" s="39"/>
      <c r="L33" s="39"/>
      <c r="O33" s="81">
        <v>0.95</v>
      </c>
      <c r="P33" s="81">
        <f t="shared" si="2"/>
        <v>29.516500000000001</v>
      </c>
    </row>
    <row r="34" spans="1:21" x14ac:dyDescent="0.25">
      <c r="A34">
        <v>0</v>
      </c>
      <c r="B34" s="164">
        <v>43217</v>
      </c>
      <c r="C34" s="10">
        <v>100</v>
      </c>
      <c r="D34" s="39">
        <v>35.770000000000003</v>
      </c>
      <c r="E34" s="39">
        <v>33.49</v>
      </c>
      <c r="F34" s="39">
        <f t="shared" si="3"/>
        <v>-228.00000000000011</v>
      </c>
      <c r="G34" s="39">
        <f t="shared" si="4"/>
        <v>3577.0000000000005</v>
      </c>
      <c r="H34" s="179">
        <f t="shared" si="5"/>
        <v>-6.3740564719038328E-2</v>
      </c>
      <c r="I34" s="39">
        <v>35.25</v>
      </c>
      <c r="J34" s="39">
        <v>-228.00000000000011</v>
      </c>
      <c r="K34" s="39"/>
      <c r="L34" s="155"/>
      <c r="O34" s="81">
        <v>0.94</v>
      </c>
      <c r="P34" s="81">
        <f t="shared" si="2"/>
        <v>29.2058</v>
      </c>
    </row>
    <row r="35" spans="1:21" x14ac:dyDescent="0.25">
      <c r="A35">
        <v>0</v>
      </c>
      <c r="B35" s="164">
        <v>43222</v>
      </c>
      <c r="C35" s="10">
        <v>100</v>
      </c>
      <c r="D35" s="39">
        <v>35.270800000000001</v>
      </c>
      <c r="E35" s="39">
        <v>32.06</v>
      </c>
      <c r="F35" s="39">
        <f t="shared" si="3"/>
        <v>-321.07999999999993</v>
      </c>
      <c r="G35" s="39">
        <f t="shared" si="4"/>
        <v>3527.08</v>
      </c>
      <c r="H35" s="179">
        <f t="shared" si="5"/>
        <v>-9.1032809009152019E-2</v>
      </c>
      <c r="I35" s="39"/>
      <c r="J35" s="39">
        <v>-321.07999999999993</v>
      </c>
      <c r="K35" s="39"/>
      <c r="L35" s="155"/>
      <c r="O35" s="81">
        <v>0.93</v>
      </c>
      <c r="P35" s="81">
        <f t="shared" si="2"/>
        <v>28.895100000000003</v>
      </c>
    </row>
    <row r="36" spans="1:21" x14ac:dyDescent="0.25">
      <c r="A36">
        <v>0</v>
      </c>
      <c r="B36" s="164">
        <v>43222</v>
      </c>
      <c r="C36" s="10">
        <v>200</v>
      </c>
      <c r="D36" s="39">
        <v>33.675400000000003</v>
      </c>
      <c r="E36" s="39">
        <v>34.18</v>
      </c>
      <c r="F36" s="39">
        <f t="shared" si="3"/>
        <v>100.91999999999928</v>
      </c>
      <c r="G36" s="39">
        <f t="shared" si="4"/>
        <v>6735.0800000000008</v>
      </c>
      <c r="H36" s="179">
        <f t="shared" si="5"/>
        <v>1.4984231813133514E-2</v>
      </c>
      <c r="I36" s="39">
        <v>33.5</v>
      </c>
      <c r="J36" s="39">
        <v>100.91999999999928</v>
      </c>
      <c r="K36" s="39"/>
      <c r="L36" s="155"/>
      <c r="O36" s="81">
        <v>0.92</v>
      </c>
      <c r="P36" s="81">
        <f t="shared" si="2"/>
        <v>28.584400000000002</v>
      </c>
      <c r="T36" s="156">
        <v>43440</v>
      </c>
      <c r="U36" t="s">
        <v>1287</v>
      </c>
    </row>
    <row r="37" spans="1:21" x14ac:dyDescent="0.25">
      <c r="A37">
        <v>200</v>
      </c>
      <c r="B37" s="164">
        <v>43263</v>
      </c>
      <c r="C37" s="10">
        <v>100</v>
      </c>
      <c r="D37" s="39">
        <v>32.851199999999999</v>
      </c>
      <c r="E37" s="39">
        <v>34.35</v>
      </c>
      <c r="F37" s="39">
        <f t="shared" si="3"/>
        <v>149.88000000000028</v>
      </c>
      <c r="G37" s="39">
        <f t="shared" si="4"/>
        <v>3285.12</v>
      </c>
      <c r="H37" s="179">
        <f t="shared" si="5"/>
        <v>4.5623904149620191E-2</v>
      </c>
      <c r="I37" s="173" t="s">
        <v>1095</v>
      </c>
      <c r="J37" s="39">
        <v>149.88000000000028</v>
      </c>
      <c r="K37" s="39"/>
      <c r="L37" s="155"/>
      <c r="O37" s="81">
        <v>0.91</v>
      </c>
      <c r="P37" s="81">
        <f t="shared" si="2"/>
        <v>28.273700000000002</v>
      </c>
    </row>
    <row r="38" spans="1:21" x14ac:dyDescent="0.25">
      <c r="B38" s="164">
        <v>43264</v>
      </c>
      <c r="C38" s="10">
        <v>200</v>
      </c>
      <c r="D38" s="39">
        <v>32.550600000000003</v>
      </c>
      <c r="E38" s="39">
        <v>32.22</v>
      </c>
      <c r="F38" s="39">
        <f t="shared" si="3"/>
        <v>-66.1200000000008</v>
      </c>
      <c r="G38" s="39">
        <f t="shared" si="4"/>
        <v>6510.1200000000008</v>
      </c>
      <c r="H38" s="179">
        <f t="shared" si="5"/>
        <v>-1.0156494811155678E-2</v>
      </c>
      <c r="I38" s="173" t="s">
        <v>1097</v>
      </c>
      <c r="J38" s="39">
        <v>-66.1200000000008</v>
      </c>
      <c r="K38" s="39"/>
      <c r="L38" s="155"/>
      <c r="O38" s="81">
        <v>0.9</v>
      </c>
      <c r="P38" s="81">
        <f t="shared" si="2"/>
        <v>27.963000000000001</v>
      </c>
    </row>
    <row r="39" spans="1:21" x14ac:dyDescent="0.25">
      <c r="B39" s="164">
        <v>43265</v>
      </c>
      <c r="C39" s="10">
        <v>100</v>
      </c>
      <c r="D39" s="39">
        <v>32.211599999999997</v>
      </c>
      <c r="E39" s="39">
        <v>32.520000000000003</v>
      </c>
      <c r="F39" s="39">
        <f t="shared" si="3"/>
        <v>30.8400000000006</v>
      </c>
      <c r="G39" s="39">
        <f t="shared" si="4"/>
        <v>3221.16</v>
      </c>
      <c r="H39" s="179">
        <f t="shared" si="5"/>
        <v>9.5741906642329479E-3</v>
      </c>
      <c r="I39" s="39">
        <v>32</v>
      </c>
      <c r="J39" s="39">
        <v>30.8400000000006</v>
      </c>
      <c r="K39" s="39"/>
      <c r="L39" s="155"/>
    </row>
    <row r="40" spans="1:21" x14ac:dyDescent="0.25">
      <c r="B40" s="164">
        <v>43292</v>
      </c>
      <c r="C40" s="10">
        <v>200</v>
      </c>
      <c r="D40" s="39">
        <v>32.150799999999997</v>
      </c>
      <c r="E40" s="39">
        <v>32.090000000000003</v>
      </c>
      <c r="F40" s="39">
        <f t="shared" si="3"/>
        <v>-12.159999999998661</v>
      </c>
      <c r="G40" s="39">
        <f t="shared" si="4"/>
        <v>6430.1599999999989</v>
      </c>
      <c r="H40" s="179">
        <f t="shared" si="5"/>
        <v>-1.8910882466375116E-3</v>
      </c>
      <c r="I40" s="39">
        <v>32</v>
      </c>
      <c r="J40" s="39">
        <v>-12.159999999998661</v>
      </c>
      <c r="K40" s="39"/>
      <c r="L40" s="155"/>
    </row>
    <row r="41" spans="1:21" x14ac:dyDescent="0.25">
      <c r="B41" s="164">
        <v>43294</v>
      </c>
      <c r="C41" s="10">
        <v>300</v>
      </c>
      <c r="D41" s="39">
        <v>31.950500000000002</v>
      </c>
      <c r="E41" s="39">
        <v>31.67</v>
      </c>
      <c r="F41" s="39">
        <f t="shared" si="3"/>
        <v>-84.149999999999991</v>
      </c>
      <c r="G41" s="39">
        <f t="shared" si="4"/>
        <v>9585.15</v>
      </c>
      <c r="H41" s="179">
        <f t="shared" si="5"/>
        <v>-8.7792053332498704E-3</v>
      </c>
      <c r="I41" s="39">
        <v>31.5</v>
      </c>
      <c r="J41" s="39">
        <v>-84.149999999999991</v>
      </c>
      <c r="K41" s="39"/>
      <c r="L41" s="39"/>
      <c r="Q41" s="2"/>
    </row>
    <row r="42" spans="1:21" x14ac:dyDescent="0.25">
      <c r="B42" s="164">
        <v>43297</v>
      </c>
      <c r="C42" s="10">
        <v>300</v>
      </c>
      <c r="D42" s="39">
        <v>31.950500000000002</v>
      </c>
      <c r="E42" s="39">
        <v>31.9</v>
      </c>
      <c r="F42" s="39">
        <f t="shared" si="3"/>
        <v>-15.150000000000929</v>
      </c>
      <c r="G42" s="39">
        <f t="shared" si="4"/>
        <v>9585.15</v>
      </c>
      <c r="H42" s="179">
        <f t="shared" si="5"/>
        <v>-1.5805699441324265E-3</v>
      </c>
      <c r="I42" s="39"/>
      <c r="J42" s="39">
        <v>-15.150000000000929</v>
      </c>
      <c r="K42" s="39"/>
      <c r="L42" s="39"/>
      <c r="Q42" s="2"/>
    </row>
    <row r="43" spans="1:21" x14ac:dyDescent="0.25">
      <c r="A43">
        <v>100</v>
      </c>
      <c r="B43" s="164">
        <v>43303</v>
      </c>
      <c r="C43" s="185">
        <v>300</v>
      </c>
      <c r="D43" s="186">
        <v>31.95</v>
      </c>
      <c r="E43" s="39">
        <v>31.1</v>
      </c>
      <c r="F43" s="39">
        <f t="shared" si="3"/>
        <v>-254.99999999999937</v>
      </c>
      <c r="G43" s="39">
        <f t="shared" si="4"/>
        <v>9585</v>
      </c>
      <c r="H43" s="179">
        <f t="shared" si="5"/>
        <v>-2.6604068857589917E-2</v>
      </c>
      <c r="I43" s="39"/>
      <c r="J43" s="39">
        <v>-254.99999999999937</v>
      </c>
      <c r="K43" s="39"/>
      <c r="L43" s="39">
        <v>8.9600000000000009</v>
      </c>
      <c r="Q43" s="2"/>
    </row>
    <row r="44" spans="1:21" x14ac:dyDescent="0.25">
      <c r="B44" s="164">
        <v>43306</v>
      </c>
      <c r="C44" s="7">
        <v>600</v>
      </c>
      <c r="D44" s="43">
        <v>31.420300000000001</v>
      </c>
      <c r="E44" s="39">
        <v>30.89</v>
      </c>
      <c r="F44" s="39">
        <f t="shared" si="3"/>
        <v>-318.18000000000029</v>
      </c>
      <c r="G44" s="39">
        <f t="shared" si="4"/>
        <v>18852.18</v>
      </c>
      <c r="H44" s="179">
        <f t="shared" si="5"/>
        <v>-1.6877623701874279E-2</v>
      </c>
      <c r="I44" s="39"/>
      <c r="J44" s="39">
        <v>-318.18000000000029</v>
      </c>
      <c r="K44" s="39"/>
      <c r="L44" s="39"/>
      <c r="Q44" s="2"/>
    </row>
    <row r="45" spans="1:21" x14ac:dyDescent="0.25">
      <c r="B45" s="164">
        <v>43306</v>
      </c>
      <c r="C45" s="771">
        <v>1200</v>
      </c>
      <c r="D45" s="772">
        <v>30.95</v>
      </c>
      <c r="E45" s="39">
        <v>30.48</v>
      </c>
      <c r="F45" s="39">
        <f t="shared" si="3"/>
        <v>-563.99999999999864</v>
      </c>
      <c r="G45" s="39">
        <f t="shared" si="4"/>
        <v>37140</v>
      </c>
      <c r="H45" s="179">
        <f t="shared" si="5"/>
        <v>-1.5185783521809333E-2</v>
      </c>
      <c r="I45" s="39">
        <v>30.25</v>
      </c>
      <c r="J45" s="39">
        <v>-563.99999999999864</v>
      </c>
      <c r="K45" s="39"/>
      <c r="L45" s="39"/>
      <c r="Q45" s="2"/>
    </row>
    <row r="46" spans="1:21" x14ac:dyDescent="0.25">
      <c r="B46" s="164">
        <v>43306</v>
      </c>
      <c r="C46" s="10">
        <v>1500</v>
      </c>
      <c r="D46" s="39">
        <v>30.81</v>
      </c>
      <c r="E46" s="39">
        <v>30.25</v>
      </c>
      <c r="F46" s="39">
        <f t="shared" si="3"/>
        <v>-839.99999999999807</v>
      </c>
      <c r="G46" s="39">
        <f t="shared" si="4"/>
        <v>46215</v>
      </c>
      <c r="H46" s="179">
        <f t="shared" si="5"/>
        <v>-1.8175916910094084E-2</v>
      </c>
      <c r="I46" s="39"/>
      <c r="J46" s="39">
        <v>-839.99999999999807</v>
      </c>
      <c r="K46" s="39"/>
      <c r="L46" s="39"/>
      <c r="Q46" s="2"/>
    </row>
    <row r="47" spans="1:21" x14ac:dyDescent="0.25">
      <c r="A47">
        <v>100</v>
      </c>
      <c r="B47" s="164">
        <v>43308</v>
      </c>
      <c r="C47" s="10">
        <v>1500</v>
      </c>
      <c r="D47" s="39">
        <v>30.81</v>
      </c>
      <c r="E47" s="39">
        <v>31.08</v>
      </c>
      <c r="F47" s="39">
        <f t="shared" si="3"/>
        <v>404.99999999999937</v>
      </c>
      <c r="G47" s="39">
        <f t="shared" si="4"/>
        <v>46215</v>
      </c>
      <c r="H47" s="179">
        <f t="shared" si="5"/>
        <v>8.7633885102239399E-3</v>
      </c>
      <c r="I47" s="39"/>
      <c r="J47" s="39">
        <v>404.99999999999937</v>
      </c>
      <c r="K47" s="39"/>
      <c r="L47" s="39">
        <v>8.9600000000000009</v>
      </c>
      <c r="Q47" s="2"/>
    </row>
    <row r="48" spans="1:21" x14ac:dyDescent="0.25">
      <c r="A48">
        <v>0</v>
      </c>
      <c r="B48" s="164">
        <v>43311</v>
      </c>
      <c r="C48" s="10">
        <v>1400</v>
      </c>
      <c r="D48" s="39">
        <v>30.7194</v>
      </c>
      <c r="E48" s="39">
        <v>32</v>
      </c>
      <c r="F48" s="39">
        <f t="shared" si="3"/>
        <v>1792.8399999999997</v>
      </c>
      <c r="G48" s="39">
        <f t="shared" si="4"/>
        <v>43007.16</v>
      </c>
      <c r="H48" s="179">
        <f t="shared" si="5"/>
        <v>4.1687012116122052E-2</v>
      </c>
      <c r="I48" s="39"/>
      <c r="J48" s="39">
        <v>1792.8399999999997</v>
      </c>
      <c r="K48" s="39"/>
      <c r="L48" s="39">
        <v>9.2200000000000006</v>
      </c>
      <c r="Q48" s="2"/>
    </row>
    <row r="49" spans="1:17" x14ac:dyDescent="0.25">
      <c r="A49">
        <v>0</v>
      </c>
      <c r="B49" s="164">
        <v>43313</v>
      </c>
      <c r="C49" s="10">
        <v>1400</v>
      </c>
      <c r="D49" s="39">
        <v>30.683700000000002</v>
      </c>
      <c r="E49" s="39">
        <v>31.9</v>
      </c>
      <c r="F49" s="39">
        <f t="shared" si="3"/>
        <v>1702.8199999999956</v>
      </c>
      <c r="G49" s="39">
        <f t="shared" si="4"/>
        <v>42957.18</v>
      </c>
      <c r="H49" s="179">
        <f t="shared" si="5"/>
        <v>3.9639939120770858E-2</v>
      </c>
      <c r="I49" s="39"/>
      <c r="J49" s="39">
        <v>1702.8199999999956</v>
      </c>
      <c r="K49" s="39"/>
      <c r="L49" s="39">
        <v>9.19</v>
      </c>
      <c r="Q49" s="2"/>
    </row>
    <row r="50" spans="1:17" x14ac:dyDescent="0.25">
      <c r="A50" s="1">
        <v>43325</v>
      </c>
      <c r="B50" s="164">
        <v>43316</v>
      </c>
      <c r="C50" s="10">
        <v>1400</v>
      </c>
      <c r="D50" s="39">
        <v>30.68</v>
      </c>
      <c r="E50" s="39">
        <v>32.270000000000003</v>
      </c>
      <c r="F50" s="39">
        <f t="shared" si="3"/>
        <v>2226.0000000000045</v>
      </c>
      <c r="G50" s="39">
        <f t="shared" si="4"/>
        <v>42952</v>
      </c>
      <c r="H50" s="179">
        <f t="shared" si="5"/>
        <v>5.1825293350717193E-2</v>
      </c>
      <c r="I50" s="39"/>
      <c r="J50" s="39">
        <v>2226.0000000000045</v>
      </c>
      <c r="K50" s="39"/>
      <c r="L50" s="39">
        <v>9.3000000000000007</v>
      </c>
      <c r="Q50" s="2"/>
    </row>
    <row r="51" spans="1:17" x14ac:dyDescent="0.25">
      <c r="B51" s="164">
        <v>43325</v>
      </c>
      <c r="C51" s="10">
        <v>1400</v>
      </c>
      <c r="D51" s="39">
        <v>30.68</v>
      </c>
      <c r="E51" s="39">
        <v>32.21</v>
      </c>
      <c r="F51" s="39">
        <f t="shared" si="3"/>
        <v>2142.0000000000018</v>
      </c>
      <c r="G51" s="39">
        <f t="shared" si="4"/>
        <v>42952</v>
      </c>
      <c r="H51" s="179">
        <f t="shared" si="5"/>
        <v>4.9869621903520248E-2</v>
      </c>
      <c r="I51" s="39"/>
      <c r="J51" s="39">
        <v>2142.0000000000018</v>
      </c>
      <c r="K51" s="39"/>
      <c r="L51" s="39"/>
      <c r="Q51" s="2"/>
    </row>
    <row r="52" spans="1:17" x14ac:dyDescent="0.25">
      <c r="B52" s="164">
        <v>43328</v>
      </c>
      <c r="C52" s="771">
        <v>1200</v>
      </c>
      <c r="D52" s="772">
        <v>30.306100000000001</v>
      </c>
      <c r="E52" s="39">
        <v>32.950000000000003</v>
      </c>
      <c r="F52" s="39">
        <f t="shared" si="3"/>
        <v>3172.6800000000026</v>
      </c>
      <c r="G52" s="39">
        <f t="shared" si="4"/>
        <v>36367.32</v>
      </c>
      <c r="H52" s="179">
        <f t="shared" si="5"/>
        <v>8.7239862601918489E-2</v>
      </c>
      <c r="I52" s="39">
        <v>30.25</v>
      </c>
      <c r="J52" s="39">
        <v>3172.6800000000026</v>
      </c>
      <c r="K52" s="39"/>
      <c r="L52" s="39"/>
      <c r="Q52" s="2"/>
    </row>
    <row r="53" spans="1:17" x14ac:dyDescent="0.25">
      <c r="B53" s="164">
        <v>43329</v>
      </c>
      <c r="C53" s="10">
        <v>1200</v>
      </c>
      <c r="D53" s="39">
        <v>30.31</v>
      </c>
      <c r="E53" s="39">
        <v>33.03</v>
      </c>
      <c r="F53" s="39">
        <f t="shared" si="3"/>
        <v>3264.0000000000027</v>
      </c>
      <c r="G53" s="39">
        <f t="shared" si="4"/>
        <v>36372</v>
      </c>
      <c r="H53" s="179">
        <f t="shared" si="5"/>
        <v>8.973935994721223E-2</v>
      </c>
      <c r="I53" s="39"/>
      <c r="J53" s="39">
        <v>3264.0000000000027</v>
      </c>
      <c r="K53" s="39"/>
      <c r="L53" s="39">
        <v>9.52</v>
      </c>
      <c r="Q53" s="2"/>
    </row>
    <row r="54" spans="1:17" x14ac:dyDescent="0.25">
      <c r="B54" s="164">
        <v>43332</v>
      </c>
      <c r="C54" s="10">
        <v>1200</v>
      </c>
      <c r="D54" s="39">
        <v>30.306000000000001</v>
      </c>
      <c r="E54" s="39">
        <v>33.11</v>
      </c>
      <c r="F54" s="39">
        <f t="shared" si="3"/>
        <v>3364.7999999999984</v>
      </c>
      <c r="G54" s="39">
        <f t="shared" si="4"/>
        <v>36367.200000000004</v>
      </c>
      <c r="H54" s="179">
        <f t="shared" si="5"/>
        <v>9.2522932752590187E-2</v>
      </c>
      <c r="I54" s="39"/>
      <c r="J54" s="39">
        <v>3364.7999999999984</v>
      </c>
      <c r="K54" s="39"/>
      <c r="L54" s="39">
        <v>9.5399999999999991</v>
      </c>
    </row>
    <row r="55" spans="1:17" x14ac:dyDescent="0.25">
      <c r="A55" s="1">
        <v>43339</v>
      </c>
      <c r="B55" s="164">
        <v>43333</v>
      </c>
      <c r="C55" s="10">
        <v>1200</v>
      </c>
      <c r="D55" s="39">
        <v>30.306000000000001</v>
      </c>
      <c r="E55" s="39">
        <v>33.4</v>
      </c>
      <c r="F55" s="778">
        <f t="shared" ref="F55:F75" si="6">C55*(E55-D55)</f>
        <v>3712.799999999997</v>
      </c>
      <c r="G55" s="39">
        <f t="shared" ref="G55:G75" si="7">D55*C55</f>
        <v>36367.200000000004</v>
      </c>
      <c r="H55" s="179">
        <f t="shared" ref="H55:H75" si="8">(E55-D55)/D55</f>
        <v>0.10209199498449144</v>
      </c>
      <c r="I55" s="39"/>
      <c r="J55" s="778">
        <v>3712.799999999997</v>
      </c>
      <c r="K55" s="39"/>
      <c r="L55" s="39">
        <v>9.6300000000000008</v>
      </c>
    </row>
    <row r="56" spans="1:17" x14ac:dyDescent="0.25">
      <c r="A56">
        <v>1200</v>
      </c>
      <c r="B56" s="164">
        <v>43338</v>
      </c>
      <c r="C56" s="10">
        <v>1200</v>
      </c>
      <c r="D56" s="39">
        <v>30.31</v>
      </c>
      <c r="E56" s="39">
        <v>32.64</v>
      </c>
      <c r="F56" s="39">
        <f t="shared" si="6"/>
        <v>2796.0000000000023</v>
      </c>
      <c r="G56" s="39">
        <f t="shared" si="7"/>
        <v>36372</v>
      </c>
      <c r="H56" s="179">
        <f t="shared" si="8"/>
        <v>7.687231936654576E-2</v>
      </c>
      <c r="I56" s="39"/>
      <c r="J56" s="39">
        <v>2796.0000000000023</v>
      </c>
      <c r="K56" s="39"/>
      <c r="L56" s="39">
        <v>9.41</v>
      </c>
    </row>
    <row r="57" spans="1:17" x14ac:dyDescent="0.25">
      <c r="A57">
        <v>1200</v>
      </c>
      <c r="B57" s="164">
        <v>43341</v>
      </c>
      <c r="C57" s="10">
        <v>1400</v>
      </c>
      <c r="D57" s="39">
        <v>30.5838</v>
      </c>
      <c r="E57" s="39">
        <v>32.229999999999997</v>
      </c>
      <c r="F57" s="39">
        <f t="shared" si="6"/>
        <v>2304.6799999999953</v>
      </c>
      <c r="G57" s="39">
        <f t="shared" si="7"/>
        <v>42817.32</v>
      </c>
      <c r="H57" s="179">
        <f t="shared" si="8"/>
        <v>5.3825881675919826E-2</v>
      </c>
      <c r="I57" s="39">
        <v>30</v>
      </c>
      <c r="J57" s="39">
        <v>2304.6799999999953</v>
      </c>
      <c r="K57" s="39">
        <v>47.42</v>
      </c>
      <c r="L57" s="39">
        <v>9.2899999999999991</v>
      </c>
    </row>
    <row r="58" spans="1:17" x14ac:dyDescent="0.25">
      <c r="A58">
        <v>1200</v>
      </c>
      <c r="B58" s="164">
        <v>43342</v>
      </c>
      <c r="C58" s="10">
        <v>1400</v>
      </c>
      <c r="D58" s="39">
        <v>30.5838</v>
      </c>
      <c r="E58" s="39">
        <v>31.96</v>
      </c>
      <c r="F58" s="39">
        <f t="shared" si="6"/>
        <v>1926.680000000001</v>
      </c>
      <c r="G58" s="39">
        <f t="shared" si="7"/>
        <v>42817.32</v>
      </c>
      <c r="H58" s="179">
        <f t="shared" si="8"/>
        <v>4.4997678509537752E-2</v>
      </c>
      <c r="I58" s="39"/>
      <c r="J58" s="39">
        <v>1926.680000000001</v>
      </c>
      <c r="K58" s="39">
        <v>43.87</v>
      </c>
      <c r="L58" s="39">
        <v>9.2100000000000009</v>
      </c>
    </row>
    <row r="59" spans="1:17" x14ac:dyDescent="0.25">
      <c r="A59">
        <v>1200</v>
      </c>
      <c r="B59" s="164">
        <v>43350</v>
      </c>
      <c r="C59" s="10">
        <v>1400</v>
      </c>
      <c r="D59" s="39">
        <v>30.58</v>
      </c>
      <c r="E59" s="39">
        <v>32.18</v>
      </c>
      <c r="F59" s="39">
        <f t="shared" si="6"/>
        <v>2240.0000000000018</v>
      </c>
      <c r="G59" s="39">
        <f t="shared" si="7"/>
        <v>42812</v>
      </c>
      <c r="H59" s="179">
        <f t="shared" si="8"/>
        <v>5.2321778940484023E-2</v>
      </c>
      <c r="I59" s="39"/>
      <c r="J59" s="39">
        <v>2240.0000000000018</v>
      </c>
      <c r="K59" s="39">
        <v>47.3</v>
      </c>
      <c r="L59" s="39">
        <v>9.27</v>
      </c>
    </row>
    <row r="60" spans="1:17" x14ac:dyDescent="0.25">
      <c r="A60">
        <v>400</v>
      </c>
      <c r="B60" s="164">
        <v>43355</v>
      </c>
      <c r="C60" s="7">
        <v>600</v>
      </c>
      <c r="D60" s="43">
        <v>26.976099999999999</v>
      </c>
      <c r="E60" s="39">
        <v>33.42</v>
      </c>
      <c r="F60" s="778">
        <f t="shared" si="6"/>
        <v>3866.3400000000015</v>
      </c>
      <c r="G60" s="39">
        <f t="shared" si="7"/>
        <v>16185.66</v>
      </c>
      <c r="H60" s="179">
        <f t="shared" si="8"/>
        <v>0.23887441105274682</v>
      </c>
      <c r="I60" s="39">
        <v>26.5</v>
      </c>
      <c r="J60" s="778">
        <v>3866.3400000000015</v>
      </c>
      <c r="K60" s="39"/>
      <c r="L60" s="39">
        <v>9.6300000000000008</v>
      </c>
    </row>
    <row r="61" spans="1:17" x14ac:dyDescent="0.25">
      <c r="A61" s="4">
        <v>400</v>
      </c>
      <c r="B61" s="164">
        <v>43356</v>
      </c>
      <c r="C61" s="10">
        <v>600</v>
      </c>
      <c r="D61" s="39">
        <v>26.976099999999999</v>
      </c>
      <c r="E61" s="39">
        <v>33.68</v>
      </c>
      <c r="F61" s="778">
        <f t="shared" si="6"/>
        <v>4022.3400000000006</v>
      </c>
      <c r="G61" s="39">
        <f t="shared" si="7"/>
        <v>16185.66</v>
      </c>
      <c r="H61" s="179">
        <f t="shared" si="8"/>
        <v>0.24851257223987164</v>
      </c>
      <c r="I61" s="39"/>
      <c r="J61" s="778">
        <v>4022.3400000000006</v>
      </c>
      <c r="K61" s="39"/>
      <c r="L61" s="39"/>
    </row>
    <row r="62" spans="1:17" x14ac:dyDescent="0.25">
      <c r="A62" s="4">
        <v>400</v>
      </c>
      <c r="B62" s="164">
        <v>43362</v>
      </c>
      <c r="C62" s="10">
        <v>600</v>
      </c>
      <c r="D62" s="39">
        <v>26.976099999999999</v>
      </c>
      <c r="E62" s="39">
        <v>33.369999999999997</v>
      </c>
      <c r="F62" s="101">
        <f t="shared" si="6"/>
        <v>3836.3399999999992</v>
      </c>
      <c r="G62" s="39">
        <f t="shared" si="7"/>
        <v>16185.66</v>
      </c>
      <c r="H62" s="179">
        <f t="shared" si="8"/>
        <v>0.2370209185167611</v>
      </c>
      <c r="I62" s="39"/>
      <c r="J62" s="101">
        <v>3836.3399999999992</v>
      </c>
      <c r="K62" s="39"/>
      <c r="L62" s="39">
        <v>9.6199999999999992</v>
      </c>
    </row>
    <row r="63" spans="1:17" x14ac:dyDescent="0.25">
      <c r="A63" s="4">
        <v>400</v>
      </c>
      <c r="B63" s="164">
        <v>43364</v>
      </c>
      <c r="C63" s="10">
        <v>600</v>
      </c>
      <c r="D63" s="39">
        <v>26.976099999999999</v>
      </c>
      <c r="E63" s="39">
        <v>33.78</v>
      </c>
      <c r="F63" s="778">
        <f t="shared" si="6"/>
        <v>4082.3400000000015</v>
      </c>
      <c r="G63" s="39">
        <f t="shared" si="7"/>
        <v>16185.66</v>
      </c>
      <c r="H63" s="179">
        <f t="shared" si="8"/>
        <v>0.25221955731184281</v>
      </c>
      <c r="I63" s="39"/>
      <c r="J63" s="778">
        <v>4082.3400000000015</v>
      </c>
      <c r="K63" s="39"/>
      <c r="L63" s="39">
        <v>9.73</v>
      </c>
    </row>
    <row r="64" spans="1:17" x14ac:dyDescent="0.25">
      <c r="A64" s="4">
        <v>600</v>
      </c>
      <c r="B64" s="164">
        <v>43383</v>
      </c>
      <c r="C64" s="10">
        <v>700</v>
      </c>
      <c r="D64" s="39">
        <v>27.8081</v>
      </c>
      <c r="E64" s="39">
        <v>32.85</v>
      </c>
      <c r="F64" s="39">
        <f t="shared" si="6"/>
        <v>3529.3300000000013</v>
      </c>
      <c r="G64" s="39">
        <f t="shared" si="7"/>
        <v>19465.669999999998</v>
      </c>
      <c r="H64" s="179">
        <f t="shared" si="8"/>
        <v>0.18131048147841822</v>
      </c>
      <c r="I64" s="39"/>
      <c r="J64" s="39">
        <v>3529.3300000000013</v>
      </c>
      <c r="K64" s="39"/>
      <c r="L64" s="39">
        <v>9.4700000000000006</v>
      </c>
    </row>
    <row r="65" spans="1:12" x14ac:dyDescent="0.25">
      <c r="A65" s="4">
        <v>600</v>
      </c>
      <c r="B65" s="164">
        <v>43384</v>
      </c>
      <c r="C65" s="10">
        <v>800</v>
      </c>
      <c r="D65" s="39">
        <v>28.355</v>
      </c>
      <c r="E65" s="39">
        <v>31.75</v>
      </c>
      <c r="F65" s="39">
        <f t="shared" si="6"/>
        <v>2715.9999999999995</v>
      </c>
      <c r="G65" s="39">
        <f t="shared" si="7"/>
        <v>22684</v>
      </c>
      <c r="H65" s="179">
        <f t="shared" si="8"/>
        <v>0.11973196967025214</v>
      </c>
      <c r="I65" s="39"/>
      <c r="J65" s="39">
        <v>2715.9999999999995</v>
      </c>
      <c r="K65" s="39"/>
      <c r="L65" s="39">
        <v>9.15</v>
      </c>
    </row>
    <row r="66" spans="1:12" x14ac:dyDescent="0.25">
      <c r="A66" s="4">
        <v>600</v>
      </c>
      <c r="B66" s="164">
        <v>43397</v>
      </c>
      <c r="C66" s="10">
        <v>1000</v>
      </c>
      <c r="D66" s="39">
        <v>28.843599999999999</v>
      </c>
      <c r="E66" s="39">
        <v>30.36</v>
      </c>
      <c r="F66" s="39">
        <f t="shared" si="6"/>
        <v>1516.4000000000008</v>
      </c>
      <c r="G66" s="39">
        <f t="shared" si="7"/>
        <v>28843.599999999999</v>
      </c>
      <c r="H66" s="179">
        <f t="shared" si="8"/>
        <v>5.2573187812894398E-2</v>
      </c>
      <c r="I66" s="39"/>
      <c r="J66" s="39">
        <v>1516.4000000000008</v>
      </c>
      <c r="K66" s="39"/>
      <c r="L66" s="39">
        <v>8.75</v>
      </c>
    </row>
    <row r="67" spans="1:12" x14ac:dyDescent="0.25">
      <c r="A67" s="4">
        <v>600</v>
      </c>
      <c r="B67" s="164">
        <v>43402</v>
      </c>
      <c r="C67" s="10">
        <v>1000</v>
      </c>
      <c r="D67" s="39">
        <v>28.843599999999999</v>
      </c>
      <c r="E67" s="39">
        <v>29.64</v>
      </c>
      <c r="F67" s="39">
        <f t="shared" si="6"/>
        <v>796.40000000000202</v>
      </c>
      <c r="G67" s="39">
        <f t="shared" si="7"/>
        <v>28843.599999999999</v>
      </c>
      <c r="H67" s="179">
        <f t="shared" si="8"/>
        <v>2.7610977825236863E-2</v>
      </c>
      <c r="I67" s="39"/>
      <c r="J67" s="39">
        <v>796.40000000000202</v>
      </c>
      <c r="K67" s="39"/>
      <c r="L67" s="39">
        <v>8.5399999999999991</v>
      </c>
    </row>
    <row r="68" spans="1:12" x14ac:dyDescent="0.25">
      <c r="A68" s="4">
        <v>600</v>
      </c>
      <c r="B68" s="164">
        <v>43405</v>
      </c>
      <c r="C68" s="10">
        <v>1000</v>
      </c>
      <c r="D68" s="39">
        <v>28.543600000000001</v>
      </c>
      <c r="E68" s="39">
        <v>30.49</v>
      </c>
      <c r="F68" s="39">
        <f t="shared" si="6"/>
        <v>1946.3999999999969</v>
      </c>
      <c r="G68" s="39">
        <f t="shared" si="7"/>
        <v>28543.600000000002</v>
      </c>
      <c r="H68" s="179">
        <f t="shared" si="8"/>
        <v>6.8190417466612377E-2</v>
      </c>
      <c r="I68" s="39"/>
      <c r="J68" s="39">
        <v>1946.3999999999969</v>
      </c>
      <c r="K68" s="39"/>
      <c r="L68" s="39">
        <v>8.7899999999999991</v>
      </c>
    </row>
    <row r="69" spans="1:12" x14ac:dyDescent="0.25">
      <c r="A69" s="4">
        <v>600</v>
      </c>
      <c r="B69" s="164">
        <v>43407</v>
      </c>
      <c r="C69" s="10">
        <v>1000</v>
      </c>
      <c r="D69" s="39">
        <v>28.543600000000001</v>
      </c>
      <c r="E69" s="39">
        <v>30.52</v>
      </c>
      <c r="F69" s="39">
        <f t="shared" si="6"/>
        <v>1976.3999999999983</v>
      </c>
      <c r="G69" s="39">
        <f t="shared" si="7"/>
        <v>28543.600000000002</v>
      </c>
      <c r="H69" s="179">
        <f t="shared" si="8"/>
        <v>6.9241441163693365E-2</v>
      </c>
      <c r="I69" s="39"/>
      <c r="J69" s="39">
        <v>1976.3999999999983</v>
      </c>
      <c r="K69" s="39"/>
      <c r="L69" s="39">
        <v>8.7200000000000006</v>
      </c>
    </row>
    <row r="70" spans="1:12" x14ac:dyDescent="0.25">
      <c r="A70" s="4">
        <v>800</v>
      </c>
      <c r="B70" s="164">
        <v>43417</v>
      </c>
      <c r="C70" s="10">
        <v>1000</v>
      </c>
      <c r="D70" s="39">
        <v>28.543600000000001</v>
      </c>
      <c r="E70" s="39">
        <v>30.33</v>
      </c>
      <c r="F70" s="39">
        <f t="shared" si="6"/>
        <v>1786.3999999999969</v>
      </c>
      <c r="G70" s="39">
        <f t="shared" si="7"/>
        <v>28543.600000000002</v>
      </c>
      <c r="H70" s="179">
        <f t="shared" si="8"/>
        <v>6.2584957748847259E-2</v>
      </c>
      <c r="I70" s="39"/>
      <c r="J70" s="39">
        <v>1786.3999999999969</v>
      </c>
      <c r="K70" s="39"/>
      <c r="L70" s="39">
        <v>8.67</v>
      </c>
    </row>
    <row r="71" spans="1:12" x14ac:dyDescent="0.25">
      <c r="A71" s="4">
        <v>800</v>
      </c>
      <c r="B71" s="164">
        <v>43424</v>
      </c>
      <c r="C71" s="10">
        <v>1100</v>
      </c>
      <c r="D71" s="39">
        <v>28.646899999999999</v>
      </c>
      <c r="E71" s="39">
        <v>29.42</v>
      </c>
      <c r="F71" s="39">
        <f t="shared" si="6"/>
        <v>850.41000000000327</v>
      </c>
      <c r="G71" s="39">
        <f t="shared" si="7"/>
        <v>31511.59</v>
      </c>
      <c r="H71" s="179">
        <f t="shared" si="8"/>
        <v>2.6987213276131204E-2</v>
      </c>
      <c r="I71" s="39"/>
      <c r="J71" s="39">
        <v>850.41000000000327</v>
      </c>
      <c r="K71" s="39"/>
      <c r="L71" s="39">
        <v>8.41</v>
      </c>
    </row>
    <row r="72" spans="1:12" x14ac:dyDescent="0.25">
      <c r="A72" s="4">
        <v>1000</v>
      </c>
      <c r="B72" s="164">
        <v>43427</v>
      </c>
      <c r="C72" s="771">
        <v>1200</v>
      </c>
      <c r="D72" s="772">
        <v>28.706399999999999</v>
      </c>
      <c r="E72" s="39">
        <v>29.36</v>
      </c>
      <c r="F72" s="39">
        <f t="shared" si="6"/>
        <v>784.32000000000107</v>
      </c>
      <c r="G72" s="39">
        <f t="shared" si="7"/>
        <v>34447.68</v>
      </c>
      <c r="H72" s="179">
        <f t="shared" si="8"/>
        <v>2.2768441880556285E-2</v>
      </c>
      <c r="I72" s="39"/>
      <c r="J72" s="39">
        <v>784.32000000000107</v>
      </c>
      <c r="K72" s="39"/>
      <c r="L72" s="39">
        <v>8.51</v>
      </c>
    </row>
    <row r="73" spans="1:12" x14ac:dyDescent="0.25">
      <c r="A73" s="4">
        <v>800</v>
      </c>
      <c r="B73" s="164">
        <v>43430</v>
      </c>
      <c r="C73" s="10">
        <v>1000</v>
      </c>
      <c r="D73" s="39">
        <v>28.451699999999999</v>
      </c>
      <c r="E73" s="39">
        <v>29.95</v>
      </c>
      <c r="F73" s="39">
        <f t="shared" si="6"/>
        <v>1498.3000000000004</v>
      </c>
      <c r="G73" s="39">
        <f t="shared" si="7"/>
        <v>28451.699999999997</v>
      </c>
      <c r="H73" s="179">
        <f t="shared" si="8"/>
        <v>5.2661176660797088E-2</v>
      </c>
      <c r="I73" s="39"/>
      <c r="J73" s="39">
        <v>1498.3000000000004</v>
      </c>
      <c r="K73" s="39"/>
      <c r="L73" s="39">
        <v>8.56</v>
      </c>
    </row>
    <row r="74" spans="1:12" x14ac:dyDescent="0.25">
      <c r="A74" s="4">
        <v>800</v>
      </c>
      <c r="B74" s="164">
        <v>43436</v>
      </c>
      <c r="C74" s="10">
        <v>1000</v>
      </c>
      <c r="D74" s="39">
        <v>28.451699999999999</v>
      </c>
      <c r="E74" s="39">
        <v>31.24</v>
      </c>
      <c r="F74" s="39">
        <f t="shared" si="6"/>
        <v>2788.2999999999997</v>
      </c>
      <c r="G74" s="39">
        <f t="shared" si="7"/>
        <v>28451.699999999997</v>
      </c>
      <c r="H74" s="179">
        <f t="shared" si="8"/>
        <v>9.8001173919308848E-2</v>
      </c>
      <c r="I74" s="39"/>
      <c r="J74" s="39">
        <v>2788.2999999999997</v>
      </c>
      <c r="K74" s="39"/>
      <c r="L74" s="39">
        <v>8.93</v>
      </c>
    </row>
    <row r="75" spans="1:12" x14ac:dyDescent="0.25">
      <c r="A75" s="4">
        <v>800</v>
      </c>
      <c r="B75" s="164">
        <v>43442</v>
      </c>
      <c r="C75" s="10">
        <v>1000</v>
      </c>
      <c r="D75" s="39">
        <v>28.45</v>
      </c>
      <c r="E75" s="39">
        <v>30.14</v>
      </c>
      <c r="F75" s="39">
        <f t="shared" si="6"/>
        <v>1690.0000000000014</v>
      </c>
      <c r="G75" s="39">
        <f t="shared" si="7"/>
        <v>28450</v>
      </c>
      <c r="H75" s="179">
        <f t="shared" si="8"/>
        <v>5.9402460456942051E-2</v>
      </c>
      <c r="I75" s="39"/>
      <c r="J75" s="39">
        <v>1690.0000000000014</v>
      </c>
      <c r="K75" s="39"/>
      <c r="L75" s="39">
        <v>8.61</v>
      </c>
    </row>
    <row r="76" spans="1:12" x14ac:dyDescent="0.25">
      <c r="A76" s="4">
        <v>1000</v>
      </c>
      <c r="B76" s="164">
        <v>43467</v>
      </c>
      <c r="C76" s="10">
        <v>1000</v>
      </c>
      <c r="D76" s="39">
        <v>28.451699999999999</v>
      </c>
      <c r="E76" s="39">
        <v>29.54</v>
      </c>
      <c r="F76" s="39">
        <f t="shared" ref="F76:F87" si="9">C76*(E76-D76)</f>
        <v>1088.3000000000002</v>
      </c>
      <c r="G76" s="39">
        <f t="shared" ref="G76:G87" si="10">D76*C76</f>
        <v>28451.699999999997</v>
      </c>
      <c r="H76" s="179">
        <f t="shared" ref="H76:H87" si="11">(E76-D76)/D76</f>
        <v>3.8250789935223566E-2</v>
      </c>
      <c r="I76" s="39"/>
      <c r="J76" s="39">
        <v>1088.3000000000002</v>
      </c>
      <c r="K76" s="39"/>
      <c r="L76" s="39">
        <v>8.44</v>
      </c>
    </row>
    <row r="77" spans="1:12" x14ac:dyDescent="0.25">
      <c r="A77" s="4">
        <v>800</v>
      </c>
      <c r="B77" s="164">
        <v>43472</v>
      </c>
      <c r="C77" s="10">
        <v>800</v>
      </c>
      <c r="D77" s="39">
        <v>27.817299999999999</v>
      </c>
      <c r="E77" s="39">
        <v>30.89</v>
      </c>
      <c r="F77" s="39">
        <f t="shared" si="9"/>
        <v>2458.1600000000008</v>
      </c>
      <c r="G77" s="39">
        <f t="shared" si="10"/>
        <v>22253.84</v>
      </c>
      <c r="H77" s="179">
        <f t="shared" si="11"/>
        <v>0.11046003745870379</v>
      </c>
      <c r="I77" s="39"/>
      <c r="J77" s="39">
        <v>2458.1600000000008</v>
      </c>
      <c r="K77" s="39"/>
      <c r="L77" s="39">
        <v>8.83</v>
      </c>
    </row>
    <row r="78" spans="1:12" x14ac:dyDescent="0.25">
      <c r="A78" s="4">
        <v>800</v>
      </c>
      <c r="B78" s="164">
        <v>43474</v>
      </c>
      <c r="C78" s="10">
        <v>1000</v>
      </c>
      <c r="D78" s="39">
        <v>28.293800000000001</v>
      </c>
      <c r="E78" s="39">
        <v>30.1</v>
      </c>
      <c r="F78" s="39">
        <f t="shared" si="9"/>
        <v>1806.2000000000005</v>
      </c>
      <c r="G78" s="39">
        <f t="shared" si="10"/>
        <v>28293.8</v>
      </c>
      <c r="H78" s="179">
        <f t="shared" si="11"/>
        <v>6.3837307113219166E-2</v>
      </c>
      <c r="I78" s="39"/>
      <c r="J78" s="39">
        <v>1806.2000000000005</v>
      </c>
      <c r="K78" s="39"/>
      <c r="L78" s="39">
        <v>8.6</v>
      </c>
    </row>
    <row r="79" spans="1:12" x14ac:dyDescent="0.25">
      <c r="A79" s="4">
        <v>600</v>
      </c>
      <c r="B79" s="164">
        <v>43476</v>
      </c>
      <c r="C79" s="10">
        <v>800</v>
      </c>
      <c r="D79" s="39">
        <v>27.654900000000001</v>
      </c>
      <c r="E79" s="39">
        <v>30.87</v>
      </c>
      <c r="F79" s="39">
        <f t="shared" si="9"/>
        <v>2572.08</v>
      </c>
      <c r="G79" s="39">
        <f t="shared" si="10"/>
        <v>22123.920000000002</v>
      </c>
      <c r="H79" s="179">
        <f t="shared" si="11"/>
        <v>0.11625787835067201</v>
      </c>
      <c r="I79" s="39"/>
      <c r="J79" s="39">
        <v>2572.08</v>
      </c>
      <c r="K79" s="39"/>
      <c r="L79" s="39">
        <v>8.82</v>
      </c>
    </row>
    <row r="80" spans="1:12" x14ac:dyDescent="0.25">
      <c r="A80" s="4">
        <v>600</v>
      </c>
      <c r="B80" s="164">
        <v>43491</v>
      </c>
      <c r="C80" s="10">
        <v>800</v>
      </c>
      <c r="D80" s="39">
        <v>27.65</v>
      </c>
      <c r="E80" s="39">
        <v>30.66</v>
      </c>
      <c r="F80" s="39">
        <f t="shared" si="9"/>
        <v>2408.0000000000014</v>
      </c>
      <c r="G80" s="39">
        <f t="shared" si="10"/>
        <v>22120</v>
      </c>
      <c r="H80" s="179">
        <f t="shared" si="11"/>
        <v>0.10886075949367095</v>
      </c>
      <c r="I80" s="39"/>
      <c r="J80" s="39">
        <v>2408.0000000000014</v>
      </c>
      <c r="K80" s="39"/>
      <c r="L80" s="39"/>
    </row>
    <row r="81" spans="1:13" x14ac:dyDescent="0.25">
      <c r="A81" s="4">
        <v>600</v>
      </c>
      <c r="B81" s="164">
        <v>43498</v>
      </c>
      <c r="C81" s="10">
        <v>800</v>
      </c>
      <c r="D81" s="39">
        <v>27.1449</v>
      </c>
      <c r="E81" s="39">
        <v>30</v>
      </c>
      <c r="F81" s="39">
        <f t="shared" si="9"/>
        <v>2284.08</v>
      </c>
      <c r="G81" s="39">
        <f t="shared" si="10"/>
        <v>21715.919999999998</v>
      </c>
      <c r="H81" s="179">
        <f t="shared" si="11"/>
        <v>0.10517997855950842</v>
      </c>
      <c r="I81" s="39"/>
      <c r="J81" s="39">
        <v>2284.08</v>
      </c>
      <c r="K81" s="39"/>
      <c r="L81" s="39">
        <v>8.57</v>
      </c>
    </row>
    <row r="82" spans="1:13" x14ac:dyDescent="0.25">
      <c r="A82" s="4">
        <v>600</v>
      </c>
      <c r="B82" s="164">
        <v>43503</v>
      </c>
      <c r="C82" s="10">
        <v>1000</v>
      </c>
      <c r="D82" s="39">
        <v>27.515899999999998</v>
      </c>
      <c r="E82" s="39">
        <v>29.45</v>
      </c>
      <c r="F82" s="39">
        <f t="shared" si="9"/>
        <v>1934.1000000000008</v>
      </c>
      <c r="G82" s="39">
        <f t="shared" si="10"/>
        <v>27515.899999999998</v>
      </c>
      <c r="H82" s="179">
        <f t="shared" si="11"/>
        <v>7.0290268535646697E-2</v>
      </c>
      <c r="I82" s="39"/>
      <c r="J82" s="39">
        <v>1934.1000000000008</v>
      </c>
      <c r="K82" s="39"/>
      <c r="L82" s="39">
        <v>8.41</v>
      </c>
    </row>
    <row r="83" spans="1:13" x14ac:dyDescent="0.25">
      <c r="A83" s="4">
        <v>400</v>
      </c>
      <c r="B83" s="164">
        <v>43511</v>
      </c>
      <c r="C83" s="7">
        <v>600</v>
      </c>
      <c r="D83" s="43">
        <v>25.6267</v>
      </c>
      <c r="E83" s="39">
        <v>30.47</v>
      </c>
      <c r="F83" s="39">
        <f t="shared" si="9"/>
        <v>2905.9799999999996</v>
      </c>
      <c r="G83" s="39">
        <f t="shared" si="10"/>
        <v>15376.02</v>
      </c>
      <c r="H83" s="179">
        <f t="shared" si="11"/>
        <v>0.18899429111044339</v>
      </c>
      <c r="I83" s="39"/>
      <c r="J83" s="39">
        <v>2905.9799999999996</v>
      </c>
      <c r="K83" s="39"/>
      <c r="L83" s="39">
        <v>8.7100000000000009</v>
      </c>
    </row>
    <row r="84" spans="1:13" x14ac:dyDescent="0.25">
      <c r="A84" s="4">
        <v>100</v>
      </c>
      <c r="B84" s="164">
        <v>43516</v>
      </c>
      <c r="C84" s="185">
        <v>300</v>
      </c>
      <c r="D84" s="186">
        <v>20.383900000000001</v>
      </c>
      <c r="E84" s="39">
        <v>30.87</v>
      </c>
      <c r="F84" s="39">
        <f t="shared" si="9"/>
        <v>3145.83</v>
      </c>
      <c r="G84" s="39">
        <f t="shared" si="10"/>
        <v>6115.17</v>
      </c>
      <c r="H84" s="179">
        <f t="shared" si="11"/>
        <v>0.5144305064290936</v>
      </c>
      <c r="I84" s="39"/>
      <c r="J84" s="39">
        <v>3145.83</v>
      </c>
      <c r="K84" s="39"/>
      <c r="L84" s="39">
        <v>8.82</v>
      </c>
    </row>
    <row r="85" spans="1:13" x14ac:dyDescent="0.25">
      <c r="A85" s="4">
        <v>300</v>
      </c>
      <c r="B85" s="164">
        <v>43535</v>
      </c>
      <c r="C85" s="10">
        <v>300</v>
      </c>
      <c r="D85" s="39">
        <v>20.38</v>
      </c>
      <c r="E85" s="39">
        <v>30.22</v>
      </c>
      <c r="F85" s="39">
        <f t="shared" si="9"/>
        <v>2952</v>
      </c>
      <c r="G85" s="39">
        <f t="shared" si="10"/>
        <v>6114</v>
      </c>
      <c r="H85" s="179">
        <f t="shared" si="11"/>
        <v>0.48282630029440632</v>
      </c>
      <c r="I85" s="39"/>
      <c r="J85" s="39">
        <v>2952</v>
      </c>
      <c r="K85" s="39"/>
      <c r="L85" s="39">
        <v>8.6300000000000008</v>
      </c>
    </row>
    <row r="86" spans="1:13" x14ac:dyDescent="0.25">
      <c r="A86" s="4">
        <v>300</v>
      </c>
      <c r="B86" s="164">
        <v>43545</v>
      </c>
      <c r="C86" s="10">
        <v>300</v>
      </c>
      <c r="D86" s="39">
        <v>20.38</v>
      </c>
      <c r="E86" s="39">
        <v>31.06</v>
      </c>
      <c r="F86" s="39">
        <f t="shared" si="9"/>
        <v>3204</v>
      </c>
      <c r="G86" s="39">
        <f t="shared" si="10"/>
        <v>6114</v>
      </c>
      <c r="H86" s="179">
        <f t="shared" si="11"/>
        <v>0.5240431795878312</v>
      </c>
      <c r="I86" s="39"/>
      <c r="J86" s="39">
        <v>3204</v>
      </c>
      <c r="K86" s="39"/>
      <c r="L86" s="39">
        <v>8.8699999999999992</v>
      </c>
    </row>
    <row r="87" spans="1:13" x14ac:dyDescent="0.25">
      <c r="A87" s="4"/>
      <c r="B87" s="164">
        <v>43526</v>
      </c>
      <c r="C87" s="10">
        <v>0</v>
      </c>
      <c r="D87" s="39">
        <v>20.38</v>
      </c>
      <c r="E87" s="39">
        <v>31.07</v>
      </c>
      <c r="F87" s="39">
        <f t="shared" si="9"/>
        <v>0</v>
      </c>
      <c r="G87" s="39">
        <f t="shared" si="10"/>
        <v>0</v>
      </c>
      <c r="H87" s="179">
        <f t="shared" si="11"/>
        <v>0.52453385672227681</v>
      </c>
      <c r="I87" s="39"/>
      <c r="J87" s="39">
        <v>3232.72</v>
      </c>
      <c r="K87" s="39"/>
      <c r="L87" s="39">
        <v>8.8800000000000008</v>
      </c>
    </row>
    <row r="88" spans="1:13" x14ac:dyDescent="0.25">
      <c r="A88" s="4"/>
      <c r="B88" s="164"/>
      <c r="C88" s="10"/>
      <c r="D88" s="39"/>
      <c r="E88" s="39"/>
      <c r="F88" s="39"/>
      <c r="G88" s="39"/>
      <c r="H88" s="179"/>
      <c r="I88" s="39"/>
      <c r="J88" s="39"/>
      <c r="K88" s="39"/>
      <c r="L88" s="39"/>
    </row>
    <row r="89" spans="1:13" x14ac:dyDescent="0.25">
      <c r="A89" s="4"/>
      <c r="B89" s="164"/>
      <c r="C89" s="10"/>
      <c r="D89" s="39"/>
      <c r="E89" s="39"/>
      <c r="F89" s="39"/>
      <c r="G89" s="39"/>
      <c r="H89" s="179"/>
      <c r="I89" s="39"/>
      <c r="J89" s="39"/>
      <c r="K89" s="39"/>
      <c r="L89" s="39"/>
    </row>
    <row r="90" spans="1:13" x14ac:dyDescent="0.25">
      <c r="A90" s="4"/>
      <c r="B90" s="164"/>
      <c r="C90" s="10"/>
      <c r="D90" s="39"/>
      <c r="E90" s="39"/>
      <c r="F90" s="39"/>
      <c r="G90" s="39"/>
      <c r="H90" s="179"/>
      <c r="I90" s="39"/>
      <c r="J90" s="39"/>
      <c r="K90" s="39"/>
      <c r="L90" s="39"/>
    </row>
    <row r="91" spans="1:13" x14ac:dyDescent="0.25">
      <c r="A91" s="4"/>
      <c r="B91" s="72"/>
      <c r="C91" s="4"/>
      <c r="D91" s="3"/>
      <c r="E91" s="3"/>
      <c r="F91" s="3"/>
      <c r="G91" s="3"/>
      <c r="H91" s="216"/>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91"/>
      <c r="B94" s="491"/>
      <c r="C94" s="491"/>
      <c r="D94" s="492"/>
      <c r="E94" s="492"/>
      <c r="F94" s="492"/>
      <c r="G94" s="491"/>
      <c r="H94" s="491"/>
      <c r="I94" s="492"/>
      <c r="J94" s="492"/>
      <c r="K94" s="492"/>
      <c r="L94" s="491" t="s">
        <v>65</v>
      </c>
      <c r="M94" s="492">
        <f>M112+K112-F112</f>
        <v>0</v>
      </c>
    </row>
    <row r="95" spans="1:13" x14ac:dyDescent="0.25">
      <c r="A95" s="610" t="s">
        <v>1</v>
      </c>
      <c r="B95" s="610" t="s">
        <v>2</v>
      </c>
      <c r="C95" s="610" t="s">
        <v>4</v>
      </c>
      <c r="D95" s="611" t="s">
        <v>5</v>
      </c>
      <c r="E95" s="611" t="s">
        <v>94</v>
      </c>
      <c r="F95" s="611" t="s">
        <v>60</v>
      </c>
      <c r="G95" s="610" t="s">
        <v>3</v>
      </c>
      <c r="H95" s="610" t="s">
        <v>6</v>
      </c>
      <c r="I95" s="611" t="s">
        <v>7</v>
      </c>
      <c r="J95" s="611" t="s">
        <v>95</v>
      </c>
      <c r="K95" s="611" t="s">
        <v>61</v>
      </c>
      <c r="L95" s="610" t="s">
        <v>37</v>
      </c>
      <c r="M95" s="610" t="s">
        <v>38</v>
      </c>
    </row>
    <row r="96" spans="1:13" x14ac:dyDescent="0.25">
      <c r="A96" s="612" t="s">
        <v>895</v>
      </c>
      <c r="B96" s="494"/>
      <c r="C96" s="491"/>
      <c r="D96" s="492"/>
      <c r="E96" s="492"/>
      <c r="F96" s="492"/>
      <c r="G96" s="494"/>
      <c r="H96" s="491"/>
      <c r="I96" s="492"/>
      <c r="J96" s="492"/>
      <c r="K96" s="492"/>
      <c r="L96" s="494"/>
      <c r="M96" s="492"/>
    </row>
    <row r="97" spans="1:13" x14ac:dyDescent="0.25">
      <c r="A97" s="613"/>
      <c r="B97" s="494"/>
      <c r="C97" s="491"/>
      <c r="D97" s="492"/>
      <c r="E97" s="492"/>
      <c r="F97" s="492"/>
      <c r="G97" s="494"/>
      <c r="H97" s="493"/>
      <c r="I97" s="492"/>
      <c r="J97" s="492"/>
      <c r="K97" s="492"/>
      <c r="L97" s="491"/>
      <c r="M97" s="491"/>
    </row>
    <row r="98" spans="1:13" x14ac:dyDescent="0.25">
      <c r="A98" s="491"/>
      <c r="B98" s="494"/>
      <c r="C98" s="491"/>
      <c r="D98" s="492"/>
      <c r="E98" s="492"/>
      <c r="F98" s="492"/>
      <c r="G98" s="494"/>
      <c r="H98" s="493"/>
      <c r="I98" s="492"/>
      <c r="J98" s="492"/>
      <c r="K98" s="492"/>
      <c r="L98" s="491"/>
      <c r="M98" s="491"/>
    </row>
    <row r="99" spans="1:13" x14ac:dyDescent="0.25">
      <c r="A99" s="491"/>
      <c r="B99" s="494"/>
      <c r="C99" s="491"/>
      <c r="D99" s="492"/>
      <c r="E99" s="492"/>
      <c r="F99" s="492"/>
      <c r="G99" s="491"/>
      <c r="H99" s="493"/>
      <c r="I99" s="492"/>
      <c r="J99" s="492"/>
      <c r="K99" s="492"/>
      <c r="L99" s="491"/>
      <c r="M99" s="491"/>
    </row>
    <row r="100" spans="1:13" x14ac:dyDescent="0.25">
      <c r="A100" s="491"/>
      <c r="B100" s="494"/>
      <c r="C100" s="491"/>
      <c r="D100" s="492"/>
      <c r="E100" s="492"/>
      <c r="F100" s="492"/>
      <c r="G100" s="491"/>
      <c r="H100" s="493"/>
      <c r="I100" s="492"/>
      <c r="J100" s="492"/>
      <c r="K100" s="492"/>
      <c r="L100" s="491"/>
      <c r="M100" s="491"/>
    </row>
    <row r="101" spans="1:13" x14ac:dyDescent="0.25">
      <c r="A101" s="491"/>
      <c r="B101" s="491"/>
      <c r="C101" s="491"/>
      <c r="D101" s="492"/>
      <c r="E101" s="492"/>
      <c r="F101" s="492"/>
      <c r="G101" s="491"/>
      <c r="H101" s="493"/>
      <c r="I101" s="492"/>
      <c r="J101" s="492"/>
      <c r="K101" s="492"/>
      <c r="L101" s="491"/>
      <c r="M101" s="491"/>
    </row>
    <row r="102" spans="1:13" x14ac:dyDescent="0.25">
      <c r="A102" s="491"/>
      <c r="B102" s="491"/>
      <c r="C102" s="491"/>
      <c r="D102" s="492"/>
      <c r="E102" s="492"/>
      <c r="F102" s="492"/>
      <c r="G102" s="491"/>
      <c r="H102" s="493"/>
      <c r="I102" s="492"/>
      <c r="J102" s="492"/>
      <c r="K102" s="492"/>
      <c r="L102" s="491"/>
      <c r="M102" s="491"/>
    </row>
    <row r="103" spans="1:13" x14ac:dyDescent="0.25">
      <c r="A103" s="491"/>
      <c r="B103" s="491"/>
      <c r="C103" s="491"/>
      <c r="D103" s="492"/>
      <c r="E103" s="492"/>
      <c r="F103" s="492"/>
      <c r="G103" s="491"/>
      <c r="H103" s="493"/>
      <c r="I103" s="492"/>
      <c r="J103" s="492"/>
      <c r="K103" s="492"/>
      <c r="L103" s="491"/>
      <c r="M103" s="491"/>
    </row>
    <row r="104" spans="1:13" x14ac:dyDescent="0.25">
      <c r="A104" s="491"/>
      <c r="B104" s="491"/>
      <c r="C104" s="491"/>
      <c r="D104" s="492"/>
      <c r="E104" s="492"/>
      <c r="F104" s="492"/>
      <c r="G104" s="491"/>
      <c r="H104" s="493"/>
      <c r="I104" s="492"/>
      <c r="J104" s="492"/>
      <c r="K104" s="492"/>
      <c r="L104" s="491"/>
      <c r="M104" s="491"/>
    </row>
    <row r="105" spans="1:13" x14ac:dyDescent="0.25">
      <c r="A105" s="491"/>
      <c r="B105" s="491"/>
      <c r="C105" s="491"/>
      <c r="D105" s="492"/>
      <c r="E105" s="492"/>
      <c r="F105" s="492"/>
      <c r="G105" s="491"/>
      <c r="H105" s="493"/>
      <c r="I105" s="492"/>
      <c r="J105" s="492"/>
      <c r="K105" s="492"/>
      <c r="L105" s="491"/>
      <c r="M105" s="491"/>
    </row>
    <row r="106" spans="1:13" x14ac:dyDescent="0.25">
      <c r="A106" s="491"/>
      <c r="B106" s="491"/>
      <c r="C106" s="491"/>
      <c r="D106" s="492"/>
      <c r="E106" s="492"/>
      <c r="F106" s="492"/>
      <c r="G106" s="491"/>
      <c r="H106" s="493"/>
      <c r="I106" s="492"/>
      <c r="J106" s="492"/>
      <c r="K106" s="492"/>
      <c r="L106" s="491"/>
      <c r="M106" s="491"/>
    </row>
    <row r="107" spans="1:13" x14ac:dyDescent="0.25">
      <c r="A107" s="491"/>
      <c r="B107" s="491"/>
      <c r="C107" s="491"/>
      <c r="D107" s="492"/>
      <c r="E107" s="492"/>
      <c r="F107" s="492"/>
      <c r="G107" s="491"/>
      <c r="H107" s="493"/>
      <c r="I107" s="492"/>
      <c r="J107" s="492"/>
      <c r="K107" s="492"/>
      <c r="L107" s="491"/>
      <c r="M107" s="491"/>
    </row>
    <row r="108" spans="1:13" x14ac:dyDescent="0.25">
      <c r="A108" s="491"/>
      <c r="B108" s="491"/>
      <c r="C108" s="491"/>
      <c r="D108" s="492"/>
      <c r="E108" s="492"/>
      <c r="F108" s="492"/>
      <c r="G108" s="491"/>
      <c r="H108" s="493"/>
      <c r="I108" s="492"/>
      <c r="J108" s="492"/>
      <c r="K108" s="492"/>
      <c r="L108" s="491"/>
      <c r="M108" s="491"/>
    </row>
    <row r="109" spans="1:13" x14ac:dyDescent="0.25">
      <c r="A109" s="491"/>
      <c r="B109" s="491"/>
      <c r="C109" s="491"/>
      <c r="D109" s="492"/>
      <c r="E109" s="492"/>
      <c r="F109" s="492"/>
      <c r="G109" s="491"/>
      <c r="H109" s="493"/>
      <c r="I109" s="492"/>
      <c r="J109" s="492"/>
      <c r="K109" s="492"/>
      <c r="L109" s="491"/>
      <c r="M109" s="491"/>
    </row>
    <row r="110" spans="1:13" x14ac:dyDescent="0.25">
      <c r="A110" s="491"/>
      <c r="B110" s="491"/>
      <c r="C110" s="491"/>
      <c r="D110" s="492"/>
      <c r="E110" s="492"/>
      <c r="F110" s="492"/>
      <c r="G110" s="491"/>
      <c r="H110" s="493"/>
      <c r="I110" s="492"/>
      <c r="J110" s="492"/>
      <c r="K110" s="492"/>
      <c r="L110" s="491"/>
      <c r="M110" s="491"/>
    </row>
    <row r="111" spans="1:13" x14ac:dyDescent="0.25">
      <c r="A111" s="491"/>
      <c r="B111" s="491"/>
      <c r="C111" s="491"/>
      <c r="D111" s="492"/>
      <c r="E111" s="492"/>
      <c r="F111" s="492"/>
      <c r="G111" s="491"/>
      <c r="H111" s="491"/>
      <c r="I111" s="492"/>
      <c r="J111" s="492"/>
      <c r="K111" s="492"/>
      <c r="L111" s="491"/>
      <c r="M111" s="491"/>
    </row>
    <row r="112" spans="1:13" x14ac:dyDescent="0.25">
      <c r="A112" s="614" t="s">
        <v>81</v>
      </c>
      <c r="B112" s="615"/>
      <c r="C112" s="615">
        <f>SUM(C96:C100)</f>
        <v>0</v>
      </c>
      <c r="D112" s="616"/>
      <c r="E112" s="616"/>
      <c r="F112" s="616">
        <f>SUM(F96:F100)</f>
        <v>0</v>
      </c>
      <c r="G112" s="615"/>
      <c r="H112" s="617">
        <f>SUM(H96:H99)</f>
        <v>0</v>
      </c>
      <c r="I112" s="616"/>
      <c r="J112" s="616"/>
      <c r="K112" s="616">
        <f>SUM(K96:K99)</f>
        <v>0</v>
      </c>
      <c r="L112" s="615"/>
      <c r="M112" s="616">
        <f>SUM(M96:M104)</f>
        <v>0</v>
      </c>
    </row>
    <row r="113" spans="1:13" ht="15.75" thickBot="1" x14ac:dyDescent="0.3">
      <c r="A113" s="618" t="s">
        <v>191</v>
      </c>
      <c r="B113" s="650"/>
      <c r="C113" s="619">
        <f>SumByColor($A$26,C96:C111)</f>
        <v>0</v>
      </c>
      <c r="D113" s="619"/>
      <c r="E113" s="619"/>
      <c r="F113" s="620">
        <f>SumByColor($A$26,F96:F111)</f>
        <v>0</v>
      </c>
      <c r="G113" s="619"/>
      <c r="H113" s="619">
        <f>SumByColor($A$26,H96:H111)</f>
        <v>0</v>
      </c>
      <c r="I113" s="619"/>
      <c r="J113" s="619"/>
      <c r="K113" s="620">
        <f>SumByColor($A$26,K97:K111)</f>
        <v>0</v>
      </c>
      <c r="L113" s="619"/>
      <c r="M113" s="620">
        <f>SumByColor($A$26,M96:M111)</f>
        <v>0</v>
      </c>
    </row>
    <row r="116" spans="1:13" x14ac:dyDescent="0.25">
      <c r="B116" s="162" t="s">
        <v>113</v>
      </c>
      <c r="C116" s="162" t="s">
        <v>145</v>
      </c>
      <c r="D116" s="163" t="s">
        <v>144</v>
      </c>
      <c r="E116" s="165" t="s">
        <v>146</v>
      </c>
      <c r="F116" s="165" t="s">
        <v>65</v>
      </c>
      <c r="G116" s="177" t="s">
        <v>150</v>
      </c>
      <c r="H116" s="177" t="s">
        <v>88</v>
      </c>
      <c r="I116" s="177" t="s">
        <v>153</v>
      </c>
      <c r="J116" s="177"/>
      <c r="K116" s="177" t="s">
        <v>646</v>
      </c>
      <c r="L116" s="177" t="s">
        <v>652</v>
      </c>
    </row>
    <row r="117" spans="1:13" x14ac:dyDescent="0.25">
      <c r="B117" s="164"/>
      <c r="C117" s="10"/>
      <c r="D117" s="39"/>
      <c r="E117" s="39"/>
      <c r="F117" s="39"/>
      <c r="G117" s="39"/>
      <c r="H117" s="179"/>
      <c r="I117" s="39"/>
      <c r="J117" s="39"/>
      <c r="K117" s="39"/>
      <c r="L117" s="39"/>
    </row>
    <row r="118" spans="1:13" x14ac:dyDescent="0.25">
      <c r="B118" s="164"/>
      <c r="C118" s="10"/>
      <c r="D118" s="39"/>
      <c r="E118" s="39"/>
      <c r="F118" s="39"/>
      <c r="G118" s="39"/>
      <c r="H118" s="179"/>
      <c r="I118" s="39"/>
      <c r="J118" s="39"/>
      <c r="K118" s="39"/>
      <c r="L118" s="39"/>
    </row>
    <row r="119" spans="1:13" x14ac:dyDescent="0.25">
      <c r="B119" s="164"/>
      <c r="C119" s="10"/>
      <c r="D119" s="39"/>
      <c r="E119" s="39"/>
      <c r="F119" s="39"/>
      <c r="G119" s="39"/>
      <c r="H119" s="179"/>
      <c r="I119" s="39"/>
      <c r="J119" s="39"/>
      <c r="K119" s="39"/>
      <c r="L119" s="155"/>
    </row>
    <row r="120" spans="1:13" x14ac:dyDescent="0.25">
      <c r="B120" s="164"/>
      <c r="C120" s="10"/>
      <c r="D120" s="39"/>
      <c r="E120" s="39"/>
      <c r="F120" s="39"/>
      <c r="G120" s="39"/>
      <c r="H120" s="179"/>
      <c r="I120" s="39"/>
      <c r="J120" s="39"/>
      <c r="K120" s="39"/>
      <c r="L120" s="155"/>
    </row>
    <row r="121" spans="1:13" x14ac:dyDescent="0.25">
      <c r="B121" s="164"/>
      <c r="C121" s="10"/>
      <c r="D121" s="39"/>
      <c r="E121" s="39"/>
      <c r="F121" s="39"/>
      <c r="G121" s="39"/>
      <c r="H121" s="179"/>
      <c r="I121" s="39"/>
      <c r="J121" s="39"/>
      <c r="K121" s="39"/>
      <c r="L121" s="155"/>
    </row>
    <row r="122" spans="1:13" x14ac:dyDescent="0.25">
      <c r="B122" s="164"/>
      <c r="C122" s="10"/>
      <c r="D122" s="39"/>
      <c r="E122" s="39"/>
      <c r="F122" s="39"/>
      <c r="G122" s="39"/>
      <c r="H122" s="179"/>
      <c r="I122" s="39"/>
      <c r="J122" s="39"/>
      <c r="K122" s="39"/>
      <c r="L122" s="155"/>
    </row>
    <row r="123" spans="1:13" x14ac:dyDescent="0.25">
      <c r="B123" s="164"/>
      <c r="C123" s="10"/>
      <c r="D123" s="39"/>
      <c r="E123" s="39"/>
      <c r="F123" s="39"/>
      <c r="G123" s="39"/>
      <c r="H123" s="179"/>
      <c r="I123" s="39"/>
      <c r="J123" s="39"/>
      <c r="K123" s="39"/>
      <c r="L123" s="155"/>
    </row>
    <row r="124" spans="1:13" x14ac:dyDescent="0.25">
      <c r="B124" s="164"/>
      <c r="C124" s="10"/>
      <c r="D124" s="39"/>
      <c r="E124" s="39"/>
      <c r="F124" s="39"/>
      <c r="G124" s="39"/>
      <c r="H124" s="179"/>
      <c r="I124" s="39"/>
      <c r="J124" s="39"/>
      <c r="K124" s="39"/>
      <c r="L124" s="155"/>
    </row>
    <row r="125" spans="1:13" x14ac:dyDescent="0.25">
      <c r="B125" s="164"/>
      <c r="C125" s="10"/>
      <c r="D125" s="39"/>
      <c r="E125" s="39"/>
      <c r="F125" s="39"/>
      <c r="G125" s="39"/>
      <c r="H125" s="179"/>
      <c r="I125" s="39"/>
      <c r="J125" s="39"/>
      <c r="K125" s="39"/>
      <c r="L125" s="155"/>
    </row>
    <row r="126" spans="1:13" x14ac:dyDescent="0.25">
      <c r="B126" s="164"/>
      <c r="C126" s="10"/>
      <c r="D126" s="39"/>
      <c r="E126" s="39"/>
      <c r="F126" s="39"/>
      <c r="G126" s="39"/>
      <c r="H126" s="179"/>
      <c r="I126" s="39"/>
      <c r="J126" s="39"/>
      <c r="K126" s="39"/>
      <c r="L126" s="155"/>
    </row>
    <row r="127" spans="1:13" x14ac:dyDescent="0.25">
      <c r="B127" s="164"/>
      <c r="C127" s="10"/>
      <c r="D127" s="39"/>
      <c r="E127" s="39"/>
      <c r="F127" s="39"/>
      <c r="G127" s="39"/>
      <c r="H127" s="179"/>
      <c r="I127" s="39"/>
      <c r="J127" s="39"/>
      <c r="K127" s="39"/>
      <c r="L127" s="155"/>
    </row>
    <row r="128" spans="1:13" x14ac:dyDescent="0.25">
      <c r="B128" s="164"/>
      <c r="C128" s="10"/>
      <c r="D128" s="39"/>
      <c r="E128" s="39"/>
      <c r="F128" s="39"/>
      <c r="G128" s="39"/>
      <c r="H128" s="179"/>
      <c r="I128" s="39"/>
      <c r="J128" s="39"/>
      <c r="K128" s="39"/>
      <c r="L128" s="39"/>
    </row>
    <row r="129" spans="2:12" x14ac:dyDescent="0.25">
      <c r="B129" s="164"/>
      <c r="C129" s="10"/>
      <c r="D129" s="39"/>
      <c r="E129" s="39"/>
      <c r="F129" s="39"/>
      <c r="G129" s="39"/>
      <c r="H129" s="179"/>
      <c r="I129" s="39"/>
      <c r="J129" s="39"/>
      <c r="K129" s="39"/>
      <c r="L129" s="39"/>
    </row>
    <row r="130" spans="2:12" x14ac:dyDescent="0.25">
      <c r="B130" s="164"/>
      <c r="C130" s="10"/>
      <c r="D130" s="39"/>
      <c r="E130" s="39"/>
      <c r="F130" s="39"/>
      <c r="G130" s="39"/>
      <c r="H130" s="179"/>
      <c r="I130" s="39"/>
      <c r="J130" s="39"/>
      <c r="K130" s="39"/>
      <c r="L130" s="39"/>
    </row>
    <row r="131" spans="2:12" x14ac:dyDescent="0.25">
      <c r="B131" s="164"/>
      <c r="C131" s="10"/>
      <c r="D131" s="39"/>
      <c r="E131" s="39"/>
      <c r="F131" s="39"/>
      <c r="G131" s="39"/>
      <c r="H131" s="179"/>
      <c r="I131" s="39"/>
      <c r="J131" s="39"/>
      <c r="K131" s="39"/>
      <c r="L131" s="39"/>
    </row>
    <row r="132" spans="2:12" x14ac:dyDescent="0.25">
      <c r="B132" s="164"/>
      <c r="C132" s="10"/>
      <c r="D132" s="39"/>
      <c r="E132" s="39"/>
      <c r="F132" s="39"/>
      <c r="G132" s="39"/>
      <c r="H132" s="179"/>
      <c r="I132" s="39"/>
      <c r="J132" s="39"/>
      <c r="K132" s="39"/>
      <c r="L132" s="39"/>
    </row>
    <row r="133" spans="2:12" x14ac:dyDescent="0.25">
      <c r="B133" s="164"/>
      <c r="C133" s="10"/>
      <c r="D133" s="39"/>
      <c r="E133" s="39"/>
      <c r="F133" s="39"/>
      <c r="G133" s="39"/>
      <c r="H133" s="179"/>
      <c r="I133" s="39"/>
      <c r="J133" s="39"/>
      <c r="K133" s="39"/>
      <c r="L133" s="39"/>
    </row>
    <row r="134" spans="2:12" x14ac:dyDescent="0.25">
      <c r="B134" s="164"/>
      <c r="C134" s="10"/>
      <c r="D134" s="39"/>
      <c r="E134" s="39"/>
      <c r="F134" s="39"/>
      <c r="G134" s="39"/>
      <c r="H134" s="179"/>
      <c r="I134" s="39"/>
      <c r="J134" s="39"/>
      <c r="K134" s="39"/>
      <c r="L134" s="39"/>
    </row>
    <row r="135" spans="2:12" x14ac:dyDescent="0.25">
      <c r="B135" s="164"/>
      <c r="C135" s="10"/>
      <c r="D135" s="39"/>
      <c r="E135" s="39"/>
      <c r="F135" s="39"/>
      <c r="G135" s="39"/>
      <c r="H135" s="179"/>
      <c r="I135" s="39"/>
      <c r="J135" s="39"/>
      <c r="K135" s="39"/>
      <c r="L135" s="39"/>
    </row>
    <row r="136" spans="2:12" x14ac:dyDescent="0.25">
      <c r="B136" s="164"/>
      <c r="C136" s="10"/>
      <c r="D136" s="39"/>
      <c r="E136" s="39"/>
      <c r="F136" s="39"/>
      <c r="G136" s="39"/>
      <c r="H136" s="179"/>
      <c r="I136" s="39"/>
      <c r="J136" s="39"/>
      <c r="K136" s="39"/>
      <c r="L136" s="39"/>
    </row>
    <row r="137" spans="2:12" x14ac:dyDescent="0.25">
      <c r="B137" s="164"/>
      <c r="C137" s="10"/>
      <c r="D137" s="39"/>
      <c r="E137" s="39"/>
      <c r="F137" s="39"/>
      <c r="G137" s="39"/>
      <c r="H137" s="179"/>
      <c r="I137" s="39"/>
      <c r="J137" s="39"/>
      <c r="K137" s="39"/>
      <c r="L137" s="39"/>
    </row>
    <row r="138" spans="2:12" x14ac:dyDescent="0.25">
      <c r="B138" s="164"/>
      <c r="C138" s="10"/>
      <c r="D138" s="39"/>
      <c r="E138" s="39"/>
      <c r="F138" s="39"/>
      <c r="G138" s="39"/>
      <c r="H138" s="179"/>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1820" priority="67">
      <formula>F37&gt;0</formula>
    </cfRule>
    <cfRule type="expression" dxfId="1819" priority="68">
      <formula>F37&lt;0</formula>
    </cfRule>
  </conditionalFormatting>
  <conditionalFormatting sqref="Q7">
    <cfRule type="expression" dxfId="1818" priority="65">
      <formula>Q7&gt;0</formula>
    </cfRule>
    <cfRule type="expression" dxfId="1817" priority="66">
      <formula>Q7&lt;0</formula>
    </cfRule>
  </conditionalFormatting>
  <conditionalFormatting sqref="Q8">
    <cfRule type="expression" dxfId="1816" priority="63">
      <formula>Q8&gt;0</formula>
    </cfRule>
    <cfRule type="expression" dxfId="1815" priority="64">
      <formula>Q8&lt;0</formula>
    </cfRule>
  </conditionalFormatting>
  <conditionalFormatting sqref="Q10">
    <cfRule type="expression" dxfId="1814" priority="57">
      <formula>Q10&gt;0</formula>
    </cfRule>
    <cfRule type="expression" dxfId="1813" priority="58">
      <formula>Q10&lt;0</formula>
    </cfRule>
  </conditionalFormatting>
  <conditionalFormatting sqref="H32:H36">
    <cfRule type="expression" dxfId="1812" priority="37">
      <formula>H32&gt;0</formula>
    </cfRule>
    <cfRule type="expression" dxfId="1811" priority="38">
      <formula>H32&lt;0</formula>
    </cfRule>
  </conditionalFormatting>
  <conditionalFormatting sqref="K32:K45">
    <cfRule type="expression" dxfId="1810" priority="53">
      <formula>K32&gt;0</formula>
    </cfRule>
    <cfRule type="expression" dxfId="1809" priority="54">
      <formula>K32&lt;0</formula>
    </cfRule>
  </conditionalFormatting>
  <conditionalFormatting sqref="L32:L40">
    <cfRule type="expression" dxfId="1808" priority="51">
      <formula>L32&gt;0</formula>
    </cfRule>
    <cfRule type="expression" dxfId="1807" priority="52">
      <formula>L32&lt;0</formula>
    </cfRule>
  </conditionalFormatting>
  <conditionalFormatting sqref="F117:F138">
    <cfRule type="expression" dxfId="1806" priority="49">
      <formula>F117&gt;0</formula>
    </cfRule>
    <cfRule type="expression" dxfId="1805" priority="50">
      <formula>F117&lt;0</formula>
    </cfRule>
  </conditionalFormatting>
  <conditionalFormatting sqref="H117:H138">
    <cfRule type="expression" dxfId="1804" priority="47">
      <formula>H117&gt;0</formula>
    </cfRule>
    <cfRule type="expression" dxfId="1803" priority="48">
      <formula>H117&lt;0</formula>
    </cfRule>
  </conditionalFormatting>
  <conditionalFormatting sqref="J117:J130">
    <cfRule type="expression" dxfId="1802" priority="45">
      <formula>J117&gt;0</formula>
    </cfRule>
    <cfRule type="expression" dxfId="1801" priority="46">
      <formula>J117&lt;0</formula>
    </cfRule>
  </conditionalFormatting>
  <conditionalFormatting sqref="K117:K130">
    <cfRule type="expression" dxfId="1800" priority="43">
      <formula>K117&gt;0</formula>
    </cfRule>
    <cfRule type="expression" dxfId="1799" priority="44">
      <formula>K117&lt;0</formula>
    </cfRule>
  </conditionalFormatting>
  <conditionalFormatting sqref="L117:L130">
    <cfRule type="expression" dxfId="1798" priority="41">
      <formula>L117&gt;0</formula>
    </cfRule>
    <cfRule type="expression" dxfId="1797" priority="42">
      <formula>L117&lt;0</formula>
    </cfRule>
  </conditionalFormatting>
  <conditionalFormatting sqref="F32:F36">
    <cfRule type="expression" dxfId="1796" priority="39">
      <formula>F32&gt;0</formula>
    </cfRule>
    <cfRule type="expression" dxfId="1795" priority="40">
      <formula>F32&lt;0</formula>
    </cfRule>
  </conditionalFormatting>
  <conditionalFormatting sqref="Q9">
    <cfRule type="expression" dxfId="1794" priority="35">
      <formula>Q9&gt;0</formula>
    </cfRule>
    <cfRule type="expression" dxfId="1793" priority="36">
      <formula>Q9&lt;0</formula>
    </cfRule>
  </conditionalFormatting>
  <conditionalFormatting sqref="H67:H69 F67:F69">
    <cfRule type="expression" dxfId="1792" priority="33">
      <formula>F67&gt;0</formula>
    </cfRule>
    <cfRule type="expression" dxfId="1791" priority="34">
      <formula>F67&lt;0</formula>
    </cfRule>
  </conditionalFormatting>
  <conditionalFormatting sqref="H70:H72 F70:F72">
    <cfRule type="expression" dxfId="1790" priority="31">
      <formula>F70&gt;0</formula>
    </cfRule>
    <cfRule type="expression" dxfId="1789" priority="32">
      <formula>F70&lt;0</formula>
    </cfRule>
  </conditionalFormatting>
  <conditionalFormatting sqref="F77 H77">
    <cfRule type="expression" dxfId="1788" priority="27">
      <formula>F77&gt;0</formula>
    </cfRule>
    <cfRule type="expression" dxfId="1787" priority="28">
      <formula>F77&lt;0</formula>
    </cfRule>
  </conditionalFormatting>
  <conditionalFormatting sqref="F74:F76 H74:H76">
    <cfRule type="expression" dxfId="1786" priority="25">
      <formula>F74&gt;0</formula>
    </cfRule>
    <cfRule type="expression" dxfId="1785" priority="26">
      <formula>F74&lt;0</formula>
    </cfRule>
  </conditionalFormatting>
  <conditionalFormatting sqref="H79:H81 F79:F81">
    <cfRule type="expression" dxfId="1784" priority="23">
      <formula>F79&gt;0</formula>
    </cfRule>
    <cfRule type="expression" dxfId="1783" priority="24">
      <formula>F79&lt;0</formula>
    </cfRule>
  </conditionalFormatting>
  <conditionalFormatting sqref="H82:H84 F82:F84">
    <cfRule type="expression" dxfId="1782" priority="21">
      <formula>F82&gt;0</formula>
    </cfRule>
    <cfRule type="expression" dxfId="1781" priority="22">
      <formula>F82&lt;0</formula>
    </cfRule>
  </conditionalFormatting>
  <conditionalFormatting sqref="H85:H87 F85:F87">
    <cfRule type="expression" dxfId="1780" priority="19">
      <formula>F85&gt;0</formula>
    </cfRule>
    <cfRule type="expression" dxfId="1779" priority="20">
      <formula>F85&lt;0</formula>
    </cfRule>
  </conditionalFormatting>
  <conditionalFormatting sqref="J37:J66 J73 J78">
    <cfRule type="expression" dxfId="1778" priority="17">
      <formula>J37&gt;0</formula>
    </cfRule>
    <cfRule type="expression" dxfId="1777" priority="18">
      <formula>J37&lt;0</formula>
    </cfRule>
  </conditionalFormatting>
  <conditionalFormatting sqref="J32:J36">
    <cfRule type="expression" dxfId="1776" priority="15">
      <formula>J32&gt;0</formula>
    </cfRule>
    <cfRule type="expression" dxfId="1775" priority="16">
      <formula>J32&lt;0</formula>
    </cfRule>
  </conditionalFormatting>
  <conditionalFormatting sqref="J67:J69">
    <cfRule type="expression" dxfId="1774" priority="13">
      <formula>J67&gt;0</formula>
    </cfRule>
    <cfRule type="expression" dxfId="1773" priority="14">
      <formula>J67&lt;0</formula>
    </cfRule>
  </conditionalFormatting>
  <conditionalFormatting sqref="J70:J72">
    <cfRule type="expression" dxfId="1772" priority="11">
      <formula>J70&gt;0</formula>
    </cfRule>
    <cfRule type="expression" dxfId="1771" priority="12">
      <formula>J70&lt;0</formula>
    </cfRule>
  </conditionalFormatting>
  <conditionalFormatting sqref="J77">
    <cfRule type="expression" dxfId="1770" priority="9">
      <formula>J77&gt;0</formula>
    </cfRule>
    <cfRule type="expression" dxfId="1769" priority="10">
      <formula>J77&lt;0</formula>
    </cfRule>
  </conditionalFormatting>
  <conditionalFormatting sqref="J74:J76">
    <cfRule type="expression" dxfId="1768" priority="7">
      <formula>J74&gt;0</formula>
    </cfRule>
    <cfRule type="expression" dxfId="1767" priority="8">
      <formula>J74&lt;0</formula>
    </cfRule>
  </conditionalFormatting>
  <conditionalFormatting sqref="J79:J81">
    <cfRule type="expression" dxfId="1766" priority="5">
      <formula>J79&gt;0</formula>
    </cfRule>
    <cfRule type="expression" dxfId="1765" priority="6">
      <formula>J79&lt;0</formula>
    </cfRule>
  </conditionalFormatting>
  <conditionalFormatting sqref="J82:J84">
    <cfRule type="expression" dxfId="1764" priority="3">
      <formula>J82&gt;0</formula>
    </cfRule>
    <cfRule type="expression" dxfId="1763" priority="4">
      <formula>J82&lt;0</formula>
    </cfRule>
  </conditionalFormatting>
  <conditionalFormatting sqref="J85:J87">
    <cfRule type="expression" dxfId="1762" priority="1">
      <formula>J85&gt;0</formula>
    </cfRule>
    <cfRule type="expression" dxfId="1761"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658</v>
      </c>
      <c r="B2" s="368">
        <v>42986</v>
      </c>
      <c r="C2" s="7">
        <v>30</v>
      </c>
      <c r="D2" s="43">
        <v>155.5</v>
      </c>
      <c r="E2" s="43">
        <v>0</v>
      </c>
      <c r="F2" s="43">
        <f>C2*D2+E2</f>
        <v>4665</v>
      </c>
      <c r="G2" s="368">
        <v>43028</v>
      </c>
      <c r="H2" s="7">
        <v>30</v>
      </c>
      <c r="I2" s="43">
        <v>160.47999999999999</v>
      </c>
      <c r="J2" s="43">
        <v>0.11</v>
      </c>
      <c r="K2" s="43">
        <f>H2*I2-J2</f>
        <v>4814.29</v>
      </c>
      <c r="L2" s="72">
        <v>43070</v>
      </c>
      <c r="M2" s="43">
        <v>10</v>
      </c>
      <c r="O2" s="11" t="s">
        <v>57</v>
      </c>
      <c r="Q2">
        <f>C18-H18</f>
        <v>0</v>
      </c>
      <c r="T2" s="1"/>
      <c r="W2" s="134"/>
    </row>
    <row r="3" spans="1:23" x14ac:dyDescent="0.25">
      <c r="A3" s="22" t="s">
        <v>71</v>
      </c>
      <c r="B3" s="368">
        <v>43014</v>
      </c>
      <c r="C3" s="7">
        <v>20</v>
      </c>
      <c r="D3" s="43">
        <v>157.02000000000001</v>
      </c>
      <c r="E3" s="43">
        <v>0</v>
      </c>
      <c r="F3" s="43">
        <f>C3*D3+E3</f>
        <v>3140.4</v>
      </c>
      <c r="G3" s="368">
        <v>43202</v>
      </c>
      <c r="H3" s="80">
        <v>20</v>
      </c>
      <c r="I3" s="43">
        <v>188</v>
      </c>
      <c r="J3" s="43">
        <v>0.09</v>
      </c>
      <c r="K3" s="43">
        <f>H3*I3-J3</f>
        <v>3759.91</v>
      </c>
      <c r="L3" s="72">
        <v>43160</v>
      </c>
      <c r="M3" s="43">
        <v>10</v>
      </c>
      <c r="O3" s="11" t="s">
        <v>58</v>
      </c>
      <c r="Q3" s="178">
        <f>IF(Q2=0, Q4, (F18-K18-M18)/Q2)</f>
        <v>216.4699</v>
      </c>
      <c r="T3" s="1"/>
      <c r="W3" s="134"/>
    </row>
    <row r="4" spans="1:23" x14ac:dyDescent="0.25">
      <c r="B4" s="368">
        <v>43181</v>
      </c>
      <c r="C4" s="7">
        <v>20</v>
      </c>
      <c r="D4" s="43">
        <v>183</v>
      </c>
      <c r="E4" s="43">
        <v>0</v>
      </c>
      <c r="F4" s="43">
        <f>C4*D4+E4</f>
        <v>3660</v>
      </c>
      <c r="G4" s="368">
        <v>43293</v>
      </c>
      <c r="H4" s="80">
        <v>20</v>
      </c>
      <c r="I4" s="43">
        <v>213.58</v>
      </c>
      <c r="J4" s="43">
        <v>0.06</v>
      </c>
      <c r="K4" s="43">
        <f>H4*I4-J4</f>
        <v>4271.54</v>
      </c>
      <c r="L4" s="72">
        <v>43245</v>
      </c>
      <c r="M4" s="43">
        <v>11.4</v>
      </c>
      <c r="O4" s="11" t="s">
        <v>66</v>
      </c>
      <c r="Q4" s="54">
        <v>216.4699</v>
      </c>
      <c r="R4" s="425">
        <v>1.23E-2</v>
      </c>
      <c r="T4" s="156"/>
      <c r="U4" s="1"/>
      <c r="W4" s="134"/>
    </row>
    <row r="5" spans="1:23" x14ac:dyDescent="0.25">
      <c r="B5" s="368">
        <v>43448</v>
      </c>
      <c r="C5" s="7">
        <v>20</v>
      </c>
      <c r="D5" s="43">
        <v>210</v>
      </c>
      <c r="E5" s="43">
        <v>0</v>
      </c>
      <c r="F5" s="43">
        <f>C5*D5+E5</f>
        <v>4200</v>
      </c>
      <c r="G5" s="368">
        <v>43511</v>
      </c>
      <c r="H5" s="80">
        <v>20</v>
      </c>
      <c r="I5" s="43">
        <v>216.35</v>
      </c>
      <c r="J5" s="43">
        <v>0.06</v>
      </c>
      <c r="K5" s="43">
        <f>H5*I5-J5</f>
        <v>4326.9399999999996</v>
      </c>
      <c r="L5" s="72">
        <v>43518</v>
      </c>
      <c r="M5" s="43">
        <v>11.4</v>
      </c>
      <c r="O5" s="11" t="s">
        <v>67</v>
      </c>
      <c r="Q5" s="3">
        <f>Q4*Q2</f>
        <v>0</v>
      </c>
      <c r="W5" s="134"/>
    </row>
    <row r="6" spans="1:23" x14ac:dyDescent="0.25">
      <c r="B6" s="72"/>
      <c r="C6" s="4"/>
      <c r="D6" s="3"/>
      <c r="E6" s="3"/>
      <c r="F6" s="3"/>
      <c r="G6" s="4"/>
      <c r="H6" s="161"/>
      <c r="I6" s="3"/>
      <c r="J6" s="3"/>
      <c r="K6" s="3"/>
      <c r="L6" s="4"/>
      <c r="M6" s="4"/>
      <c r="O6" s="11" t="s">
        <v>64</v>
      </c>
      <c r="Q6" s="2">
        <f>Q3*Q2</f>
        <v>0</v>
      </c>
      <c r="W6" s="134"/>
    </row>
    <row r="7" spans="1:23" x14ac:dyDescent="0.25">
      <c r="B7" s="4"/>
      <c r="C7" s="4"/>
      <c r="D7" s="3"/>
      <c r="E7" s="3"/>
      <c r="F7" s="3"/>
      <c r="G7" s="4"/>
      <c r="H7" s="161"/>
      <c r="I7" s="3"/>
      <c r="J7" s="3"/>
      <c r="K7" s="3"/>
      <c r="L7" s="4"/>
      <c r="M7" s="4"/>
      <c r="O7" s="11" t="s">
        <v>177</v>
      </c>
      <c r="Q7" s="2">
        <f>Q10+Q8</f>
        <v>1693.1100000000001</v>
      </c>
      <c r="R7">
        <v>0</v>
      </c>
      <c r="W7" s="134"/>
    </row>
    <row r="8" spans="1:23" x14ac:dyDescent="0.25">
      <c r="B8" s="4"/>
      <c r="C8" s="4"/>
      <c r="D8" s="3"/>
      <c r="E8" s="3"/>
      <c r="F8" s="3"/>
      <c r="G8" s="4"/>
      <c r="H8" s="161"/>
      <c r="I8" s="3"/>
      <c r="J8" s="3"/>
      <c r="K8" s="3"/>
      <c r="L8" s="4"/>
      <c r="M8" s="4"/>
      <c r="O8" s="11" t="s">
        <v>179</v>
      </c>
      <c r="P8" s="33"/>
      <c r="Q8" s="2">
        <f>K18+M18-F18+Q2*Q4</f>
        <v>1550.08</v>
      </c>
      <c r="T8" s="1">
        <v>43237</v>
      </c>
      <c r="U8" t="s">
        <v>1060</v>
      </c>
      <c r="W8" s="134"/>
    </row>
    <row r="9" spans="1:23" x14ac:dyDescent="0.25">
      <c r="B9" s="4"/>
      <c r="C9" s="4"/>
      <c r="D9" s="3"/>
      <c r="E9" s="3"/>
      <c r="F9" s="3"/>
      <c r="G9" s="4"/>
      <c r="H9" s="161"/>
      <c r="I9" s="3"/>
      <c r="J9" s="3"/>
      <c r="K9" s="3"/>
      <c r="L9" s="4"/>
      <c r="M9" s="4"/>
      <c r="O9" s="11" t="s">
        <v>204</v>
      </c>
      <c r="Q9" s="134">
        <f>IF(Q2=0, 0, Q8/Q6)</f>
        <v>0</v>
      </c>
      <c r="W9" s="134"/>
    </row>
    <row r="10" spans="1:23" x14ac:dyDescent="0.25">
      <c r="H10" s="70"/>
      <c r="O10" s="11" t="s">
        <v>203</v>
      </c>
      <c r="P10" s="33"/>
      <c r="Q10" s="2">
        <f>M66</f>
        <v>143.0300000000002</v>
      </c>
      <c r="W10" s="134"/>
    </row>
    <row r="11" spans="1:23" x14ac:dyDescent="0.25">
      <c r="H11" s="70"/>
      <c r="O11" s="11" t="s">
        <v>175</v>
      </c>
      <c r="P11" s="33"/>
      <c r="Q11" s="134">
        <f>0.5/Q4</f>
        <v>2.309789952321316E-3</v>
      </c>
      <c r="S11">
        <v>0.5</v>
      </c>
      <c r="W11" s="134"/>
    </row>
    <row r="12" spans="1:23" x14ac:dyDescent="0.25">
      <c r="H12" s="70"/>
      <c r="O12" s="11" t="s">
        <v>921</v>
      </c>
      <c r="Q12" s="1" t="s">
        <v>1348</v>
      </c>
      <c r="W12" s="134"/>
    </row>
    <row r="13" spans="1:23" x14ac:dyDescent="0.25">
      <c r="H13" s="70"/>
      <c r="O13" s="11" t="s">
        <v>947</v>
      </c>
      <c r="Q13" s="2">
        <f>Q4/6.86</f>
        <v>31.555379008746353</v>
      </c>
      <c r="W13" s="134"/>
    </row>
    <row r="14" spans="1:23" x14ac:dyDescent="0.25">
      <c r="H14" s="70"/>
      <c r="W14" s="134"/>
    </row>
    <row r="15" spans="1:23" x14ac:dyDescent="0.25">
      <c r="H15" s="70"/>
      <c r="W15" s="134"/>
    </row>
    <row r="16" spans="1:23" x14ac:dyDescent="0.25">
      <c r="H16" s="70"/>
      <c r="W16" s="134"/>
    </row>
    <row r="17" spans="1:23" x14ac:dyDescent="0.25">
      <c r="W17" s="134"/>
    </row>
    <row r="18" spans="1:23" x14ac:dyDescent="0.25">
      <c r="A18" s="31" t="s">
        <v>81</v>
      </c>
      <c r="B18" s="14"/>
      <c r="C18" s="14">
        <f>SUM(C2:C6)</f>
        <v>90</v>
      </c>
      <c r="D18" s="18"/>
      <c r="E18" s="18"/>
      <c r="F18" s="18">
        <f>SUM(F2:F6)</f>
        <v>15665.4</v>
      </c>
      <c r="G18" s="14"/>
      <c r="H18" s="71">
        <f>SUM(H2:H5)</f>
        <v>90</v>
      </c>
      <c r="I18" s="18"/>
      <c r="J18" s="18"/>
      <c r="K18" s="18">
        <f>SUM(K2:K5)</f>
        <v>17172.68</v>
      </c>
      <c r="L18" s="14"/>
      <c r="M18" s="18">
        <f>SUM(M2:M10)</f>
        <v>42.8</v>
      </c>
      <c r="W18" s="134"/>
    </row>
    <row r="19" spans="1:23" ht="15.75" thickBot="1" x14ac:dyDescent="0.3">
      <c r="A19" s="277" t="s">
        <v>191</v>
      </c>
      <c r="B19" s="278"/>
      <c r="C19" s="279">
        <f>SumByColor($A$19,C2:C17)</f>
        <v>90</v>
      </c>
      <c r="D19" s="279"/>
      <c r="E19" s="279"/>
      <c r="F19" s="280">
        <f>SumByColor($A$19,F2:F17)</f>
        <v>15665</v>
      </c>
      <c r="G19" s="279"/>
      <c r="H19" s="279">
        <f>SumByColor($A$19,H2:H17)</f>
        <v>90</v>
      </c>
      <c r="I19" s="279"/>
      <c r="J19" s="279"/>
      <c r="K19" s="280">
        <f>SumByColor($A$19,K3:K17)</f>
        <v>12359</v>
      </c>
      <c r="L19" s="279"/>
      <c r="M19" s="280">
        <f>SumByColor($A$19,M2:M17)</f>
        <v>42</v>
      </c>
      <c r="W19" s="134"/>
    </row>
    <row r="20" spans="1:23" x14ac:dyDescent="0.25">
      <c r="W20" s="134"/>
    </row>
    <row r="21" spans="1:23" x14ac:dyDescent="0.25">
      <c r="W21" s="134"/>
    </row>
    <row r="22" spans="1:23" x14ac:dyDescent="0.25">
      <c r="W22" s="134"/>
    </row>
    <row r="24" spans="1:23" ht="20.25" thickBot="1" x14ac:dyDescent="0.35">
      <c r="B24" s="162" t="s">
        <v>113</v>
      </c>
      <c r="C24" s="162" t="s">
        <v>145</v>
      </c>
      <c r="D24" s="163" t="s">
        <v>144</v>
      </c>
      <c r="E24" s="165" t="s">
        <v>146</v>
      </c>
      <c r="F24" s="165" t="s">
        <v>65</v>
      </c>
      <c r="G24" s="177" t="s">
        <v>150</v>
      </c>
      <c r="H24" s="177" t="s">
        <v>88</v>
      </c>
      <c r="I24" s="177" t="s">
        <v>153</v>
      </c>
      <c r="J24" s="177" t="s">
        <v>149</v>
      </c>
      <c r="K24" s="177" t="s">
        <v>487</v>
      </c>
      <c r="L24" s="177" t="s">
        <v>947</v>
      </c>
      <c r="O24" s="884" t="s">
        <v>78</v>
      </c>
      <c r="P24" s="884"/>
    </row>
    <row r="25" spans="1:23" ht="15.75" thickTop="1" x14ac:dyDescent="0.25">
      <c r="B25" s="164">
        <v>42926</v>
      </c>
      <c r="C25" s="10">
        <v>20</v>
      </c>
      <c r="D25" s="39">
        <v>151</v>
      </c>
      <c r="E25" s="39">
        <v>151.16999999999999</v>
      </c>
      <c r="F25" s="39">
        <f t="shared" ref="F25:F43" si="0">C25*(E25-D25)</f>
        <v>3.3999999999997499</v>
      </c>
      <c r="G25" s="39">
        <f t="shared" ref="G25:G43" si="1">D25*C25</f>
        <v>3020</v>
      </c>
      <c r="H25" s="179">
        <f t="shared" ref="H25:H43" si="2">(E25-D25)/D25</f>
        <v>1.1258278145694536E-3</v>
      </c>
      <c r="I25" s="39"/>
      <c r="J25" s="39"/>
      <c r="K25" s="39"/>
      <c r="L25" s="39"/>
      <c r="O25" s="81">
        <v>1.1000000000000001</v>
      </c>
      <c r="P25" s="81">
        <f>O25*$Q$4</f>
        <v>238.11689000000001</v>
      </c>
      <c r="Q25" s="2"/>
    </row>
    <row r="26" spans="1:23" x14ac:dyDescent="0.25">
      <c r="B26" s="164">
        <v>42947</v>
      </c>
      <c r="C26" s="10">
        <v>20</v>
      </c>
      <c r="D26" s="39">
        <v>150.92500000000001</v>
      </c>
      <c r="E26" s="39">
        <v>158.51</v>
      </c>
      <c r="F26" s="39">
        <f t="shared" si="0"/>
        <v>151.69999999999959</v>
      </c>
      <c r="G26" s="39">
        <f t="shared" si="1"/>
        <v>3018.5</v>
      </c>
      <c r="H26" s="179">
        <f t="shared" si="2"/>
        <v>5.0256750041411155E-2</v>
      </c>
      <c r="I26" s="39"/>
      <c r="J26" s="39"/>
      <c r="K26" s="39"/>
      <c r="L26" s="39"/>
      <c r="O26" s="81">
        <v>1.0900000000000001</v>
      </c>
      <c r="P26" s="81">
        <f t="shared" ref="P26:P45" si="3">O26*$Q$4</f>
        <v>235.952191</v>
      </c>
      <c r="Q26" s="2"/>
    </row>
    <row r="27" spans="1:23" x14ac:dyDescent="0.25">
      <c r="B27" s="164">
        <v>42981</v>
      </c>
      <c r="C27" s="10">
        <v>20</v>
      </c>
      <c r="D27" s="39">
        <v>150.42500000000001</v>
      </c>
      <c r="E27" s="39">
        <v>158.51</v>
      </c>
      <c r="F27" s="39">
        <f t="shared" si="0"/>
        <v>161.69999999999959</v>
      </c>
      <c r="G27" s="39">
        <f t="shared" si="1"/>
        <v>3008.5</v>
      </c>
      <c r="H27" s="179">
        <f t="shared" si="2"/>
        <v>5.3747714808043738E-2</v>
      </c>
      <c r="I27" s="39">
        <v>148</v>
      </c>
      <c r="J27" s="39"/>
      <c r="K27" s="39"/>
      <c r="L27" s="155"/>
      <c r="O27" s="81">
        <v>1.08</v>
      </c>
      <c r="P27" s="81">
        <f t="shared" si="3"/>
        <v>233.78749200000001</v>
      </c>
      <c r="Q27" s="2"/>
    </row>
    <row r="28" spans="1:23" x14ac:dyDescent="0.25">
      <c r="B28" s="164">
        <v>42986</v>
      </c>
      <c r="C28" s="7">
        <v>50</v>
      </c>
      <c r="D28" s="43">
        <v>153.47</v>
      </c>
      <c r="E28" s="39">
        <v>155.5</v>
      </c>
      <c r="F28" s="39">
        <f t="shared" si="0"/>
        <v>101.50000000000006</v>
      </c>
      <c r="G28" s="39">
        <f t="shared" si="1"/>
        <v>7673.5</v>
      </c>
      <c r="H28" s="179">
        <f t="shared" si="2"/>
        <v>1.3227340848374283E-2</v>
      </c>
      <c r="I28" s="39"/>
      <c r="J28" s="39"/>
      <c r="K28" s="39"/>
      <c r="L28" s="155"/>
      <c r="O28" s="81">
        <v>1.07</v>
      </c>
      <c r="P28" s="81">
        <f t="shared" si="3"/>
        <v>231.622793</v>
      </c>
      <c r="Q28" s="2"/>
    </row>
    <row r="29" spans="1:23" x14ac:dyDescent="0.25">
      <c r="B29" s="164">
        <v>42986</v>
      </c>
      <c r="C29" s="10">
        <v>30</v>
      </c>
      <c r="D29" s="39">
        <v>150.7277</v>
      </c>
      <c r="E29" s="39">
        <v>157</v>
      </c>
      <c r="F29" s="39">
        <f t="shared" si="0"/>
        <v>188.16900000000004</v>
      </c>
      <c r="G29" s="39">
        <f t="shared" si="1"/>
        <v>4521.8310000000001</v>
      </c>
      <c r="H29" s="179">
        <f t="shared" si="2"/>
        <v>4.1613452603602399E-2</v>
      </c>
      <c r="I29" s="39"/>
      <c r="J29" s="39"/>
      <c r="K29" s="39"/>
      <c r="L29" s="155"/>
      <c r="O29" s="81">
        <v>1.06</v>
      </c>
      <c r="P29" s="81">
        <f t="shared" si="3"/>
        <v>229.45809400000002</v>
      </c>
      <c r="Q29" s="2"/>
    </row>
    <row r="30" spans="1:23" x14ac:dyDescent="0.25">
      <c r="B30" s="164">
        <v>43014</v>
      </c>
      <c r="C30" s="10">
        <v>50</v>
      </c>
      <c r="D30" s="39">
        <v>153.2474</v>
      </c>
      <c r="E30" s="39">
        <v>157.02000000000001</v>
      </c>
      <c r="F30" s="39">
        <f t="shared" si="0"/>
        <v>188.63000000000056</v>
      </c>
      <c r="G30" s="39">
        <f t="shared" si="1"/>
        <v>7662.37</v>
      </c>
      <c r="H30" s="179">
        <f t="shared" si="2"/>
        <v>2.461770966424234E-2</v>
      </c>
      <c r="I30" s="39"/>
      <c r="J30" s="39"/>
      <c r="K30" s="39"/>
      <c r="L30" s="155"/>
      <c r="O30" s="81">
        <v>1.05</v>
      </c>
      <c r="P30" s="81">
        <f t="shared" si="3"/>
        <v>227.293395</v>
      </c>
      <c r="Q30" s="2"/>
    </row>
    <row r="31" spans="1:23" x14ac:dyDescent="0.25">
      <c r="B31" s="164">
        <v>43028</v>
      </c>
      <c r="C31" s="10">
        <v>20</v>
      </c>
      <c r="D31" s="39">
        <v>149.55549999999999</v>
      </c>
      <c r="E31" s="39">
        <v>160.47999999999999</v>
      </c>
      <c r="F31" s="39">
        <f t="shared" si="0"/>
        <v>218.4899999999999</v>
      </c>
      <c r="G31" s="39">
        <f t="shared" si="1"/>
        <v>2991.1099999999997</v>
      </c>
      <c r="H31" s="179">
        <f t="shared" si="2"/>
        <v>7.3046461012801239E-2</v>
      </c>
      <c r="I31" s="39"/>
      <c r="J31" s="39">
        <v>362</v>
      </c>
      <c r="K31" s="39"/>
      <c r="L31" s="155"/>
      <c r="O31" s="81">
        <v>1.04</v>
      </c>
      <c r="P31" s="81">
        <f t="shared" si="3"/>
        <v>225.12869599999999</v>
      </c>
      <c r="Q31" s="2"/>
    </row>
    <row r="32" spans="1:23" x14ac:dyDescent="0.25">
      <c r="A32">
        <v>20</v>
      </c>
      <c r="B32" s="164">
        <v>43072</v>
      </c>
      <c r="C32" s="10">
        <v>20</v>
      </c>
      <c r="D32" s="39">
        <v>149.05549999999999</v>
      </c>
      <c r="E32" s="39">
        <v>185.13</v>
      </c>
      <c r="F32" s="39">
        <f t="shared" si="0"/>
        <v>721.49</v>
      </c>
      <c r="G32" s="39">
        <f t="shared" si="1"/>
        <v>2981.1099999999997</v>
      </c>
      <c r="H32" s="179">
        <f t="shared" si="2"/>
        <v>0.24202058964613854</v>
      </c>
      <c r="I32" s="39"/>
      <c r="J32" s="39">
        <v>865</v>
      </c>
      <c r="K32" s="39"/>
      <c r="L32" s="155"/>
      <c r="O32" s="81">
        <v>1.03</v>
      </c>
      <c r="P32" s="81">
        <f t="shared" si="3"/>
        <v>222.96399700000001</v>
      </c>
      <c r="Q32" s="2"/>
    </row>
    <row r="33" spans="1:23" x14ac:dyDescent="0.25">
      <c r="A33">
        <v>20</v>
      </c>
      <c r="B33" s="164">
        <v>43105</v>
      </c>
      <c r="C33" s="10">
        <v>20</v>
      </c>
      <c r="D33" s="39">
        <v>149.05549999999999</v>
      </c>
      <c r="E33" s="39">
        <v>187.75</v>
      </c>
      <c r="F33" s="39">
        <f t="shared" si="0"/>
        <v>773.8900000000001</v>
      </c>
      <c r="G33" s="39">
        <f t="shared" si="1"/>
        <v>2981.1099999999997</v>
      </c>
      <c r="H33" s="179">
        <f t="shared" si="2"/>
        <v>0.25959793499736677</v>
      </c>
      <c r="I33" s="39"/>
      <c r="J33" s="39">
        <v>866</v>
      </c>
      <c r="K33" s="39"/>
      <c r="L33" s="155"/>
      <c r="O33" s="81">
        <v>1.02</v>
      </c>
      <c r="P33" s="81">
        <f t="shared" si="3"/>
        <v>220.79929799999999</v>
      </c>
      <c r="Q33" s="2"/>
    </row>
    <row r="34" spans="1:23" x14ac:dyDescent="0.25">
      <c r="A34">
        <v>20</v>
      </c>
      <c r="B34" s="164">
        <v>43117</v>
      </c>
      <c r="C34" s="10">
        <v>20</v>
      </c>
      <c r="D34" s="39">
        <v>149.06</v>
      </c>
      <c r="E34" s="39">
        <v>192.29</v>
      </c>
      <c r="F34" s="39">
        <f t="shared" si="0"/>
        <v>864.5999999999998</v>
      </c>
      <c r="G34" s="39">
        <f t="shared" si="1"/>
        <v>2981.2</v>
      </c>
      <c r="H34" s="179">
        <f t="shared" si="2"/>
        <v>0.29001744264054735</v>
      </c>
      <c r="I34" s="39"/>
      <c r="J34" s="39">
        <v>1008</v>
      </c>
      <c r="K34" s="39"/>
      <c r="L34" s="155"/>
      <c r="O34" s="81">
        <v>1.01</v>
      </c>
      <c r="P34" s="81">
        <f t="shared" si="3"/>
        <v>218.63459900000001</v>
      </c>
      <c r="Q34" s="2"/>
    </row>
    <row r="35" spans="1:23" x14ac:dyDescent="0.25">
      <c r="B35" s="164">
        <v>43151</v>
      </c>
      <c r="C35" s="10">
        <v>20</v>
      </c>
      <c r="D35" s="39">
        <v>149.06</v>
      </c>
      <c r="E35" s="39">
        <v>188.12</v>
      </c>
      <c r="F35" s="39">
        <f t="shared" si="0"/>
        <v>781.2</v>
      </c>
      <c r="G35" s="39">
        <f t="shared" si="1"/>
        <v>2981.2</v>
      </c>
      <c r="H35" s="179">
        <f t="shared" si="2"/>
        <v>0.26204213068562998</v>
      </c>
      <c r="I35" s="39"/>
      <c r="J35" s="39">
        <v>924</v>
      </c>
      <c r="K35" s="39"/>
      <c r="L35" s="155"/>
      <c r="O35" s="81">
        <v>1</v>
      </c>
      <c r="P35" s="81">
        <f t="shared" si="3"/>
        <v>216.4699</v>
      </c>
      <c r="Q35" s="2"/>
    </row>
    <row r="36" spans="1:23" x14ac:dyDescent="0.25">
      <c r="A36">
        <v>20</v>
      </c>
      <c r="B36" s="164">
        <v>43162</v>
      </c>
      <c r="C36" s="10">
        <v>20</v>
      </c>
      <c r="D36" s="39">
        <v>148.56</v>
      </c>
      <c r="E36" s="39">
        <v>189.33</v>
      </c>
      <c r="F36" s="39">
        <f t="shared" si="0"/>
        <v>815.4000000000002</v>
      </c>
      <c r="G36" s="39">
        <f t="shared" si="1"/>
        <v>2971.2</v>
      </c>
      <c r="H36" s="179">
        <f t="shared" si="2"/>
        <v>0.27443457189014547</v>
      </c>
      <c r="I36" s="39"/>
      <c r="J36" s="39">
        <v>959</v>
      </c>
      <c r="K36" s="39"/>
      <c r="L36" s="39"/>
      <c r="O36" s="81">
        <v>0.99</v>
      </c>
      <c r="P36" s="81">
        <f t="shared" si="3"/>
        <v>214.30520099999998</v>
      </c>
      <c r="Q36" s="2"/>
    </row>
    <row r="37" spans="1:23" x14ac:dyDescent="0.25">
      <c r="B37" s="164">
        <v>43181</v>
      </c>
      <c r="C37" s="10">
        <v>40</v>
      </c>
      <c r="D37" s="39">
        <v>165.78</v>
      </c>
      <c r="E37" s="39">
        <v>183</v>
      </c>
      <c r="F37" s="39">
        <f t="shared" si="0"/>
        <v>688.8</v>
      </c>
      <c r="G37" s="39">
        <f t="shared" si="1"/>
        <v>6631.2</v>
      </c>
      <c r="H37" s="179">
        <f t="shared" si="2"/>
        <v>0.10387260224393774</v>
      </c>
      <c r="I37" s="39"/>
      <c r="J37" s="39"/>
      <c r="K37" s="39"/>
      <c r="L37" s="39"/>
      <c r="O37" s="81">
        <v>0.98</v>
      </c>
      <c r="P37" s="81">
        <f t="shared" si="3"/>
        <v>212.140502</v>
      </c>
      <c r="Q37" s="2"/>
    </row>
    <row r="38" spans="1:23" x14ac:dyDescent="0.25">
      <c r="A38">
        <v>20</v>
      </c>
      <c r="B38" s="164">
        <v>43184</v>
      </c>
      <c r="C38" s="10">
        <v>40</v>
      </c>
      <c r="D38" s="39">
        <v>165.78</v>
      </c>
      <c r="E38" s="39">
        <v>180.84</v>
      </c>
      <c r="F38" s="39">
        <f t="shared" si="0"/>
        <v>602.40000000000009</v>
      </c>
      <c r="G38" s="39">
        <f t="shared" si="1"/>
        <v>6631.2</v>
      </c>
      <c r="H38" s="179">
        <f t="shared" si="2"/>
        <v>9.0843286283025709E-2</v>
      </c>
      <c r="I38" s="39"/>
      <c r="J38" s="39">
        <v>746</v>
      </c>
      <c r="K38" s="39"/>
      <c r="L38" s="39"/>
      <c r="O38" s="81">
        <v>0.97</v>
      </c>
      <c r="P38" s="81">
        <f t="shared" si="3"/>
        <v>209.97580299999998</v>
      </c>
    </row>
    <row r="39" spans="1:23" x14ac:dyDescent="0.25">
      <c r="A39">
        <v>20</v>
      </c>
      <c r="B39" s="164">
        <v>43185</v>
      </c>
      <c r="C39" s="10">
        <v>40</v>
      </c>
      <c r="D39" s="39">
        <v>165.78</v>
      </c>
      <c r="E39" s="39">
        <v>187.22</v>
      </c>
      <c r="F39" s="39">
        <f t="shared" si="0"/>
        <v>857.59999999999991</v>
      </c>
      <c r="G39" s="39">
        <f t="shared" si="1"/>
        <v>6631.2</v>
      </c>
      <c r="H39" s="179">
        <f t="shared" si="2"/>
        <v>0.12932802509349739</v>
      </c>
      <c r="I39" s="39"/>
      <c r="J39" s="39">
        <v>1001</v>
      </c>
      <c r="K39" s="39">
        <v>47</v>
      </c>
      <c r="L39" s="39">
        <v>26.82</v>
      </c>
      <c r="O39" s="81">
        <v>0.96</v>
      </c>
      <c r="P39" s="81">
        <f t="shared" si="3"/>
        <v>207.811104</v>
      </c>
    </row>
    <row r="40" spans="1:23" x14ac:dyDescent="0.25">
      <c r="A40">
        <v>0</v>
      </c>
      <c r="B40" s="164">
        <v>43202</v>
      </c>
      <c r="C40" s="185">
        <v>20</v>
      </c>
      <c r="D40" s="186">
        <v>143.56</v>
      </c>
      <c r="E40" s="39">
        <v>188.82</v>
      </c>
      <c r="F40" s="39">
        <f t="shared" si="0"/>
        <v>905.19999999999982</v>
      </c>
      <c r="G40" s="39">
        <f t="shared" si="1"/>
        <v>2871.2</v>
      </c>
      <c r="H40" s="179">
        <f t="shared" si="2"/>
        <v>0.31526887712454715</v>
      </c>
      <c r="I40" s="186" t="s">
        <v>971</v>
      </c>
      <c r="J40" s="39">
        <v>1048</v>
      </c>
      <c r="K40" s="39"/>
      <c r="L40" s="39">
        <v>27.52</v>
      </c>
      <c r="O40" s="81">
        <v>0.95</v>
      </c>
      <c r="P40" s="81">
        <f t="shared" si="3"/>
        <v>205.64640499999999</v>
      </c>
    </row>
    <row r="41" spans="1:23" x14ac:dyDescent="0.25">
      <c r="A41">
        <v>20</v>
      </c>
      <c r="B41" s="164">
        <v>43229</v>
      </c>
      <c r="C41" s="10">
        <v>20</v>
      </c>
      <c r="D41" s="39">
        <v>143.56</v>
      </c>
      <c r="E41" s="39">
        <v>196.04</v>
      </c>
      <c r="F41" s="39">
        <f t="shared" si="0"/>
        <v>1049.5999999999999</v>
      </c>
      <c r="G41" s="39">
        <f t="shared" si="1"/>
        <v>2871.2</v>
      </c>
      <c r="H41" s="179">
        <f t="shared" si="2"/>
        <v>0.36556143772638611</v>
      </c>
      <c r="I41" s="39"/>
      <c r="J41" s="39">
        <v>1193</v>
      </c>
      <c r="K41" s="39"/>
      <c r="L41" s="39"/>
      <c r="O41" s="81">
        <v>0.94</v>
      </c>
      <c r="P41" s="81">
        <f t="shared" si="3"/>
        <v>203.48170599999997</v>
      </c>
    </row>
    <row r="42" spans="1:23" x14ac:dyDescent="0.25">
      <c r="A42">
        <v>20</v>
      </c>
      <c r="B42" s="164">
        <v>43245</v>
      </c>
      <c r="C42" s="185">
        <v>20</v>
      </c>
      <c r="D42" s="186">
        <v>142.99</v>
      </c>
      <c r="E42" s="39">
        <v>198.89</v>
      </c>
      <c r="F42" s="39">
        <f t="shared" si="0"/>
        <v>1117.9999999999995</v>
      </c>
      <c r="G42" s="39">
        <f t="shared" si="1"/>
        <v>2859.8</v>
      </c>
      <c r="H42" s="179">
        <f t="shared" si="2"/>
        <v>0.39093642912091736</v>
      </c>
      <c r="I42" s="39"/>
      <c r="J42" s="39">
        <v>1264</v>
      </c>
      <c r="K42" s="39"/>
      <c r="L42" s="39">
        <v>28.99</v>
      </c>
      <c r="O42" s="81">
        <v>0.93</v>
      </c>
      <c r="P42" s="81">
        <f t="shared" si="3"/>
        <v>201.31700700000002</v>
      </c>
    </row>
    <row r="43" spans="1:23" x14ac:dyDescent="0.25">
      <c r="A43">
        <v>20</v>
      </c>
      <c r="B43" s="164">
        <v>43276</v>
      </c>
      <c r="C43" s="10">
        <v>20</v>
      </c>
      <c r="D43" s="39">
        <v>142.99</v>
      </c>
      <c r="E43" s="39">
        <v>211.75</v>
      </c>
      <c r="F43" s="39">
        <f t="shared" si="0"/>
        <v>1375.1999999999998</v>
      </c>
      <c r="G43" s="39">
        <f t="shared" si="1"/>
        <v>2859.8</v>
      </c>
      <c r="H43" s="179">
        <f t="shared" si="2"/>
        <v>0.48087278830687452</v>
      </c>
      <c r="I43" s="39"/>
      <c r="J43" s="39">
        <v>1518</v>
      </c>
      <c r="K43" s="39"/>
      <c r="L43" s="39">
        <v>30.87</v>
      </c>
      <c r="O43" s="81">
        <v>0.92</v>
      </c>
      <c r="P43" s="81">
        <f t="shared" si="3"/>
        <v>199.152308</v>
      </c>
    </row>
    <row r="44" spans="1:23" x14ac:dyDescent="0.25">
      <c r="B44" s="164">
        <v>43293</v>
      </c>
      <c r="C44" s="10">
        <v>0</v>
      </c>
      <c r="D44" s="39"/>
      <c r="E44" s="39"/>
      <c r="F44" s="39">
        <v>1411.74</v>
      </c>
      <c r="G44" s="39"/>
      <c r="H44" s="179"/>
      <c r="I44" s="39"/>
      <c r="J44" s="778">
        <v>1554.77</v>
      </c>
      <c r="K44" s="39"/>
      <c r="L44" s="39"/>
      <c r="O44" s="81">
        <v>0.91</v>
      </c>
      <c r="P44" s="81">
        <f t="shared" si="3"/>
        <v>196.98760899999999</v>
      </c>
    </row>
    <row r="45" spans="1:23" x14ac:dyDescent="0.25">
      <c r="A45">
        <v>0</v>
      </c>
      <c r="B45" s="164">
        <v>43448</v>
      </c>
      <c r="C45" s="185">
        <v>20</v>
      </c>
      <c r="D45" s="186">
        <v>139.41300000000001</v>
      </c>
      <c r="E45" s="39">
        <v>207.06</v>
      </c>
      <c r="F45" s="39">
        <f>C45*(E45-D45)</f>
        <v>1352.9399999999998</v>
      </c>
      <c r="G45" s="39">
        <f>D45*C45</f>
        <v>2788.26</v>
      </c>
      <c r="H45" s="179">
        <f>(E45-D45)/D45</f>
        <v>0.48522734608680673</v>
      </c>
      <c r="I45" s="39"/>
      <c r="J45" s="39">
        <v>1495.97</v>
      </c>
      <c r="K45" s="39"/>
      <c r="L45" s="39"/>
      <c r="O45" s="81">
        <v>0.9</v>
      </c>
      <c r="P45" s="81">
        <f t="shared" si="3"/>
        <v>194.82291000000001</v>
      </c>
    </row>
    <row r="46" spans="1:23" x14ac:dyDescent="0.25">
      <c r="A46">
        <v>20</v>
      </c>
      <c r="B46" s="164">
        <v>43486</v>
      </c>
      <c r="C46" s="10">
        <v>20</v>
      </c>
      <c r="D46" s="39">
        <v>139.41</v>
      </c>
      <c r="E46" s="39">
        <v>213.59</v>
      </c>
      <c r="F46" s="39">
        <f>C46*(E46-D46)</f>
        <v>1483.6000000000001</v>
      </c>
      <c r="G46" s="39">
        <f>D46*C46</f>
        <v>2788.2</v>
      </c>
      <c r="H46" s="179">
        <f>(E46-D46)/D46</f>
        <v>0.53209956244171874</v>
      </c>
      <c r="I46" s="39"/>
      <c r="J46" s="778">
        <v>1626.57</v>
      </c>
      <c r="K46" s="39"/>
      <c r="L46" s="39"/>
    </row>
    <row r="47" spans="1:23" x14ac:dyDescent="0.25">
      <c r="B47" s="164">
        <v>43511</v>
      </c>
      <c r="C47" s="10">
        <v>0</v>
      </c>
      <c r="D47" s="39">
        <v>139.41</v>
      </c>
      <c r="E47" s="39">
        <v>216.47</v>
      </c>
      <c r="F47" s="39">
        <v>1538.68</v>
      </c>
      <c r="G47" s="39">
        <f>D47*C47</f>
        <v>0</v>
      </c>
      <c r="H47" s="179">
        <f>(E47-D47)/D47</f>
        <v>0.55275805178968518</v>
      </c>
      <c r="I47" s="39"/>
      <c r="J47" s="778">
        <v>1681.71</v>
      </c>
      <c r="K47" s="39"/>
      <c r="L47" s="39"/>
      <c r="W47" s="134"/>
    </row>
    <row r="48" spans="1:23" x14ac:dyDescent="0.25">
      <c r="B48" s="164">
        <v>43520</v>
      </c>
      <c r="C48" s="10">
        <v>0</v>
      </c>
      <c r="D48" s="39"/>
      <c r="E48" s="39"/>
      <c r="F48" s="39"/>
      <c r="G48" s="39"/>
      <c r="H48" s="179"/>
      <c r="I48" s="39" t="s">
        <v>184</v>
      </c>
      <c r="J48" s="778">
        <v>1693.11</v>
      </c>
      <c r="K48" s="39"/>
      <c r="L48" s="39"/>
      <c r="W48" s="134"/>
    </row>
    <row r="49" spans="1:23" x14ac:dyDescent="0.25">
      <c r="B49" s="164"/>
      <c r="C49" s="10"/>
      <c r="D49" s="39"/>
      <c r="E49" s="39"/>
      <c r="F49" s="39"/>
      <c r="G49" s="39"/>
      <c r="H49" s="179"/>
      <c r="I49" s="39"/>
      <c r="J49" s="39"/>
      <c r="K49" s="39"/>
      <c r="L49" s="39"/>
      <c r="W49" s="134"/>
    </row>
    <row r="50" spans="1:23" x14ac:dyDescent="0.25">
      <c r="B50" s="164"/>
      <c r="C50" s="10"/>
      <c r="D50" s="39"/>
      <c r="E50" s="39"/>
      <c r="F50" s="39"/>
      <c r="G50" s="39"/>
      <c r="H50" s="179"/>
      <c r="I50" s="39"/>
      <c r="J50" s="39"/>
      <c r="K50" s="39"/>
      <c r="L50" s="39"/>
      <c r="W50" s="134"/>
    </row>
    <row r="51" spans="1:23" x14ac:dyDescent="0.25">
      <c r="B51" s="72"/>
      <c r="C51" s="4"/>
      <c r="D51" s="3"/>
      <c r="E51" s="3"/>
      <c r="F51" s="3"/>
      <c r="G51" s="3"/>
      <c r="H51" s="216"/>
      <c r="I51" s="3"/>
      <c r="W51" s="134"/>
    </row>
    <row r="52" spans="1:23" x14ac:dyDescent="0.25">
      <c r="B52" s="72"/>
      <c r="C52" s="4"/>
      <c r="D52" s="3"/>
      <c r="E52" s="3"/>
      <c r="F52" s="3"/>
      <c r="G52" s="3"/>
      <c r="H52" s="216"/>
      <c r="I52" s="3"/>
      <c r="W52" s="134"/>
    </row>
    <row r="53" spans="1:23" x14ac:dyDescent="0.25">
      <c r="B53" s="72"/>
      <c r="C53" s="4"/>
      <c r="D53" s="3"/>
      <c r="E53" s="3"/>
      <c r="F53" s="3"/>
      <c r="G53" s="3"/>
      <c r="H53" s="216"/>
      <c r="I53" s="3"/>
    </row>
    <row r="54" spans="1:23" x14ac:dyDescent="0.25">
      <c r="A54" s="4"/>
      <c r="B54" s="72"/>
      <c r="C54" s="4"/>
      <c r="D54" s="3"/>
      <c r="E54" s="3"/>
      <c r="F54" s="3"/>
      <c r="G54" s="3"/>
      <c r="H54" s="216"/>
      <c r="I54" s="3"/>
      <c r="J54" s="3"/>
      <c r="K54" s="3"/>
      <c r="L54" s="4"/>
    </row>
    <row r="55" spans="1:23" x14ac:dyDescent="0.25">
      <c r="A55" s="4"/>
      <c r="B55" s="72"/>
      <c r="C55" s="4"/>
      <c r="D55" s="3"/>
      <c r="E55" s="3"/>
      <c r="F55" s="3"/>
      <c r="G55" s="3"/>
      <c r="H55" s="216"/>
      <c r="I55" s="3"/>
      <c r="J55" s="3"/>
      <c r="K55" s="3"/>
      <c r="L55" s="4"/>
    </row>
    <row r="56" spans="1:23" x14ac:dyDescent="0.25">
      <c r="A56" s="4"/>
      <c r="B56" s="72"/>
      <c r="C56" s="4"/>
      <c r="D56" s="3"/>
      <c r="E56" s="3"/>
      <c r="F56" s="3"/>
      <c r="G56" s="3"/>
      <c r="H56" s="216"/>
      <c r="I56" s="3"/>
      <c r="J56" s="3"/>
      <c r="K56" s="3"/>
      <c r="L56" s="4"/>
    </row>
    <row r="57" spans="1:23" x14ac:dyDescent="0.25">
      <c r="A57" s="4"/>
      <c r="B57" s="72"/>
      <c r="C57" s="4"/>
      <c r="D57" s="3"/>
      <c r="E57" s="3"/>
      <c r="F57" s="3"/>
      <c r="G57" s="3"/>
      <c r="H57" s="216"/>
      <c r="I57" s="3"/>
      <c r="J57" s="3"/>
      <c r="K57" s="3"/>
      <c r="L57" s="4"/>
    </row>
    <row r="58" spans="1:23" x14ac:dyDescent="0.25">
      <c r="A58" s="4"/>
      <c r="B58" s="72"/>
      <c r="C58" s="4"/>
      <c r="D58" s="3"/>
      <c r="E58" s="3"/>
      <c r="F58" s="3"/>
      <c r="G58" s="3"/>
      <c r="H58" s="216"/>
      <c r="I58" s="3"/>
      <c r="J58" s="3"/>
      <c r="K58" s="3"/>
      <c r="L58" s="4"/>
    </row>
    <row r="59" spans="1:23" x14ac:dyDescent="0.25">
      <c r="A59" s="4"/>
      <c r="B59" s="72"/>
      <c r="C59" s="4"/>
      <c r="D59" s="3"/>
      <c r="E59" s="3"/>
      <c r="F59" s="3"/>
      <c r="G59" s="3"/>
      <c r="H59" s="216"/>
      <c r="I59" s="3"/>
      <c r="J59" s="3"/>
      <c r="K59" s="3"/>
      <c r="L59" s="4"/>
    </row>
    <row r="60" spans="1:23" x14ac:dyDescent="0.25">
      <c r="A60" s="4"/>
      <c r="B60" s="72"/>
      <c r="C60" s="4"/>
      <c r="D60" s="3"/>
      <c r="E60" s="3"/>
      <c r="F60" s="3"/>
      <c r="G60" s="3"/>
      <c r="H60" s="216"/>
      <c r="I60" s="3"/>
      <c r="J60" s="3"/>
      <c r="K60" s="3"/>
      <c r="L60" s="4"/>
    </row>
    <row r="61" spans="1:23" x14ac:dyDescent="0.25">
      <c r="A61" s="4"/>
      <c r="B61" s="72"/>
      <c r="C61" s="4"/>
      <c r="D61" s="3"/>
      <c r="E61" s="3"/>
      <c r="F61" s="3"/>
      <c r="G61" s="3"/>
      <c r="H61" s="216"/>
      <c r="I61" s="3"/>
      <c r="J61" s="3"/>
      <c r="K61" s="3"/>
      <c r="L61" s="4"/>
    </row>
    <row r="62" spans="1:23" x14ac:dyDescent="0.25">
      <c r="A62" s="4"/>
      <c r="B62" s="72"/>
      <c r="C62" s="4"/>
      <c r="D62" s="3"/>
      <c r="E62" s="3"/>
      <c r="F62" s="3"/>
      <c r="G62" s="3"/>
      <c r="H62" s="216"/>
      <c r="I62" s="3"/>
      <c r="J62" s="3"/>
      <c r="K62" s="3"/>
      <c r="L62" s="4"/>
    </row>
    <row r="63" spans="1:23" x14ac:dyDescent="0.25">
      <c r="A63" s="4"/>
      <c r="B63" s="72"/>
      <c r="C63" s="4"/>
      <c r="D63" s="3"/>
      <c r="E63" s="3"/>
      <c r="F63" s="3"/>
      <c r="G63" s="3"/>
      <c r="H63" s="216"/>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31" x14ac:dyDescent="0.25">
      <c r="A68" s="442"/>
      <c r="B68" s="368">
        <v>42926</v>
      </c>
      <c r="C68" s="7">
        <v>20</v>
      </c>
      <c r="D68" s="43">
        <v>151</v>
      </c>
      <c r="E68" s="43">
        <v>0</v>
      </c>
      <c r="F68" s="43">
        <f>C68*D68+E68</f>
        <v>3020</v>
      </c>
      <c r="G68" s="368">
        <v>42986</v>
      </c>
      <c r="H68" s="7">
        <v>20</v>
      </c>
      <c r="I68" s="43">
        <v>157.58000000000001</v>
      </c>
      <c r="J68" s="43">
        <v>7.0000000000000007E-2</v>
      </c>
      <c r="K68" s="43">
        <f>H68*I68-J68</f>
        <v>3151.53</v>
      </c>
      <c r="L68" s="72">
        <v>42923</v>
      </c>
      <c r="M68" s="3">
        <v>1.5</v>
      </c>
    </row>
    <row r="69" spans="1:31" x14ac:dyDescent="0.25">
      <c r="A69" s="444"/>
      <c r="B69" s="404"/>
      <c r="C69" s="4"/>
      <c r="D69" s="3"/>
      <c r="E69" s="3"/>
      <c r="F69" s="3"/>
      <c r="G69" s="72"/>
      <c r="H69" s="161"/>
      <c r="I69" s="3"/>
      <c r="J69" s="3"/>
      <c r="K69" s="3"/>
      <c r="L69" s="72">
        <v>42981</v>
      </c>
      <c r="M69" s="3">
        <v>10</v>
      </c>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20</v>
      </c>
      <c r="D84" s="447"/>
      <c r="E84" s="447"/>
      <c r="F84" s="447">
        <f>SUM(F68:F72)</f>
        <v>3020</v>
      </c>
      <c r="G84" s="446"/>
      <c r="H84" s="468">
        <f>SUM(H68:H71)</f>
        <v>20</v>
      </c>
      <c r="I84" s="447"/>
      <c r="J84" s="447"/>
      <c r="K84" s="447">
        <f>SUM(K68:K71)</f>
        <v>3151.53</v>
      </c>
      <c r="L84" s="446"/>
      <c r="M84" s="447">
        <f>SUM(M68:M76)</f>
        <v>11.5</v>
      </c>
    </row>
    <row r="85" spans="1:13" ht="15.75" thickBot="1" x14ac:dyDescent="0.3">
      <c r="A85" s="448" t="s">
        <v>191</v>
      </c>
      <c r="B85" s="449"/>
      <c r="C85" s="450">
        <f>SumByColor($A$19,C68:C83)</f>
        <v>20</v>
      </c>
      <c r="D85" s="450"/>
      <c r="E85" s="450"/>
      <c r="F85" s="451">
        <f>SumByColor($A$19,F68:F83)</f>
        <v>3020</v>
      </c>
      <c r="G85" s="450"/>
      <c r="H85" s="450">
        <f>SumByColor($A$19,H68:H83)</f>
        <v>20</v>
      </c>
      <c r="I85" s="450"/>
      <c r="J85" s="450"/>
      <c r="K85" s="451">
        <f>SumByColor($A$19,K69:K83)</f>
        <v>0</v>
      </c>
      <c r="L85" s="450"/>
      <c r="M85" s="451">
        <f>SumByColor($A$19,M68:M83)</f>
        <v>0</v>
      </c>
    </row>
    <row r="88" spans="1:13" x14ac:dyDescent="0.25">
      <c r="B88" s="586" t="s">
        <v>113</v>
      </c>
      <c r="C88" s="586" t="s">
        <v>145</v>
      </c>
      <c r="D88" s="587" t="s">
        <v>144</v>
      </c>
      <c r="E88" s="588" t="s">
        <v>146</v>
      </c>
      <c r="F88" s="588" t="s">
        <v>65</v>
      </c>
      <c r="G88" s="589" t="s">
        <v>150</v>
      </c>
      <c r="H88" s="589" t="s">
        <v>88</v>
      </c>
      <c r="I88" s="589" t="s">
        <v>153</v>
      </c>
    </row>
    <row r="89" spans="1:13" x14ac:dyDescent="0.25">
      <c r="B89" s="494"/>
      <c r="C89" s="491"/>
      <c r="D89" s="492"/>
      <c r="E89" s="492"/>
      <c r="F89" s="492"/>
      <c r="G89" s="492"/>
      <c r="H89" s="590"/>
      <c r="I89" s="492"/>
    </row>
    <row r="90" spans="1:13" x14ac:dyDescent="0.25">
      <c r="B90" s="494"/>
      <c r="C90" s="491"/>
      <c r="D90" s="492"/>
      <c r="E90" s="492"/>
      <c r="F90" s="492"/>
      <c r="G90" s="492"/>
      <c r="H90" s="590"/>
      <c r="I90" s="492"/>
    </row>
    <row r="91" spans="1:13" x14ac:dyDescent="0.25">
      <c r="B91" s="494"/>
      <c r="C91" s="491"/>
      <c r="D91" s="492"/>
      <c r="E91" s="492"/>
      <c r="F91" s="492"/>
      <c r="G91" s="492"/>
      <c r="H91" s="590"/>
      <c r="I91" s="492"/>
    </row>
    <row r="92" spans="1:13" x14ac:dyDescent="0.25">
      <c r="B92" s="494"/>
      <c r="C92" s="491"/>
      <c r="D92" s="492"/>
      <c r="E92" s="492"/>
      <c r="F92" s="492"/>
      <c r="G92" s="492"/>
      <c r="H92" s="590"/>
      <c r="I92" s="492"/>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1760" priority="32">
      <formula>F51&gt;0</formula>
    </cfRule>
    <cfRule type="expression" dxfId="1759" priority="33">
      <formula>F51&lt;0</formula>
    </cfRule>
  </conditionalFormatting>
  <conditionalFormatting sqref="Q7">
    <cfRule type="expression" dxfId="1758" priority="30">
      <formula>Q7&gt;0</formula>
    </cfRule>
    <cfRule type="expression" dxfId="1757" priority="31">
      <formula>Q7&lt;0</formula>
    </cfRule>
  </conditionalFormatting>
  <conditionalFormatting sqref="Q8">
    <cfRule type="expression" dxfId="1756" priority="28">
      <formula>Q8&gt;0</formula>
    </cfRule>
    <cfRule type="expression" dxfId="1755" priority="29">
      <formula>Q8&lt;0</formula>
    </cfRule>
  </conditionalFormatting>
  <conditionalFormatting sqref="F25:F44 F46:F50">
    <cfRule type="expression" dxfId="1754" priority="26">
      <formula>F25&gt;0</formula>
    </cfRule>
    <cfRule type="expression" dxfId="1753" priority="27">
      <formula>F25&lt;0</formula>
    </cfRule>
  </conditionalFormatting>
  <conditionalFormatting sqref="H25:H44 H46:H50">
    <cfRule type="expression" dxfId="1752" priority="24">
      <formula>H25&gt;0</formula>
    </cfRule>
    <cfRule type="expression" dxfId="1751" priority="25">
      <formula>H25&lt;0</formula>
    </cfRule>
  </conditionalFormatting>
  <conditionalFormatting sqref="F89:F110">
    <cfRule type="expression" dxfId="1750" priority="22">
      <formula>F89&gt;0</formula>
    </cfRule>
    <cfRule type="expression" dxfId="1749" priority="23">
      <formula>F89&lt;0</formula>
    </cfRule>
  </conditionalFormatting>
  <conditionalFormatting sqref="H89:H110">
    <cfRule type="expression" dxfId="1748" priority="20">
      <formula>H89&gt;0</formula>
    </cfRule>
    <cfRule type="expression" dxfId="1747" priority="21">
      <formula>H89&lt;0</formula>
    </cfRule>
  </conditionalFormatting>
  <conditionalFormatting sqref="Q10">
    <cfRule type="expression" dxfId="1746" priority="18">
      <formula>Q10&gt;0</formula>
    </cfRule>
    <cfRule type="expression" dxfId="1745" priority="19">
      <formula>Q10&lt;0</formula>
    </cfRule>
  </conditionalFormatting>
  <conditionalFormatting sqref="J25:J39">
    <cfRule type="expression" dxfId="1744" priority="16">
      <formula>J25&gt;0</formula>
    </cfRule>
    <cfRule type="expression" dxfId="1743" priority="17">
      <formula>J25&lt;0</formula>
    </cfRule>
  </conditionalFormatting>
  <conditionalFormatting sqref="K25:K38">
    <cfRule type="expression" dxfId="1742" priority="14">
      <formula>K25&gt;0</formula>
    </cfRule>
    <cfRule type="expression" dxfId="1741" priority="15">
      <formula>K25&lt;0</formula>
    </cfRule>
  </conditionalFormatting>
  <conditionalFormatting sqref="L25:L38">
    <cfRule type="expression" dxfId="1740" priority="12">
      <formula>L25&gt;0</formula>
    </cfRule>
    <cfRule type="expression" dxfId="1739"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1738" priority="9">
      <formula>J40&gt;0</formula>
    </cfRule>
    <cfRule type="expression" dxfId="1737"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1736" priority="7">
      <formula>F45&gt;0</formula>
    </cfRule>
    <cfRule type="expression" dxfId="1735" priority="8">
      <formula>F45&lt;0</formula>
    </cfRule>
  </conditionalFormatting>
  <conditionalFormatting sqref="H45">
    <cfRule type="expression" dxfId="1734" priority="5">
      <formula>H45&gt;0</formula>
    </cfRule>
    <cfRule type="expression" dxfId="1733" priority="6">
      <formula>H45&lt;0</formula>
    </cfRule>
  </conditionalFormatting>
  <conditionalFormatting sqref="J45">
    <cfRule type="expression" dxfId="1732" priority="3">
      <formula>J45&gt;0</formula>
    </cfRule>
    <cfRule type="expression" dxfId="1731" priority="4">
      <formula>J45&lt;0</formula>
    </cfRule>
  </conditionalFormatting>
  <conditionalFormatting sqref="J46">
    <cfRule type="expression" dxfId="1730" priority="1">
      <formula>J46&gt;0</formula>
    </cfRule>
    <cfRule type="expression" dxfId="1729"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283"/>
  <sheetViews>
    <sheetView workbookViewId="0">
      <pane ySplit="1" topLeftCell="A2" activePane="bottomLeft" state="frozen"/>
      <selection activeCell="A2" sqref="A2"/>
      <selection pane="bottomLeft" activeCell="A3" sqref="A3"/>
    </sheetView>
  </sheetViews>
  <sheetFormatPr defaultRowHeight="15" x14ac:dyDescent="0.25"/>
  <cols>
    <col min="1" max="1" width="11.28515625" customWidth="1"/>
    <col min="4" max="4" width="9.140625" style="78"/>
    <col min="5" max="5" width="9.140625" style="2"/>
    <col min="6" max="6" width="10.5703125" style="2" bestFit="1" customWidth="1"/>
    <col min="7" max="7" width="9.5703125" bestFit="1" customWidth="1"/>
    <col min="9" max="9" width="15" style="78" bestFit="1" customWidth="1"/>
    <col min="10" max="10" width="9.140625" style="2"/>
    <col min="11" max="11" width="10.5703125" style="2" bestFit="1" customWidth="1"/>
    <col min="17" max="17" width="9.5703125" bestFit="1" customWidth="1"/>
    <col min="18" max="18" width="21.28515625" customWidth="1"/>
    <col min="20" max="20" width="18.5703125" customWidth="1"/>
    <col min="21" max="21" width="35.85546875" style="33" customWidth="1"/>
    <col min="23" max="23" width="10.5703125" style="29" customWidth="1"/>
    <col min="24" max="27" width="6" style="2" bestFit="1" customWidth="1"/>
    <col min="28" max="28" width="10.140625" bestFit="1" customWidth="1"/>
    <col min="29" max="29" width="10.28515625" bestFit="1" customWidth="1"/>
    <col min="35" max="35" width="31.7109375" bestFit="1" customWidth="1"/>
  </cols>
  <sheetData>
    <row r="1" spans="1:42" s="11" customFormat="1" x14ac:dyDescent="0.25">
      <c r="A1" s="11" t="s">
        <v>1</v>
      </c>
      <c r="B1" s="11" t="s">
        <v>2</v>
      </c>
      <c r="C1" s="11" t="s">
        <v>4</v>
      </c>
      <c r="D1" s="76" t="s">
        <v>5</v>
      </c>
      <c r="E1" s="20" t="s">
        <v>94</v>
      </c>
      <c r="F1" s="20" t="s">
        <v>60</v>
      </c>
      <c r="G1" s="11" t="s">
        <v>3</v>
      </c>
      <c r="H1" s="11" t="s">
        <v>6</v>
      </c>
      <c r="I1" s="76" t="s">
        <v>7</v>
      </c>
      <c r="J1" s="20" t="s">
        <v>95</v>
      </c>
      <c r="K1" s="20" t="s">
        <v>61</v>
      </c>
      <c r="L1" s="15" t="s">
        <v>37</v>
      </c>
      <c r="M1" s="15" t="s">
        <v>38</v>
      </c>
      <c r="T1" s="11" t="s">
        <v>70</v>
      </c>
      <c r="U1" s="32"/>
      <c r="W1" s="119" t="s">
        <v>113</v>
      </c>
      <c r="X1" s="109" t="s">
        <v>114</v>
      </c>
      <c r="Y1" s="109" t="s">
        <v>115</v>
      </c>
      <c r="Z1" s="109" t="s">
        <v>116</v>
      </c>
      <c r="AA1" s="109" t="s">
        <v>117</v>
      </c>
      <c r="AB1" s="106" t="s">
        <v>118</v>
      </c>
      <c r="AC1" s="106" t="s">
        <v>119</v>
      </c>
      <c r="AD1" s="11" t="s">
        <v>125</v>
      </c>
      <c r="AE1" s="11" t="s">
        <v>127</v>
      </c>
    </row>
    <row r="2" spans="1:42" x14ac:dyDescent="0.25">
      <c r="A2" s="6" t="s">
        <v>17</v>
      </c>
      <c r="B2" s="368">
        <v>42153</v>
      </c>
      <c r="C2" s="7">
        <v>1</v>
      </c>
      <c r="D2" s="77">
        <v>20.3</v>
      </c>
      <c r="E2" s="43">
        <v>0</v>
      </c>
      <c r="F2" s="43">
        <f>C2*D2</f>
        <v>20.3</v>
      </c>
      <c r="G2" s="368">
        <v>42235</v>
      </c>
      <c r="H2" s="7">
        <v>600</v>
      </c>
      <c r="I2" s="77">
        <v>17.55</v>
      </c>
      <c r="J2" s="43">
        <v>0.19</v>
      </c>
      <c r="K2" s="43">
        <f>H2*I2-J2</f>
        <v>10529.81</v>
      </c>
      <c r="L2" t="s">
        <v>80</v>
      </c>
      <c r="O2" s="11" t="s">
        <v>57</v>
      </c>
      <c r="Q2">
        <f>C118-H118</f>
        <v>0</v>
      </c>
      <c r="T2" s="151"/>
      <c r="W2" s="120">
        <v>42830</v>
      </c>
      <c r="X2" s="40">
        <v>10.95</v>
      </c>
      <c r="Y2" s="40">
        <v>11.15</v>
      </c>
      <c r="Z2" s="40">
        <v>10.95</v>
      </c>
      <c r="AA2" s="40">
        <v>11.02</v>
      </c>
      <c r="AB2" s="102">
        <v>7126200</v>
      </c>
      <c r="AC2" s="9">
        <v>11.02</v>
      </c>
      <c r="AD2" s="2">
        <f>Y2-Z2</f>
        <v>0.20000000000000107</v>
      </c>
      <c r="AE2" s="134">
        <f>AC2/AC3-1</f>
        <v>1.0082493125572745E-2</v>
      </c>
    </row>
    <row r="3" spans="1:42" x14ac:dyDescent="0.25">
      <c r="A3" s="22" t="s">
        <v>71</v>
      </c>
      <c r="B3" s="368">
        <v>42164</v>
      </c>
      <c r="C3" s="7">
        <v>10</v>
      </c>
      <c r="D3" s="77">
        <v>19.79</v>
      </c>
      <c r="E3" s="43">
        <v>0</v>
      </c>
      <c r="F3" s="43">
        <f t="shared" ref="F3:F24" si="0">C3*D3</f>
        <v>197.89999999999998</v>
      </c>
      <c r="G3" s="368">
        <v>42235</v>
      </c>
      <c r="H3" s="7">
        <v>400</v>
      </c>
      <c r="I3" s="77">
        <v>17.559999999999999</v>
      </c>
      <c r="J3" s="43">
        <v>0.13</v>
      </c>
      <c r="K3" s="43">
        <f>H3*I3-J3</f>
        <v>7023.869999999999</v>
      </c>
      <c r="O3" s="11" t="s">
        <v>75</v>
      </c>
      <c r="Q3" s="396">
        <f>IF(Q2=0, Q4, (F118-K118)/Q2)</f>
        <v>0</v>
      </c>
      <c r="T3" s="156"/>
      <c r="W3" s="120">
        <v>42829</v>
      </c>
      <c r="X3" s="40">
        <v>10.9</v>
      </c>
      <c r="Y3" s="40">
        <v>11.06</v>
      </c>
      <c r="Z3" s="40">
        <v>10.7</v>
      </c>
      <c r="AA3" s="40">
        <v>10.91</v>
      </c>
      <c r="AB3" s="102">
        <v>3031800</v>
      </c>
      <c r="AC3" s="9">
        <v>10.91</v>
      </c>
      <c r="AD3" s="2">
        <f t="shared" ref="AD3:AD66" si="1">Y3-Z3</f>
        <v>0.36000000000000121</v>
      </c>
      <c r="AE3" s="134">
        <f t="shared" ref="AE3:AE66" si="2">AC3/AC4-1</f>
        <v>-1.8298261665141702E-3</v>
      </c>
      <c r="AJ3" s="183"/>
      <c r="AL3" s="182"/>
      <c r="AO3" s="182"/>
    </row>
    <row r="4" spans="1:42" x14ac:dyDescent="0.25">
      <c r="B4" s="368">
        <v>42164</v>
      </c>
      <c r="C4" s="7">
        <v>50</v>
      </c>
      <c r="D4" s="77">
        <v>19.7</v>
      </c>
      <c r="E4" s="43">
        <v>0</v>
      </c>
      <c r="F4" s="43">
        <f t="shared" si="0"/>
        <v>985</v>
      </c>
      <c r="G4" s="368">
        <v>42265</v>
      </c>
      <c r="H4" s="80">
        <v>411</v>
      </c>
      <c r="I4" s="77">
        <v>15.83</v>
      </c>
      <c r="J4" s="43">
        <v>0.12</v>
      </c>
      <c r="K4" s="43">
        <f t="shared" ref="K4:K12" si="3">H4*I4-J4</f>
        <v>6506.01</v>
      </c>
      <c r="O4" s="11" t="s">
        <v>66</v>
      </c>
      <c r="Q4" s="55">
        <v>0</v>
      </c>
      <c r="R4" s="405">
        <v>0</v>
      </c>
      <c r="T4" s="1" t="s">
        <v>448</v>
      </c>
      <c r="W4" s="120">
        <v>42828</v>
      </c>
      <c r="X4" s="40">
        <v>11.03</v>
      </c>
      <c r="Y4" s="40">
        <v>11.04</v>
      </c>
      <c r="Z4" s="40">
        <v>10.75</v>
      </c>
      <c r="AA4" s="40">
        <v>10.93</v>
      </c>
      <c r="AB4" s="102">
        <v>3458800</v>
      </c>
      <c r="AC4" s="9">
        <v>10.93</v>
      </c>
      <c r="AD4" s="2">
        <f t="shared" si="1"/>
        <v>0.28999999999999915</v>
      </c>
      <c r="AE4" s="134">
        <f t="shared" si="2"/>
        <v>-1.0859728506787403E-2</v>
      </c>
      <c r="AL4" s="182"/>
      <c r="AO4" s="182"/>
    </row>
    <row r="5" spans="1:42" x14ac:dyDescent="0.25">
      <c r="B5" s="368">
        <v>42166</v>
      </c>
      <c r="C5" s="7">
        <v>39</v>
      </c>
      <c r="D5" s="77">
        <v>19.25</v>
      </c>
      <c r="E5" s="43">
        <v>0</v>
      </c>
      <c r="F5" s="43">
        <f t="shared" si="0"/>
        <v>750.75</v>
      </c>
      <c r="G5" s="368">
        <v>42284</v>
      </c>
      <c r="H5" s="80">
        <v>650</v>
      </c>
      <c r="I5" s="77">
        <v>15.07</v>
      </c>
      <c r="J5" s="43">
        <v>0.18</v>
      </c>
      <c r="K5" s="43">
        <f t="shared" si="3"/>
        <v>9795.32</v>
      </c>
      <c r="O5" s="11" t="s">
        <v>67</v>
      </c>
      <c r="Q5" s="2">
        <f>Q4*Q2</f>
        <v>0</v>
      </c>
      <c r="T5" s="1"/>
      <c r="W5" s="120">
        <v>42825</v>
      </c>
      <c r="X5" s="40">
        <v>10.88</v>
      </c>
      <c r="Y5" s="40">
        <v>11.09</v>
      </c>
      <c r="Z5" s="40">
        <v>10.75</v>
      </c>
      <c r="AA5" s="40">
        <v>11.05</v>
      </c>
      <c r="AB5" s="102">
        <v>3165800</v>
      </c>
      <c r="AC5" s="9">
        <v>11.05</v>
      </c>
      <c r="AD5" s="2">
        <f t="shared" si="1"/>
        <v>0.33999999999999986</v>
      </c>
      <c r="AE5" s="134">
        <f t="shared" si="2"/>
        <v>2.031394275161591E-2</v>
      </c>
      <c r="AL5" s="182"/>
      <c r="AO5" s="182"/>
    </row>
    <row r="6" spans="1:42" x14ac:dyDescent="0.25">
      <c r="B6" s="368">
        <v>42174</v>
      </c>
      <c r="C6" s="7">
        <v>20</v>
      </c>
      <c r="D6" s="77">
        <v>19.059999999999999</v>
      </c>
      <c r="E6" s="43">
        <v>0</v>
      </c>
      <c r="F6" s="43">
        <f t="shared" si="0"/>
        <v>381.2</v>
      </c>
      <c r="G6" s="368">
        <v>42284</v>
      </c>
      <c r="H6" s="80">
        <v>100</v>
      </c>
      <c r="I6" s="77">
        <v>15.25</v>
      </c>
      <c r="J6" s="43">
        <v>0.03</v>
      </c>
      <c r="K6" s="43">
        <f t="shared" si="3"/>
        <v>1524.97</v>
      </c>
      <c r="O6" s="11" t="s">
        <v>64</v>
      </c>
      <c r="Q6" s="2">
        <f>Q3*Q2</f>
        <v>0</v>
      </c>
      <c r="T6" t="s">
        <v>449</v>
      </c>
      <c r="W6" s="120">
        <v>42824</v>
      </c>
      <c r="X6" s="40">
        <v>10.87</v>
      </c>
      <c r="Y6" s="40">
        <v>10.92</v>
      </c>
      <c r="Z6" s="40">
        <v>10.72</v>
      </c>
      <c r="AA6" s="40">
        <v>10.83</v>
      </c>
      <c r="AB6" s="102">
        <v>2113700</v>
      </c>
      <c r="AC6" s="9">
        <v>10.83</v>
      </c>
      <c r="AD6" s="2">
        <f t="shared" si="1"/>
        <v>0.19999999999999929</v>
      </c>
      <c r="AE6" s="134">
        <f t="shared" si="2"/>
        <v>-7.3327222731439656E-3</v>
      </c>
      <c r="AL6" s="182"/>
      <c r="AO6" s="182"/>
    </row>
    <row r="7" spans="1:42" x14ac:dyDescent="0.25">
      <c r="B7" s="368">
        <v>42177</v>
      </c>
      <c r="C7" s="7">
        <v>20</v>
      </c>
      <c r="D7" s="77">
        <v>18.899999999999999</v>
      </c>
      <c r="E7" s="43">
        <v>0</v>
      </c>
      <c r="F7" s="43">
        <f t="shared" si="0"/>
        <v>378</v>
      </c>
      <c r="G7" s="368">
        <v>42285</v>
      </c>
      <c r="H7" s="80">
        <v>639</v>
      </c>
      <c r="I7" s="77">
        <v>15.95</v>
      </c>
      <c r="J7" s="43">
        <v>0.19</v>
      </c>
      <c r="K7" s="43">
        <f t="shared" si="3"/>
        <v>10191.859999999999</v>
      </c>
      <c r="O7" s="11" t="s">
        <v>177</v>
      </c>
      <c r="Q7" s="2">
        <f>Q10+Q8</f>
        <v>-20818.210000000079</v>
      </c>
      <c r="R7">
        <v>0</v>
      </c>
      <c r="W7" s="120">
        <v>42823</v>
      </c>
      <c r="X7" s="40">
        <v>10.7</v>
      </c>
      <c r="Y7" s="40">
        <v>11.01</v>
      </c>
      <c r="Z7" s="40">
        <v>10.68</v>
      </c>
      <c r="AA7" s="40">
        <v>10.91</v>
      </c>
      <c r="AB7" s="102">
        <v>1941100</v>
      </c>
      <c r="AC7" s="9">
        <v>10.91</v>
      </c>
      <c r="AD7" s="2">
        <f t="shared" si="1"/>
        <v>0.33000000000000007</v>
      </c>
      <c r="AE7" s="134">
        <f t="shared" si="2"/>
        <v>1.4883720930232602E-2</v>
      </c>
      <c r="AL7" s="182"/>
      <c r="AO7" s="182"/>
    </row>
    <row r="8" spans="1:42" x14ac:dyDescent="0.25">
      <c r="B8" s="368">
        <v>42185</v>
      </c>
      <c r="C8" s="7">
        <v>50</v>
      </c>
      <c r="D8" s="77">
        <v>18.72</v>
      </c>
      <c r="E8" s="43">
        <v>0</v>
      </c>
      <c r="F8" s="43">
        <f t="shared" si="0"/>
        <v>936</v>
      </c>
      <c r="G8" s="368">
        <v>42291</v>
      </c>
      <c r="H8" s="80">
        <v>1009</v>
      </c>
      <c r="I8" s="77">
        <v>16.48</v>
      </c>
      <c r="J8" s="43">
        <v>0.31</v>
      </c>
      <c r="K8" s="43">
        <f t="shared" si="3"/>
        <v>16628.009999999998</v>
      </c>
      <c r="O8" s="11" t="s">
        <v>179</v>
      </c>
      <c r="P8" s="33"/>
      <c r="Q8" s="2">
        <f>K118+M118-F118+Q2*Q4</f>
        <v>-20818.210000000079</v>
      </c>
      <c r="R8" s="159"/>
      <c r="W8" s="120">
        <v>42822</v>
      </c>
      <c r="X8" s="40">
        <v>10.72</v>
      </c>
      <c r="Y8" s="40">
        <v>10.78</v>
      </c>
      <c r="Z8" s="40">
        <v>10.62</v>
      </c>
      <c r="AA8" s="40">
        <v>10.75</v>
      </c>
      <c r="AB8" s="102">
        <v>1756000</v>
      </c>
      <c r="AC8" s="9">
        <v>10.75</v>
      </c>
      <c r="AD8" s="2">
        <f t="shared" si="1"/>
        <v>0.16000000000000014</v>
      </c>
      <c r="AE8" s="134">
        <f t="shared" si="2"/>
        <v>-1.8570102135561095E-3</v>
      </c>
      <c r="AL8" s="182"/>
      <c r="AO8" s="182"/>
    </row>
    <row r="9" spans="1:42" x14ac:dyDescent="0.25">
      <c r="B9" s="368">
        <v>42187</v>
      </c>
      <c r="C9" s="4">
        <v>1000</v>
      </c>
      <c r="D9" s="188">
        <v>18.45</v>
      </c>
      <c r="E9" s="3">
        <v>0</v>
      </c>
      <c r="F9" s="3">
        <f t="shared" si="0"/>
        <v>18450</v>
      </c>
      <c r="G9" s="368">
        <v>42327</v>
      </c>
      <c r="H9" s="80">
        <v>3006</v>
      </c>
      <c r="I9" s="77">
        <v>14.75</v>
      </c>
      <c r="J9" s="43">
        <v>0.82</v>
      </c>
      <c r="K9" s="43">
        <f t="shared" si="3"/>
        <v>44337.68</v>
      </c>
      <c r="O9" s="11" t="s">
        <v>204</v>
      </c>
      <c r="Q9" s="134">
        <f>IF(Q2=0, 0, Q8/Q6)</f>
        <v>0</v>
      </c>
      <c r="W9" s="120">
        <v>42821</v>
      </c>
      <c r="X9" s="40">
        <v>10.78</v>
      </c>
      <c r="Y9" s="40">
        <v>10.86</v>
      </c>
      <c r="Z9" s="40">
        <v>10.62</v>
      </c>
      <c r="AA9" s="40">
        <v>10.77</v>
      </c>
      <c r="AB9" s="102">
        <v>1949900</v>
      </c>
      <c r="AC9" s="9">
        <v>10.77</v>
      </c>
      <c r="AD9" s="2">
        <f t="shared" si="1"/>
        <v>0.24000000000000021</v>
      </c>
      <c r="AE9" s="134">
        <f t="shared" si="2"/>
        <v>-2.7777777777778789E-3</v>
      </c>
      <c r="AL9" s="182"/>
      <c r="AO9" s="182"/>
    </row>
    <row r="10" spans="1:42" x14ac:dyDescent="0.25">
      <c r="B10" s="368">
        <v>42187</v>
      </c>
      <c r="C10">
        <v>2000</v>
      </c>
      <c r="D10" s="78">
        <v>18.399999999999999</v>
      </c>
      <c r="E10" s="2">
        <v>0</v>
      </c>
      <c r="F10" s="2">
        <f t="shared" si="0"/>
        <v>36800</v>
      </c>
      <c r="G10" s="368">
        <v>42331</v>
      </c>
      <c r="H10" s="80">
        <v>1000</v>
      </c>
      <c r="I10" s="77">
        <v>14.55</v>
      </c>
      <c r="J10" s="43">
        <v>0.27</v>
      </c>
      <c r="K10" s="43">
        <f t="shared" si="3"/>
        <v>14549.73</v>
      </c>
      <c r="O10" s="11" t="s">
        <v>203</v>
      </c>
      <c r="P10" s="33"/>
      <c r="Q10" s="2">
        <v>0</v>
      </c>
      <c r="W10" s="120">
        <v>42818</v>
      </c>
      <c r="X10" s="40">
        <v>10.72</v>
      </c>
      <c r="Y10" s="40">
        <v>10.86</v>
      </c>
      <c r="Z10" s="40">
        <v>10.69</v>
      </c>
      <c r="AA10" s="40">
        <v>10.8</v>
      </c>
      <c r="AB10" s="102">
        <v>2522300</v>
      </c>
      <c r="AC10" s="9">
        <v>10.8</v>
      </c>
      <c r="AD10" s="2">
        <f t="shared" si="1"/>
        <v>0.16999999999999993</v>
      </c>
      <c r="AE10" s="134">
        <f t="shared" si="2"/>
        <v>6.5237651444547406E-3</v>
      </c>
      <c r="AL10" s="182"/>
      <c r="AO10" s="182"/>
    </row>
    <row r="11" spans="1:42" x14ac:dyDescent="0.25">
      <c r="B11" s="368">
        <v>42187</v>
      </c>
      <c r="C11" s="7">
        <v>210</v>
      </c>
      <c r="D11" s="77">
        <v>18.12</v>
      </c>
      <c r="E11" s="43">
        <v>0</v>
      </c>
      <c r="F11" s="43">
        <f t="shared" si="0"/>
        <v>3805.2000000000003</v>
      </c>
      <c r="G11" s="368">
        <v>42341</v>
      </c>
      <c r="H11" s="80">
        <v>1000</v>
      </c>
      <c r="I11" s="77">
        <v>14.78</v>
      </c>
      <c r="J11" s="43">
        <v>0.28000000000000003</v>
      </c>
      <c r="K11" s="43">
        <f t="shared" si="3"/>
        <v>14779.72</v>
      </c>
      <c r="O11" s="11" t="s">
        <v>175</v>
      </c>
      <c r="P11" s="33"/>
      <c r="Q11" s="134">
        <f>IF(U58="N/A (N/A)", 0, VALUE(TRIM(CLEAN(MID(U58, FIND("(", U58)+1, 5)))))</f>
        <v>0</v>
      </c>
      <c r="T11" s="11"/>
      <c r="W11" s="120">
        <v>42817</v>
      </c>
      <c r="X11" s="40">
        <v>10.59</v>
      </c>
      <c r="Y11" s="40">
        <v>10.78</v>
      </c>
      <c r="Z11" s="40">
        <v>10.59</v>
      </c>
      <c r="AA11" s="40">
        <v>10.73</v>
      </c>
      <c r="AB11" s="102">
        <v>2203100</v>
      </c>
      <c r="AC11" s="9">
        <v>10.73</v>
      </c>
      <c r="AD11" s="2">
        <f t="shared" si="1"/>
        <v>0.1899999999999995</v>
      </c>
      <c r="AE11" s="134">
        <f t="shared" si="2"/>
        <v>6.5666041275798115E-3</v>
      </c>
      <c r="AL11" s="182"/>
      <c r="AO11" s="182"/>
    </row>
    <row r="12" spans="1:42" x14ac:dyDescent="0.25">
      <c r="B12" s="368">
        <v>42207</v>
      </c>
      <c r="C12" s="4">
        <v>30</v>
      </c>
      <c r="D12" s="188">
        <v>17.3</v>
      </c>
      <c r="E12" s="3">
        <v>0</v>
      </c>
      <c r="F12" s="3">
        <f t="shared" si="0"/>
        <v>519</v>
      </c>
      <c r="G12" s="368">
        <v>42341</v>
      </c>
      <c r="H12" s="80">
        <v>100</v>
      </c>
      <c r="I12" s="77">
        <v>14.8</v>
      </c>
      <c r="J12" s="43">
        <v>0.03</v>
      </c>
      <c r="K12" s="43">
        <f t="shared" si="3"/>
        <v>1479.97</v>
      </c>
      <c r="W12" s="120">
        <v>42816</v>
      </c>
      <c r="X12" s="40">
        <v>10.89</v>
      </c>
      <c r="Y12" s="40">
        <v>10.97</v>
      </c>
      <c r="Z12" s="40">
        <v>10.53</v>
      </c>
      <c r="AA12" s="40">
        <v>10.66</v>
      </c>
      <c r="AB12" s="102">
        <v>3250200</v>
      </c>
      <c r="AC12" s="9">
        <v>10.66</v>
      </c>
      <c r="AD12" s="2">
        <f t="shared" si="1"/>
        <v>0.44000000000000128</v>
      </c>
      <c r="AE12" s="134">
        <f t="shared" si="2"/>
        <v>-2.2018348623853212E-2</v>
      </c>
      <c r="AL12" s="182"/>
      <c r="AO12" s="182"/>
    </row>
    <row r="13" spans="1:42" x14ac:dyDescent="0.25">
      <c r="B13" s="368">
        <v>42207</v>
      </c>
      <c r="C13" s="4">
        <v>20</v>
      </c>
      <c r="D13" s="188">
        <v>17.399999999999999</v>
      </c>
      <c r="E13" s="3">
        <v>0</v>
      </c>
      <c r="F13" s="3">
        <f t="shared" si="0"/>
        <v>348</v>
      </c>
      <c r="G13" s="367"/>
      <c r="H13" s="7"/>
      <c r="I13" s="77"/>
      <c r="J13" s="43"/>
      <c r="K13" s="43"/>
      <c r="W13" s="120">
        <v>42815</v>
      </c>
      <c r="X13" s="40">
        <v>10.72</v>
      </c>
      <c r="Y13" s="40">
        <v>10.93</v>
      </c>
      <c r="Z13" s="40">
        <v>10.59</v>
      </c>
      <c r="AA13" s="40">
        <v>10.9</v>
      </c>
      <c r="AB13" s="102">
        <v>3422600</v>
      </c>
      <c r="AC13" s="9">
        <v>10.9</v>
      </c>
      <c r="AD13" s="2">
        <f t="shared" si="1"/>
        <v>0.33999999999999986</v>
      </c>
      <c r="AE13" s="134">
        <f t="shared" si="2"/>
        <v>2.3474178403755763E-2</v>
      </c>
    </row>
    <row r="14" spans="1:42" x14ac:dyDescent="0.25">
      <c r="B14" s="368">
        <v>42208</v>
      </c>
      <c r="C14" s="4">
        <v>100</v>
      </c>
      <c r="D14" s="188">
        <v>17.100000000000001</v>
      </c>
      <c r="E14" s="3">
        <v>0</v>
      </c>
      <c r="F14" s="3">
        <f t="shared" si="0"/>
        <v>1710.0000000000002</v>
      </c>
      <c r="G14" s="402"/>
      <c r="H14" s="7"/>
      <c r="I14" s="77"/>
      <c r="J14" s="43"/>
      <c r="K14" s="43"/>
      <c r="W14" s="120">
        <v>42814</v>
      </c>
      <c r="X14" s="40">
        <v>10.88</v>
      </c>
      <c r="Y14" s="40">
        <v>10.88</v>
      </c>
      <c r="Z14" s="40">
        <v>10.64</v>
      </c>
      <c r="AA14" s="40">
        <v>10.65</v>
      </c>
      <c r="AB14" s="102">
        <v>2933800</v>
      </c>
      <c r="AC14" s="9">
        <v>10.65</v>
      </c>
      <c r="AD14" s="2">
        <f t="shared" si="1"/>
        <v>0.24000000000000021</v>
      </c>
      <c r="AE14" s="134">
        <f t="shared" si="2"/>
        <v>-2.1139705882353033E-2</v>
      </c>
    </row>
    <row r="15" spans="1:42" x14ac:dyDescent="0.25">
      <c r="B15" s="368">
        <v>42208</v>
      </c>
      <c r="C15" s="4">
        <v>50</v>
      </c>
      <c r="D15" s="188">
        <v>16.96</v>
      </c>
      <c r="E15" s="3">
        <v>0</v>
      </c>
      <c r="F15" s="3">
        <f t="shared" si="0"/>
        <v>848</v>
      </c>
      <c r="G15" s="402"/>
      <c r="H15" s="80"/>
      <c r="I15" s="77"/>
      <c r="J15" s="43"/>
      <c r="K15" s="43"/>
      <c r="V15" s="2"/>
      <c r="W15" s="120">
        <v>42811</v>
      </c>
      <c r="X15" s="40">
        <v>11.11</v>
      </c>
      <c r="Y15" s="40">
        <v>11.24</v>
      </c>
      <c r="Z15" s="40">
        <v>10.84</v>
      </c>
      <c r="AA15" s="40">
        <v>10.88</v>
      </c>
      <c r="AB15" s="102">
        <v>4222800</v>
      </c>
      <c r="AC15" s="9">
        <v>10.88</v>
      </c>
      <c r="AD15" s="2">
        <f t="shared" si="1"/>
        <v>0.40000000000000036</v>
      </c>
      <c r="AE15" s="134">
        <f t="shared" si="2"/>
        <v>-2.857142857142847E-2</v>
      </c>
      <c r="AL15" s="182"/>
      <c r="AO15" s="182"/>
      <c r="AP15" s="182"/>
    </row>
    <row r="16" spans="1:42" x14ac:dyDescent="0.25">
      <c r="B16" s="368">
        <v>42222</v>
      </c>
      <c r="C16" s="4">
        <v>200</v>
      </c>
      <c r="D16" s="188">
        <v>17.739999999999998</v>
      </c>
      <c r="E16" s="3">
        <v>0</v>
      </c>
      <c r="F16" s="3">
        <f t="shared" si="0"/>
        <v>3547.9999999999995</v>
      </c>
      <c r="G16" s="402"/>
      <c r="H16" s="80"/>
      <c r="I16" s="77"/>
      <c r="J16" s="43"/>
      <c r="K16" s="43"/>
      <c r="V16" s="2"/>
      <c r="W16" s="120">
        <v>42810</v>
      </c>
      <c r="X16" s="40">
        <v>11.05</v>
      </c>
      <c r="Y16" s="40">
        <v>11.21</v>
      </c>
      <c r="Z16" s="40">
        <v>10.98</v>
      </c>
      <c r="AA16" s="40">
        <v>11.2</v>
      </c>
      <c r="AB16" s="102">
        <v>2335700</v>
      </c>
      <c r="AC16" s="9">
        <v>11.2</v>
      </c>
      <c r="AD16" s="2">
        <f t="shared" si="1"/>
        <v>0.23000000000000043</v>
      </c>
      <c r="AE16" s="134">
        <f t="shared" si="2"/>
        <v>1.3574660633484115E-2</v>
      </c>
    </row>
    <row r="17" spans="2:42" x14ac:dyDescent="0.25">
      <c r="B17" s="368">
        <v>42222</v>
      </c>
      <c r="C17" s="7">
        <v>200</v>
      </c>
      <c r="D17" s="77">
        <v>17.850000000000001</v>
      </c>
      <c r="E17" s="43">
        <v>0</v>
      </c>
      <c r="F17" s="43">
        <f t="shared" si="0"/>
        <v>3570.0000000000005</v>
      </c>
      <c r="G17" s="402"/>
      <c r="H17" s="80"/>
      <c r="I17" s="77"/>
      <c r="J17" s="43"/>
      <c r="K17" s="43"/>
      <c r="V17" s="2"/>
      <c r="W17" s="120">
        <v>42809</v>
      </c>
      <c r="X17" s="40">
        <v>10.78</v>
      </c>
      <c r="Y17" s="40">
        <v>11.14</v>
      </c>
      <c r="Z17" s="40">
        <v>10.77</v>
      </c>
      <c r="AA17" s="40">
        <v>11.05</v>
      </c>
      <c r="AB17" s="102">
        <v>2896900</v>
      </c>
      <c r="AC17" s="9">
        <v>11.05</v>
      </c>
      <c r="AD17" s="2">
        <f t="shared" si="1"/>
        <v>0.37000000000000099</v>
      </c>
      <c r="AE17" s="134">
        <f t="shared" si="2"/>
        <v>2.6951672862453702E-2</v>
      </c>
      <c r="AL17" s="182"/>
      <c r="AO17" s="182"/>
      <c r="AP17" s="182"/>
    </row>
    <row r="18" spans="2:42" x14ac:dyDescent="0.25">
      <c r="B18" s="368">
        <v>42223</v>
      </c>
      <c r="C18" s="7">
        <v>300</v>
      </c>
      <c r="D18" s="77">
        <v>17.149999999999999</v>
      </c>
      <c r="E18" s="43">
        <v>0</v>
      </c>
      <c r="F18" s="43">
        <f t="shared" si="0"/>
        <v>5145</v>
      </c>
      <c r="G18" s="402"/>
      <c r="H18" s="80"/>
      <c r="I18" s="77"/>
      <c r="J18" s="43"/>
      <c r="K18" s="43"/>
      <c r="V18" s="2"/>
      <c r="W18" s="120">
        <v>42808</v>
      </c>
      <c r="X18" s="40">
        <v>10.9</v>
      </c>
      <c r="Y18" s="40">
        <v>10.9</v>
      </c>
      <c r="Z18" s="40">
        <v>10.57</v>
      </c>
      <c r="AA18" s="40">
        <v>10.76</v>
      </c>
      <c r="AB18" s="102">
        <v>3260900</v>
      </c>
      <c r="AC18" s="9">
        <v>10.76</v>
      </c>
      <c r="AD18" s="2">
        <f t="shared" si="1"/>
        <v>0.33000000000000007</v>
      </c>
      <c r="AE18" s="134">
        <f t="shared" si="2"/>
        <v>-1.3748854262144894E-2</v>
      </c>
    </row>
    <row r="19" spans="2:42" x14ac:dyDescent="0.25">
      <c r="B19" s="368">
        <v>42223</v>
      </c>
      <c r="C19" s="7">
        <v>200</v>
      </c>
      <c r="D19" s="77">
        <v>17.170000000000002</v>
      </c>
      <c r="E19" s="43">
        <v>0</v>
      </c>
      <c r="F19" s="43">
        <f t="shared" si="0"/>
        <v>3434.0000000000005</v>
      </c>
      <c r="G19" s="402"/>
      <c r="H19" s="80"/>
      <c r="I19" s="77"/>
      <c r="J19" s="43"/>
      <c r="K19" s="43"/>
      <c r="W19" s="120">
        <v>42807</v>
      </c>
      <c r="X19" s="40">
        <v>11.02</v>
      </c>
      <c r="Y19" s="40">
        <v>11.07</v>
      </c>
      <c r="Z19" s="40">
        <v>10.87</v>
      </c>
      <c r="AA19" s="40">
        <v>10.91</v>
      </c>
      <c r="AB19" s="102">
        <v>1993100</v>
      </c>
      <c r="AC19" s="9">
        <v>10.91</v>
      </c>
      <c r="AD19" s="2">
        <f t="shared" si="1"/>
        <v>0.20000000000000107</v>
      </c>
      <c r="AE19" s="134">
        <f t="shared" si="2"/>
        <v>-9.0826521344232747E-3</v>
      </c>
      <c r="AL19" s="182"/>
      <c r="AO19" s="182"/>
    </row>
    <row r="20" spans="2:42" x14ac:dyDescent="0.25">
      <c r="B20" s="368">
        <v>42223</v>
      </c>
      <c r="C20" s="7">
        <v>100</v>
      </c>
      <c r="D20" s="77">
        <v>17.37</v>
      </c>
      <c r="E20" s="43">
        <v>0</v>
      </c>
      <c r="F20" s="43">
        <f t="shared" si="0"/>
        <v>1737</v>
      </c>
      <c r="G20" s="367"/>
      <c r="H20" s="7"/>
      <c r="I20" s="77"/>
      <c r="J20" s="43"/>
      <c r="K20" s="43"/>
      <c r="W20" s="120">
        <v>42804</v>
      </c>
      <c r="X20" s="40">
        <v>11.13</v>
      </c>
      <c r="Y20" s="40">
        <v>11.18</v>
      </c>
      <c r="Z20" s="40">
        <v>10.99</v>
      </c>
      <c r="AA20" s="40">
        <v>11.01</v>
      </c>
      <c r="AB20" s="102">
        <v>2583500</v>
      </c>
      <c r="AC20" s="9">
        <v>11.01</v>
      </c>
      <c r="AD20" s="2">
        <f t="shared" si="1"/>
        <v>0.1899999999999995</v>
      </c>
      <c r="AE20" s="134">
        <f t="shared" si="2"/>
        <v>-6.3176895306858993E-3</v>
      </c>
    </row>
    <row r="21" spans="2:42" x14ac:dyDescent="0.25">
      <c r="B21" s="368">
        <v>42227</v>
      </c>
      <c r="C21" s="4">
        <v>100</v>
      </c>
      <c r="D21" s="188">
        <v>17.100000000000001</v>
      </c>
      <c r="E21" s="3">
        <v>0</v>
      </c>
      <c r="F21" s="3">
        <f t="shared" si="0"/>
        <v>1710.0000000000002</v>
      </c>
      <c r="G21" s="367"/>
      <c r="H21" s="7"/>
      <c r="I21" s="77"/>
      <c r="J21" s="43"/>
      <c r="K21" s="43"/>
      <c r="W21" s="120">
        <v>42803</v>
      </c>
      <c r="X21" s="40">
        <v>10.98</v>
      </c>
      <c r="Y21" s="40">
        <v>11.15</v>
      </c>
      <c r="Z21" s="40">
        <v>10.94</v>
      </c>
      <c r="AA21" s="40">
        <v>11.08</v>
      </c>
      <c r="AB21" s="102">
        <v>2866700</v>
      </c>
      <c r="AC21" s="9">
        <v>11.08</v>
      </c>
      <c r="AD21" s="2">
        <f t="shared" si="1"/>
        <v>0.21000000000000085</v>
      </c>
      <c r="AE21" s="134">
        <f t="shared" si="2"/>
        <v>1.0027347310847645E-2</v>
      </c>
    </row>
    <row r="22" spans="2:42" x14ac:dyDescent="0.25">
      <c r="B22" s="368">
        <v>42229</v>
      </c>
      <c r="C22" s="4">
        <v>100</v>
      </c>
      <c r="D22" s="188">
        <v>16.89</v>
      </c>
      <c r="E22" s="3">
        <v>0</v>
      </c>
      <c r="F22" s="3">
        <f t="shared" si="0"/>
        <v>1689</v>
      </c>
      <c r="G22" s="367"/>
      <c r="H22" s="7"/>
      <c r="I22" s="77"/>
      <c r="J22" s="43"/>
      <c r="K22" s="43"/>
      <c r="W22" s="120">
        <v>42802</v>
      </c>
      <c r="X22" s="40">
        <v>11.17</v>
      </c>
      <c r="Y22" s="40">
        <v>11.21</v>
      </c>
      <c r="Z22" s="40">
        <v>10.72</v>
      </c>
      <c r="AA22" s="40">
        <v>10.97</v>
      </c>
      <c r="AB22" s="102">
        <v>5303100</v>
      </c>
      <c r="AC22" s="9">
        <v>10.97</v>
      </c>
      <c r="AD22" s="2">
        <f t="shared" si="1"/>
        <v>0.49000000000000021</v>
      </c>
      <c r="AE22" s="134">
        <f t="shared" si="2"/>
        <v>-2.4021352313167266E-2</v>
      </c>
    </row>
    <row r="23" spans="2:42" x14ac:dyDescent="0.25">
      <c r="B23" s="368">
        <v>42233</v>
      </c>
      <c r="C23" s="4">
        <v>100</v>
      </c>
      <c r="D23" s="188">
        <v>16.5</v>
      </c>
      <c r="E23" s="3">
        <v>0</v>
      </c>
      <c r="F23" s="3">
        <f t="shared" si="0"/>
        <v>1650</v>
      </c>
      <c r="G23" s="367"/>
      <c r="H23" s="80"/>
      <c r="I23" s="77"/>
      <c r="J23" s="43"/>
      <c r="K23" s="43"/>
      <c r="M23" s="2"/>
      <c r="W23" s="120">
        <v>42801</v>
      </c>
      <c r="X23" s="40">
        <v>11.71</v>
      </c>
      <c r="Y23" s="40">
        <v>11.78</v>
      </c>
      <c r="Z23" s="40">
        <v>11.18</v>
      </c>
      <c r="AA23" s="40">
        <v>11.24</v>
      </c>
      <c r="AB23" s="102">
        <v>4097900</v>
      </c>
      <c r="AC23" s="9">
        <v>11.24</v>
      </c>
      <c r="AD23" s="2">
        <f t="shared" si="1"/>
        <v>0.59999999999999964</v>
      </c>
      <c r="AE23" s="134">
        <f t="shared" si="2"/>
        <v>-3.8494439692044469E-2</v>
      </c>
    </row>
    <row r="24" spans="2:42" x14ac:dyDescent="0.25">
      <c r="B24" s="368">
        <v>42234</v>
      </c>
      <c r="C24" s="7">
        <v>100</v>
      </c>
      <c r="D24" s="77">
        <v>16.600000000000001</v>
      </c>
      <c r="E24" s="43">
        <v>0</v>
      </c>
      <c r="F24" s="43">
        <f t="shared" si="0"/>
        <v>1660.0000000000002</v>
      </c>
      <c r="G24" s="367"/>
      <c r="H24" s="80"/>
      <c r="I24" s="77"/>
      <c r="J24" s="43"/>
      <c r="K24" s="43"/>
      <c r="W24" s="120">
        <v>42800</v>
      </c>
      <c r="X24" s="40">
        <v>11.86</v>
      </c>
      <c r="Y24" s="40">
        <v>11.92</v>
      </c>
      <c r="Z24" s="40">
        <v>11.62</v>
      </c>
      <c r="AA24" s="40">
        <v>11.69</v>
      </c>
      <c r="AB24" s="102">
        <v>4746700</v>
      </c>
      <c r="AC24" s="9">
        <v>11.69</v>
      </c>
      <c r="AD24" s="2">
        <f t="shared" si="1"/>
        <v>0.30000000000000071</v>
      </c>
      <c r="AE24" s="134">
        <f t="shared" si="2"/>
        <v>-1.433389544688024E-2</v>
      </c>
    </row>
    <row r="25" spans="2:42" x14ac:dyDescent="0.25">
      <c r="B25" s="368">
        <v>42244</v>
      </c>
      <c r="C25" s="4">
        <v>200</v>
      </c>
      <c r="D25" s="188">
        <v>15.4</v>
      </c>
      <c r="E25" s="3">
        <v>0</v>
      </c>
      <c r="F25" s="3">
        <f t="shared" ref="F25:F36" si="4">C25*D25</f>
        <v>3080</v>
      </c>
      <c r="G25" s="367"/>
      <c r="H25" s="80"/>
      <c r="I25" s="77"/>
      <c r="J25" s="43"/>
      <c r="K25" s="43"/>
      <c r="W25" s="120">
        <v>42797</v>
      </c>
      <c r="X25" s="40">
        <v>11.83</v>
      </c>
      <c r="Y25" s="40">
        <v>11.92</v>
      </c>
      <c r="Z25" s="40">
        <v>11.71</v>
      </c>
      <c r="AA25" s="40">
        <v>11.86</v>
      </c>
      <c r="AB25" s="102">
        <v>2018300</v>
      </c>
      <c r="AC25" s="9">
        <v>11.86</v>
      </c>
      <c r="AD25" s="2">
        <f t="shared" si="1"/>
        <v>0.20999999999999908</v>
      </c>
      <c r="AE25" s="134">
        <f t="shared" si="2"/>
        <v>0</v>
      </c>
      <c r="AL25" s="182"/>
      <c r="AO25" s="182"/>
    </row>
    <row r="26" spans="2:42" x14ac:dyDescent="0.25">
      <c r="B26" s="368">
        <v>42257</v>
      </c>
      <c r="C26" s="7">
        <v>200</v>
      </c>
      <c r="D26" s="77">
        <v>15.02</v>
      </c>
      <c r="E26" s="43">
        <v>0</v>
      </c>
      <c r="F26" s="43">
        <f t="shared" si="4"/>
        <v>3004</v>
      </c>
      <c r="G26" s="367"/>
      <c r="H26" s="80"/>
      <c r="I26" s="77"/>
      <c r="J26" s="43"/>
      <c r="K26" s="43"/>
      <c r="W26" s="120">
        <v>42796</v>
      </c>
      <c r="X26" s="40">
        <v>11.6</v>
      </c>
      <c r="Y26" s="40">
        <v>12</v>
      </c>
      <c r="Z26" s="40">
        <v>11.53</v>
      </c>
      <c r="AA26" s="40">
        <v>11.86</v>
      </c>
      <c r="AB26" s="102">
        <v>2712400</v>
      </c>
      <c r="AC26" s="9">
        <v>11.86</v>
      </c>
      <c r="AD26" s="2">
        <f t="shared" si="1"/>
        <v>0.47000000000000064</v>
      </c>
      <c r="AE26" s="134">
        <f t="shared" si="2"/>
        <v>2.0654044750430423E-2</v>
      </c>
    </row>
    <row r="27" spans="2:42" x14ac:dyDescent="0.25">
      <c r="B27" s="368">
        <v>42270</v>
      </c>
      <c r="C27" s="7">
        <v>100</v>
      </c>
      <c r="D27" s="77">
        <v>15.55</v>
      </c>
      <c r="E27" s="43">
        <v>0</v>
      </c>
      <c r="F27" s="43">
        <f t="shared" si="4"/>
        <v>1555</v>
      </c>
      <c r="G27" s="367"/>
      <c r="H27" s="7"/>
      <c r="I27" s="77"/>
      <c r="J27" s="43"/>
      <c r="K27" s="43"/>
      <c r="W27" s="120">
        <v>42795</v>
      </c>
      <c r="X27" s="40">
        <v>11.7</v>
      </c>
      <c r="Y27" s="40">
        <v>11.89</v>
      </c>
      <c r="Z27" s="40">
        <v>11.59</v>
      </c>
      <c r="AA27" s="40">
        <v>11.62</v>
      </c>
      <c r="AB27" s="102">
        <v>3373400</v>
      </c>
      <c r="AC27" s="9">
        <v>11.62</v>
      </c>
      <c r="AD27" s="2">
        <f t="shared" si="1"/>
        <v>0.30000000000000071</v>
      </c>
      <c r="AE27" s="134">
        <f t="shared" si="2"/>
        <v>-7.6857386848848686E-3</v>
      </c>
      <c r="AL27" s="182"/>
      <c r="AO27" s="182"/>
    </row>
    <row r="28" spans="2:42" x14ac:dyDescent="0.25">
      <c r="B28" s="368">
        <v>42270</v>
      </c>
      <c r="C28" s="7">
        <v>400</v>
      </c>
      <c r="D28" s="77">
        <v>15.52</v>
      </c>
      <c r="E28" s="43">
        <v>0</v>
      </c>
      <c r="F28" s="43">
        <f t="shared" si="4"/>
        <v>6208</v>
      </c>
      <c r="G28" s="367"/>
      <c r="H28" s="7"/>
      <c r="I28" s="77"/>
      <c r="J28" s="43"/>
      <c r="K28" s="43"/>
      <c r="W28" s="120">
        <v>42794</v>
      </c>
      <c r="X28" s="40">
        <v>11.67</v>
      </c>
      <c r="Y28" s="40">
        <v>11.91</v>
      </c>
      <c r="Z28" s="40">
        <v>11.57</v>
      </c>
      <c r="AA28" s="40">
        <v>11.71</v>
      </c>
      <c r="AB28" s="102">
        <v>6079000</v>
      </c>
      <c r="AC28" s="9">
        <v>11.71</v>
      </c>
      <c r="AD28" s="2">
        <f t="shared" si="1"/>
        <v>0.33999999999999986</v>
      </c>
      <c r="AE28" s="134">
        <f t="shared" si="2"/>
        <v>8.5470085470107371E-4</v>
      </c>
    </row>
    <row r="29" spans="2:42" x14ac:dyDescent="0.25">
      <c r="B29" s="368">
        <v>42272</v>
      </c>
      <c r="C29" s="7">
        <v>100</v>
      </c>
      <c r="D29" s="77">
        <v>14.95</v>
      </c>
      <c r="E29" s="43">
        <v>0</v>
      </c>
      <c r="F29" s="43">
        <f t="shared" si="4"/>
        <v>1495</v>
      </c>
      <c r="G29" s="367"/>
      <c r="H29" s="7"/>
      <c r="I29" s="77"/>
      <c r="J29" s="43"/>
      <c r="K29" s="43"/>
      <c r="W29" s="120">
        <v>42793</v>
      </c>
      <c r="X29" s="40">
        <v>11.62</v>
      </c>
      <c r="Y29" s="40">
        <v>11.71</v>
      </c>
      <c r="Z29" s="40">
        <v>11.51</v>
      </c>
      <c r="AA29" s="40">
        <v>11.7</v>
      </c>
      <c r="AB29" s="102">
        <v>5164400</v>
      </c>
      <c r="AC29" s="9">
        <v>11.7</v>
      </c>
      <c r="AD29" s="2">
        <f t="shared" si="1"/>
        <v>0.20000000000000107</v>
      </c>
      <c r="AE29" s="134">
        <f t="shared" si="2"/>
        <v>-5.1020408163265918E-3</v>
      </c>
    </row>
    <row r="30" spans="2:42" x14ac:dyDescent="0.25">
      <c r="B30" s="368">
        <v>42272</v>
      </c>
      <c r="C30" s="7">
        <v>100</v>
      </c>
      <c r="D30" s="77">
        <v>14.65</v>
      </c>
      <c r="E30" s="43">
        <v>0</v>
      </c>
      <c r="F30" s="43">
        <f t="shared" si="4"/>
        <v>1465</v>
      </c>
      <c r="G30" s="402">
        <v>42361</v>
      </c>
      <c r="H30" s="80">
        <v>500</v>
      </c>
      <c r="I30" s="77">
        <v>12.65</v>
      </c>
      <c r="J30" s="43">
        <v>0.12</v>
      </c>
      <c r="K30" s="43">
        <f>H30*I30-J30</f>
        <v>6324.88</v>
      </c>
      <c r="W30" s="120">
        <v>42790</v>
      </c>
      <c r="X30" s="40">
        <v>11.77</v>
      </c>
      <c r="Y30" s="40">
        <v>11.91</v>
      </c>
      <c r="Z30" s="40">
        <v>11.72</v>
      </c>
      <c r="AA30" s="40">
        <v>11.76</v>
      </c>
      <c r="AB30" s="102">
        <v>3480100</v>
      </c>
      <c r="AC30" s="9">
        <v>11.76</v>
      </c>
      <c r="AD30" s="2">
        <f t="shared" si="1"/>
        <v>0.1899999999999995</v>
      </c>
      <c r="AE30" s="134">
        <f t="shared" si="2"/>
        <v>-3.3898305084746339E-3</v>
      </c>
    </row>
    <row r="31" spans="2:42" x14ac:dyDescent="0.25">
      <c r="B31" s="368">
        <v>42272</v>
      </c>
      <c r="C31" s="7">
        <v>400</v>
      </c>
      <c r="D31" s="77">
        <v>14.4</v>
      </c>
      <c r="E31" s="43">
        <v>0</v>
      </c>
      <c r="F31" s="43">
        <f t="shared" si="4"/>
        <v>5760</v>
      </c>
      <c r="G31" s="402">
        <v>42361</v>
      </c>
      <c r="H31" s="80">
        <v>1500</v>
      </c>
      <c r="I31" s="77">
        <v>12.77</v>
      </c>
      <c r="J31" s="43">
        <v>1.64</v>
      </c>
      <c r="K31" s="43">
        <f>H31*I31-J31</f>
        <v>19153.36</v>
      </c>
      <c r="Q31" s="2"/>
      <c r="W31" s="120">
        <v>42789</v>
      </c>
      <c r="X31" s="40">
        <v>11.85</v>
      </c>
      <c r="Y31" s="40">
        <v>11.95</v>
      </c>
      <c r="Z31" s="40">
        <v>11.67</v>
      </c>
      <c r="AA31" s="40">
        <v>11.8</v>
      </c>
      <c r="AB31" s="102">
        <v>4529600</v>
      </c>
      <c r="AC31" s="9">
        <v>11.8</v>
      </c>
      <c r="AD31" s="2">
        <f t="shared" si="1"/>
        <v>0.27999999999999936</v>
      </c>
      <c r="AE31" s="134">
        <f t="shared" si="2"/>
        <v>8.4817642069556776E-4</v>
      </c>
      <c r="AL31" s="182"/>
      <c r="AO31" s="182"/>
    </row>
    <row r="32" spans="2:42" x14ac:dyDescent="0.25">
      <c r="B32" s="368">
        <v>42285</v>
      </c>
      <c r="C32" s="7">
        <v>639</v>
      </c>
      <c r="D32" s="77">
        <v>15.78</v>
      </c>
      <c r="E32" s="43">
        <v>0</v>
      </c>
      <c r="F32" s="43">
        <f t="shared" si="4"/>
        <v>10083.42</v>
      </c>
      <c r="G32" s="402">
        <v>42361</v>
      </c>
      <c r="H32" s="80">
        <v>100</v>
      </c>
      <c r="I32" s="77">
        <v>12.77</v>
      </c>
      <c r="J32" s="43">
        <v>0</v>
      </c>
      <c r="K32" s="43">
        <f>H32*I32-J32</f>
        <v>1277</v>
      </c>
      <c r="Q32" s="2"/>
      <c r="W32" s="120">
        <v>42788</v>
      </c>
      <c r="X32" s="40">
        <v>11.73</v>
      </c>
      <c r="Y32" s="40">
        <v>11.81</v>
      </c>
      <c r="Z32" s="40">
        <v>11.65</v>
      </c>
      <c r="AA32" s="40">
        <v>11.79</v>
      </c>
      <c r="AB32" s="102">
        <v>2318600</v>
      </c>
      <c r="AC32" s="9">
        <v>11.79</v>
      </c>
      <c r="AD32" s="2">
        <f t="shared" si="1"/>
        <v>0.16000000000000014</v>
      </c>
      <c r="AE32" s="134">
        <f t="shared" si="2"/>
        <v>4.2589437819420262E-3</v>
      </c>
    </row>
    <row r="33" spans="2:41" x14ac:dyDescent="0.25">
      <c r="B33" s="368">
        <v>42292</v>
      </c>
      <c r="C33" s="7">
        <v>1100</v>
      </c>
      <c r="D33" s="77">
        <v>16.350000000000001</v>
      </c>
      <c r="E33" s="43">
        <v>0</v>
      </c>
      <c r="F33" s="43">
        <f t="shared" si="4"/>
        <v>17985</v>
      </c>
      <c r="G33" s="402">
        <v>42361</v>
      </c>
      <c r="H33" s="80">
        <v>100</v>
      </c>
      <c r="I33" s="77">
        <v>12.77</v>
      </c>
      <c r="J33" s="43">
        <v>0</v>
      </c>
      <c r="K33" s="43">
        <f t="shared" ref="K33:K45" si="5">H33*I33-J33</f>
        <v>1277</v>
      </c>
      <c r="Q33" s="2"/>
      <c r="W33" s="120">
        <v>42787</v>
      </c>
      <c r="X33" s="40">
        <v>11.51</v>
      </c>
      <c r="Y33" s="40">
        <v>11.87</v>
      </c>
      <c r="Z33" s="40">
        <v>11.51</v>
      </c>
      <c r="AA33" s="40">
        <v>11.74</v>
      </c>
      <c r="AB33" s="102">
        <v>4274600</v>
      </c>
      <c r="AC33" s="9">
        <v>11.74</v>
      </c>
      <c r="AD33" s="2">
        <f t="shared" si="1"/>
        <v>0.35999999999999943</v>
      </c>
      <c r="AE33" s="134">
        <f t="shared" si="2"/>
        <v>2.3539668700959027E-2</v>
      </c>
      <c r="AL33" s="182"/>
      <c r="AO33" s="182"/>
    </row>
    <row r="34" spans="2:41" x14ac:dyDescent="0.25">
      <c r="B34" s="368">
        <v>42292</v>
      </c>
      <c r="C34" s="7">
        <v>300</v>
      </c>
      <c r="D34" s="77">
        <v>16</v>
      </c>
      <c r="E34" s="43">
        <v>0</v>
      </c>
      <c r="F34" s="43">
        <f t="shared" si="4"/>
        <v>4800</v>
      </c>
      <c r="G34" s="402">
        <v>42361</v>
      </c>
      <c r="H34" s="80">
        <v>200</v>
      </c>
      <c r="I34" s="77">
        <v>12.77</v>
      </c>
      <c r="J34" s="43">
        <v>0</v>
      </c>
      <c r="K34" s="43">
        <f t="shared" si="5"/>
        <v>2554</v>
      </c>
      <c r="W34" s="120">
        <v>42783</v>
      </c>
      <c r="X34" s="40">
        <v>11.56</v>
      </c>
      <c r="Y34" s="40">
        <v>11.56</v>
      </c>
      <c r="Z34" s="40">
        <v>11.29</v>
      </c>
      <c r="AA34" s="40">
        <v>11.47</v>
      </c>
      <c r="AB34" s="102">
        <v>2346000</v>
      </c>
      <c r="AC34" s="9">
        <v>11.47</v>
      </c>
      <c r="AD34" s="2">
        <f t="shared" si="1"/>
        <v>0.27000000000000135</v>
      </c>
      <c r="AE34" s="134">
        <f t="shared" si="2"/>
        <v>-7.7854671280276344E-3</v>
      </c>
    </row>
    <row r="35" spans="2:41" x14ac:dyDescent="0.25">
      <c r="B35" s="368">
        <v>42297</v>
      </c>
      <c r="C35" s="7">
        <v>500</v>
      </c>
      <c r="D35" s="77">
        <v>16.100000000000001</v>
      </c>
      <c r="E35" s="43">
        <v>0</v>
      </c>
      <c r="F35" s="43">
        <f t="shared" si="4"/>
        <v>8050.0000000000009</v>
      </c>
      <c r="G35" s="402">
        <v>42361</v>
      </c>
      <c r="H35" s="80">
        <v>200</v>
      </c>
      <c r="I35" s="77">
        <v>12.77</v>
      </c>
      <c r="J35" s="43">
        <v>0</v>
      </c>
      <c r="K35" s="43">
        <f t="shared" si="5"/>
        <v>2554</v>
      </c>
      <c r="W35" s="120">
        <v>42782</v>
      </c>
      <c r="X35" s="40">
        <v>11.72</v>
      </c>
      <c r="Y35" s="40">
        <v>11.76</v>
      </c>
      <c r="Z35" s="40">
        <v>11.48</v>
      </c>
      <c r="AA35" s="40">
        <v>11.56</v>
      </c>
      <c r="AB35" s="102">
        <v>2065300</v>
      </c>
      <c r="AC35" s="9">
        <v>11.56</v>
      </c>
      <c r="AD35" s="2">
        <f t="shared" si="1"/>
        <v>0.27999999999999936</v>
      </c>
      <c r="AE35" s="134">
        <f t="shared" si="2"/>
        <v>-1.112061591103497E-2</v>
      </c>
      <c r="AL35" s="182"/>
      <c r="AO35" s="182"/>
    </row>
    <row r="36" spans="2:41" x14ac:dyDescent="0.25">
      <c r="B36" s="368">
        <v>42303</v>
      </c>
      <c r="C36" s="7">
        <v>300</v>
      </c>
      <c r="D36" s="77">
        <v>15.76</v>
      </c>
      <c r="E36" s="43">
        <v>0</v>
      </c>
      <c r="F36" s="43">
        <f t="shared" si="4"/>
        <v>4728</v>
      </c>
      <c r="G36" s="402">
        <v>42361</v>
      </c>
      <c r="H36" s="80">
        <v>100</v>
      </c>
      <c r="I36" s="77">
        <v>12.77</v>
      </c>
      <c r="J36" s="43">
        <v>0</v>
      </c>
      <c r="K36" s="43">
        <f t="shared" si="5"/>
        <v>1277</v>
      </c>
      <c r="W36" s="120">
        <v>42781</v>
      </c>
      <c r="X36" s="40">
        <v>11.33</v>
      </c>
      <c r="Y36" s="40">
        <v>11.72</v>
      </c>
      <c r="Z36" s="40">
        <v>11.3</v>
      </c>
      <c r="AA36" s="40">
        <v>11.69</v>
      </c>
      <c r="AB36" s="102">
        <v>3249500</v>
      </c>
      <c r="AC36" s="9">
        <v>11.69</v>
      </c>
      <c r="AD36" s="2">
        <f t="shared" si="1"/>
        <v>0.41999999999999993</v>
      </c>
      <c r="AE36" s="134">
        <f t="shared" si="2"/>
        <v>2.9049295774647987E-2</v>
      </c>
    </row>
    <row r="37" spans="2:41" x14ac:dyDescent="0.25">
      <c r="B37" s="368">
        <v>42312</v>
      </c>
      <c r="C37" s="7">
        <v>200</v>
      </c>
      <c r="D37" s="77">
        <v>14.94</v>
      </c>
      <c r="E37" s="43">
        <v>6.95</v>
      </c>
      <c r="F37" s="43">
        <f t="shared" ref="F37:F60" si="6">C37*D37+E37</f>
        <v>2994.95</v>
      </c>
      <c r="G37" s="402">
        <v>42361</v>
      </c>
      <c r="H37" s="80">
        <v>200</v>
      </c>
      <c r="I37" s="77">
        <v>12.77</v>
      </c>
      <c r="J37" s="43">
        <v>0</v>
      </c>
      <c r="K37" s="43">
        <f t="shared" si="5"/>
        <v>2554</v>
      </c>
      <c r="W37" s="120">
        <v>42780</v>
      </c>
      <c r="X37" s="40">
        <v>11.61</v>
      </c>
      <c r="Y37" s="40">
        <v>11.66</v>
      </c>
      <c r="Z37" s="40">
        <v>11.35</v>
      </c>
      <c r="AA37" s="40">
        <v>11.36</v>
      </c>
      <c r="AB37" s="102">
        <v>2429100</v>
      </c>
      <c r="AC37" s="9">
        <v>11.36</v>
      </c>
      <c r="AD37" s="2">
        <f t="shared" si="1"/>
        <v>0.3100000000000005</v>
      </c>
      <c r="AE37" s="134">
        <f t="shared" si="2"/>
        <v>-2.9888983774551736E-2</v>
      </c>
    </row>
    <row r="38" spans="2:41" x14ac:dyDescent="0.25">
      <c r="B38" s="368">
        <v>42318</v>
      </c>
      <c r="C38" s="7">
        <v>270</v>
      </c>
      <c r="D38" s="77">
        <v>15.05</v>
      </c>
      <c r="E38" s="43">
        <v>0</v>
      </c>
      <c r="F38" s="43">
        <f t="shared" si="6"/>
        <v>4063.5</v>
      </c>
      <c r="G38" s="402">
        <v>42361</v>
      </c>
      <c r="H38" s="80">
        <v>200</v>
      </c>
      <c r="I38" s="77">
        <v>12.77</v>
      </c>
      <c r="J38" s="43">
        <v>0</v>
      </c>
      <c r="K38" s="43">
        <f t="shared" si="5"/>
        <v>2554</v>
      </c>
      <c r="W38" s="120">
        <v>42779</v>
      </c>
      <c r="X38" s="40">
        <v>11.66</v>
      </c>
      <c r="Y38" s="40">
        <v>11.83</v>
      </c>
      <c r="Z38" s="40">
        <v>11.61</v>
      </c>
      <c r="AA38" s="40">
        <v>11.71</v>
      </c>
      <c r="AB38" s="102">
        <v>4117600</v>
      </c>
      <c r="AC38" s="9">
        <v>11.71</v>
      </c>
      <c r="AD38" s="2">
        <f t="shared" si="1"/>
        <v>0.22000000000000064</v>
      </c>
      <c r="AE38" s="134">
        <f t="shared" si="2"/>
        <v>5.1502145922748266E-3</v>
      </c>
    </row>
    <row r="39" spans="2:41" x14ac:dyDescent="0.25">
      <c r="B39" s="368">
        <v>42320</v>
      </c>
      <c r="C39" s="7">
        <v>1000</v>
      </c>
      <c r="D39" s="77">
        <v>14.48</v>
      </c>
      <c r="E39" s="43">
        <v>0</v>
      </c>
      <c r="F39" s="43">
        <f t="shared" si="6"/>
        <v>14480</v>
      </c>
      <c r="G39" s="402">
        <v>42361</v>
      </c>
      <c r="H39" s="80">
        <v>200</v>
      </c>
      <c r="I39" s="77">
        <v>12.77</v>
      </c>
      <c r="J39" s="43">
        <v>0</v>
      </c>
      <c r="K39" s="43">
        <f t="shared" si="5"/>
        <v>2554</v>
      </c>
      <c r="W39" s="120">
        <v>42776</v>
      </c>
      <c r="X39" s="40">
        <v>11.31</v>
      </c>
      <c r="Y39" s="40">
        <v>11.69</v>
      </c>
      <c r="Z39" s="40">
        <v>11.1</v>
      </c>
      <c r="AA39" s="40">
        <v>11.65</v>
      </c>
      <c r="AB39" s="102">
        <v>9965700</v>
      </c>
      <c r="AC39" s="9">
        <v>11.65</v>
      </c>
      <c r="AD39" s="2">
        <f t="shared" si="1"/>
        <v>0.58999999999999986</v>
      </c>
      <c r="AE39" s="134">
        <f t="shared" si="2"/>
        <v>5.1444043321299704E-2</v>
      </c>
    </row>
    <row r="40" spans="2:41" x14ac:dyDescent="0.25">
      <c r="B40" s="368">
        <v>42320</v>
      </c>
      <c r="C40" s="7">
        <v>6</v>
      </c>
      <c r="D40" s="77">
        <v>14.3</v>
      </c>
      <c r="E40" s="43">
        <v>0</v>
      </c>
      <c r="F40" s="43">
        <f t="shared" si="6"/>
        <v>85.800000000000011</v>
      </c>
      <c r="G40" s="402">
        <v>42361</v>
      </c>
      <c r="H40" s="80">
        <v>200</v>
      </c>
      <c r="I40" s="77">
        <v>12.77</v>
      </c>
      <c r="J40" s="43">
        <v>0</v>
      </c>
      <c r="K40" s="43">
        <f t="shared" si="5"/>
        <v>2554</v>
      </c>
      <c r="W40" s="120">
        <v>42775</v>
      </c>
      <c r="X40" s="40">
        <v>11.32</v>
      </c>
      <c r="Y40" s="40">
        <v>11.54</v>
      </c>
      <c r="Z40" s="40">
        <v>10.9</v>
      </c>
      <c r="AA40" s="40">
        <v>11.08</v>
      </c>
      <c r="AB40" s="102">
        <v>14488300</v>
      </c>
      <c r="AC40" s="9">
        <v>11.08</v>
      </c>
      <c r="AD40" s="2">
        <f t="shared" si="1"/>
        <v>0.63999999999999879</v>
      </c>
      <c r="AE40" s="134">
        <f t="shared" si="2"/>
        <v>-2.9772329246935181E-2</v>
      </c>
    </row>
    <row r="41" spans="2:41" x14ac:dyDescent="0.25">
      <c r="B41" s="368">
        <v>42327</v>
      </c>
      <c r="C41" s="7">
        <v>2000</v>
      </c>
      <c r="D41" s="77">
        <v>14.74</v>
      </c>
      <c r="E41" s="43">
        <v>0</v>
      </c>
      <c r="F41" s="43">
        <f t="shared" si="6"/>
        <v>29480</v>
      </c>
      <c r="G41" s="402">
        <v>42361</v>
      </c>
      <c r="H41" s="80">
        <v>200</v>
      </c>
      <c r="I41" s="77">
        <v>12.77</v>
      </c>
      <c r="J41" s="43">
        <v>0</v>
      </c>
      <c r="K41" s="43">
        <f t="shared" si="5"/>
        <v>2554</v>
      </c>
      <c r="W41" s="120">
        <v>42774</v>
      </c>
      <c r="X41" s="40">
        <v>11.05</v>
      </c>
      <c r="Y41" s="40">
        <v>11.43</v>
      </c>
      <c r="Z41" s="40">
        <v>11.04</v>
      </c>
      <c r="AA41" s="40">
        <v>11.42</v>
      </c>
      <c r="AB41" s="102">
        <v>11810100</v>
      </c>
      <c r="AC41" s="9">
        <v>11.42</v>
      </c>
      <c r="AD41" s="2">
        <f t="shared" si="1"/>
        <v>0.39000000000000057</v>
      </c>
      <c r="AE41" s="134">
        <f t="shared" si="2"/>
        <v>2.8828828828828756E-2</v>
      </c>
      <c r="AL41" s="182"/>
      <c r="AO41" s="182"/>
    </row>
    <row r="42" spans="2:41" ht="20.25" thickBot="1" x14ac:dyDescent="0.35">
      <c r="B42" s="368">
        <v>42328</v>
      </c>
      <c r="C42" s="7">
        <v>1000</v>
      </c>
      <c r="D42" s="77">
        <v>14.45</v>
      </c>
      <c r="E42" s="43">
        <v>0</v>
      </c>
      <c r="F42" s="43">
        <f t="shared" si="6"/>
        <v>14450</v>
      </c>
      <c r="G42" s="402">
        <v>42361</v>
      </c>
      <c r="H42" s="80">
        <v>200</v>
      </c>
      <c r="I42" s="77">
        <v>12.77</v>
      </c>
      <c r="J42" s="43">
        <v>0</v>
      </c>
      <c r="K42" s="43">
        <f t="shared" si="5"/>
        <v>2554</v>
      </c>
      <c r="O42" s="292" t="s">
        <v>78</v>
      </c>
      <c r="P42" s="292"/>
      <c r="T42" s="103" t="s">
        <v>92</v>
      </c>
      <c r="U42" s="107"/>
      <c r="W42" s="120">
        <v>42773</v>
      </c>
      <c r="X42" s="40">
        <v>11.05</v>
      </c>
      <c r="Y42" s="40">
        <v>11.14</v>
      </c>
      <c r="Z42" s="40">
        <v>11.01</v>
      </c>
      <c r="AA42" s="40">
        <v>11.1</v>
      </c>
      <c r="AB42" s="102">
        <v>3934300</v>
      </c>
      <c r="AC42" s="9">
        <v>11.1</v>
      </c>
      <c r="AD42" s="2">
        <f t="shared" si="1"/>
        <v>0.13000000000000078</v>
      </c>
      <c r="AE42" s="134">
        <f t="shared" si="2"/>
        <v>-1.7985611510791255E-3</v>
      </c>
    </row>
    <row r="43" spans="2:41" ht="15.75" thickTop="1" x14ac:dyDescent="0.25">
      <c r="B43" s="368">
        <v>42340</v>
      </c>
      <c r="C43" s="7">
        <v>1000</v>
      </c>
      <c r="D43" s="77">
        <v>14.439</v>
      </c>
      <c r="E43" s="43">
        <v>0</v>
      </c>
      <c r="F43" s="43">
        <f t="shared" si="6"/>
        <v>14439</v>
      </c>
      <c r="G43" s="402">
        <v>42361</v>
      </c>
      <c r="H43" s="80">
        <v>300</v>
      </c>
      <c r="I43" s="77">
        <v>12.77</v>
      </c>
      <c r="J43" s="43">
        <v>0</v>
      </c>
      <c r="K43" s="43">
        <f t="shared" si="5"/>
        <v>3831</v>
      </c>
      <c r="O43" s="81">
        <v>1.1000000000000001</v>
      </c>
      <c r="P43" s="81">
        <f>O43*$Q$4</f>
        <v>0</v>
      </c>
      <c r="T43" s="106" t="s">
        <v>97</v>
      </c>
      <c r="U43" s="104">
        <v>10.91</v>
      </c>
      <c r="W43" s="120">
        <v>42772</v>
      </c>
      <c r="X43" s="40">
        <v>11.41</v>
      </c>
      <c r="Y43" s="40">
        <v>11.47</v>
      </c>
      <c r="Z43" s="40">
        <v>11.06</v>
      </c>
      <c r="AA43" s="40">
        <v>11.12</v>
      </c>
      <c r="AB43" s="102">
        <v>4954500</v>
      </c>
      <c r="AC43" s="9">
        <v>11.12</v>
      </c>
      <c r="AD43" s="2">
        <f t="shared" si="1"/>
        <v>0.41000000000000014</v>
      </c>
      <c r="AE43" s="134">
        <f t="shared" si="2"/>
        <v>-4.549356223175971E-2</v>
      </c>
    </row>
    <row r="44" spans="2:41" x14ac:dyDescent="0.25">
      <c r="B44" s="368">
        <v>42345</v>
      </c>
      <c r="C44" s="7">
        <v>1100</v>
      </c>
      <c r="D44" s="77">
        <v>14.27</v>
      </c>
      <c r="E44" s="43">
        <v>0</v>
      </c>
      <c r="F44" s="43">
        <f t="shared" si="6"/>
        <v>15697</v>
      </c>
      <c r="G44" s="402">
        <v>42361</v>
      </c>
      <c r="H44" s="80">
        <v>200</v>
      </c>
      <c r="I44" s="77">
        <v>12.77</v>
      </c>
      <c r="J44" s="43">
        <v>0</v>
      </c>
      <c r="K44" s="43">
        <f t="shared" si="5"/>
        <v>2554</v>
      </c>
      <c r="O44" s="81">
        <v>1.0900000000000001</v>
      </c>
      <c r="P44" s="81">
        <f t="shared" ref="P44:P63" si="7">O44*$Q$4</f>
        <v>0</v>
      </c>
      <c r="T44" s="106" t="s">
        <v>98</v>
      </c>
      <c r="U44" s="104">
        <v>10.95</v>
      </c>
      <c r="W44" s="120">
        <v>42769</v>
      </c>
      <c r="X44" s="40">
        <v>11.64</v>
      </c>
      <c r="Y44" s="40">
        <v>11.82</v>
      </c>
      <c r="Z44" s="40">
        <v>11.56</v>
      </c>
      <c r="AA44" s="40">
        <v>11.65</v>
      </c>
      <c r="AB44" s="102">
        <v>2252900</v>
      </c>
      <c r="AC44" s="9">
        <v>11.65</v>
      </c>
      <c r="AD44" s="2">
        <f t="shared" si="1"/>
        <v>0.25999999999999979</v>
      </c>
      <c r="AE44" s="134">
        <f t="shared" si="2"/>
        <v>1.2163336229365829E-2</v>
      </c>
    </row>
    <row r="45" spans="2:41" x14ac:dyDescent="0.25">
      <c r="B45" s="368">
        <v>42345</v>
      </c>
      <c r="C45" s="7">
        <v>500</v>
      </c>
      <c r="D45" s="77">
        <v>14.05</v>
      </c>
      <c r="E45" s="43">
        <v>0</v>
      </c>
      <c r="F45" s="43">
        <f t="shared" si="6"/>
        <v>7025</v>
      </c>
      <c r="G45" s="402">
        <v>42361</v>
      </c>
      <c r="H45" s="80">
        <v>800</v>
      </c>
      <c r="I45" s="77">
        <v>12.77</v>
      </c>
      <c r="J45" s="43">
        <v>0</v>
      </c>
      <c r="K45" s="43">
        <f t="shared" si="5"/>
        <v>10216</v>
      </c>
      <c r="O45" s="81">
        <v>1.08</v>
      </c>
      <c r="P45" s="81">
        <f t="shared" si="7"/>
        <v>0</v>
      </c>
      <c r="Q45" s="2"/>
      <c r="T45" s="106" t="s">
        <v>99</v>
      </c>
      <c r="U45" s="104" t="s">
        <v>128</v>
      </c>
      <c r="W45" s="120">
        <v>42768</v>
      </c>
      <c r="X45" s="40">
        <v>11.49</v>
      </c>
      <c r="Y45" s="40">
        <v>11.6</v>
      </c>
      <c r="Z45" s="40">
        <v>11.31</v>
      </c>
      <c r="AA45" s="40">
        <v>11.51</v>
      </c>
      <c r="AB45" s="102">
        <v>3936400</v>
      </c>
      <c r="AC45" s="9">
        <v>11.51</v>
      </c>
      <c r="AD45" s="2">
        <f t="shared" si="1"/>
        <v>0.28999999999999915</v>
      </c>
      <c r="AE45" s="134">
        <f t="shared" si="2"/>
        <v>3.4873583260679464E-3</v>
      </c>
      <c r="AL45" s="182"/>
      <c r="AO45" s="182"/>
    </row>
    <row r="46" spans="2:41" x14ac:dyDescent="0.25">
      <c r="B46" s="368">
        <v>42349</v>
      </c>
      <c r="C46" s="7">
        <v>500</v>
      </c>
      <c r="D46" s="77">
        <v>12.53</v>
      </c>
      <c r="E46" s="43">
        <v>0</v>
      </c>
      <c r="F46" s="43">
        <f t="shared" si="6"/>
        <v>6265</v>
      </c>
      <c r="G46" s="402">
        <v>42361</v>
      </c>
      <c r="H46" s="80"/>
      <c r="I46" s="77"/>
      <c r="J46" s="43"/>
      <c r="K46" s="43"/>
      <c r="O46" s="81">
        <v>1.07</v>
      </c>
      <c r="P46" s="81">
        <f t="shared" si="7"/>
        <v>0</v>
      </c>
      <c r="Q46" s="2"/>
      <c r="T46" s="106" t="s">
        <v>100</v>
      </c>
      <c r="U46" s="104" t="s">
        <v>128</v>
      </c>
      <c r="W46" s="120">
        <v>42767</v>
      </c>
      <c r="X46" s="40">
        <v>11.81</v>
      </c>
      <c r="Y46" s="40">
        <v>11.88</v>
      </c>
      <c r="Z46" s="40">
        <v>11.42</v>
      </c>
      <c r="AA46" s="40">
        <v>11.47</v>
      </c>
      <c r="AB46" s="102">
        <v>4503900</v>
      </c>
      <c r="AC46" s="9">
        <v>11.47</v>
      </c>
      <c r="AD46" s="2">
        <f t="shared" si="1"/>
        <v>0.46000000000000085</v>
      </c>
      <c r="AE46" s="134">
        <f t="shared" si="2"/>
        <v>-2.7966101694915313E-2</v>
      </c>
    </row>
    <row r="47" spans="2:41" x14ac:dyDescent="0.25">
      <c r="B47" s="891">
        <v>42361</v>
      </c>
      <c r="C47" s="7">
        <v>2500</v>
      </c>
      <c r="D47" s="77">
        <v>12.865</v>
      </c>
      <c r="E47" s="43">
        <v>8</v>
      </c>
      <c r="F47" s="43">
        <f t="shared" si="6"/>
        <v>32170.5</v>
      </c>
      <c r="G47" s="402">
        <v>42361</v>
      </c>
      <c r="H47" s="80">
        <v>2300</v>
      </c>
      <c r="I47" s="77">
        <v>12.77</v>
      </c>
      <c r="J47" s="43">
        <v>0</v>
      </c>
      <c r="K47" s="43">
        <f>H47*I47-J47</f>
        <v>29371</v>
      </c>
      <c r="O47" s="81">
        <v>1.06</v>
      </c>
      <c r="P47" s="81">
        <f t="shared" si="7"/>
        <v>0</v>
      </c>
      <c r="Q47" s="2"/>
      <c r="T47" s="106" t="s">
        <v>101</v>
      </c>
      <c r="U47" s="104">
        <v>14.93</v>
      </c>
      <c r="W47" s="120">
        <v>42766</v>
      </c>
      <c r="X47" s="40">
        <v>11.46</v>
      </c>
      <c r="Y47" s="40">
        <v>11.85</v>
      </c>
      <c r="Z47" s="40">
        <v>11.46</v>
      </c>
      <c r="AA47" s="40">
        <v>11.8</v>
      </c>
      <c r="AB47" s="102">
        <v>3043800</v>
      </c>
      <c r="AC47" s="9">
        <v>11.8</v>
      </c>
      <c r="AD47" s="2">
        <f t="shared" si="1"/>
        <v>0.38999999999999879</v>
      </c>
      <c r="AE47" s="134">
        <f t="shared" si="2"/>
        <v>2.1645021645021689E-2</v>
      </c>
    </row>
    <row r="48" spans="2:41" x14ac:dyDescent="0.25">
      <c r="B48" s="891"/>
      <c r="C48" s="7">
        <v>1500</v>
      </c>
      <c r="D48" s="77">
        <v>12.865</v>
      </c>
      <c r="E48" s="43">
        <v>0</v>
      </c>
      <c r="F48" s="43">
        <f t="shared" si="6"/>
        <v>19297.5</v>
      </c>
      <c r="G48" s="368">
        <v>42362</v>
      </c>
      <c r="H48" s="80">
        <v>2500</v>
      </c>
      <c r="I48" s="77">
        <v>13.5</v>
      </c>
      <c r="J48" s="43">
        <v>0.62</v>
      </c>
      <c r="K48" s="43">
        <f t="shared" ref="K48:K58" si="8">H48*I48-J48</f>
        <v>33749.379999999997</v>
      </c>
      <c r="O48" s="81">
        <v>1.05</v>
      </c>
      <c r="P48" s="81">
        <f t="shared" si="7"/>
        <v>0</v>
      </c>
      <c r="Q48" s="2"/>
      <c r="T48" s="106" t="s">
        <v>102</v>
      </c>
      <c r="U48" s="104">
        <v>1.21851</v>
      </c>
      <c r="W48" s="120">
        <v>42765</v>
      </c>
      <c r="X48" s="40">
        <v>11.75</v>
      </c>
      <c r="Y48" s="40">
        <v>11.77</v>
      </c>
      <c r="Z48" s="40">
        <v>11.43</v>
      </c>
      <c r="AA48" s="40">
        <v>11.55</v>
      </c>
      <c r="AB48" s="102">
        <v>2967600</v>
      </c>
      <c r="AC48" s="9">
        <v>11.55</v>
      </c>
      <c r="AD48" s="2">
        <f t="shared" si="1"/>
        <v>0.33999999999999986</v>
      </c>
      <c r="AE48" s="134">
        <f t="shared" si="2"/>
        <v>-1.869158878504662E-2</v>
      </c>
    </row>
    <row r="49" spans="2:42" x14ac:dyDescent="0.25">
      <c r="B49" s="368">
        <v>42402</v>
      </c>
      <c r="C49" s="7">
        <v>200</v>
      </c>
      <c r="D49" s="77">
        <v>14.65</v>
      </c>
      <c r="E49" s="43">
        <v>0</v>
      </c>
      <c r="F49" s="43">
        <f t="shared" si="6"/>
        <v>2930</v>
      </c>
      <c r="G49" s="368">
        <v>42398</v>
      </c>
      <c r="H49" s="80">
        <v>200</v>
      </c>
      <c r="I49" s="77">
        <v>15.26</v>
      </c>
      <c r="J49" s="43">
        <v>0.06</v>
      </c>
      <c r="K49" s="43">
        <f t="shared" si="8"/>
        <v>3051.94</v>
      </c>
      <c r="O49" s="81">
        <v>1.04</v>
      </c>
      <c r="P49" s="81">
        <f t="shared" si="7"/>
        <v>0</v>
      </c>
      <c r="Q49" s="2"/>
      <c r="T49" s="106" t="s">
        <v>103</v>
      </c>
      <c r="U49" s="104" t="s">
        <v>572</v>
      </c>
      <c r="W49" s="120">
        <v>42762</v>
      </c>
      <c r="X49" s="40">
        <v>11.77</v>
      </c>
      <c r="Y49" s="40">
        <v>11.83</v>
      </c>
      <c r="Z49" s="40">
        <v>11.66</v>
      </c>
      <c r="AA49" s="40">
        <v>11.77</v>
      </c>
      <c r="AB49" s="102">
        <v>2288800</v>
      </c>
      <c r="AC49" s="9">
        <v>11.77</v>
      </c>
      <c r="AD49" s="2">
        <f t="shared" si="1"/>
        <v>0.16999999999999993</v>
      </c>
      <c r="AE49" s="134">
        <f t="shared" si="2"/>
        <v>0</v>
      </c>
    </row>
    <row r="50" spans="2:42" x14ac:dyDescent="0.25">
      <c r="B50" s="368">
        <v>42412</v>
      </c>
      <c r="C50" s="7">
        <v>100</v>
      </c>
      <c r="D50" s="77">
        <v>12.65</v>
      </c>
      <c r="E50" s="43">
        <v>0</v>
      </c>
      <c r="F50" s="43">
        <f t="shared" si="6"/>
        <v>1265</v>
      </c>
      <c r="G50" s="368">
        <v>42412</v>
      </c>
      <c r="H50" s="80">
        <v>200</v>
      </c>
      <c r="I50" s="77">
        <v>12.65</v>
      </c>
      <c r="J50" s="43">
        <v>0.06</v>
      </c>
      <c r="K50" s="43">
        <f t="shared" si="8"/>
        <v>2529.94</v>
      </c>
      <c r="O50" s="81">
        <v>1.03</v>
      </c>
      <c r="P50" s="81">
        <f t="shared" si="7"/>
        <v>0</v>
      </c>
      <c r="Q50" s="2"/>
      <c r="T50" s="106"/>
      <c r="U50" s="104"/>
      <c r="W50" s="120">
        <v>42761</v>
      </c>
      <c r="X50" s="40">
        <v>11.83</v>
      </c>
      <c r="Y50" s="40">
        <v>11.91</v>
      </c>
      <c r="Z50" s="40">
        <v>11.67</v>
      </c>
      <c r="AA50" s="40">
        <v>11.77</v>
      </c>
      <c r="AB50" s="102">
        <v>8485200</v>
      </c>
      <c r="AC50" s="9">
        <v>11.77</v>
      </c>
      <c r="AD50" s="2">
        <f t="shared" si="1"/>
        <v>0.24000000000000021</v>
      </c>
      <c r="AE50" s="134">
        <f t="shared" si="2"/>
        <v>-3.3869602032177148E-3</v>
      </c>
    </row>
    <row r="51" spans="2:42" x14ac:dyDescent="0.25">
      <c r="B51" s="368">
        <v>42412</v>
      </c>
      <c r="C51" s="7">
        <v>100</v>
      </c>
      <c r="D51" s="77">
        <v>11.85</v>
      </c>
      <c r="E51" s="43">
        <v>0</v>
      </c>
      <c r="F51" s="43">
        <f t="shared" si="6"/>
        <v>1185</v>
      </c>
      <c r="G51" s="368">
        <v>42416</v>
      </c>
      <c r="H51" s="80">
        <v>250</v>
      </c>
      <c r="I51" s="77">
        <v>13.05</v>
      </c>
      <c r="J51" s="43">
        <v>7.0000000000000007E-2</v>
      </c>
      <c r="K51" s="43">
        <f t="shared" si="8"/>
        <v>3262.43</v>
      </c>
      <c r="O51" s="81">
        <v>1.02</v>
      </c>
      <c r="P51" s="81">
        <f t="shared" si="7"/>
        <v>0</v>
      </c>
      <c r="Q51" s="2"/>
      <c r="T51" s="106" t="s">
        <v>104</v>
      </c>
      <c r="U51" s="104" t="s">
        <v>573</v>
      </c>
      <c r="W51" s="120">
        <v>42760</v>
      </c>
      <c r="X51" s="40">
        <v>11.87</v>
      </c>
      <c r="Y51" s="40">
        <v>11.94</v>
      </c>
      <c r="Z51" s="40">
        <v>11.76</v>
      </c>
      <c r="AA51" s="40">
        <v>11.81</v>
      </c>
      <c r="AB51" s="102">
        <v>6298600</v>
      </c>
      <c r="AC51" s="9">
        <v>11.81</v>
      </c>
      <c r="AD51" s="2">
        <f t="shared" si="1"/>
        <v>0.17999999999999972</v>
      </c>
      <c r="AE51" s="134">
        <f t="shared" si="2"/>
        <v>-2.5337837837837718E-3</v>
      </c>
    </row>
    <row r="52" spans="2:42" x14ac:dyDescent="0.25">
      <c r="B52" s="368">
        <v>42416</v>
      </c>
      <c r="C52" s="7">
        <v>250</v>
      </c>
      <c r="D52" s="77">
        <v>12.94</v>
      </c>
      <c r="E52" s="43">
        <v>0</v>
      </c>
      <c r="F52" s="43">
        <f t="shared" si="6"/>
        <v>3235</v>
      </c>
      <c r="G52" s="368">
        <v>42426</v>
      </c>
      <c r="H52" s="80">
        <v>500</v>
      </c>
      <c r="I52" s="77">
        <v>12.65</v>
      </c>
      <c r="J52" s="43">
        <v>0.14000000000000001</v>
      </c>
      <c r="K52" s="43">
        <f t="shared" si="8"/>
        <v>6324.86</v>
      </c>
      <c r="O52" s="81">
        <v>1.01</v>
      </c>
      <c r="P52" s="81">
        <f t="shared" si="7"/>
        <v>0</v>
      </c>
      <c r="Q52" s="2"/>
      <c r="T52" s="106" t="s">
        <v>105</v>
      </c>
      <c r="U52" s="104" t="s">
        <v>496</v>
      </c>
      <c r="W52" s="120">
        <v>42759</v>
      </c>
      <c r="X52" s="40">
        <v>11.76</v>
      </c>
      <c r="Y52" s="40">
        <v>11.96</v>
      </c>
      <c r="Z52" s="40">
        <v>11.72</v>
      </c>
      <c r="AA52" s="40">
        <v>11.84</v>
      </c>
      <c r="AB52" s="102">
        <v>3617400</v>
      </c>
      <c r="AC52" s="9">
        <v>11.84</v>
      </c>
      <c r="AD52" s="2">
        <f t="shared" si="1"/>
        <v>0.24000000000000021</v>
      </c>
      <c r="AE52" s="134">
        <f t="shared" si="2"/>
        <v>1.1101622544833489E-2</v>
      </c>
    </row>
    <row r="53" spans="2:42" x14ac:dyDescent="0.25">
      <c r="B53" s="368">
        <v>42426</v>
      </c>
      <c r="C53" s="7">
        <v>500</v>
      </c>
      <c r="D53" s="77">
        <v>12.52</v>
      </c>
      <c r="E53" s="43">
        <v>0</v>
      </c>
      <c r="F53" s="43">
        <f t="shared" si="6"/>
        <v>6260</v>
      </c>
      <c r="G53" s="368">
        <v>42431</v>
      </c>
      <c r="H53" s="80">
        <v>500</v>
      </c>
      <c r="I53" s="77">
        <v>13.25</v>
      </c>
      <c r="J53" s="43">
        <v>0.14000000000000001</v>
      </c>
      <c r="K53" s="43">
        <f t="shared" si="8"/>
        <v>6624.86</v>
      </c>
      <c r="O53" s="81">
        <v>1</v>
      </c>
      <c r="P53" s="81">
        <f t="shared" si="7"/>
        <v>0</v>
      </c>
      <c r="Q53" s="2"/>
      <c r="T53" s="106" t="s">
        <v>106</v>
      </c>
      <c r="U53" s="105">
        <v>7248313</v>
      </c>
      <c r="W53" s="120">
        <v>42758</v>
      </c>
      <c r="X53" s="40">
        <v>12.08</v>
      </c>
      <c r="Y53" s="40">
        <v>12.16</v>
      </c>
      <c r="Z53" s="40">
        <v>11.63</v>
      </c>
      <c r="AA53" s="40">
        <v>11.71</v>
      </c>
      <c r="AB53" s="102">
        <v>5840800</v>
      </c>
      <c r="AC53" s="9">
        <v>11.71</v>
      </c>
      <c r="AD53" s="2">
        <f t="shared" si="1"/>
        <v>0.52999999999999936</v>
      </c>
      <c r="AE53" s="134">
        <f t="shared" si="2"/>
        <v>-2.9826014913007404E-2</v>
      </c>
      <c r="AL53" s="182"/>
      <c r="AO53" s="182"/>
    </row>
    <row r="54" spans="2:42" x14ac:dyDescent="0.25">
      <c r="B54" s="368">
        <v>42460</v>
      </c>
      <c r="C54" s="7">
        <v>500</v>
      </c>
      <c r="D54" s="77">
        <v>14.95</v>
      </c>
      <c r="E54" s="43">
        <v>-0.05</v>
      </c>
      <c r="F54" s="43">
        <f t="shared" si="6"/>
        <v>7474.95</v>
      </c>
      <c r="G54" s="368">
        <v>42460</v>
      </c>
      <c r="H54" s="7">
        <v>500</v>
      </c>
      <c r="I54" s="77">
        <v>14.95</v>
      </c>
      <c r="J54" s="43">
        <v>0.16</v>
      </c>
      <c r="K54" s="43">
        <f t="shared" si="8"/>
        <v>7474.84</v>
      </c>
      <c r="O54" s="81">
        <v>0.99</v>
      </c>
      <c r="P54" s="81">
        <f t="shared" si="7"/>
        <v>0</v>
      </c>
      <c r="Q54" s="2"/>
      <c r="T54" s="106" t="s">
        <v>109</v>
      </c>
      <c r="U54" s="105">
        <v>3905370</v>
      </c>
      <c r="W54" s="120">
        <v>42755</v>
      </c>
      <c r="X54" s="40">
        <v>12.33</v>
      </c>
      <c r="Y54" s="40">
        <v>12.43</v>
      </c>
      <c r="Z54" s="40">
        <v>12</v>
      </c>
      <c r="AA54" s="40">
        <v>12.07</v>
      </c>
      <c r="AB54" s="102">
        <v>4522900</v>
      </c>
      <c r="AC54" s="9">
        <v>12.07</v>
      </c>
      <c r="AD54" s="2">
        <f t="shared" si="1"/>
        <v>0.42999999999999972</v>
      </c>
      <c r="AE54" s="134">
        <f t="shared" si="2"/>
        <v>-9.8441345365052335E-3</v>
      </c>
    </row>
    <row r="55" spans="2:42" x14ac:dyDescent="0.25">
      <c r="B55" s="368">
        <v>42480</v>
      </c>
      <c r="C55" s="7">
        <v>500</v>
      </c>
      <c r="D55" s="77">
        <v>15.55</v>
      </c>
      <c r="E55" s="43">
        <v>0</v>
      </c>
      <c r="F55" s="43">
        <f t="shared" si="6"/>
        <v>7775</v>
      </c>
      <c r="G55" s="368">
        <v>42479</v>
      </c>
      <c r="H55" s="80">
        <v>500</v>
      </c>
      <c r="I55" s="77">
        <v>15.75</v>
      </c>
      <c r="J55" s="43">
        <v>0.17</v>
      </c>
      <c r="K55" s="43">
        <f t="shared" si="8"/>
        <v>7874.83</v>
      </c>
      <c r="O55" s="81">
        <v>0.98</v>
      </c>
      <c r="P55" s="81">
        <f t="shared" si="7"/>
        <v>0</v>
      </c>
      <c r="T55" s="106" t="s">
        <v>107</v>
      </c>
      <c r="U55" s="104" t="s">
        <v>574</v>
      </c>
      <c r="W55" s="120">
        <v>42754</v>
      </c>
      <c r="X55" s="40">
        <v>12.18</v>
      </c>
      <c r="Y55" s="40">
        <v>12.29</v>
      </c>
      <c r="Z55" s="40">
        <v>12.09</v>
      </c>
      <c r="AA55" s="40">
        <v>12.19</v>
      </c>
      <c r="AB55" s="102">
        <v>3993400</v>
      </c>
      <c r="AC55" s="9">
        <v>12.19</v>
      </c>
      <c r="AD55" s="2">
        <f t="shared" si="1"/>
        <v>0.19999999999999929</v>
      </c>
      <c r="AE55" s="134">
        <f t="shared" si="2"/>
        <v>-8.1967213114753079E-4</v>
      </c>
    </row>
    <row r="56" spans="2:42" x14ac:dyDescent="0.25">
      <c r="B56" s="368">
        <v>42488</v>
      </c>
      <c r="C56" s="7">
        <v>500</v>
      </c>
      <c r="D56" s="77">
        <v>15.73</v>
      </c>
      <c r="E56" s="43">
        <v>0</v>
      </c>
      <c r="F56" s="43">
        <f t="shared" si="6"/>
        <v>7865</v>
      </c>
      <c r="G56" s="368">
        <v>42488</v>
      </c>
      <c r="H56" s="80">
        <v>500</v>
      </c>
      <c r="I56" s="77">
        <v>15.85</v>
      </c>
      <c r="J56" s="43">
        <v>0.17</v>
      </c>
      <c r="K56" s="43">
        <f t="shared" si="8"/>
        <v>7924.83</v>
      </c>
      <c r="O56" s="81">
        <v>0.97</v>
      </c>
      <c r="P56" s="81">
        <f t="shared" si="7"/>
        <v>0</v>
      </c>
      <c r="T56" s="106" t="s">
        <v>110</v>
      </c>
      <c r="U56" s="104">
        <v>42.38</v>
      </c>
      <c r="W56" s="120">
        <v>42753</v>
      </c>
      <c r="X56" s="40">
        <v>12.37</v>
      </c>
      <c r="Y56" s="40">
        <v>12.44</v>
      </c>
      <c r="Z56" s="40">
        <v>12.19</v>
      </c>
      <c r="AA56" s="40">
        <v>12.2</v>
      </c>
      <c r="AB56" s="102">
        <v>3716800</v>
      </c>
      <c r="AC56" s="9">
        <v>12.2</v>
      </c>
      <c r="AD56" s="2">
        <f t="shared" si="1"/>
        <v>0.25</v>
      </c>
      <c r="AE56" s="134">
        <f t="shared" si="2"/>
        <v>-1.6921837228041969E-2</v>
      </c>
    </row>
    <row r="57" spans="2:42" x14ac:dyDescent="0.25">
      <c r="B57" s="368">
        <v>42517</v>
      </c>
      <c r="C57" s="7">
        <v>500</v>
      </c>
      <c r="D57" s="77">
        <v>14.67</v>
      </c>
      <c r="E57" s="43">
        <v>0</v>
      </c>
      <c r="F57" s="43">
        <f t="shared" si="6"/>
        <v>7335</v>
      </c>
      <c r="G57" s="368">
        <v>42517</v>
      </c>
      <c r="H57" s="80">
        <v>500</v>
      </c>
      <c r="I57" s="77">
        <v>14.69</v>
      </c>
      <c r="J57" s="43">
        <v>0.16</v>
      </c>
      <c r="K57" s="43">
        <f t="shared" si="8"/>
        <v>7344.84</v>
      </c>
      <c r="O57" s="81">
        <v>0.96</v>
      </c>
      <c r="P57" s="81">
        <f t="shared" si="7"/>
        <v>0</v>
      </c>
      <c r="T57" s="106" t="s">
        <v>111</v>
      </c>
      <c r="U57" s="104">
        <v>0.26</v>
      </c>
      <c r="W57" s="120">
        <v>42752</v>
      </c>
      <c r="X57" s="40">
        <v>12.35</v>
      </c>
      <c r="Y57" s="40">
        <v>12.6</v>
      </c>
      <c r="Z57" s="40">
        <v>12.19</v>
      </c>
      <c r="AA57" s="40">
        <v>12.41</v>
      </c>
      <c r="AB57" s="102">
        <v>3685700</v>
      </c>
      <c r="AC57" s="9">
        <v>12.41</v>
      </c>
      <c r="AD57" s="2">
        <f t="shared" si="1"/>
        <v>0.41000000000000014</v>
      </c>
      <c r="AE57" s="134">
        <f t="shared" si="2"/>
        <v>1.4717906786590351E-2</v>
      </c>
      <c r="AL57" s="182"/>
      <c r="AO57" s="182"/>
    </row>
    <row r="58" spans="2:42" x14ac:dyDescent="0.25">
      <c r="B58" s="368">
        <v>42530</v>
      </c>
      <c r="C58" s="7">
        <v>1000</v>
      </c>
      <c r="D58" s="77">
        <v>15.61</v>
      </c>
      <c r="E58" s="43">
        <v>0</v>
      </c>
      <c r="F58" s="43">
        <f t="shared" si="6"/>
        <v>15610</v>
      </c>
      <c r="G58" s="368">
        <v>42527</v>
      </c>
      <c r="H58" s="80">
        <v>1500</v>
      </c>
      <c r="I58" s="77">
        <v>15.89</v>
      </c>
      <c r="J58" s="43">
        <v>0.52</v>
      </c>
      <c r="K58" s="43">
        <f t="shared" si="8"/>
        <v>23834.48</v>
      </c>
      <c r="O58" s="81">
        <v>0.95</v>
      </c>
      <c r="P58" s="81">
        <f t="shared" si="7"/>
        <v>0</v>
      </c>
      <c r="T58" s="106" t="s">
        <v>108</v>
      </c>
      <c r="U58" s="104" t="s">
        <v>122</v>
      </c>
      <c r="W58" s="120">
        <v>42748</v>
      </c>
      <c r="X58" s="40">
        <v>12.09</v>
      </c>
      <c r="Y58" s="40">
        <v>12.24</v>
      </c>
      <c r="Z58" s="40">
        <v>12.09</v>
      </c>
      <c r="AA58" s="40">
        <v>12.23</v>
      </c>
      <c r="AB58" s="102">
        <v>2467800</v>
      </c>
      <c r="AC58" s="9">
        <v>12.23</v>
      </c>
      <c r="AD58" s="2">
        <f t="shared" si="1"/>
        <v>0.15000000000000036</v>
      </c>
      <c r="AE58" s="134">
        <f t="shared" si="2"/>
        <v>8.2440230832645511E-3</v>
      </c>
    </row>
    <row r="59" spans="2:42" x14ac:dyDescent="0.25">
      <c r="B59" s="368">
        <v>42530</v>
      </c>
      <c r="C59" s="7">
        <v>500</v>
      </c>
      <c r="D59" s="77">
        <v>15.44</v>
      </c>
      <c r="E59" s="43">
        <v>0</v>
      </c>
      <c r="F59" s="43">
        <f t="shared" si="6"/>
        <v>7720</v>
      </c>
      <c r="G59" s="367"/>
      <c r="H59" s="7"/>
      <c r="I59" s="77"/>
      <c r="J59" s="43"/>
      <c r="K59" s="43"/>
      <c r="O59" s="81">
        <v>0.94</v>
      </c>
      <c r="P59" s="81">
        <f t="shared" si="7"/>
        <v>0</v>
      </c>
      <c r="W59" s="120">
        <v>42747</v>
      </c>
      <c r="X59" s="40">
        <v>12.04</v>
      </c>
      <c r="Y59" s="40">
        <v>12.18</v>
      </c>
      <c r="Z59" s="40">
        <v>11.99</v>
      </c>
      <c r="AA59" s="40">
        <v>12.13</v>
      </c>
      <c r="AB59" s="102">
        <v>2737000</v>
      </c>
      <c r="AC59" s="9">
        <v>12.13</v>
      </c>
      <c r="AD59" s="2">
        <f t="shared" si="1"/>
        <v>0.1899999999999995</v>
      </c>
      <c r="AE59" s="134">
        <f t="shared" si="2"/>
        <v>8.2508250825097385E-4</v>
      </c>
      <c r="AL59" s="182"/>
    </row>
    <row r="60" spans="2:42" x14ac:dyDescent="0.25">
      <c r="B60" s="368">
        <v>42530</v>
      </c>
      <c r="C60" s="7">
        <v>20</v>
      </c>
      <c r="D60" s="77">
        <v>15.44</v>
      </c>
      <c r="E60" s="43">
        <v>0</v>
      </c>
      <c r="F60" s="43">
        <f t="shared" si="6"/>
        <v>308.8</v>
      </c>
      <c r="G60" s="368">
        <v>42538</v>
      </c>
      <c r="H60" s="80">
        <v>480</v>
      </c>
      <c r="I60" s="77">
        <v>14.18</v>
      </c>
      <c r="J60" s="43">
        <v>0.15</v>
      </c>
      <c r="K60" s="43">
        <f t="shared" ref="K60:K88" si="9">H60*I60-J60</f>
        <v>6806.25</v>
      </c>
      <c r="O60" s="81">
        <v>0.93</v>
      </c>
      <c r="P60" s="81">
        <f t="shared" si="7"/>
        <v>0</v>
      </c>
      <c r="W60" s="120">
        <v>42746</v>
      </c>
      <c r="X60" s="40">
        <v>11.89</v>
      </c>
      <c r="Y60" s="40">
        <v>12.16</v>
      </c>
      <c r="Z60" s="40">
        <v>11.89</v>
      </c>
      <c r="AA60" s="40">
        <v>12.12</v>
      </c>
      <c r="AB60" s="102">
        <v>2583900</v>
      </c>
      <c r="AC60" s="9">
        <v>12.12</v>
      </c>
      <c r="AD60" s="2">
        <f t="shared" si="1"/>
        <v>0.26999999999999957</v>
      </c>
      <c r="AE60" s="134">
        <f t="shared" si="2"/>
        <v>2.2784810126582178E-2</v>
      </c>
    </row>
    <row r="61" spans="2:42" x14ac:dyDescent="0.25">
      <c r="B61" s="368">
        <v>42535</v>
      </c>
      <c r="C61" s="7">
        <v>480</v>
      </c>
      <c r="D61" s="77">
        <v>13.95</v>
      </c>
      <c r="E61" s="43">
        <v>0</v>
      </c>
      <c r="F61" s="43">
        <f t="shared" ref="F61:F70" si="10">C61*D61+E61</f>
        <v>6696</v>
      </c>
      <c r="G61" s="368">
        <v>42544</v>
      </c>
      <c r="H61" s="80">
        <v>480</v>
      </c>
      <c r="I61" s="77">
        <v>14.16</v>
      </c>
      <c r="J61" s="43">
        <v>0.15</v>
      </c>
      <c r="K61" s="43">
        <f t="shared" si="9"/>
        <v>6796.6500000000005</v>
      </c>
      <c r="O61" s="81">
        <v>0.92</v>
      </c>
      <c r="P61" s="81">
        <f t="shared" si="7"/>
        <v>0</v>
      </c>
      <c r="W61" s="120">
        <v>42745</v>
      </c>
      <c r="X61" s="40">
        <v>11.87</v>
      </c>
      <c r="Y61" s="40">
        <v>11.89</v>
      </c>
      <c r="Z61" s="40">
        <v>11.7</v>
      </c>
      <c r="AA61" s="40">
        <v>11.85</v>
      </c>
      <c r="AB61" s="102">
        <v>2020600</v>
      </c>
      <c r="AC61" s="9">
        <v>11.85</v>
      </c>
      <c r="AD61" s="2">
        <f t="shared" si="1"/>
        <v>0.19000000000000128</v>
      </c>
      <c r="AE61" s="134">
        <f t="shared" si="2"/>
        <v>1.6906170752324368E-3</v>
      </c>
      <c r="AL61" s="182"/>
      <c r="AO61" s="182"/>
    </row>
    <row r="62" spans="2:42" x14ac:dyDescent="0.25">
      <c r="B62" s="368">
        <v>42543</v>
      </c>
      <c r="C62" s="7">
        <v>480</v>
      </c>
      <c r="D62" s="77">
        <v>13.88</v>
      </c>
      <c r="E62" s="43">
        <v>0</v>
      </c>
      <c r="F62" s="43">
        <f t="shared" si="10"/>
        <v>6662.4000000000005</v>
      </c>
      <c r="G62" s="368">
        <v>42550</v>
      </c>
      <c r="H62" s="7">
        <v>480</v>
      </c>
      <c r="I62" s="77">
        <v>14.78</v>
      </c>
      <c r="J62" s="43">
        <v>7.1</v>
      </c>
      <c r="K62" s="43">
        <f t="shared" si="9"/>
        <v>7087.2999999999993</v>
      </c>
      <c r="O62" s="81">
        <v>0.91</v>
      </c>
      <c r="P62" s="81">
        <f t="shared" si="7"/>
        <v>0</v>
      </c>
      <c r="W62" s="120">
        <v>42744</v>
      </c>
      <c r="X62" s="40">
        <v>12.04</v>
      </c>
      <c r="Y62" s="40">
        <v>12.04</v>
      </c>
      <c r="Z62" s="40">
        <v>11.77</v>
      </c>
      <c r="AA62" s="40">
        <v>11.83</v>
      </c>
      <c r="AB62" s="102">
        <v>2341900</v>
      </c>
      <c r="AC62" s="9">
        <v>11.83</v>
      </c>
      <c r="AD62" s="2">
        <f t="shared" si="1"/>
        <v>0.26999999999999957</v>
      </c>
      <c r="AE62" s="134">
        <f t="shared" si="2"/>
        <v>-1.988400994200501E-2</v>
      </c>
    </row>
    <row r="63" spans="2:42" x14ac:dyDescent="0.25">
      <c r="B63" s="368">
        <v>42545</v>
      </c>
      <c r="C63" s="7">
        <v>480</v>
      </c>
      <c r="D63" s="77">
        <v>13.65</v>
      </c>
      <c r="E63" s="43">
        <v>-0.05</v>
      </c>
      <c r="F63" s="43">
        <f t="shared" si="10"/>
        <v>6551.95</v>
      </c>
      <c r="G63" s="368">
        <v>42580</v>
      </c>
      <c r="H63" s="80">
        <v>1000</v>
      </c>
      <c r="I63" s="77">
        <v>13.73</v>
      </c>
      <c r="J63" s="43">
        <v>-0.7</v>
      </c>
      <c r="K63" s="43">
        <f t="shared" si="9"/>
        <v>13730.7</v>
      </c>
      <c r="O63" s="81">
        <v>0.9</v>
      </c>
      <c r="P63" s="81">
        <f t="shared" si="7"/>
        <v>0</v>
      </c>
      <c r="W63" s="120">
        <v>42741</v>
      </c>
      <c r="X63" s="40">
        <v>11.7</v>
      </c>
      <c r="Y63" s="40">
        <v>12.09</v>
      </c>
      <c r="Z63" s="40">
        <v>11.59</v>
      </c>
      <c r="AA63" s="40">
        <v>12.07</v>
      </c>
      <c r="AB63" s="102">
        <v>3296700</v>
      </c>
      <c r="AC63" s="9">
        <v>12.07</v>
      </c>
      <c r="AD63" s="2">
        <f t="shared" si="1"/>
        <v>0.5</v>
      </c>
      <c r="AE63" s="134">
        <f t="shared" si="2"/>
        <v>3.5162950257289882E-2</v>
      </c>
      <c r="AL63" s="182"/>
      <c r="AO63" s="182"/>
      <c r="AP63" s="182"/>
    </row>
    <row r="64" spans="2:42" ht="15" customHeight="1" x14ac:dyDescent="0.25">
      <c r="B64" s="368">
        <v>42556</v>
      </c>
      <c r="C64" s="7">
        <v>480</v>
      </c>
      <c r="D64" s="77">
        <v>14.18</v>
      </c>
      <c r="E64" s="43">
        <v>0</v>
      </c>
      <c r="F64" s="43">
        <f t="shared" si="10"/>
        <v>6806.4</v>
      </c>
      <c r="G64" s="368">
        <v>42605</v>
      </c>
      <c r="H64" s="80">
        <v>500</v>
      </c>
      <c r="I64" s="77">
        <v>12.72</v>
      </c>
      <c r="J64" s="43">
        <v>0.14000000000000001</v>
      </c>
      <c r="K64" s="43">
        <f t="shared" si="9"/>
        <v>6359.86</v>
      </c>
      <c r="W64" s="120">
        <v>42740</v>
      </c>
      <c r="X64" s="40">
        <v>11.76</v>
      </c>
      <c r="Y64" s="40">
        <v>11.82</v>
      </c>
      <c r="Z64" s="40">
        <v>11.6</v>
      </c>
      <c r="AA64" s="40">
        <v>11.66</v>
      </c>
      <c r="AB64" s="102">
        <v>5572300</v>
      </c>
      <c r="AC64" s="9">
        <v>11.66</v>
      </c>
      <c r="AD64" s="2">
        <f t="shared" si="1"/>
        <v>0.22000000000000064</v>
      </c>
      <c r="AE64" s="134">
        <f t="shared" si="2"/>
        <v>-3.4188034188032956E-3</v>
      </c>
    </row>
    <row r="65" spans="1:41" ht="16.5" customHeight="1" x14ac:dyDescent="0.25">
      <c r="A65" s="470"/>
      <c r="B65" s="368">
        <v>42578</v>
      </c>
      <c r="C65" s="7">
        <v>200</v>
      </c>
      <c r="D65" s="77">
        <v>14.05</v>
      </c>
      <c r="E65" s="43">
        <v>0</v>
      </c>
      <c r="F65" s="43">
        <f t="shared" si="10"/>
        <v>2810</v>
      </c>
      <c r="G65" s="368">
        <v>42608</v>
      </c>
      <c r="H65" s="80">
        <v>500</v>
      </c>
      <c r="I65" s="77">
        <v>12.88</v>
      </c>
      <c r="J65" s="43">
        <v>0.14000000000000001</v>
      </c>
      <c r="K65" s="43">
        <f t="shared" si="9"/>
        <v>6439.86</v>
      </c>
      <c r="W65" s="120">
        <v>42739</v>
      </c>
      <c r="X65" s="40">
        <v>11.42</v>
      </c>
      <c r="Y65" s="40">
        <v>11.8</v>
      </c>
      <c r="Z65" s="40">
        <v>11.42</v>
      </c>
      <c r="AA65" s="40">
        <v>11.7</v>
      </c>
      <c r="AB65" s="102">
        <v>5951100</v>
      </c>
      <c r="AC65" s="9">
        <v>11.7</v>
      </c>
      <c r="AD65" s="2">
        <f t="shared" si="1"/>
        <v>0.38000000000000078</v>
      </c>
      <c r="AE65" s="134">
        <f t="shared" si="2"/>
        <v>2.1834061135371119E-2</v>
      </c>
      <c r="AL65" s="182"/>
      <c r="AO65" s="182"/>
    </row>
    <row r="66" spans="1:41" x14ac:dyDescent="0.25">
      <c r="A66" s="470"/>
      <c r="B66" s="368">
        <v>42580</v>
      </c>
      <c r="C66" s="7">
        <v>500</v>
      </c>
      <c r="D66" s="77">
        <v>13.55</v>
      </c>
      <c r="E66" s="43">
        <v>0</v>
      </c>
      <c r="F66" s="43">
        <f t="shared" si="10"/>
        <v>6775</v>
      </c>
      <c r="G66" s="368">
        <v>42615</v>
      </c>
      <c r="H66" s="80">
        <v>200</v>
      </c>
      <c r="I66" s="77">
        <v>12.56</v>
      </c>
      <c r="J66" s="43">
        <v>0.05</v>
      </c>
      <c r="K66" s="43">
        <f t="shared" si="9"/>
        <v>2511.9499999999998</v>
      </c>
      <c r="W66" s="120">
        <v>42738</v>
      </c>
      <c r="X66" s="40">
        <v>11.46</v>
      </c>
      <c r="Y66" s="40">
        <v>11.54</v>
      </c>
      <c r="Z66" s="40">
        <v>11.32</v>
      </c>
      <c r="AA66" s="40">
        <v>11.45</v>
      </c>
      <c r="AB66" s="102">
        <v>3167400</v>
      </c>
      <c r="AC66" s="9">
        <v>11.45</v>
      </c>
      <c r="AD66" s="2">
        <f t="shared" si="1"/>
        <v>0.21999999999999886</v>
      </c>
      <c r="AE66" s="134">
        <f t="shared" si="2"/>
        <v>1.7497812773403787E-3</v>
      </c>
    </row>
    <row r="67" spans="1:41" ht="17.25" customHeight="1" x14ac:dyDescent="0.25">
      <c r="A67" s="470"/>
      <c r="B67" s="368">
        <v>42580</v>
      </c>
      <c r="C67" s="7">
        <v>300</v>
      </c>
      <c r="D67" s="77">
        <v>13.28</v>
      </c>
      <c r="E67" s="43">
        <v>0</v>
      </c>
      <c r="F67" s="43">
        <f t="shared" si="10"/>
        <v>3984</v>
      </c>
      <c r="G67" s="368">
        <v>42620</v>
      </c>
      <c r="H67" s="80">
        <v>500</v>
      </c>
      <c r="I67" s="77">
        <v>12.92</v>
      </c>
      <c r="J67" s="43">
        <v>0.14000000000000001</v>
      </c>
      <c r="K67" s="43">
        <f t="shared" si="9"/>
        <v>6459.86</v>
      </c>
      <c r="W67" s="120">
        <v>42734</v>
      </c>
      <c r="X67" s="40">
        <v>11.61</v>
      </c>
      <c r="Y67" s="40">
        <v>11.61</v>
      </c>
      <c r="Z67" s="40">
        <v>11.4</v>
      </c>
      <c r="AA67" s="40">
        <v>11.43</v>
      </c>
      <c r="AB67" s="102">
        <v>2775400</v>
      </c>
      <c r="AC67" s="9">
        <v>11.43</v>
      </c>
      <c r="AD67" s="2">
        <f>Y67-Z67</f>
        <v>0.20999999999999908</v>
      </c>
      <c r="AE67" s="134" t="e">
        <f>AC67/AC68-1</f>
        <v>#DIV/0!</v>
      </c>
      <c r="AL67" s="182"/>
    </row>
    <row r="68" spans="1:41" ht="18" customHeight="1" x14ac:dyDescent="0.25">
      <c r="A68" s="488"/>
      <c r="B68" s="368">
        <v>42586</v>
      </c>
      <c r="C68" s="7">
        <v>500</v>
      </c>
      <c r="D68" s="77">
        <v>13.1</v>
      </c>
      <c r="E68" s="43">
        <v>0</v>
      </c>
      <c r="F68" s="43">
        <f t="shared" si="10"/>
        <v>6550</v>
      </c>
      <c r="G68" s="368">
        <v>42620</v>
      </c>
      <c r="H68" s="80">
        <v>500</v>
      </c>
      <c r="I68" s="77">
        <v>13.15</v>
      </c>
      <c r="J68" s="43">
        <v>0.14000000000000001</v>
      </c>
      <c r="K68" s="43">
        <f t="shared" si="9"/>
        <v>6574.86</v>
      </c>
      <c r="W68" s="120" t="s">
        <v>120</v>
      </c>
      <c r="X68" s="40"/>
      <c r="Y68" s="40"/>
      <c r="Z68" s="40"/>
      <c r="AA68" s="40"/>
      <c r="AB68" s="9"/>
      <c r="AC68" s="9"/>
      <c r="AD68" s="2">
        <f>Y68-Z68</f>
        <v>0</v>
      </c>
      <c r="AE68" s="134" t="e">
        <f>AC68/AC69-1</f>
        <v>#DIV/0!</v>
      </c>
    </row>
    <row r="69" spans="1:41" x14ac:dyDescent="0.25">
      <c r="A69" s="488"/>
      <c r="B69" s="368">
        <v>42590</v>
      </c>
      <c r="C69" s="7">
        <v>200</v>
      </c>
      <c r="D69" s="77">
        <v>13.05</v>
      </c>
      <c r="E69" s="43">
        <v>0</v>
      </c>
      <c r="F69" s="43">
        <f t="shared" si="10"/>
        <v>2610</v>
      </c>
      <c r="G69" s="368">
        <v>42620</v>
      </c>
      <c r="H69" s="80">
        <v>300</v>
      </c>
      <c r="I69" s="77">
        <v>13.32</v>
      </c>
      <c r="J69" s="43">
        <v>0.09</v>
      </c>
      <c r="K69" s="43">
        <f t="shared" si="9"/>
        <v>3995.91</v>
      </c>
      <c r="O69" s="2"/>
    </row>
    <row r="70" spans="1:41" x14ac:dyDescent="0.25">
      <c r="A70" s="488"/>
      <c r="B70" s="368">
        <v>42590</v>
      </c>
      <c r="C70" s="7">
        <v>300</v>
      </c>
      <c r="D70" s="77">
        <v>13.05</v>
      </c>
      <c r="E70" s="43">
        <v>0</v>
      </c>
      <c r="F70" s="43">
        <f t="shared" si="10"/>
        <v>3915</v>
      </c>
      <c r="G70" s="368">
        <v>42621</v>
      </c>
      <c r="H70" s="80">
        <v>200</v>
      </c>
      <c r="I70" s="77">
        <v>13.75</v>
      </c>
      <c r="J70" s="43">
        <v>0.06</v>
      </c>
      <c r="K70" s="43">
        <f t="shared" si="9"/>
        <v>2749.94</v>
      </c>
    </row>
    <row r="71" spans="1:41" x14ac:dyDescent="0.25">
      <c r="A71" s="488"/>
      <c r="B71" s="368">
        <v>42591</v>
      </c>
      <c r="C71" s="7">
        <v>200</v>
      </c>
      <c r="D71" s="77">
        <v>12.76</v>
      </c>
      <c r="E71" s="43">
        <v>0</v>
      </c>
      <c r="F71" s="43">
        <f>C71*D71+E71</f>
        <v>2552</v>
      </c>
      <c r="G71" s="368">
        <v>42629</v>
      </c>
      <c r="H71" s="80">
        <v>300</v>
      </c>
      <c r="I71" s="77">
        <v>13.28</v>
      </c>
      <c r="J71" s="43">
        <v>0.09</v>
      </c>
      <c r="K71" s="43">
        <f t="shared" si="9"/>
        <v>3983.91</v>
      </c>
    </row>
    <row r="72" spans="1:41" ht="15" customHeight="1" x14ac:dyDescent="0.25">
      <c r="A72" s="488"/>
      <c r="B72" s="368">
        <v>42591</v>
      </c>
      <c r="C72" s="7">
        <v>200</v>
      </c>
      <c r="D72" s="77">
        <v>12.62</v>
      </c>
      <c r="E72" s="43">
        <v>0</v>
      </c>
      <c r="F72" s="43">
        <f>C72*D72+E72</f>
        <v>2524</v>
      </c>
      <c r="G72" s="368">
        <v>42634</v>
      </c>
      <c r="H72" s="80">
        <v>200</v>
      </c>
      <c r="I72" s="77">
        <v>13.88</v>
      </c>
      <c r="J72" s="43">
        <v>0.06</v>
      </c>
      <c r="K72" s="43">
        <f t="shared" si="9"/>
        <v>2775.94</v>
      </c>
    </row>
    <row r="73" spans="1:41" x14ac:dyDescent="0.25">
      <c r="A73" s="488"/>
      <c r="B73" s="368">
        <v>42591</v>
      </c>
      <c r="C73" s="7">
        <v>100</v>
      </c>
      <c r="D73" s="77">
        <v>12.62</v>
      </c>
      <c r="E73" s="43">
        <v>0</v>
      </c>
      <c r="F73" s="43">
        <f t="shared" ref="F73:F81" si="11">C73*D73+E73</f>
        <v>1262</v>
      </c>
      <c r="G73" s="368">
        <v>42634</v>
      </c>
      <c r="H73" s="80">
        <v>200</v>
      </c>
      <c r="I73" s="77">
        <v>13.86</v>
      </c>
      <c r="J73" s="43">
        <v>0.06</v>
      </c>
      <c r="K73" s="43">
        <f t="shared" si="9"/>
        <v>2771.94</v>
      </c>
      <c r="S73" t="s">
        <v>484</v>
      </c>
    </row>
    <row r="74" spans="1:41" x14ac:dyDescent="0.25">
      <c r="B74" s="368">
        <v>42601</v>
      </c>
      <c r="C74" s="7">
        <v>500</v>
      </c>
      <c r="D74" s="77">
        <v>12.28</v>
      </c>
      <c r="E74" s="43">
        <v>0</v>
      </c>
      <c r="F74" s="43">
        <f t="shared" si="11"/>
        <v>6140</v>
      </c>
      <c r="G74" s="368">
        <v>42646</v>
      </c>
      <c r="H74" s="80">
        <v>500</v>
      </c>
      <c r="I74" s="77">
        <v>12.52</v>
      </c>
      <c r="J74" s="43">
        <v>0.14000000000000001</v>
      </c>
      <c r="K74" s="43">
        <f t="shared" si="9"/>
        <v>6259.86</v>
      </c>
      <c r="S74" t="s">
        <v>485</v>
      </c>
    </row>
    <row r="75" spans="1:41" x14ac:dyDescent="0.25">
      <c r="B75" s="368">
        <v>42604</v>
      </c>
      <c r="C75" s="7">
        <v>500</v>
      </c>
      <c r="D75" s="77">
        <v>12.08</v>
      </c>
      <c r="E75" s="43">
        <v>0</v>
      </c>
      <c r="F75" s="43">
        <f t="shared" si="11"/>
        <v>6040</v>
      </c>
      <c r="G75" s="368">
        <v>42648</v>
      </c>
      <c r="H75" s="80">
        <v>500</v>
      </c>
      <c r="I75" s="77">
        <v>12.42</v>
      </c>
      <c r="J75" s="43">
        <v>0.14000000000000001</v>
      </c>
      <c r="K75" s="43">
        <f t="shared" si="9"/>
        <v>6209.86</v>
      </c>
    </row>
    <row r="76" spans="1:41" x14ac:dyDescent="0.25">
      <c r="B76" s="368">
        <v>42605</v>
      </c>
      <c r="C76" s="7">
        <v>500</v>
      </c>
      <c r="D76" s="77">
        <v>12.55</v>
      </c>
      <c r="E76" s="43">
        <v>0</v>
      </c>
      <c r="F76" s="43">
        <f t="shared" si="11"/>
        <v>6275</v>
      </c>
      <c r="G76" s="368">
        <v>42653</v>
      </c>
      <c r="H76" s="80">
        <v>1000</v>
      </c>
      <c r="I76" s="77">
        <v>12.85</v>
      </c>
      <c r="J76" s="43">
        <v>0.28000000000000003</v>
      </c>
      <c r="K76" s="43">
        <f t="shared" si="9"/>
        <v>12849.72</v>
      </c>
    </row>
    <row r="77" spans="1:41" ht="15" customHeight="1" x14ac:dyDescent="0.25">
      <c r="B77" s="368">
        <v>42608</v>
      </c>
      <c r="C77" s="7">
        <v>500</v>
      </c>
      <c r="D77" s="77">
        <v>12.62</v>
      </c>
      <c r="E77" s="43">
        <v>0</v>
      </c>
      <c r="F77" s="43">
        <f t="shared" si="11"/>
        <v>6310</v>
      </c>
      <c r="G77" s="368">
        <v>42653</v>
      </c>
      <c r="H77" s="80">
        <v>500</v>
      </c>
      <c r="I77" s="77">
        <v>13.13</v>
      </c>
      <c r="J77" s="43">
        <v>0.14000000000000001</v>
      </c>
      <c r="K77" s="43">
        <f t="shared" si="9"/>
        <v>6564.86</v>
      </c>
    </row>
    <row r="78" spans="1:41" x14ac:dyDescent="0.25">
      <c r="B78" s="368">
        <v>42612</v>
      </c>
      <c r="C78" s="7">
        <v>200</v>
      </c>
      <c r="D78" s="77">
        <v>12.38</v>
      </c>
      <c r="E78" s="43">
        <v>0</v>
      </c>
      <c r="F78" s="43">
        <f t="shared" si="11"/>
        <v>2476</v>
      </c>
      <c r="G78" s="368">
        <v>42662</v>
      </c>
      <c r="H78" s="80">
        <v>300</v>
      </c>
      <c r="I78" s="77">
        <v>13.12</v>
      </c>
      <c r="J78" s="43">
        <v>0.09</v>
      </c>
      <c r="K78" s="43">
        <f t="shared" si="9"/>
        <v>3935.9099999999994</v>
      </c>
      <c r="P78" s="1"/>
    </row>
    <row r="79" spans="1:41" x14ac:dyDescent="0.25">
      <c r="B79" s="368">
        <v>42622</v>
      </c>
      <c r="C79" s="7">
        <v>200</v>
      </c>
      <c r="D79" s="77">
        <v>13.38</v>
      </c>
      <c r="E79" s="43">
        <v>0</v>
      </c>
      <c r="F79" s="43">
        <f t="shared" si="11"/>
        <v>2676</v>
      </c>
      <c r="G79" s="368">
        <v>42671</v>
      </c>
      <c r="H79" s="80">
        <v>100</v>
      </c>
      <c r="I79" s="77">
        <v>11.71</v>
      </c>
      <c r="J79" s="43">
        <v>0.03</v>
      </c>
      <c r="K79" s="43">
        <f t="shared" si="9"/>
        <v>1170.97</v>
      </c>
    </row>
    <row r="80" spans="1:41" ht="15" customHeight="1" x14ac:dyDescent="0.25">
      <c r="B80" s="368">
        <v>42627</v>
      </c>
      <c r="C80" s="7">
        <v>300</v>
      </c>
      <c r="D80" s="77">
        <v>12.85</v>
      </c>
      <c r="E80" s="43">
        <v>0</v>
      </c>
      <c r="F80" s="43">
        <f t="shared" si="11"/>
        <v>3855</v>
      </c>
      <c r="G80" s="368">
        <v>42677</v>
      </c>
      <c r="H80" s="80">
        <v>300</v>
      </c>
      <c r="I80" s="77">
        <v>11.2</v>
      </c>
      <c r="J80" s="43">
        <v>7.0000000000000007E-2</v>
      </c>
      <c r="K80" s="43">
        <f t="shared" si="9"/>
        <v>3359.93</v>
      </c>
    </row>
    <row r="81" spans="2:21" x14ac:dyDescent="0.25">
      <c r="B81" s="368">
        <v>42634</v>
      </c>
      <c r="C81" s="7">
        <v>100</v>
      </c>
      <c r="D81" s="77">
        <v>13.656000000000001</v>
      </c>
      <c r="E81" s="43">
        <v>0.03</v>
      </c>
      <c r="F81" s="43">
        <f t="shared" si="11"/>
        <v>1365.63</v>
      </c>
      <c r="G81" s="368">
        <v>42688</v>
      </c>
      <c r="H81" s="80">
        <v>1000</v>
      </c>
      <c r="I81" s="77">
        <v>11.58</v>
      </c>
      <c r="J81" s="43">
        <v>0.25</v>
      </c>
      <c r="K81" s="43">
        <f t="shared" si="9"/>
        <v>11579.75</v>
      </c>
    </row>
    <row r="82" spans="2:21" x14ac:dyDescent="0.25">
      <c r="B82" s="368">
        <v>42634</v>
      </c>
      <c r="C82" s="7">
        <v>100</v>
      </c>
      <c r="D82" s="77">
        <v>13.656000000000001</v>
      </c>
      <c r="E82" s="43">
        <v>0.03</v>
      </c>
      <c r="F82" s="43">
        <f>C82*D82+E82</f>
        <v>1365.63</v>
      </c>
      <c r="G82" s="368">
        <v>42702</v>
      </c>
      <c r="H82" s="80">
        <v>300</v>
      </c>
      <c r="I82" s="77">
        <v>11.9</v>
      </c>
      <c r="J82" s="43">
        <v>0.08</v>
      </c>
      <c r="K82" s="43">
        <f t="shared" si="9"/>
        <v>3569.92</v>
      </c>
    </row>
    <row r="83" spans="2:21" ht="15" customHeight="1" x14ac:dyDescent="0.25">
      <c r="B83" s="368">
        <v>42641</v>
      </c>
      <c r="C83" s="7">
        <v>200</v>
      </c>
      <c r="D83" s="77">
        <v>13.32</v>
      </c>
      <c r="E83" s="43">
        <v>0</v>
      </c>
      <c r="F83" s="43">
        <f t="shared" ref="F83:F113" si="12">C83*D83+E83</f>
        <v>2664</v>
      </c>
      <c r="G83" s="368">
        <v>42710</v>
      </c>
      <c r="H83" s="80">
        <v>300</v>
      </c>
      <c r="I83" s="77">
        <v>10.99</v>
      </c>
      <c r="J83" s="43">
        <v>-1.07</v>
      </c>
      <c r="K83" s="43">
        <f t="shared" si="9"/>
        <v>3298.07</v>
      </c>
    </row>
    <row r="84" spans="2:21" x14ac:dyDescent="0.25">
      <c r="B84" s="368">
        <v>42642</v>
      </c>
      <c r="C84" s="7">
        <v>300</v>
      </c>
      <c r="D84" s="77">
        <v>12.95</v>
      </c>
      <c r="E84" s="43">
        <v>-1.5</v>
      </c>
      <c r="F84" s="43">
        <f t="shared" si="12"/>
        <v>3883.5</v>
      </c>
      <c r="G84" s="368">
        <v>42710</v>
      </c>
      <c r="H84" s="80">
        <v>200</v>
      </c>
      <c r="I84" s="77">
        <v>11.1</v>
      </c>
      <c r="J84" s="43">
        <v>0.05</v>
      </c>
      <c r="K84" s="43">
        <f t="shared" si="9"/>
        <v>2219.9499999999998</v>
      </c>
    </row>
    <row r="85" spans="2:21" ht="15" customHeight="1" x14ac:dyDescent="0.25">
      <c r="B85" s="368">
        <v>42643</v>
      </c>
      <c r="C85" s="7">
        <v>500</v>
      </c>
      <c r="D85" s="77">
        <v>12.64</v>
      </c>
      <c r="E85" s="43">
        <v>0</v>
      </c>
      <c r="F85" s="43">
        <f t="shared" si="12"/>
        <v>6320</v>
      </c>
      <c r="G85" s="368">
        <v>42711</v>
      </c>
      <c r="H85" s="80">
        <v>300</v>
      </c>
      <c r="I85" s="77">
        <v>11.19</v>
      </c>
      <c r="J85" s="43">
        <v>7.0000000000000007E-2</v>
      </c>
      <c r="K85" s="43">
        <f t="shared" si="9"/>
        <v>3356.93</v>
      </c>
      <c r="M85" s="470"/>
    </row>
    <row r="86" spans="2:21" ht="15" customHeight="1" x14ac:dyDescent="0.25">
      <c r="B86" s="368">
        <v>42646</v>
      </c>
      <c r="C86" s="7">
        <v>500</v>
      </c>
      <c r="D86" s="77">
        <v>12.58</v>
      </c>
      <c r="E86" s="43">
        <v>-2.5</v>
      </c>
      <c r="F86" s="43">
        <f t="shared" si="12"/>
        <v>6287.5</v>
      </c>
      <c r="G86" s="368">
        <v>42712</v>
      </c>
      <c r="H86" s="80">
        <v>200</v>
      </c>
      <c r="I86" s="77">
        <v>11.4</v>
      </c>
      <c r="J86" s="43">
        <v>0.05</v>
      </c>
      <c r="K86" s="43">
        <f t="shared" si="9"/>
        <v>2279.9499999999998</v>
      </c>
      <c r="M86" s="470"/>
      <c r="Q86" s="1"/>
      <c r="R86" s="2"/>
    </row>
    <row r="87" spans="2:21" x14ac:dyDescent="0.25">
      <c r="B87" s="368">
        <v>42646</v>
      </c>
      <c r="C87" s="7">
        <v>200</v>
      </c>
      <c r="D87" s="77">
        <v>12.48</v>
      </c>
      <c r="E87" s="43">
        <v>0</v>
      </c>
      <c r="F87" s="43">
        <f t="shared" si="12"/>
        <v>2496</v>
      </c>
      <c r="G87" s="368">
        <v>42713</v>
      </c>
      <c r="H87" s="80">
        <v>200</v>
      </c>
      <c r="I87" s="77">
        <v>11.72</v>
      </c>
      <c r="J87" s="43">
        <v>0.05</v>
      </c>
      <c r="K87" s="43">
        <f t="shared" si="9"/>
        <v>2343.9499999999998</v>
      </c>
      <c r="M87" s="405"/>
    </row>
    <row r="88" spans="2:21" x14ac:dyDescent="0.25">
      <c r="B88" s="368">
        <v>42646</v>
      </c>
      <c r="C88" s="7">
        <v>300</v>
      </c>
      <c r="D88" s="77">
        <v>12.35</v>
      </c>
      <c r="E88" s="43">
        <v>0</v>
      </c>
      <c r="F88" s="43">
        <f t="shared" si="12"/>
        <v>3705</v>
      </c>
      <c r="G88" s="368">
        <v>42733</v>
      </c>
      <c r="H88" s="161">
        <v>1000</v>
      </c>
      <c r="I88" s="78">
        <v>11.63</v>
      </c>
      <c r="J88" s="2">
        <v>0.25</v>
      </c>
      <c r="K88" s="2">
        <f t="shared" si="9"/>
        <v>11629.75</v>
      </c>
      <c r="M88" s="405"/>
    </row>
    <row r="89" spans="2:21" ht="15" customHeight="1" x14ac:dyDescent="0.25">
      <c r="B89" s="368">
        <v>42647</v>
      </c>
      <c r="C89" s="7">
        <v>500</v>
      </c>
      <c r="D89" s="77">
        <v>12.18</v>
      </c>
      <c r="E89" s="43">
        <v>0</v>
      </c>
      <c r="F89" s="43">
        <f t="shared" si="12"/>
        <v>6090</v>
      </c>
      <c r="G89" s="368">
        <v>42766</v>
      </c>
      <c r="H89" s="7">
        <v>200</v>
      </c>
      <c r="I89" s="77">
        <v>11.65</v>
      </c>
      <c r="J89" s="43">
        <v>0.05</v>
      </c>
      <c r="K89" s="43">
        <f t="shared" ref="K89:K104" si="13">H89*I89-J89</f>
        <v>2329.9499999999998</v>
      </c>
      <c r="U89" s="81"/>
    </row>
    <row r="90" spans="2:21" x14ac:dyDescent="0.25">
      <c r="B90" s="368">
        <v>42664</v>
      </c>
      <c r="C90" s="7">
        <v>300</v>
      </c>
      <c r="D90" s="77">
        <v>12.72</v>
      </c>
      <c r="E90" s="43">
        <v>0</v>
      </c>
      <c r="F90" s="43">
        <f t="shared" si="12"/>
        <v>3816</v>
      </c>
      <c r="G90" s="368">
        <v>42769</v>
      </c>
      <c r="H90" s="80">
        <v>300</v>
      </c>
      <c r="I90" s="77">
        <v>11.7</v>
      </c>
      <c r="J90" s="43">
        <v>0.08</v>
      </c>
      <c r="K90" s="43">
        <f t="shared" si="13"/>
        <v>3509.92</v>
      </c>
    </row>
    <row r="91" spans="2:21" x14ac:dyDescent="0.25">
      <c r="B91" s="368">
        <v>42667</v>
      </c>
      <c r="C91" s="7">
        <v>200</v>
      </c>
      <c r="D91" s="77">
        <v>12.38</v>
      </c>
      <c r="E91" s="43">
        <v>0</v>
      </c>
      <c r="F91" s="43">
        <f t="shared" si="12"/>
        <v>2476</v>
      </c>
      <c r="G91" s="368">
        <v>42774</v>
      </c>
      <c r="H91" s="80">
        <v>500</v>
      </c>
      <c r="I91" s="77">
        <v>11.38</v>
      </c>
      <c r="J91" s="43">
        <v>0.12</v>
      </c>
      <c r="K91" s="43">
        <f t="shared" si="13"/>
        <v>5689.88</v>
      </c>
      <c r="O91" s="1"/>
    </row>
    <row r="92" spans="2:21" ht="15" customHeight="1" x14ac:dyDescent="0.25">
      <c r="B92" s="368">
        <v>42668</v>
      </c>
      <c r="C92" s="7">
        <v>300</v>
      </c>
      <c r="D92" s="77">
        <v>12.18</v>
      </c>
      <c r="E92" s="43">
        <v>0</v>
      </c>
      <c r="F92" s="43">
        <f t="shared" si="12"/>
        <v>3654</v>
      </c>
      <c r="G92" s="368">
        <v>42774</v>
      </c>
      <c r="H92" s="7">
        <v>500</v>
      </c>
      <c r="I92" s="77">
        <v>11.42</v>
      </c>
      <c r="J92" s="43">
        <v>2.62</v>
      </c>
      <c r="K92" s="43">
        <f t="shared" si="13"/>
        <v>5707.38</v>
      </c>
    </row>
    <row r="93" spans="2:21" x14ac:dyDescent="0.25">
      <c r="B93" s="368">
        <v>42671</v>
      </c>
      <c r="C93" s="7">
        <v>100</v>
      </c>
      <c r="D93" s="77">
        <v>11.38</v>
      </c>
      <c r="E93" s="43">
        <v>0</v>
      </c>
      <c r="F93" s="43">
        <f t="shared" si="12"/>
        <v>1138</v>
      </c>
      <c r="G93" s="368">
        <v>42776</v>
      </c>
      <c r="H93" s="7">
        <v>500</v>
      </c>
      <c r="I93" s="77">
        <v>11.58</v>
      </c>
      <c r="J93" s="43">
        <v>0.13</v>
      </c>
      <c r="K93" s="43">
        <f t="shared" si="13"/>
        <v>5789.87</v>
      </c>
    </row>
    <row r="94" spans="2:21" x14ac:dyDescent="0.25">
      <c r="B94" s="368">
        <v>42676</v>
      </c>
      <c r="C94" s="7">
        <v>100</v>
      </c>
      <c r="D94" s="77">
        <v>11.38</v>
      </c>
      <c r="E94" s="43">
        <v>0</v>
      </c>
      <c r="F94" s="43">
        <f t="shared" si="12"/>
        <v>1138</v>
      </c>
      <c r="G94" s="368">
        <v>42809</v>
      </c>
      <c r="H94" s="7">
        <v>200</v>
      </c>
      <c r="I94" s="77">
        <v>10.9</v>
      </c>
      <c r="J94" s="43">
        <v>0.05</v>
      </c>
      <c r="K94" s="43">
        <f t="shared" si="13"/>
        <v>2179.9499999999998</v>
      </c>
      <c r="P94" s="2"/>
    </row>
    <row r="95" spans="2:21" x14ac:dyDescent="0.25">
      <c r="B95" s="368">
        <v>42676</v>
      </c>
      <c r="C95" s="7">
        <v>200</v>
      </c>
      <c r="D95" s="77">
        <v>11</v>
      </c>
      <c r="E95" s="43">
        <v>0</v>
      </c>
      <c r="F95" s="43">
        <f t="shared" si="12"/>
        <v>2200</v>
      </c>
      <c r="G95" s="368">
        <v>42823</v>
      </c>
      <c r="H95" s="4">
        <v>200</v>
      </c>
      <c r="I95" s="188">
        <v>10.94</v>
      </c>
      <c r="J95" s="3">
        <v>0.05</v>
      </c>
      <c r="K95" s="3">
        <f t="shared" si="13"/>
        <v>2187.9499999999998</v>
      </c>
    </row>
    <row r="96" spans="2:21" x14ac:dyDescent="0.25">
      <c r="B96" s="498">
        <v>42684</v>
      </c>
      <c r="C96" s="7">
        <v>1000</v>
      </c>
      <c r="D96" s="77">
        <v>11.29</v>
      </c>
      <c r="E96" s="43">
        <v>-1</v>
      </c>
      <c r="F96" s="43">
        <f t="shared" si="12"/>
        <v>11289</v>
      </c>
      <c r="G96" s="368">
        <v>42825</v>
      </c>
      <c r="H96" s="7">
        <v>300</v>
      </c>
      <c r="I96" s="77">
        <v>11.08</v>
      </c>
      <c r="J96" s="43">
        <v>7.0000000000000007E-2</v>
      </c>
      <c r="K96" s="43">
        <f t="shared" si="13"/>
        <v>3323.93</v>
      </c>
    </row>
    <row r="97" spans="1:15" x14ac:dyDescent="0.25">
      <c r="B97" s="368">
        <v>42704</v>
      </c>
      <c r="C97" s="7">
        <v>300</v>
      </c>
      <c r="D97" s="77">
        <v>11.36</v>
      </c>
      <c r="E97" s="43">
        <v>0</v>
      </c>
      <c r="F97" s="43">
        <f t="shared" si="12"/>
        <v>3408</v>
      </c>
      <c r="G97" s="368">
        <v>42837</v>
      </c>
      <c r="H97" s="7">
        <v>300</v>
      </c>
      <c r="I97" s="77">
        <v>10.72</v>
      </c>
      <c r="J97" s="43">
        <v>7.0000000000000007E-2</v>
      </c>
      <c r="K97" s="43">
        <f t="shared" si="13"/>
        <v>3215.93</v>
      </c>
      <c r="O97" s="1"/>
    </row>
    <row r="98" spans="1:15" x14ac:dyDescent="0.25">
      <c r="A98" s="892"/>
      <c r="B98" s="368">
        <v>42705</v>
      </c>
      <c r="C98" s="7">
        <v>300</v>
      </c>
      <c r="D98" s="77">
        <v>10.8</v>
      </c>
      <c r="E98" s="43">
        <v>0</v>
      </c>
      <c r="F98" s="43">
        <f t="shared" si="12"/>
        <v>3240</v>
      </c>
      <c r="G98" s="368">
        <v>42856</v>
      </c>
      <c r="H98" s="7">
        <v>300</v>
      </c>
      <c r="I98" s="77">
        <v>10.38</v>
      </c>
      <c r="J98" s="43">
        <v>7.0000000000000007E-2</v>
      </c>
      <c r="K98" s="43">
        <f t="shared" si="13"/>
        <v>3113.9300000000003</v>
      </c>
      <c r="O98" s="1"/>
    </row>
    <row r="99" spans="1:15" x14ac:dyDescent="0.25">
      <c r="A99" s="892"/>
      <c r="B99" s="368">
        <v>42705</v>
      </c>
      <c r="C99" s="7">
        <v>200</v>
      </c>
      <c r="D99" s="77">
        <v>10.58</v>
      </c>
      <c r="E99" s="43">
        <v>0</v>
      </c>
      <c r="F99" s="43">
        <f t="shared" si="12"/>
        <v>2116</v>
      </c>
      <c r="G99" s="368">
        <v>42864</v>
      </c>
      <c r="H99" s="4">
        <v>300</v>
      </c>
      <c r="I99" s="188">
        <v>10.17</v>
      </c>
      <c r="J99" s="3">
        <v>7.0000000000000007E-2</v>
      </c>
      <c r="K99" s="3">
        <f t="shared" si="13"/>
        <v>3050.93</v>
      </c>
    </row>
    <row r="100" spans="1:15" x14ac:dyDescent="0.25">
      <c r="B100" s="368">
        <v>42716</v>
      </c>
      <c r="C100" s="7">
        <v>200</v>
      </c>
      <c r="D100" s="77">
        <v>11.44</v>
      </c>
      <c r="E100" s="43">
        <v>0</v>
      </c>
      <c r="F100" s="43">
        <f t="shared" si="12"/>
        <v>2288</v>
      </c>
      <c r="G100" s="368">
        <v>42865</v>
      </c>
      <c r="H100" s="4">
        <v>200</v>
      </c>
      <c r="I100" s="78">
        <v>11.68</v>
      </c>
      <c r="J100" s="2">
        <v>0.05</v>
      </c>
      <c r="K100" s="2">
        <f t="shared" si="13"/>
        <v>2335.9499999999998</v>
      </c>
      <c r="O100" s="1"/>
    </row>
    <row r="101" spans="1:15" x14ac:dyDescent="0.25">
      <c r="B101" s="368">
        <v>42765</v>
      </c>
      <c r="C101" s="7">
        <v>200</v>
      </c>
      <c r="D101" s="77">
        <v>11.48</v>
      </c>
      <c r="E101" s="43">
        <v>0</v>
      </c>
      <c r="F101" s="43">
        <f t="shared" si="12"/>
        <v>2296</v>
      </c>
      <c r="G101" s="368">
        <v>42872</v>
      </c>
      <c r="H101" s="4">
        <v>500</v>
      </c>
      <c r="I101" s="78">
        <v>12.98</v>
      </c>
      <c r="J101" s="2">
        <v>0.14000000000000001</v>
      </c>
      <c r="K101" s="2">
        <f t="shared" si="13"/>
        <v>6489.86</v>
      </c>
      <c r="O101" s="1"/>
    </row>
    <row r="102" spans="1:15" x14ac:dyDescent="0.25">
      <c r="B102" s="368">
        <v>42767</v>
      </c>
      <c r="C102" s="7">
        <v>300</v>
      </c>
      <c r="D102" s="77">
        <v>11.45</v>
      </c>
      <c r="E102" s="43">
        <v>0</v>
      </c>
      <c r="F102" s="43">
        <f t="shared" si="12"/>
        <v>3435</v>
      </c>
      <c r="G102" s="368">
        <v>42873</v>
      </c>
      <c r="H102" s="4">
        <v>500</v>
      </c>
      <c r="I102" s="78">
        <v>13.28</v>
      </c>
      <c r="J102" s="2">
        <v>0.14000000000000001</v>
      </c>
      <c r="K102" s="2">
        <f t="shared" si="13"/>
        <v>6639.86</v>
      </c>
    </row>
    <row r="103" spans="1:15" x14ac:dyDescent="0.25">
      <c r="B103" s="368">
        <v>42772</v>
      </c>
      <c r="C103" s="7">
        <v>500</v>
      </c>
      <c r="D103" s="77">
        <v>11.22</v>
      </c>
      <c r="E103" s="43">
        <v>0</v>
      </c>
      <c r="F103" s="43">
        <f t="shared" si="12"/>
        <v>5610</v>
      </c>
      <c r="G103" s="368">
        <v>42944</v>
      </c>
      <c r="H103" s="7">
        <v>200</v>
      </c>
      <c r="I103" s="77">
        <v>14.5</v>
      </c>
      <c r="J103" s="43">
        <v>1.19</v>
      </c>
      <c r="K103" s="43">
        <f t="shared" si="13"/>
        <v>2898.81</v>
      </c>
    </row>
    <row r="104" spans="1:15" x14ac:dyDescent="0.25">
      <c r="B104" s="368">
        <v>42773</v>
      </c>
      <c r="C104" s="7">
        <v>500</v>
      </c>
      <c r="D104" s="77">
        <v>11.02</v>
      </c>
      <c r="E104" s="43">
        <v>0</v>
      </c>
      <c r="F104" s="43">
        <f t="shared" si="12"/>
        <v>5510</v>
      </c>
      <c r="G104" s="1">
        <v>42984</v>
      </c>
      <c r="H104" s="4">
        <v>1000</v>
      </c>
      <c r="I104" s="78">
        <v>14.6</v>
      </c>
      <c r="J104" s="2">
        <v>-4.66</v>
      </c>
      <c r="K104" s="2">
        <f t="shared" si="13"/>
        <v>14604.66</v>
      </c>
    </row>
    <row r="105" spans="1:15" x14ac:dyDescent="0.25">
      <c r="B105" s="368">
        <v>42775</v>
      </c>
      <c r="C105" s="7">
        <v>500</v>
      </c>
      <c r="D105" s="77">
        <v>11.18</v>
      </c>
      <c r="E105" s="43">
        <v>0</v>
      </c>
      <c r="F105" s="43">
        <f t="shared" si="12"/>
        <v>5590</v>
      </c>
    </row>
    <row r="106" spans="1:15" x14ac:dyDescent="0.25">
      <c r="B106" s="368">
        <v>42775</v>
      </c>
      <c r="C106" s="7">
        <v>500</v>
      </c>
      <c r="D106" s="77">
        <v>11.05</v>
      </c>
      <c r="E106" s="43">
        <v>0</v>
      </c>
      <c r="F106" s="43">
        <f t="shared" si="12"/>
        <v>5525</v>
      </c>
    </row>
    <row r="107" spans="1:15" x14ac:dyDescent="0.25">
      <c r="B107" s="72">
        <v>42808</v>
      </c>
      <c r="C107" s="7">
        <v>200</v>
      </c>
      <c r="D107" s="77">
        <v>10.75</v>
      </c>
      <c r="E107" s="43">
        <v>0</v>
      </c>
      <c r="F107" s="43">
        <f t="shared" si="12"/>
        <v>2150</v>
      </c>
    </row>
    <row r="108" spans="1:15" x14ac:dyDescent="0.25">
      <c r="B108" s="368">
        <v>42814</v>
      </c>
      <c r="C108" s="7">
        <v>200</v>
      </c>
      <c r="D108" s="77">
        <v>10.65</v>
      </c>
      <c r="E108" s="43">
        <v>0</v>
      </c>
      <c r="F108" s="43">
        <f t="shared" si="12"/>
        <v>2130</v>
      </c>
    </row>
    <row r="109" spans="1:15" x14ac:dyDescent="0.25">
      <c r="B109" s="368">
        <v>42833</v>
      </c>
      <c r="C109" s="7">
        <v>300</v>
      </c>
      <c r="D109" s="77">
        <v>10.62</v>
      </c>
      <c r="E109" s="43">
        <v>0</v>
      </c>
      <c r="F109" s="43">
        <f t="shared" si="12"/>
        <v>3185.9999999999995</v>
      </c>
    </row>
    <row r="110" spans="1:15" x14ac:dyDescent="0.25">
      <c r="B110" s="72">
        <v>42844</v>
      </c>
      <c r="C110" s="7">
        <v>200</v>
      </c>
      <c r="D110" s="77">
        <v>10.28</v>
      </c>
      <c r="E110" s="43">
        <v>0</v>
      </c>
      <c r="F110" s="43">
        <f t="shared" si="12"/>
        <v>2056</v>
      </c>
    </row>
    <row r="111" spans="1:15" x14ac:dyDescent="0.25">
      <c r="B111" s="72">
        <v>42845</v>
      </c>
      <c r="C111" s="7">
        <v>100</v>
      </c>
      <c r="D111" s="77">
        <v>10.039999999999999</v>
      </c>
      <c r="E111" s="43">
        <v>-0.08</v>
      </c>
      <c r="F111" s="43">
        <f t="shared" si="12"/>
        <v>1003.9199999999998</v>
      </c>
    </row>
    <row r="112" spans="1:15" x14ac:dyDescent="0.25">
      <c r="B112" s="72">
        <v>42857</v>
      </c>
      <c r="C112" s="7">
        <v>300</v>
      </c>
      <c r="D112" s="77">
        <v>9.94</v>
      </c>
      <c r="E112" s="43">
        <v>0</v>
      </c>
      <c r="F112" s="43">
        <f t="shared" si="12"/>
        <v>2982</v>
      </c>
    </row>
    <row r="113" spans="1:13" x14ac:dyDescent="0.25">
      <c r="B113" s="72">
        <v>42950</v>
      </c>
      <c r="C113" s="7">
        <v>200</v>
      </c>
      <c r="D113" s="77">
        <v>14.18</v>
      </c>
      <c r="E113" s="43">
        <v>0</v>
      </c>
      <c r="F113" s="43">
        <f t="shared" si="12"/>
        <v>2836</v>
      </c>
    </row>
    <row r="117" spans="1:13" x14ac:dyDescent="0.25">
      <c r="C117" s="4"/>
      <c r="D117" s="188"/>
      <c r="E117" s="3"/>
      <c r="F117" s="3"/>
    </row>
    <row r="118" spans="1:13" x14ac:dyDescent="0.25">
      <c r="A118" s="31" t="s">
        <v>81</v>
      </c>
      <c r="B118" s="14"/>
      <c r="C118" s="14">
        <f>SUM(C2:C117)</f>
        <v>42605</v>
      </c>
      <c r="D118" s="79"/>
      <c r="E118" s="14"/>
      <c r="F118" s="18">
        <f>SUM(F2:F117)</f>
        <v>596618.70000000007</v>
      </c>
      <c r="G118" s="14"/>
      <c r="H118" s="14">
        <f>SUM(H2:H117)</f>
        <v>42605</v>
      </c>
      <c r="I118" s="79"/>
      <c r="J118" s="14"/>
      <c r="K118" s="18">
        <f>SUM(K2:K117)</f>
        <v>575800.49</v>
      </c>
      <c r="L118" s="14"/>
      <c r="M118" s="14"/>
    </row>
    <row r="119" spans="1:13" ht="15.75" thickBot="1" x14ac:dyDescent="0.3">
      <c r="A119" s="277" t="s">
        <v>191</v>
      </c>
      <c r="B119" s="278"/>
      <c r="C119" s="279">
        <f>SumByColor($A$119,C2:C117)</f>
        <v>38705</v>
      </c>
      <c r="D119" s="279"/>
      <c r="E119" s="279"/>
      <c r="F119" s="280">
        <f>SumByColor($A$119,F2:F117)</f>
        <v>526268</v>
      </c>
      <c r="G119" s="279"/>
      <c r="H119" s="279">
        <f>SumByColor($A$119,H2:H117)</f>
        <v>38905</v>
      </c>
      <c r="I119" s="279"/>
      <c r="J119" s="279"/>
      <c r="K119" s="280">
        <f>SumByColor($A$119,K2:K117)</f>
        <v>528865</v>
      </c>
      <c r="L119" s="279"/>
      <c r="M119" s="280">
        <f>SumByColor($A$119,M2:M117)</f>
        <v>0</v>
      </c>
    </row>
    <row r="123" spans="1:13" x14ac:dyDescent="0.25">
      <c r="B123" s="162" t="s">
        <v>113</v>
      </c>
      <c r="C123" s="162" t="s">
        <v>145</v>
      </c>
      <c r="D123" s="170" t="s">
        <v>144</v>
      </c>
      <c r="E123" s="166" t="s">
        <v>146</v>
      </c>
      <c r="F123" s="166" t="s">
        <v>65</v>
      </c>
      <c r="G123" s="177" t="s">
        <v>150</v>
      </c>
      <c r="H123" s="166" t="s">
        <v>88</v>
      </c>
      <c r="I123" s="189" t="s">
        <v>150</v>
      </c>
      <c r="J123" s="39"/>
      <c r="K123" s="39"/>
    </row>
    <row r="124" spans="1:13" x14ac:dyDescent="0.25">
      <c r="B124" s="164">
        <v>42304</v>
      </c>
      <c r="C124" s="10">
        <v>5530</v>
      </c>
      <c r="D124" s="171">
        <v>17.41</v>
      </c>
      <c r="E124" s="39">
        <v>14.61</v>
      </c>
      <c r="F124" s="39">
        <f>C124*(E124-D124)</f>
        <v>-15484.000000000004</v>
      </c>
      <c r="G124" s="39">
        <f>IF(C124=0, 0,D124*C124)</f>
        <v>96277.3</v>
      </c>
      <c r="H124" s="180">
        <f>IF(C124=0, D124, (E124-D124)/D124)</f>
        <v>-0.16082711085583001</v>
      </c>
      <c r="I124" s="171"/>
      <c r="J124" s="39"/>
      <c r="K124" s="39"/>
    </row>
    <row r="125" spans="1:13" x14ac:dyDescent="0.25">
      <c r="B125" s="164">
        <v>42306</v>
      </c>
      <c r="C125" s="10">
        <v>5530</v>
      </c>
      <c r="D125" s="171">
        <v>17.41</v>
      </c>
      <c r="E125" s="39">
        <v>14.94</v>
      </c>
      <c r="F125" s="39">
        <f t="shared" ref="F125:F166" si="14">C125*(E125-D125)</f>
        <v>-13659.100000000004</v>
      </c>
      <c r="G125" s="39">
        <f t="shared" ref="G125:G166" si="15">IF(C125=0, 0,D125*C125)</f>
        <v>96277.3</v>
      </c>
      <c r="H125" s="180">
        <f t="shared" ref="H125:H166" si="16">IF(C125=0, D125, (E125-D125)/D125)</f>
        <v>-0.14187248707639291</v>
      </c>
      <c r="I125" s="171"/>
      <c r="J125" s="39"/>
      <c r="K125" s="39"/>
    </row>
    <row r="126" spans="1:13" x14ac:dyDescent="0.25">
      <c r="B126" s="164">
        <v>42307</v>
      </c>
      <c r="C126" s="10">
        <v>5730</v>
      </c>
      <c r="D126" s="171">
        <v>17.329999999999998</v>
      </c>
      <c r="E126" s="39">
        <v>15.51</v>
      </c>
      <c r="F126" s="39">
        <f t="shared" si="14"/>
        <v>-10428.599999999991</v>
      </c>
      <c r="G126" s="39">
        <f t="shared" si="15"/>
        <v>99300.9</v>
      </c>
      <c r="H126" s="180">
        <f t="shared" si="16"/>
        <v>-0.10502019619157522</v>
      </c>
      <c r="I126" s="171"/>
      <c r="J126" s="39"/>
      <c r="K126" s="39"/>
    </row>
    <row r="127" spans="1:13" x14ac:dyDescent="0.25">
      <c r="B127" s="164">
        <v>42313</v>
      </c>
      <c r="C127" s="10">
        <v>6000</v>
      </c>
      <c r="D127" s="171">
        <v>17.22</v>
      </c>
      <c r="E127" s="39">
        <v>14.88</v>
      </c>
      <c r="F127" s="39">
        <f t="shared" si="14"/>
        <v>-14039.999999999989</v>
      </c>
      <c r="G127" s="39">
        <f t="shared" si="15"/>
        <v>103320</v>
      </c>
      <c r="H127" s="180">
        <f t="shared" si="16"/>
        <v>-0.13588850174216019</v>
      </c>
      <c r="I127" s="171"/>
      <c r="J127" s="39"/>
      <c r="K127" s="39"/>
    </row>
    <row r="128" spans="1:13" x14ac:dyDescent="0.25">
      <c r="B128" s="164">
        <v>42314</v>
      </c>
      <c r="C128" s="10">
        <v>7006</v>
      </c>
      <c r="D128" s="171">
        <v>16.829999999999998</v>
      </c>
      <c r="E128" s="39">
        <v>14.42</v>
      </c>
      <c r="F128" s="39">
        <f t="shared" si="14"/>
        <v>-16884.459999999988</v>
      </c>
      <c r="G128" s="39">
        <f t="shared" si="15"/>
        <v>117910.97999999998</v>
      </c>
      <c r="H128" s="180">
        <f t="shared" si="16"/>
        <v>-0.14319667260843724</v>
      </c>
      <c r="I128" s="171"/>
      <c r="J128" s="39"/>
      <c r="K128" s="39"/>
    </row>
    <row r="129" spans="2:11" x14ac:dyDescent="0.25">
      <c r="B129" s="164">
        <v>42324</v>
      </c>
      <c r="C129" s="10">
        <v>6000</v>
      </c>
      <c r="D129" s="171">
        <v>17.18</v>
      </c>
      <c r="E129" s="39">
        <v>14.92</v>
      </c>
      <c r="F129" s="39">
        <f t="shared" si="14"/>
        <v>-13559.999999999998</v>
      </c>
      <c r="G129" s="39">
        <f t="shared" si="15"/>
        <v>103080</v>
      </c>
      <c r="H129" s="180">
        <f t="shared" si="16"/>
        <v>-0.13154831199068684</v>
      </c>
      <c r="I129" s="171"/>
      <c r="J129" s="39"/>
      <c r="K129" s="39"/>
    </row>
    <row r="130" spans="2:11" x14ac:dyDescent="0.25">
      <c r="B130" s="164">
        <v>42325</v>
      </c>
      <c r="C130" s="10">
        <v>7000</v>
      </c>
      <c r="D130" s="171">
        <v>16.79</v>
      </c>
      <c r="E130" s="39">
        <v>14.38</v>
      </c>
      <c r="F130" s="39">
        <f t="shared" si="14"/>
        <v>-16869.999999999989</v>
      </c>
      <c r="G130" s="39">
        <f t="shared" si="15"/>
        <v>117530</v>
      </c>
      <c r="H130" s="180">
        <f t="shared" si="16"/>
        <v>-0.14353782013103028</v>
      </c>
      <c r="I130" s="171"/>
      <c r="J130" s="39"/>
      <c r="K130" s="39"/>
    </row>
    <row r="131" spans="2:11" x14ac:dyDescent="0.25">
      <c r="B131" s="164">
        <v>42326</v>
      </c>
      <c r="C131" s="10">
        <v>6000</v>
      </c>
      <c r="D131" s="171">
        <v>17.16</v>
      </c>
      <c r="E131" s="39">
        <v>14.65</v>
      </c>
      <c r="F131" s="39">
        <f t="shared" si="14"/>
        <v>-15059.999999999998</v>
      </c>
      <c r="G131" s="39">
        <f t="shared" si="15"/>
        <v>102960</v>
      </c>
      <c r="H131" s="180">
        <f t="shared" si="16"/>
        <v>-0.14627039627039626</v>
      </c>
      <c r="I131" s="171"/>
      <c r="J131" s="39"/>
      <c r="K131" s="39"/>
    </row>
    <row r="132" spans="2:11" x14ac:dyDescent="0.25">
      <c r="B132" s="164">
        <v>42335</v>
      </c>
      <c r="C132" s="10">
        <v>6100</v>
      </c>
      <c r="D132" s="171">
        <v>17.11</v>
      </c>
      <c r="E132" s="39">
        <v>14.47</v>
      </c>
      <c r="F132" s="39">
        <f t="shared" si="14"/>
        <v>-16103.999999999993</v>
      </c>
      <c r="G132" s="39">
        <f t="shared" si="15"/>
        <v>104371</v>
      </c>
      <c r="H132" s="180">
        <f t="shared" si="16"/>
        <v>-0.15429573348918754</v>
      </c>
      <c r="I132" s="171"/>
      <c r="J132" s="39"/>
      <c r="K132" s="39"/>
    </row>
    <row r="133" spans="2:11" x14ac:dyDescent="0.25">
      <c r="B133" s="164">
        <v>42335</v>
      </c>
      <c r="C133" s="10">
        <v>7000</v>
      </c>
      <c r="D133" s="171">
        <v>16.77</v>
      </c>
      <c r="E133" s="39">
        <v>14.47</v>
      </c>
      <c r="F133" s="39">
        <f t="shared" si="14"/>
        <v>-16099.999999999993</v>
      </c>
      <c r="G133" s="39">
        <f t="shared" si="15"/>
        <v>117390</v>
      </c>
      <c r="H133" s="180">
        <f t="shared" si="16"/>
        <v>-0.1371496720333929</v>
      </c>
      <c r="I133" s="171"/>
      <c r="J133" s="39"/>
      <c r="K133" s="39"/>
    </row>
    <row r="134" spans="2:11" x14ac:dyDescent="0.25">
      <c r="B134" s="164">
        <v>42338</v>
      </c>
      <c r="C134" s="10">
        <v>6000</v>
      </c>
      <c r="D134" s="171">
        <v>17.100000000000001</v>
      </c>
      <c r="E134" s="39">
        <v>14.78</v>
      </c>
      <c r="F134" s="39">
        <f t="shared" si="14"/>
        <v>-13920.000000000013</v>
      </c>
      <c r="G134" s="39">
        <f t="shared" si="15"/>
        <v>102600.00000000001</v>
      </c>
      <c r="H134" s="180">
        <f t="shared" si="16"/>
        <v>-0.13567251461988314</v>
      </c>
      <c r="I134" s="171"/>
      <c r="J134" s="39"/>
      <c r="K134" s="39"/>
    </row>
    <row r="135" spans="2:11" x14ac:dyDescent="0.25">
      <c r="B135" s="164">
        <v>42338</v>
      </c>
      <c r="C135" s="10">
        <v>5900</v>
      </c>
      <c r="D135" s="171">
        <v>17.14</v>
      </c>
      <c r="E135" s="39">
        <v>14.78</v>
      </c>
      <c r="F135" s="39">
        <f t="shared" si="14"/>
        <v>-13924.000000000007</v>
      </c>
      <c r="G135" s="39">
        <f t="shared" si="15"/>
        <v>101126</v>
      </c>
      <c r="H135" s="180">
        <f t="shared" si="16"/>
        <v>-0.13768961493582271</v>
      </c>
      <c r="I135" s="171"/>
      <c r="J135" s="39"/>
      <c r="K135" s="39"/>
    </row>
    <row r="136" spans="2:11" x14ac:dyDescent="0.25">
      <c r="B136" s="164">
        <v>42340</v>
      </c>
      <c r="C136" s="10">
        <v>7000</v>
      </c>
      <c r="D136" s="171">
        <v>16.670000000000002</v>
      </c>
      <c r="E136" s="39">
        <v>13.9</v>
      </c>
      <c r="F136" s="39">
        <f t="shared" si="14"/>
        <v>-19390.000000000011</v>
      </c>
      <c r="G136" s="39">
        <f t="shared" si="15"/>
        <v>116690.00000000001</v>
      </c>
      <c r="H136" s="180">
        <f t="shared" si="16"/>
        <v>-0.16616676664667074</v>
      </c>
      <c r="I136" s="171"/>
      <c r="J136" s="39"/>
      <c r="K136" s="39"/>
    </row>
    <row r="137" spans="2:11" x14ac:dyDescent="0.25">
      <c r="B137" s="164">
        <v>42340</v>
      </c>
      <c r="C137" s="10">
        <v>7500</v>
      </c>
      <c r="D137" s="171">
        <v>16.510000000000002</v>
      </c>
      <c r="E137" s="39">
        <v>13.9</v>
      </c>
      <c r="F137" s="39">
        <f t="shared" si="14"/>
        <v>-19575.000000000007</v>
      </c>
      <c r="G137" s="39">
        <f t="shared" si="15"/>
        <v>123825.00000000001</v>
      </c>
      <c r="H137" s="180">
        <f t="shared" si="16"/>
        <v>-0.15808600847970933</v>
      </c>
      <c r="I137" s="171"/>
      <c r="J137" s="39"/>
      <c r="K137" s="39"/>
    </row>
    <row r="138" spans="2:11" x14ac:dyDescent="0.25">
      <c r="B138" s="164">
        <v>42344</v>
      </c>
      <c r="C138" s="10">
        <v>7500</v>
      </c>
      <c r="D138" s="171">
        <v>16.510000000000002</v>
      </c>
      <c r="E138" s="39">
        <v>13.15</v>
      </c>
      <c r="F138" s="39">
        <f t="shared" si="14"/>
        <v>-25200.000000000007</v>
      </c>
      <c r="G138" s="39">
        <f t="shared" si="15"/>
        <v>123825.00000000001</v>
      </c>
      <c r="H138" s="180">
        <f t="shared" si="16"/>
        <v>-0.20351302241066027</v>
      </c>
      <c r="I138" s="171"/>
      <c r="J138" s="39"/>
      <c r="K138" s="39"/>
    </row>
    <row r="139" spans="2:11" x14ac:dyDescent="0.25">
      <c r="B139" s="164">
        <v>42349</v>
      </c>
      <c r="C139" s="10">
        <v>8000</v>
      </c>
      <c r="D139" s="171">
        <v>16.260000000000002</v>
      </c>
      <c r="E139" s="39">
        <v>12.47</v>
      </c>
      <c r="F139" s="39">
        <f t="shared" si="14"/>
        <v>-30320.000000000007</v>
      </c>
      <c r="G139" s="39">
        <f t="shared" si="15"/>
        <v>130080.00000000001</v>
      </c>
      <c r="H139" s="180">
        <f t="shared" si="16"/>
        <v>-0.23308733087330877</v>
      </c>
      <c r="I139" s="171"/>
      <c r="J139" s="39"/>
      <c r="K139" s="39"/>
    </row>
    <row r="140" spans="2:11" x14ac:dyDescent="0.25">
      <c r="B140" s="164">
        <v>42356</v>
      </c>
      <c r="C140" s="10">
        <v>7500</v>
      </c>
      <c r="D140" s="171">
        <v>16.510000000000002</v>
      </c>
      <c r="E140" s="39">
        <v>12.6</v>
      </c>
      <c r="F140" s="39">
        <f t="shared" si="14"/>
        <v>-29325.000000000015</v>
      </c>
      <c r="G140" s="39">
        <f t="shared" si="15"/>
        <v>123825.00000000001</v>
      </c>
      <c r="H140" s="180">
        <f t="shared" si="16"/>
        <v>-0.23682616596002432</v>
      </c>
      <c r="I140" s="171"/>
      <c r="J140" s="39"/>
      <c r="K140" s="39"/>
    </row>
    <row r="141" spans="2:11" x14ac:dyDescent="0.25">
      <c r="B141" s="164">
        <v>42356</v>
      </c>
      <c r="C141" s="218">
        <v>4500</v>
      </c>
      <c r="D141" s="219">
        <v>19.079999999999998</v>
      </c>
      <c r="E141" s="39">
        <v>12.88</v>
      </c>
      <c r="F141" s="39">
        <f t="shared" si="14"/>
        <v>-27899.999999999989</v>
      </c>
      <c r="G141" s="39">
        <f t="shared" si="15"/>
        <v>85859.999999999985</v>
      </c>
      <c r="H141" s="180">
        <f t="shared" si="16"/>
        <v>-0.32494758909853239</v>
      </c>
      <c r="I141" s="171"/>
      <c r="J141" s="39"/>
      <c r="K141" s="39"/>
    </row>
    <row r="142" spans="2:11" x14ac:dyDescent="0.25">
      <c r="B142" s="164">
        <v>42397</v>
      </c>
      <c r="C142" s="341">
        <v>2000</v>
      </c>
      <c r="D142" s="174">
        <v>26.06</v>
      </c>
      <c r="E142" s="39">
        <v>15.27</v>
      </c>
      <c r="F142" s="39">
        <f t="shared" si="14"/>
        <v>-21580</v>
      </c>
      <c r="G142" s="39">
        <f t="shared" si="15"/>
        <v>52120</v>
      </c>
      <c r="H142" s="180">
        <f t="shared" si="16"/>
        <v>-0.41404451266308517</v>
      </c>
      <c r="I142" s="171"/>
      <c r="J142" s="39"/>
      <c r="K142" s="39"/>
    </row>
    <row r="143" spans="2:11" x14ac:dyDescent="0.25">
      <c r="B143" s="164">
        <v>42398</v>
      </c>
      <c r="C143" s="218">
        <v>1800</v>
      </c>
      <c r="D143" s="219">
        <v>27.26</v>
      </c>
      <c r="E143" s="39">
        <v>15.27</v>
      </c>
      <c r="F143" s="39">
        <f t="shared" si="14"/>
        <v>-21582.000000000004</v>
      </c>
      <c r="G143" s="39">
        <f t="shared" si="15"/>
        <v>49068</v>
      </c>
      <c r="H143" s="180">
        <f t="shared" si="16"/>
        <v>-0.43983859134262659</v>
      </c>
      <c r="I143" s="171"/>
      <c r="J143" s="39"/>
      <c r="K143" s="39"/>
    </row>
    <row r="144" spans="2:11" x14ac:dyDescent="0.25">
      <c r="B144" s="164">
        <v>42402</v>
      </c>
      <c r="C144" s="218">
        <v>2000</v>
      </c>
      <c r="D144" s="219">
        <v>26</v>
      </c>
      <c r="E144" s="39">
        <v>15.18</v>
      </c>
      <c r="F144" s="39">
        <f t="shared" si="14"/>
        <v>-21640</v>
      </c>
      <c r="G144" s="39">
        <f t="shared" si="15"/>
        <v>52000</v>
      </c>
      <c r="H144" s="180">
        <f t="shared" si="16"/>
        <v>-0.41615384615384615</v>
      </c>
      <c r="I144" s="171"/>
      <c r="J144" s="39"/>
      <c r="K144" s="39"/>
    </row>
    <row r="145" spans="2:11" x14ac:dyDescent="0.25">
      <c r="B145" s="164">
        <v>42412</v>
      </c>
      <c r="C145" s="218">
        <v>2200</v>
      </c>
      <c r="D145" s="219">
        <v>24.75</v>
      </c>
      <c r="E145" s="39">
        <v>12.35</v>
      </c>
      <c r="F145" s="39">
        <f t="shared" si="14"/>
        <v>-27280</v>
      </c>
      <c r="G145" s="39">
        <f t="shared" si="15"/>
        <v>54450</v>
      </c>
      <c r="H145" s="180">
        <f t="shared" si="16"/>
        <v>-0.50101010101010102</v>
      </c>
      <c r="I145" s="171"/>
      <c r="J145" s="39"/>
      <c r="K145" s="39"/>
    </row>
    <row r="146" spans="2:11" x14ac:dyDescent="0.25">
      <c r="B146" s="164">
        <v>42416</v>
      </c>
      <c r="C146" s="218">
        <v>2000</v>
      </c>
      <c r="D146" s="219">
        <v>25.96</v>
      </c>
      <c r="E146" s="39">
        <v>12.35</v>
      </c>
      <c r="F146" s="39">
        <f t="shared" si="14"/>
        <v>-27220.000000000004</v>
      </c>
      <c r="G146" s="39">
        <f t="shared" si="15"/>
        <v>51920</v>
      </c>
      <c r="H146" s="180">
        <f t="shared" si="16"/>
        <v>-0.52426810477657937</v>
      </c>
      <c r="I146" s="171"/>
      <c r="J146" s="39"/>
      <c r="K146" s="39"/>
    </row>
    <row r="147" spans="2:11" x14ac:dyDescent="0.25">
      <c r="B147" s="164">
        <v>42416</v>
      </c>
      <c r="C147" s="218">
        <v>1750</v>
      </c>
      <c r="D147" s="219">
        <v>27.81</v>
      </c>
      <c r="E147" s="39">
        <v>12.89</v>
      </c>
      <c r="F147" s="39">
        <f t="shared" si="14"/>
        <v>-26109.999999999996</v>
      </c>
      <c r="G147" s="39">
        <f t="shared" si="15"/>
        <v>48667.5</v>
      </c>
      <c r="H147" s="180">
        <f t="shared" si="16"/>
        <v>-0.53649766271125487</v>
      </c>
      <c r="I147" s="171"/>
      <c r="J147" s="39"/>
      <c r="K147" s="39"/>
    </row>
    <row r="148" spans="2:11" x14ac:dyDescent="0.25">
      <c r="B148" s="164">
        <v>42416</v>
      </c>
      <c r="C148" s="218">
        <v>2000</v>
      </c>
      <c r="D148" s="219">
        <v>25.948</v>
      </c>
      <c r="E148" s="39">
        <v>12.94</v>
      </c>
      <c r="F148" s="39">
        <f t="shared" si="14"/>
        <v>-26016</v>
      </c>
      <c r="G148" s="39">
        <f t="shared" si="15"/>
        <v>51896</v>
      </c>
      <c r="H148" s="180">
        <f t="shared" si="16"/>
        <v>-0.50131031293355943</v>
      </c>
      <c r="I148" s="171"/>
      <c r="J148" s="39"/>
      <c r="K148" s="39"/>
    </row>
    <row r="149" spans="2:11" x14ac:dyDescent="0.25">
      <c r="B149" s="164">
        <v>42426</v>
      </c>
      <c r="C149" s="218">
        <v>2000</v>
      </c>
      <c r="D149" s="219">
        <v>25.914999999999999</v>
      </c>
      <c r="E149" s="39">
        <v>12.37</v>
      </c>
      <c r="F149" s="39">
        <f t="shared" si="14"/>
        <v>-27090</v>
      </c>
      <c r="G149" s="39">
        <f t="shared" si="15"/>
        <v>51830</v>
      </c>
      <c r="H149" s="180">
        <f t="shared" si="16"/>
        <v>-0.52267026818444917</v>
      </c>
      <c r="I149" s="171"/>
      <c r="J149" s="39"/>
      <c r="K149" s="39"/>
    </row>
    <row r="150" spans="2:11" x14ac:dyDescent="0.25">
      <c r="B150" s="164">
        <v>42430</v>
      </c>
      <c r="C150" s="218">
        <v>2000</v>
      </c>
      <c r="D150" s="219">
        <v>25.914999999999999</v>
      </c>
      <c r="E150" s="39">
        <v>12.82</v>
      </c>
      <c r="F150" s="39">
        <f t="shared" si="14"/>
        <v>-26189.999999999996</v>
      </c>
      <c r="G150" s="39">
        <f t="shared" si="15"/>
        <v>51830</v>
      </c>
      <c r="H150" s="180">
        <f t="shared" si="16"/>
        <v>-0.50530580744742426</v>
      </c>
      <c r="I150" s="171">
        <v>25.5</v>
      </c>
      <c r="J150" s="39"/>
      <c r="K150" s="39"/>
    </row>
    <row r="151" spans="2:11" x14ac:dyDescent="0.25">
      <c r="B151" s="164">
        <v>42431</v>
      </c>
      <c r="C151" s="354">
        <v>1500</v>
      </c>
      <c r="D151" s="486">
        <v>30.137</v>
      </c>
      <c r="E151" s="39">
        <v>13.3</v>
      </c>
      <c r="F151" s="39">
        <f t="shared" si="14"/>
        <v>-25255.5</v>
      </c>
      <c r="G151" s="39">
        <f t="shared" si="15"/>
        <v>45205.5</v>
      </c>
      <c r="H151" s="180">
        <f t="shared" si="16"/>
        <v>-0.55868201878090051</v>
      </c>
      <c r="I151" s="171"/>
      <c r="J151" s="39"/>
      <c r="K151" s="39"/>
    </row>
    <row r="152" spans="2:11" x14ac:dyDescent="0.25">
      <c r="B152" s="164">
        <v>42444</v>
      </c>
      <c r="C152" s="218">
        <v>1500</v>
      </c>
      <c r="D152" s="219">
        <v>30.137</v>
      </c>
      <c r="E152" s="39">
        <v>14.28</v>
      </c>
      <c r="F152" s="39">
        <f t="shared" si="14"/>
        <v>-23785.5</v>
      </c>
      <c r="G152" s="39">
        <f t="shared" si="15"/>
        <v>45205.5</v>
      </c>
      <c r="H152" s="180">
        <f t="shared" si="16"/>
        <v>-0.52616385174370384</v>
      </c>
      <c r="I152" s="171"/>
      <c r="J152" s="39"/>
      <c r="K152" s="39"/>
    </row>
    <row r="153" spans="2:11" x14ac:dyDescent="0.25">
      <c r="B153" s="164">
        <v>42447</v>
      </c>
      <c r="C153" s="218">
        <v>1500</v>
      </c>
      <c r="D153" s="219">
        <v>30.137</v>
      </c>
      <c r="E153" s="39">
        <v>14.98</v>
      </c>
      <c r="F153" s="39">
        <f t="shared" si="14"/>
        <v>-22735.5</v>
      </c>
      <c r="G153" s="39">
        <f t="shared" si="15"/>
        <v>45205.5</v>
      </c>
      <c r="H153" s="180">
        <f t="shared" si="16"/>
        <v>-0.50293658957427745</v>
      </c>
      <c r="I153" s="171"/>
      <c r="J153" s="39"/>
      <c r="K153" s="39"/>
    </row>
    <row r="154" spans="2:11" x14ac:dyDescent="0.25">
      <c r="B154" s="164">
        <v>42480</v>
      </c>
      <c r="C154" s="218">
        <v>1500</v>
      </c>
      <c r="D154" s="219">
        <v>30.07</v>
      </c>
      <c r="E154" s="39">
        <v>15.44</v>
      </c>
      <c r="F154" s="39">
        <f t="shared" si="14"/>
        <v>-21945</v>
      </c>
      <c r="G154" s="39">
        <f t="shared" si="15"/>
        <v>45105</v>
      </c>
      <c r="H154" s="180">
        <f t="shared" si="16"/>
        <v>-0.48653142667110078</v>
      </c>
      <c r="I154" s="171"/>
      <c r="J154" s="39"/>
      <c r="K154" s="39"/>
    </row>
    <row r="155" spans="2:11" x14ac:dyDescent="0.25">
      <c r="B155" s="164">
        <v>42488</v>
      </c>
      <c r="C155" s="218">
        <v>1500</v>
      </c>
      <c r="D155" s="219">
        <v>30.030999999999999</v>
      </c>
      <c r="E155" s="39">
        <v>15.55</v>
      </c>
      <c r="F155" s="39">
        <f t="shared" si="14"/>
        <v>-21721.499999999996</v>
      </c>
      <c r="G155" s="39">
        <f t="shared" si="15"/>
        <v>45046.5</v>
      </c>
      <c r="H155" s="180">
        <f t="shared" si="16"/>
        <v>-0.4822017248842862</v>
      </c>
      <c r="I155" s="171"/>
      <c r="J155" s="39"/>
      <c r="K155" s="39"/>
    </row>
    <row r="156" spans="2:11" x14ac:dyDescent="0.25">
      <c r="B156" s="164">
        <v>42494</v>
      </c>
      <c r="C156" s="218">
        <v>1500</v>
      </c>
      <c r="D156" s="219">
        <v>30.030999999999999</v>
      </c>
      <c r="E156" s="39">
        <v>15.02</v>
      </c>
      <c r="F156" s="39">
        <f t="shared" si="14"/>
        <v>-22516.5</v>
      </c>
      <c r="G156" s="39">
        <f t="shared" si="15"/>
        <v>45046.5</v>
      </c>
      <c r="H156" s="180">
        <f t="shared" si="16"/>
        <v>-0.49985015483999867</v>
      </c>
      <c r="I156" s="171"/>
      <c r="J156" s="39"/>
      <c r="K156" s="39"/>
    </row>
    <row r="157" spans="2:11" x14ac:dyDescent="0.25">
      <c r="B157" s="164">
        <v>42517</v>
      </c>
      <c r="C157" s="218">
        <v>1500</v>
      </c>
      <c r="D157" s="219">
        <v>30.024000000000001</v>
      </c>
      <c r="E157" s="39">
        <v>14.74</v>
      </c>
      <c r="F157" s="39">
        <f t="shared" si="14"/>
        <v>-22926</v>
      </c>
      <c r="G157" s="39">
        <f t="shared" si="15"/>
        <v>45036</v>
      </c>
      <c r="H157" s="180">
        <f t="shared" si="16"/>
        <v>-0.50905941913136155</v>
      </c>
      <c r="I157" s="171"/>
      <c r="J157" s="39"/>
      <c r="K157" s="39"/>
    </row>
    <row r="158" spans="2:11" x14ac:dyDescent="0.25">
      <c r="B158" s="164">
        <v>42522</v>
      </c>
      <c r="C158" s="218">
        <v>1500</v>
      </c>
      <c r="D158" s="219">
        <v>30.024000000000001</v>
      </c>
      <c r="E158" s="39">
        <v>15.08</v>
      </c>
      <c r="F158" s="39">
        <f t="shared" si="14"/>
        <v>-22416</v>
      </c>
      <c r="G158" s="39">
        <f t="shared" si="15"/>
        <v>45036</v>
      </c>
      <c r="H158" s="180">
        <f t="shared" si="16"/>
        <v>-0.49773514521715961</v>
      </c>
      <c r="I158" s="171"/>
      <c r="J158" s="39"/>
      <c r="K158" s="39"/>
    </row>
    <row r="159" spans="2:11" x14ac:dyDescent="0.25">
      <c r="B159" s="164">
        <v>42530</v>
      </c>
      <c r="C159" s="218">
        <v>1520</v>
      </c>
      <c r="D159" s="219">
        <v>29.5</v>
      </c>
      <c r="E159" s="39">
        <v>15.6</v>
      </c>
      <c r="F159" s="39">
        <f t="shared" si="14"/>
        <v>-21128</v>
      </c>
      <c r="G159" s="39">
        <f t="shared" si="15"/>
        <v>44840</v>
      </c>
      <c r="H159" s="180">
        <f t="shared" si="16"/>
        <v>-0.47118644067796611</v>
      </c>
      <c r="I159" s="171"/>
      <c r="J159" s="39"/>
      <c r="K159" s="39"/>
    </row>
    <row r="160" spans="2:11" x14ac:dyDescent="0.25">
      <c r="B160" s="164">
        <v>42534</v>
      </c>
      <c r="C160" s="218">
        <v>1520</v>
      </c>
      <c r="D160" s="219">
        <v>29.5</v>
      </c>
      <c r="E160" s="39">
        <v>14.25</v>
      </c>
      <c r="F160" s="39">
        <f t="shared" si="14"/>
        <v>-23180</v>
      </c>
      <c r="G160" s="39">
        <f t="shared" si="15"/>
        <v>44840</v>
      </c>
      <c r="H160" s="180">
        <f t="shared" si="16"/>
        <v>-0.51694915254237284</v>
      </c>
      <c r="I160" s="171"/>
      <c r="J160" s="39"/>
      <c r="K160" s="39"/>
    </row>
    <row r="161" spans="2:11" x14ac:dyDescent="0.25">
      <c r="B161" s="164">
        <v>42535</v>
      </c>
      <c r="C161" s="218">
        <v>2000</v>
      </c>
      <c r="D161" s="219">
        <v>25.768000000000001</v>
      </c>
      <c r="E161" s="39">
        <v>13.88</v>
      </c>
      <c r="F161" s="39">
        <f t="shared" si="14"/>
        <v>-23776</v>
      </c>
      <c r="G161" s="39">
        <f t="shared" si="15"/>
        <v>51536</v>
      </c>
      <c r="H161" s="180">
        <f t="shared" si="16"/>
        <v>-0.46134740763737969</v>
      </c>
      <c r="I161" s="171"/>
      <c r="J161" s="39"/>
      <c r="K161" s="39"/>
    </row>
    <row r="162" spans="2:11" x14ac:dyDescent="0.25">
      <c r="B162" s="164">
        <v>42538</v>
      </c>
      <c r="C162" s="218">
        <v>1520</v>
      </c>
      <c r="D162" s="219">
        <v>29.428000000000001</v>
      </c>
      <c r="E162" s="39">
        <v>14.24</v>
      </c>
      <c r="F162" s="39">
        <f t="shared" si="14"/>
        <v>-23085.760000000002</v>
      </c>
      <c r="G162" s="39">
        <f t="shared" si="15"/>
        <v>44730.559999999998</v>
      </c>
      <c r="H162" s="180">
        <f t="shared" si="16"/>
        <v>-0.5161071088759005</v>
      </c>
      <c r="I162" s="171"/>
      <c r="J162" s="39"/>
      <c r="K162" s="39"/>
    </row>
    <row r="163" spans="2:11" x14ac:dyDescent="0.25">
      <c r="B163" s="164">
        <v>42543</v>
      </c>
      <c r="C163" s="218">
        <v>2000</v>
      </c>
      <c r="D163" s="219">
        <v>25.696000000000002</v>
      </c>
      <c r="E163" s="39">
        <v>13.79</v>
      </c>
      <c r="F163" s="39">
        <f t="shared" si="14"/>
        <v>-23812.000000000004</v>
      </c>
      <c r="G163" s="39">
        <f t="shared" si="15"/>
        <v>51392</v>
      </c>
      <c r="H163" s="180">
        <f t="shared" si="16"/>
        <v>-0.46334059775840603</v>
      </c>
      <c r="I163" s="171"/>
      <c r="J163" s="39"/>
      <c r="K163" s="39"/>
    </row>
    <row r="164" spans="2:11" x14ac:dyDescent="0.25">
      <c r="B164" s="164">
        <v>42544</v>
      </c>
      <c r="C164" s="218">
        <v>1520</v>
      </c>
      <c r="D164" s="219">
        <v>29.338999999999999</v>
      </c>
      <c r="E164" s="39">
        <v>14.18</v>
      </c>
      <c r="F164" s="39">
        <f t="shared" si="14"/>
        <v>-23041.679999999997</v>
      </c>
      <c r="G164" s="39">
        <f t="shared" si="15"/>
        <v>44595.28</v>
      </c>
      <c r="H164" s="180">
        <f t="shared" si="16"/>
        <v>-0.51668427690105323</v>
      </c>
      <c r="I164" s="171"/>
      <c r="J164" s="39"/>
      <c r="K164" s="39"/>
    </row>
    <row r="165" spans="2:11" x14ac:dyDescent="0.25">
      <c r="B165" s="164">
        <v>42545</v>
      </c>
      <c r="C165" s="341">
        <v>2000</v>
      </c>
      <c r="D165" s="174">
        <v>25.574000000000002</v>
      </c>
      <c r="E165" s="39">
        <v>13.65</v>
      </c>
      <c r="F165" s="39">
        <f t="shared" si="14"/>
        <v>-23848.000000000004</v>
      </c>
      <c r="G165" s="39">
        <f t="shared" si="15"/>
        <v>51148</v>
      </c>
      <c r="H165" s="180">
        <f t="shared" si="16"/>
        <v>-0.4662547900211152</v>
      </c>
      <c r="I165" s="171"/>
      <c r="J165" s="39"/>
      <c r="K165" s="39"/>
    </row>
    <row r="166" spans="2:11" x14ac:dyDescent="0.25">
      <c r="B166" s="164">
        <v>42548</v>
      </c>
      <c r="C166" s="218">
        <v>2000</v>
      </c>
      <c r="D166" s="219">
        <v>25.574000000000002</v>
      </c>
      <c r="E166" s="39">
        <v>13.41</v>
      </c>
      <c r="F166" s="39">
        <f t="shared" si="14"/>
        <v>-24328.000000000004</v>
      </c>
      <c r="G166" s="39">
        <f t="shared" si="15"/>
        <v>51148</v>
      </c>
      <c r="H166" s="180">
        <f t="shared" si="16"/>
        <v>-0.47563932118557911</v>
      </c>
      <c r="I166" s="171"/>
      <c r="J166" s="39"/>
      <c r="K166" s="39"/>
    </row>
    <row r="167" spans="2:11" x14ac:dyDescent="0.25">
      <c r="B167" s="164">
        <v>42549</v>
      </c>
      <c r="C167" s="218">
        <v>2000</v>
      </c>
      <c r="D167" s="219">
        <v>25.574000000000002</v>
      </c>
      <c r="E167" s="39">
        <v>14.22</v>
      </c>
      <c r="F167" s="39">
        <f t="shared" ref="F167:F204" si="17">C167*(E167-D167)</f>
        <v>-22708.000000000004</v>
      </c>
      <c r="G167" s="39">
        <f t="shared" ref="G167:G204" si="18">IF(C167=0, 0,D167*C167)</f>
        <v>51148</v>
      </c>
      <c r="H167" s="180">
        <f t="shared" ref="H167:H204" si="19">IF(C167=0, D167, (E167-D167)/D167)</f>
        <v>-0.44396652850551344</v>
      </c>
      <c r="I167" s="171"/>
      <c r="J167" s="39"/>
      <c r="K167" s="39"/>
    </row>
    <row r="168" spans="2:11" x14ac:dyDescent="0.25">
      <c r="B168" s="164">
        <v>42550</v>
      </c>
      <c r="C168" s="218">
        <v>1520</v>
      </c>
      <c r="D168" s="219">
        <v>28.986999999999998</v>
      </c>
      <c r="E168" s="39">
        <v>14.58</v>
      </c>
      <c r="F168" s="39">
        <f t="shared" si="17"/>
        <v>-21898.639999999996</v>
      </c>
      <c r="G168" s="39">
        <f t="shared" si="18"/>
        <v>44060.24</v>
      </c>
      <c r="H168" s="180">
        <f t="shared" si="19"/>
        <v>-0.49701590368096038</v>
      </c>
      <c r="I168" s="171"/>
      <c r="J168" s="39"/>
      <c r="K168" s="39"/>
    </row>
    <row r="169" spans="2:11" x14ac:dyDescent="0.25">
      <c r="B169" s="164">
        <v>42556</v>
      </c>
      <c r="C169" s="218">
        <v>2000</v>
      </c>
      <c r="D169" s="219">
        <v>25.433</v>
      </c>
      <c r="E169" s="39">
        <v>14.31</v>
      </c>
      <c r="F169" s="39">
        <f t="shared" si="17"/>
        <v>-22246</v>
      </c>
      <c r="G169" s="39">
        <f t="shared" si="18"/>
        <v>50866</v>
      </c>
      <c r="H169" s="180">
        <f t="shared" si="19"/>
        <v>-0.43734518145716195</v>
      </c>
      <c r="I169" s="171">
        <v>25</v>
      </c>
      <c r="J169" s="39"/>
      <c r="K169" s="39"/>
    </row>
    <row r="170" spans="2:11" x14ac:dyDescent="0.25">
      <c r="B170" s="164">
        <v>42563</v>
      </c>
      <c r="C170" s="218">
        <v>2000</v>
      </c>
      <c r="D170" s="219">
        <v>25.433</v>
      </c>
      <c r="E170" s="39">
        <v>14.98</v>
      </c>
      <c r="F170" s="39">
        <f t="shared" si="17"/>
        <v>-20906</v>
      </c>
      <c r="G170" s="39">
        <f t="shared" si="18"/>
        <v>50866</v>
      </c>
      <c r="H170" s="180">
        <f t="shared" si="19"/>
        <v>-0.41100145480281525</v>
      </c>
      <c r="I170" s="171"/>
      <c r="J170" s="39"/>
      <c r="K170" s="39"/>
    </row>
    <row r="171" spans="2:11" x14ac:dyDescent="0.25">
      <c r="B171" s="164">
        <v>42578</v>
      </c>
      <c r="C171" s="218">
        <v>2200</v>
      </c>
      <c r="D171" s="219">
        <v>24.399000000000001</v>
      </c>
      <c r="E171" s="39">
        <v>14.06</v>
      </c>
      <c r="F171" s="39">
        <f t="shared" si="17"/>
        <v>-22745.8</v>
      </c>
      <c r="G171" s="39">
        <f t="shared" si="18"/>
        <v>53677.8</v>
      </c>
      <c r="H171" s="180">
        <f t="shared" si="19"/>
        <v>-0.42374687487192098</v>
      </c>
      <c r="I171" s="171"/>
      <c r="J171" s="39"/>
      <c r="K171" s="39"/>
    </row>
    <row r="172" spans="2:11" x14ac:dyDescent="0.25">
      <c r="B172" s="164">
        <v>42580</v>
      </c>
      <c r="C172" s="218">
        <v>2700</v>
      </c>
      <c r="D172" s="219">
        <v>22.39</v>
      </c>
      <c r="E172" s="39">
        <v>13.74</v>
      </c>
      <c r="F172" s="39">
        <f t="shared" si="17"/>
        <v>-23355</v>
      </c>
      <c r="G172" s="39">
        <f t="shared" si="18"/>
        <v>60453</v>
      </c>
      <c r="H172" s="180">
        <f t="shared" si="19"/>
        <v>-0.38633318445734705</v>
      </c>
      <c r="I172" s="171"/>
      <c r="J172" s="39"/>
      <c r="K172" s="39"/>
    </row>
    <row r="173" spans="2:11" x14ac:dyDescent="0.25">
      <c r="B173" s="164">
        <v>42580</v>
      </c>
      <c r="C173" s="218">
        <v>3000</v>
      </c>
      <c r="D173" s="219">
        <v>21.478999999999999</v>
      </c>
      <c r="E173" s="39">
        <v>13.74</v>
      </c>
      <c r="F173" s="39">
        <f t="shared" si="17"/>
        <v>-23216.999999999996</v>
      </c>
      <c r="G173" s="39">
        <f t="shared" si="18"/>
        <v>64437</v>
      </c>
      <c r="H173" s="180">
        <f t="shared" si="19"/>
        <v>-0.3603054145909958</v>
      </c>
      <c r="I173" s="171"/>
      <c r="J173" s="39"/>
      <c r="K173" s="39"/>
    </row>
    <row r="174" spans="2:11" x14ac:dyDescent="0.25">
      <c r="B174" s="164">
        <v>42580</v>
      </c>
      <c r="C174" s="218">
        <v>2000</v>
      </c>
      <c r="D174" s="219">
        <v>25.353000000000002</v>
      </c>
      <c r="E174" s="39">
        <v>13.74</v>
      </c>
      <c r="F174" s="39">
        <f t="shared" si="17"/>
        <v>-23226.000000000004</v>
      </c>
      <c r="G174" s="39">
        <f t="shared" si="18"/>
        <v>50706</v>
      </c>
      <c r="H174" s="180">
        <f t="shared" si="19"/>
        <v>-0.45805230150278076</v>
      </c>
      <c r="I174" s="171">
        <v>25</v>
      </c>
      <c r="J174" s="39"/>
      <c r="K174" s="39"/>
    </row>
    <row r="175" spans="2:11" x14ac:dyDescent="0.25">
      <c r="B175" s="164">
        <v>42585</v>
      </c>
      <c r="C175" s="341">
        <v>2000</v>
      </c>
      <c r="D175" s="174">
        <v>25.353000000000002</v>
      </c>
      <c r="E175" s="39">
        <v>13.45</v>
      </c>
      <c r="F175" s="39">
        <f t="shared" si="17"/>
        <v>-23806.000000000004</v>
      </c>
      <c r="G175" s="39">
        <f t="shared" si="18"/>
        <v>50706</v>
      </c>
      <c r="H175" s="180">
        <f t="shared" si="19"/>
        <v>-0.46949079004457073</v>
      </c>
      <c r="I175" s="171"/>
      <c r="J175" s="39"/>
      <c r="K175" s="39"/>
    </row>
    <row r="176" spans="2:11" x14ac:dyDescent="0.25">
      <c r="B176" s="164">
        <v>42586</v>
      </c>
      <c r="C176" s="218">
        <v>2500</v>
      </c>
      <c r="D176" s="219">
        <v>22.902000000000001</v>
      </c>
      <c r="E176" s="39">
        <v>12.97</v>
      </c>
      <c r="F176" s="39">
        <f t="shared" si="17"/>
        <v>-24830</v>
      </c>
      <c r="G176" s="39">
        <f t="shared" si="18"/>
        <v>57255</v>
      </c>
      <c r="H176" s="180">
        <f t="shared" si="19"/>
        <v>-0.43367391494192647</v>
      </c>
      <c r="I176" s="171"/>
      <c r="J176" s="39"/>
      <c r="K176" s="39"/>
    </row>
    <row r="177" spans="2:11" x14ac:dyDescent="0.25">
      <c r="B177" s="164">
        <v>42590</v>
      </c>
      <c r="C177" s="355">
        <v>3000</v>
      </c>
      <c r="D177" s="403">
        <v>21.26</v>
      </c>
      <c r="E177" s="39">
        <v>13.01</v>
      </c>
      <c r="F177" s="39">
        <f t="shared" si="17"/>
        <v>-24750.000000000004</v>
      </c>
      <c r="G177" s="39">
        <f t="shared" si="18"/>
        <v>63780.000000000007</v>
      </c>
      <c r="H177" s="180">
        <f t="shared" si="19"/>
        <v>-0.38805268109125124</v>
      </c>
      <c r="I177" s="171"/>
      <c r="J177" s="39"/>
      <c r="K177" s="39"/>
    </row>
    <row r="178" spans="2:11" x14ac:dyDescent="0.25">
      <c r="B178" s="164">
        <v>42591</v>
      </c>
      <c r="C178" s="218">
        <v>3500</v>
      </c>
      <c r="D178" s="219">
        <v>20.033999999999999</v>
      </c>
      <c r="E178" s="39">
        <v>12.67</v>
      </c>
      <c r="F178" s="39">
        <f t="shared" si="17"/>
        <v>-25773.999999999996</v>
      </c>
      <c r="G178" s="39">
        <f t="shared" si="18"/>
        <v>70119</v>
      </c>
      <c r="H178" s="180">
        <f t="shared" si="19"/>
        <v>-0.36757512229210337</v>
      </c>
      <c r="I178" s="171">
        <v>19.75</v>
      </c>
      <c r="J178" s="39"/>
      <c r="K178" s="39"/>
    </row>
    <row r="179" spans="2:11" x14ac:dyDescent="0.25">
      <c r="B179" s="164">
        <v>42593</v>
      </c>
      <c r="C179" s="10">
        <v>3500</v>
      </c>
      <c r="D179" s="171">
        <v>20.033770000000001</v>
      </c>
      <c r="E179" s="39">
        <v>12.51</v>
      </c>
      <c r="F179" s="39">
        <f t="shared" si="17"/>
        <v>-26333.195000000003</v>
      </c>
      <c r="G179" s="39">
        <f t="shared" si="18"/>
        <v>70118.195000000007</v>
      </c>
      <c r="H179" s="180">
        <f t="shared" si="19"/>
        <v>-0.37555437643538886</v>
      </c>
      <c r="I179" s="171"/>
      <c r="J179" s="39"/>
      <c r="K179" s="39"/>
    </row>
    <row r="180" spans="2:11" x14ac:dyDescent="0.25">
      <c r="B180" s="164">
        <v>42599</v>
      </c>
      <c r="C180" s="10">
        <v>3500</v>
      </c>
      <c r="D180" s="171">
        <v>20.033770000000001</v>
      </c>
      <c r="E180" s="39">
        <v>12.61</v>
      </c>
      <c r="F180" s="39">
        <f t="shared" si="17"/>
        <v>-25983.195000000003</v>
      </c>
      <c r="G180" s="39">
        <f t="shared" si="18"/>
        <v>70118.195000000007</v>
      </c>
      <c r="H180" s="180">
        <f t="shared" si="19"/>
        <v>-0.3705628047042569</v>
      </c>
      <c r="I180" s="171"/>
      <c r="J180" s="39"/>
      <c r="K180" s="39"/>
    </row>
    <row r="181" spans="2:11" x14ac:dyDescent="0.25">
      <c r="B181" s="164">
        <v>42600</v>
      </c>
      <c r="C181" s="10">
        <v>3500</v>
      </c>
      <c r="D181" s="171">
        <v>20.033770000000001</v>
      </c>
      <c r="E181" s="39">
        <v>12.57</v>
      </c>
      <c r="F181" s="39">
        <f t="shared" si="17"/>
        <v>-26123.195</v>
      </c>
      <c r="G181" s="39">
        <f t="shared" si="18"/>
        <v>70118.195000000007</v>
      </c>
      <c r="H181" s="180">
        <f t="shared" si="19"/>
        <v>-0.37255943339670966</v>
      </c>
      <c r="I181" s="171"/>
      <c r="J181" s="39"/>
      <c r="K181" s="39"/>
    </row>
    <row r="182" spans="2:11" x14ac:dyDescent="0.25">
      <c r="B182" s="164">
        <v>42601</v>
      </c>
      <c r="C182" s="10">
        <v>4000</v>
      </c>
      <c r="D182" s="171">
        <v>19.064550000000001</v>
      </c>
      <c r="E182" s="39">
        <v>12.26</v>
      </c>
      <c r="F182" s="39">
        <f t="shared" si="17"/>
        <v>-27218.200000000004</v>
      </c>
      <c r="G182" s="39">
        <f t="shared" si="18"/>
        <v>76258.2</v>
      </c>
      <c r="H182" s="180">
        <f t="shared" si="19"/>
        <v>-0.35692161629831287</v>
      </c>
      <c r="I182" s="171"/>
      <c r="J182" s="39"/>
      <c r="K182" s="39"/>
    </row>
    <row r="183" spans="2:11" x14ac:dyDescent="0.25">
      <c r="B183" s="164">
        <v>42604</v>
      </c>
      <c r="C183" s="218">
        <v>4500</v>
      </c>
      <c r="D183" s="219">
        <v>18.288489999999999</v>
      </c>
      <c r="E183" s="39">
        <v>12.24</v>
      </c>
      <c r="F183" s="39">
        <f t="shared" si="17"/>
        <v>-27218.204999999998</v>
      </c>
      <c r="G183" s="39">
        <f t="shared" si="18"/>
        <v>82298.205000000002</v>
      </c>
      <c r="H183" s="180">
        <f t="shared" si="19"/>
        <v>-0.33072659361161033</v>
      </c>
      <c r="I183" s="171">
        <v>18</v>
      </c>
      <c r="J183" s="39"/>
      <c r="K183" s="39"/>
    </row>
    <row r="184" spans="2:11" x14ac:dyDescent="0.25">
      <c r="B184" s="164">
        <v>42605</v>
      </c>
      <c r="C184" s="218">
        <v>4000</v>
      </c>
      <c r="D184" s="219">
        <v>18.984590000000001</v>
      </c>
      <c r="E184" s="39">
        <v>12.57</v>
      </c>
      <c r="F184" s="39">
        <f t="shared" si="17"/>
        <v>-25658.36</v>
      </c>
      <c r="G184" s="39">
        <f t="shared" si="18"/>
        <v>75938.36</v>
      </c>
      <c r="H184" s="180">
        <f t="shared" si="19"/>
        <v>-0.33788404174122277</v>
      </c>
      <c r="I184" s="171"/>
      <c r="J184" s="39"/>
      <c r="K184" s="39"/>
    </row>
    <row r="185" spans="2:11" x14ac:dyDescent="0.25">
      <c r="B185" s="164">
        <v>42605</v>
      </c>
      <c r="C185" s="218">
        <v>4500</v>
      </c>
      <c r="D185" s="219">
        <v>18.269629999999999</v>
      </c>
      <c r="E185" s="39">
        <v>12.57</v>
      </c>
      <c r="F185" s="39">
        <f t="shared" si="17"/>
        <v>-25648.334999999995</v>
      </c>
      <c r="G185" s="39">
        <f t="shared" si="18"/>
        <v>82213.334999999992</v>
      </c>
      <c r="H185" s="180">
        <f t="shared" si="19"/>
        <v>-0.31197292993892045</v>
      </c>
      <c r="I185" s="171">
        <v>18</v>
      </c>
      <c r="J185" s="39"/>
      <c r="K185" s="39"/>
    </row>
    <row r="186" spans="2:11" x14ac:dyDescent="0.25">
      <c r="B186" s="164">
        <v>42606</v>
      </c>
      <c r="C186" s="218">
        <v>4500</v>
      </c>
      <c r="D186" s="219">
        <v>18.269629999999999</v>
      </c>
      <c r="E186" s="39">
        <v>12.46</v>
      </c>
      <c r="F186" s="39">
        <f t="shared" si="17"/>
        <v>-26143.334999999992</v>
      </c>
      <c r="G186" s="39">
        <f t="shared" si="18"/>
        <v>82213.334999999992</v>
      </c>
      <c r="H186" s="180">
        <f t="shared" si="19"/>
        <v>-0.31799385099752969</v>
      </c>
      <c r="I186" s="171"/>
      <c r="J186" s="39"/>
      <c r="K186" s="39"/>
    </row>
    <row r="187" spans="2:11" x14ac:dyDescent="0.25">
      <c r="B187" s="164">
        <v>42611</v>
      </c>
      <c r="C187" s="218">
        <v>4500</v>
      </c>
      <c r="D187" s="219">
        <v>18.269629999999999</v>
      </c>
      <c r="E187" s="39">
        <v>12.59</v>
      </c>
      <c r="F187" s="39">
        <f t="shared" si="17"/>
        <v>-25558.334999999999</v>
      </c>
      <c r="G187" s="39">
        <f t="shared" si="18"/>
        <v>82213.334999999992</v>
      </c>
      <c r="H187" s="180">
        <f t="shared" si="19"/>
        <v>-0.31087821701917334</v>
      </c>
      <c r="I187" s="171"/>
      <c r="J187" s="39"/>
      <c r="K187" s="39"/>
    </row>
    <row r="188" spans="2:11" x14ac:dyDescent="0.25">
      <c r="B188" s="164">
        <v>42612</v>
      </c>
      <c r="C188" s="218">
        <v>4700</v>
      </c>
      <c r="D188" s="219">
        <v>17.991379999999999</v>
      </c>
      <c r="E188" s="39">
        <v>12.41</v>
      </c>
      <c r="F188" s="39">
        <f t="shared" si="17"/>
        <v>-26232.485999999997</v>
      </c>
      <c r="G188" s="39">
        <f t="shared" si="18"/>
        <v>84559.486000000004</v>
      </c>
      <c r="H188" s="180">
        <f t="shared" si="19"/>
        <v>-0.3102252300824061</v>
      </c>
      <c r="I188" s="171"/>
      <c r="J188" s="39"/>
      <c r="K188" s="39"/>
    </row>
    <row r="189" spans="2:11" x14ac:dyDescent="0.25">
      <c r="B189" s="164">
        <v>42614</v>
      </c>
      <c r="C189" s="218">
        <v>4700</v>
      </c>
      <c r="D189" s="219">
        <v>17.991379999999999</v>
      </c>
      <c r="E189" s="39">
        <v>12.13</v>
      </c>
      <c r="F189" s="39">
        <f t="shared" si="17"/>
        <v>-27548.485999999994</v>
      </c>
      <c r="G189" s="39">
        <f t="shared" si="18"/>
        <v>84559.486000000004</v>
      </c>
      <c r="H189" s="180">
        <f t="shared" si="19"/>
        <v>-0.32578823858981348</v>
      </c>
      <c r="I189" s="171"/>
      <c r="J189" s="39"/>
      <c r="K189" s="39"/>
    </row>
    <row r="190" spans="2:11" x14ac:dyDescent="0.25">
      <c r="B190" s="164">
        <v>42615</v>
      </c>
      <c r="C190" s="218">
        <v>4500</v>
      </c>
      <c r="D190" s="219">
        <v>18.232780000000002</v>
      </c>
      <c r="E190" s="39">
        <v>12.48</v>
      </c>
      <c r="F190" s="39">
        <f t="shared" si="17"/>
        <v>-25887.510000000006</v>
      </c>
      <c r="G190" s="39">
        <f t="shared" si="18"/>
        <v>82047.510000000009</v>
      </c>
      <c r="H190" s="180">
        <f t="shared" si="19"/>
        <v>-0.31551853310356404</v>
      </c>
      <c r="I190" s="171">
        <v>18</v>
      </c>
      <c r="J190" s="39"/>
      <c r="K190" s="39"/>
    </row>
    <row r="191" spans="2:11" x14ac:dyDescent="0.25">
      <c r="B191" s="164">
        <v>42619</v>
      </c>
      <c r="C191" s="218">
        <v>4500</v>
      </c>
      <c r="D191" s="219">
        <v>18.232780000000002</v>
      </c>
      <c r="E191" s="39">
        <v>12.72</v>
      </c>
      <c r="F191" s="39">
        <f t="shared" si="17"/>
        <v>-24807.510000000006</v>
      </c>
      <c r="G191" s="39">
        <f t="shared" si="18"/>
        <v>82047.510000000009</v>
      </c>
      <c r="H191" s="180">
        <f t="shared" si="19"/>
        <v>-0.30235542797094028</v>
      </c>
      <c r="I191" s="171"/>
      <c r="J191" s="39"/>
      <c r="K191" s="39"/>
    </row>
    <row r="192" spans="2:11" x14ac:dyDescent="0.25">
      <c r="B192" s="164">
        <v>42620</v>
      </c>
      <c r="C192" s="218">
        <v>4000</v>
      </c>
      <c r="D192" s="219">
        <v>18.896979999999999</v>
      </c>
      <c r="E192" s="39">
        <v>13.42</v>
      </c>
      <c r="F192" s="39">
        <f t="shared" si="17"/>
        <v>-21907.919999999998</v>
      </c>
      <c r="G192" s="39">
        <f t="shared" si="18"/>
        <v>75587.92</v>
      </c>
      <c r="H192" s="180">
        <f t="shared" si="19"/>
        <v>-0.28983361362503424</v>
      </c>
      <c r="I192" s="171"/>
      <c r="J192" s="39"/>
      <c r="K192" s="39"/>
    </row>
    <row r="193" spans="2:11" x14ac:dyDescent="0.25">
      <c r="B193" s="164">
        <v>42620</v>
      </c>
      <c r="C193" s="218">
        <v>3500</v>
      </c>
      <c r="D193" s="219">
        <v>19.717970000000001</v>
      </c>
      <c r="E193" s="39">
        <v>13.42</v>
      </c>
      <c r="F193" s="39">
        <f t="shared" si="17"/>
        <v>-22042.895000000004</v>
      </c>
      <c r="G193" s="39">
        <f t="shared" si="18"/>
        <v>69012.895000000004</v>
      </c>
      <c r="H193" s="180">
        <f t="shared" si="19"/>
        <v>-0.31940255513118243</v>
      </c>
      <c r="I193" s="171" t="s">
        <v>271</v>
      </c>
      <c r="J193" s="39"/>
      <c r="K193" s="39"/>
    </row>
    <row r="194" spans="2:11" x14ac:dyDescent="0.25">
      <c r="B194" s="164">
        <v>42620</v>
      </c>
      <c r="C194" s="218">
        <v>3200</v>
      </c>
      <c r="D194" s="219">
        <v>20.317779999999999</v>
      </c>
      <c r="E194" s="39">
        <v>13.42</v>
      </c>
      <c r="F194" s="39">
        <f t="shared" si="17"/>
        <v>-22072.895999999997</v>
      </c>
      <c r="G194" s="39">
        <f t="shared" si="18"/>
        <v>65016.895999999993</v>
      </c>
      <c r="H194" s="180">
        <f t="shared" si="19"/>
        <v>-0.33949476763701542</v>
      </c>
      <c r="I194" s="171"/>
      <c r="J194" s="39"/>
      <c r="K194" s="39"/>
    </row>
    <row r="195" spans="2:11" x14ac:dyDescent="0.25">
      <c r="B195" s="164">
        <v>42621</v>
      </c>
      <c r="C195" s="355">
        <v>3000</v>
      </c>
      <c r="D195" s="403">
        <v>20.755649999999999</v>
      </c>
      <c r="E195" s="39">
        <v>13.86</v>
      </c>
      <c r="F195" s="39">
        <f t="shared" si="17"/>
        <v>-20686.95</v>
      </c>
      <c r="G195" s="39">
        <f t="shared" si="18"/>
        <v>62266.95</v>
      </c>
      <c r="H195" s="180">
        <f t="shared" si="19"/>
        <v>-0.33223001929595075</v>
      </c>
      <c r="I195" s="171"/>
      <c r="J195" s="39"/>
      <c r="K195" s="39"/>
    </row>
    <row r="196" spans="2:11" x14ac:dyDescent="0.25">
      <c r="B196" s="164">
        <v>42622</v>
      </c>
      <c r="C196" s="218">
        <v>3200</v>
      </c>
      <c r="D196" s="219">
        <v>20.29468</v>
      </c>
      <c r="E196" s="39">
        <v>13.4</v>
      </c>
      <c r="F196" s="39">
        <f t="shared" si="17"/>
        <v>-22062.975999999999</v>
      </c>
      <c r="G196" s="39">
        <f t="shared" si="18"/>
        <v>64942.975999999995</v>
      </c>
      <c r="H196" s="180">
        <f t="shared" si="19"/>
        <v>-0.33972844114812351</v>
      </c>
      <c r="I196" s="171"/>
      <c r="J196" s="39"/>
      <c r="K196" s="39"/>
    </row>
    <row r="197" spans="2:11" x14ac:dyDescent="0.25">
      <c r="B197" s="164">
        <v>42625</v>
      </c>
      <c r="C197" s="218">
        <v>3200</v>
      </c>
      <c r="D197" s="219">
        <v>20.29468</v>
      </c>
      <c r="E197" s="39">
        <v>13.62</v>
      </c>
      <c r="F197" s="39">
        <f t="shared" si="17"/>
        <v>-21358.976000000002</v>
      </c>
      <c r="G197" s="39">
        <f t="shared" si="18"/>
        <v>64942.975999999995</v>
      </c>
      <c r="H197" s="180">
        <f t="shared" si="19"/>
        <v>-0.3288881618236898</v>
      </c>
      <c r="I197" s="171"/>
      <c r="J197" s="39"/>
      <c r="K197" s="39"/>
    </row>
    <row r="198" spans="2:11" x14ac:dyDescent="0.25">
      <c r="B198" s="164">
        <v>42627</v>
      </c>
      <c r="C198" s="218">
        <v>3500</v>
      </c>
      <c r="D198" s="219">
        <v>19.656559999999999</v>
      </c>
      <c r="E198" s="39">
        <v>12.91</v>
      </c>
      <c r="F198" s="39">
        <f t="shared" si="17"/>
        <v>-23612.959999999995</v>
      </c>
      <c r="G198" s="39">
        <f t="shared" si="18"/>
        <v>68797.959999999992</v>
      </c>
      <c r="H198" s="180">
        <f t="shared" si="19"/>
        <v>-0.34322180483258513</v>
      </c>
      <c r="I198" s="171">
        <v>19.5</v>
      </c>
      <c r="J198" s="39"/>
      <c r="K198" s="39"/>
    </row>
    <row r="199" spans="2:11" x14ac:dyDescent="0.25">
      <c r="B199" s="164">
        <v>42628</v>
      </c>
      <c r="C199" s="218">
        <v>3500</v>
      </c>
      <c r="D199" s="219">
        <v>19.656559999999999</v>
      </c>
      <c r="E199" s="39">
        <v>13.12</v>
      </c>
      <c r="F199" s="39">
        <f t="shared" si="17"/>
        <v>-22877.96</v>
      </c>
      <c r="G199" s="39">
        <f t="shared" si="18"/>
        <v>68797.959999999992</v>
      </c>
      <c r="H199" s="180">
        <f t="shared" si="19"/>
        <v>-0.33253834852079917</v>
      </c>
      <c r="I199" s="171"/>
      <c r="J199" s="39"/>
      <c r="K199" s="39"/>
    </row>
    <row r="200" spans="2:11" x14ac:dyDescent="0.25">
      <c r="B200" s="164">
        <v>42629</v>
      </c>
      <c r="C200" s="218">
        <v>3200</v>
      </c>
      <c r="D200" s="219">
        <v>20.254390000000001</v>
      </c>
      <c r="E200" s="39">
        <v>13.29</v>
      </c>
      <c r="F200" s="39">
        <f t="shared" si="17"/>
        <v>-22286.048000000006</v>
      </c>
      <c r="G200" s="39">
        <f t="shared" si="18"/>
        <v>64814.048000000003</v>
      </c>
      <c r="H200" s="180">
        <f t="shared" si="19"/>
        <v>-0.34384595142090191</v>
      </c>
      <c r="I200" s="171"/>
      <c r="J200" s="39"/>
      <c r="K200" s="39"/>
    </row>
    <row r="201" spans="2:11" x14ac:dyDescent="0.25">
      <c r="B201" s="164">
        <v>42633</v>
      </c>
      <c r="C201" s="218">
        <v>3200</v>
      </c>
      <c r="D201" s="219">
        <v>20.254390000000001</v>
      </c>
      <c r="E201" s="39">
        <v>13.62</v>
      </c>
      <c r="F201" s="39">
        <f t="shared" si="17"/>
        <v>-21230.048000000006</v>
      </c>
      <c r="G201" s="39">
        <f t="shared" si="18"/>
        <v>64814.048000000003</v>
      </c>
      <c r="H201" s="180">
        <f t="shared" si="19"/>
        <v>-0.3275531872349649</v>
      </c>
      <c r="I201" s="171"/>
      <c r="J201" s="39"/>
      <c r="K201" s="39"/>
    </row>
    <row r="202" spans="2:11" x14ac:dyDescent="0.25">
      <c r="B202" s="164">
        <v>42634</v>
      </c>
      <c r="C202" s="218">
        <v>3000</v>
      </c>
      <c r="D202" s="219">
        <v>20.66581</v>
      </c>
      <c r="E202" s="39">
        <v>13.79</v>
      </c>
      <c r="F202" s="39">
        <f t="shared" si="17"/>
        <v>-20627.430000000004</v>
      </c>
      <c r="G202" s="39">
        <f t="shared" si="18"/>
        <v>61997.43</v>
      </c>
      <c r="H202" s="180">
        <f t="shared" si="19"/>
        <v>-0.33271427541431964</v>
      </c>
      <c r="I202" s="190"/>
      <c r="J202" s="39"/>
      <c r="K202" s="39"/>
    </row>
    <row r="203" spans="2:11" x14ac:dyDescent="0.25">
      <c r="B203" s="164">
        <v>42635</v>
      </c>
      <c r="C203" s="218">
        <v>3000</v>
      </c>
      <c r="D203" s="219">
        <v>20.66581</v>
      </c>
      <c r="E203" s="39">
        <v>13.91</v>
      </c>
      <c r="F203" s="39">
        <f t="shared" si="17"/>
        <v>-20267.43</v>
      </c>
      <c r="G203" s="39">
        <f t="shared" si="18"/>
        <v>61997.43</v>
      </c>
      <c r="H203" s="180">
        <f t="shared" si="19"/>
        <v>-0.32690758310465451</v>
      </c>
      <c r="I203" s="190"/>
      <c r="J203" s="39"/>
      <c r="K203" s="39"/>
    </row>
    <row r="204" spans="2:11" x14ac:dyDescent="0.25">
      <c r="B204" s="164">
        <v>42639</v>
      </c>
      <c r="C204" s="218">
        <v>3000</v>
      </c>
      <c r="D204" s="219">
        <v>20.66581</v>
      </c>
      <c r="E204" s="39">
        <v>13.67</v>
      </c>
      <c r="F204" s="39">
        <f t="shared" si="17"/>
        <v>-20987.43</v>
      </c>
      <c r="G204" s="39">
        <f t="shared" si="18"/>
        <v>61997.43</v>
      </c>
      <c r="H204" s="180">
        <f t="shared" si="19"/>
        <v>-0.33852096772398471</v>
      </c>
      <c r="I204" s="190"/>
      <c r="J204" s="39"/>
      <c r="K204" s="39"/>
    </row>
    <row r="205" spans="2:11" x14ac:dyDescent="0.25">
      <c r="B205" s="164">
        <v>42640</v>
      </c>
      <c r="C205" s="218">
        <v>3000</v>
      </c>
      <c r="D205" s="219">
        <v>20.66581</v>
      </c>
      <c r="E205" s="39">
        <v>13.47</v>
      </c>
      <c r="F205" s="39">
        <f t="shared" ref="F205:F213" si="20">C205*(E205-D205)</f>
        <v>-21587.43</v>
      </c>
      <c r="G205" s="39">
        <f t="shared" ref="G205:G213" si="21">IF(C205=0, 0,D205*C205)</f>
        <v>61997.43</v>
      </c>
      <c r="H205" s="180">
        <f t="shared" ref="H205:H213" si="22">IF(C205=0, D205, (E205-D205)/D205)</f>
        <v>-0.34819878824009315</v>
      </c>
      <c r="I205" s="190"/>
      <c r="J205" s="39"/>
      <c r="K205" s="39"/>
    </row>
    <row r="206" spans="2:11" x14ac:dyDescent="0.25">
      <c r="B206" s="164">
        <v>42641</v>
      </c>
      <c r="C206" s="218">
        <v>3200</v>
      </c>
      <c r="D206" s="219">
        <v>20.206700000000001</v>
      </c>
      <c r="E206" s="39">
        <v>13.31</v>
      </c>
      <c r="F206" s="39">
        <f t="shared" si="20"/>
        <v>-22069.440000000002</v>
      </c>
      <c r="G206" s="39">
        <f t="shared" si="21"/>
        <v>64661.440000000002</v>
      </c>
      <c r="H206" s="180">
        <f t="shared" si="22"/>
        <v>-0.34130758609768047</v>
      </c>
      <c r="I206" s="190"/>
      <c r="J206" s="39"/>
      <c r="K206" s="39"/>
    </row>
    <row r="207" spans="2:11" x14ac:dyDescent="0.25">
      <c r="B207" s="164">
        <v>42642</v>
      </c>
      <c r="C207" s="10">
        <v>3500</v>
      </c>
      <c r="D207" s="171">
        <v>19.589269999999999</v>
      </c>
      <c r="E207" s="39">
        <v>12.76</v>
      </c>
      <c r="F207" s="39">
        <f t="shared" si="20"/>
        <v>-23902.444999999996</v>
      </c>
      <c r="G207" s="39">
        <f t="shared" si="21"/>
        <v>68562.444999999992</v>
      </c>
      <c r="H207" s="180">
        <f t="shared" si="22"/>
        <v>-0.34862299616065323</v>
      </c>
      <c r="I207" s="190">
        <v>19.5</v>
      </c>
      <c r="J207" s="39"/>
      <c r="K207" s="39"/>
    </row>
    <row r="208" spans="2:11" x14ac:dyDescent="0.25">
      <c r="B208" s="164">
        <v>42643</v>
      </c>
      <c r="C208" s="10">
        <v>4000</v>
      </c>
      <c r="D208" s="171">
        <v>18.7132623</v>
      </c>
      <c r="E208" s="39">
        <v>12.64</v>
      </c>
      <c r="F208" s="39">
        <f t="shared" si="20"/>
        <v>-24293.049199999998</v>
      </c>
      <c r="G208" s="39">
        <f t="shared" si="21"/>
        <v>74853.049199999994</v>
      </c>
      <c r="H208" s="180">
        <f t="shared" si="22"/>
        <v>-0.32454321446667261</v>
      </c>
      <c r="I208" s="190"/>
      <c r="J208" s="39"/>
      <c r="K208" s="39"/>
    </row>
    <row r="209" spans="2:11" x14ac:dyDescent="0.25">
      <c r="B209" s="164">
        <v>42646</v>
      </c>
      <c r="C209" s="10">
        <v>4500</v>
      </c>
      <c r="D209" s="171">
        <v>18.03387</v>
      </c>
      <c r="E209" s="39">
        <v>12.5</v>
      </c>
      <c r="F209" s="39">
        <f t="shared" si="20"/>
        <v>-24902.415000000001</v>
      </c>
      <c r="G209" s="39">
        <f t="shared" si="21"/>
        <v>81152.415000000008</v>
      </c>
      <c r="H209" s="180">
        <f t="shared" si="22"/>
        <v>-0.30685981433824244</v>
      </c>
      <c r="I209" s="190">
        <v>18</v>
      </c>
      <c r="J209" s="39"/>
      <c r="K209" s="39"/>
    </row>
    <row r="210" spans="2:11" x14ac:dyDescent="0.25">
      <c r="B210" s="164">
        <v>42646</v>
      </c>
      <c r="C210" s="10">
        <v>5000</v>
      </c>
      <c r="D210" s="171">
        <v>17.470690000000001</v>
      </c>
      <c r="E210" s="39">
        <v>12.5</v>
      </c>
      <c r="F210" s="39">
        <f t="shared" si="20"/>
        <v>-24853.450000000004</v>
      </c>
      <c r="G210" s="39">
        <f t="shared" si="21"/>
        <v>87353.450000000012</v>
      </c>
      <c r="H210" s="180">
        <f t="shared" si="22"/>
        <v>-0.2845159521461374</v>
      </c>
      <c r="I210" s="190"/>
      <c r="J210" s="39"/>
      <c r="K210" s="39"/>
    </row>
    <row r="211" spans="2:11" x14ac:dyDescent="0.25">
      <c r="B211" s="164">
        <v>42646</v>
      </c>
      <c r="C211" s="10">
        <v>4500</v>
      </c>
      <c r="D211" s="171">
        <v>18.020790000000002</v>
      </c>
      <c r="E211" s="39">
        <v>12.5</v>
      </c>
      <c r="F211" s="39">
        <f t="shared" si="20"/>
        <v>-24843.555000000008</v>
      </c>
      <c r="G211" s="39">
        <f t="shared" si="21"/>
        <v>81093.555000000008</v>
      </c>
      <c r="H211" s="180">
        <f t="shared" si="22"/>
        <v>-0.30635671355140376</v>
      </c>
      <c r="I211" s="190">
        <v>18</v>
      </c>
      <c r="J211" s="39"/>
      <c r="K211" s="39"/>
    </row>
    <row r="212" spans="2:11" x14ac:dyDescent="0.25">
      <c r="B212" s="164">
        <v>42647</v>
      </c>
      <c r="C212" s="10">
        <v>5000</v>
      </c>
      <c r="D212" s="171">
        <v>17.436710000000001</v>
      </c>
      <c r="E212" s="39">
        <v>12.2</v>
      </c>
      <c r="F212" s="39">
        <f t="shared" si="20"/>
        <v>-26183.55000000001</v>
      </c>
      <c r="G212" s="39">
        <f t="shared" si="21"/>
        <v>87183.55</v>
      </c>
      <c r="H212" s="180">
        <f t="shared" si="22"/>
        <v>-0.30032672447956077</v>
      </c>
      <c r="I212" s="190"/>
      <c r="J212" s="39"/>
      <c r="K212" s="39"/>
    </row>
    <row r="213" spans="2:11" x14ac:dyDescent="0.25">
      <c r="B213" s="164">
        <v>42648</v>
      </c>
      <c r="C213" s="10">
        <v>4500</v>
      </c>
      <c r="D213" s="171">
        <v>17.994160000000001</v>
      </c>
      <c r="E213" s="39">
        <v>12.33</v>
      </c>
      <c r="F213" s="39">
        <f t="shared" si="20"/>
        <v>-25488.720000000005</v>
      </c>
      <c r="G213" s="39">
        <f t="shared" si="21"/>
        <v>80973.72</v>
      </c>
      <c r="H213" s="180">
        <f t="shared" si="22"/>
        <v>-0.31477768342617829</v>
      </c>
      <c r="I213" s="190" t="s">
        <v>290</v>
      </c>
      <c r="J213" s="39"/>
      <c r="K213" s="39"/>
    </row>
    <row r="214" spans="2:11" x14ac:dyDescent="0.25">
      <c r="B214" s="164">
        <v>42650</v>
      </c>
      <c r="C214" s="10">
        <v>4500</v>
      </c>
      <c r="D214" s="171">
        <v>17.994160000000001</v>
      </c>
      <c r="E214" s="39">
        <v>12.55</v>
      </c>
      <c r="F214" s="39">
        <f t="shared" ref="F214:F233" si="23">C214*(E214-D214)</f>
        <v>-24498.720000000001</v>
      </c>
      <c r="G214" s="39">
        <f t="shared" ref="G214:G233" si="24">IF(C214=0, 0,D214*C214)</f>
        <v>80973.72</v>
      </c>
      <c r="H214" s="180">
        <f t="shared" ref="H214:H233" si="25">IF(C214=0, D214, (E214-D214)/D214)</f>
        <v>-0.30255149448487728</v>
      </c>
      <c r="I214" s="190"/>
      <c r="J214" s="39"/>
      <c r="K214" s="39"/>
    </row>
    <row r="215" spans="2:11" x14ac:dyDescent="0.25">
      <c r="B215" s="164">
        <v>42653</v>
      </c>
      <c r="C215" s="10">
        <v>3500</v>
      </c>
      <c r="D215" s="171">
        <v>19.463999999999999</v>
      </c>
      <c r="E215" s="39">
        <v>13.15</v>
      </c>
      <c r="F215" s="39">
        <f t="shared" si="23"/>
        <v>-22098.999999999993</v>
      </c>
      <c r="G215" s="39">
        <f t="shared" si="24"/>
        <v>68124</v>
      </c>
      <c r="H215" s="180">
        <f t="shared" si="25"/>
        <v>-0.32439375256884501</v>
      </c>
      <c r="I215" s="190" t="s">
        <v>288</v>
      </c>
      <c r="J215" s="39"/>
      <c r="K215" s="39"/>
    </row>
    <row r="216" spans="2:11" x14ac:dyDescent="0.25">
      <c r="B216" s="164">
        <v>42653</v>
      </c>
      <c r="C216" s="10">
        <v>3000</v>
      </c>
      <c r="D216" s="171">
        <v>20.51971</v>
      </c>
      <c r="E216" s="39">
        <v>13.15</v>
      </c>
      <c r="F216" s="39">
        <f t="shared" si="23"/>
        <v>-22109.129999999997</v>
      </c>
      <c r="G216" s="39">
        <f t="shared" si="24"/>
        <v>61559.13</v>
      </c>
      <c r="H216" s="180">
        <f t="shared" si="25"/>
        <v>-0.35915273656401575</v>
      </c>
      <c r="I216" s="190"/>
      <c r="J216" s="39"/>
      <c r="K216" s="39"/>
    </row>
    <row r="217" spans="2:11" x14ac:dyDescent="0.25">
      <c r="B217" s="164">
        <v>42662</v>
      </c>
      <c r="C217" s="10">
        <v>2700</v>
      </c>
      <c r="D217" s="171">
        <v>21.341930000000001</v>
      </c>
      <c r="E217" s="39">
        <v>13.07</v>
      </c>
      <c r="F217" s="39">
        <f t="shared" si="23"/>
        <v>-22334.211000000003</v>
      </c>
      <c r="G217" s="39">
        <f t="shared" si="24"/>
        <v>57623.211000000003</v>
      </c>
      <c r="H217" s="180">
        <f t="shared" si="25"/>
        <v>-0.38759053187785736</v>
      </c>
      <c r="I217" s="190" t="s">
        <v>289</v>
      </c>
      <c r="J217" s="39"/>
      <c r="K217" s="39"/>
    </row>
    <row r="218" spans="2:11" x14ac:dyDescent="0.25">
      <c r="B218" s="164">
        <v>42664</v>
      </c>
      <c r="C218" s="355">
        <v>3000</v>
      </c>
      <c r="D218" s="403">
        <v>20.47974</v>
      </c>
      <c r="E218" s="39">
        <v>12.66</v>
      </c>
      <c r="F218" s="39">
        <f t="shared" si="23"/>
        <v>-23459.219999999998</v>
      </c>
      <c r="G218" s="39">
        <f t="shared" si="24"/>
        <v>61439.22</v>
      </c>
      <c r="H218" s="180">
        <f t="shared" si="25"/>
        <v>-0.38182808961441894</v>
      </c>
      <c r="I218" s="190"/>
      <c r="J218" s="39"/>
      <c r="K218" s="39"/>
    </row>
    <row r="219" spans="2:11" x14ac:dyDescent="0.25">
      <c r="B219" s="164">
        <v>42667</v>
      </c>
      <c r="C219" s="218">
        <v>3200</v>
      </c>
      <c r="D219" s="219">
        <v>19.973510000000001</v>
      </c>
      <c r="E219" s="39">
        <v>12.42</v>
      </c>
      <c r="F219" s="39">
        <f t="shared" si="23"/>
        <v>-24171.232000000004</v>
      </c>
      <c r="G219" s="39">
        <f t="shared" si="24"/>
        <v>63915.232000000004</v>
      </c>
      <c r="H219" s="180">
        <f t="shared" si="25"/>
        <v>-0.37817639463469371</v>
      </c>
      <c r="I219" s="190" t="s">
        <v>291</v>
      </c>
      <c r="J219" s="39"/>
      <c r="K219" s="39"/>
    </row>
    <row r="220" spans="2:11" x14ac:dyDescent="0.25">
      <c r="B220" s="164">
        <v>42668</v>
      </c>
      <c r="C220" s="218">
        <v>3500</v>
      </c>
      <c r="D220" s="219">
        <v>19.305489999999999</v>
      </c>
      <c r="E220" s="39">
        <v>12.16</v>
      </c>
      <c r="F220" s="39">
        <f t="shared" si="23"/>
        <v>-25009.214999999997</v>
      </c>
      <c r="G220" s="39">
        <f t="shared" si="24"/>
        <v>67569.214999999997</v>
      </c>
      <c r="H220" s="180">
        <f t="shared" si="25"/>
        <v>-0.37012735755476805</v>
      </c>
      <c r="I220" s="190">
        <v>19.25</v>
      </c>
      <c r="J220" s="39"/>
      <c r="K220" s="39"/>
    </row>
    <row r="221" spans="2:11" x14ac:dyDescent="0.25">
      <c r="B221" s="164">
        <v>42669</v>
      </c>
      <c r="C221" s="218">
        <v>3500</v>
      </c>
      <c r="D221" s="219">
        <v>19.305</v>
      </c>
      <c r="E221" s="39">
        <v>11.9</v>
      </c>
      <c r="F221" s="39">
        <f t="shared" si="23"/>
        <v>-25917.499999999996</v>
      </c>
      <c r="G221" s="39">
        <f t="shared" si="24"/>
        <v>67567.5</v>
      </c>
      <c r="H221" s="180">
        <f t="shared" si="25"/>
        <v>-0.38357938357938354</v>
      </c>
      <c r="I221" s="190"/>
      <c r="J221" s="39"/>
      <c r="K221" s="39"/>
    </row>
    <row r="222" spans="2:11" x14ac:dyDescent="0.25">
      <c r="B222" s="164">
        <v>42671</v>
      </c>
      <c r="C222" s="218">
        <v>3500</v>
      </c>
      <c r="D222" s="219">
        <v>19.29607</v>
      </c>
      <c r="E222" s="39">
        <v>11.76</v>
      </c>
      <c r="F222" s="39">
        <f t="shared" si="23"/>
        <v>-26376.245000000003</v>
      </c>
      <c r="G222" s="39">
        <f t="shared" si="24"/>
        <v>67536.244999999995</v>
      </c>
      <c r="H222" s="180">
        <f t="shared" si="25"/>
        <v>-0.39054947458212996</v>
      </c>
      <c r="I222" s="190">
        <v>19.25</v>
      </c>
      <c r="J222" s="39"/>
      <c r="K222" s="39"/>
    </row>
    <row r="223" spans="2:11" x14ac:dyDescent="0.25">
      <c r="B223" s="164">
        <v>42676</v>
      </c>
      <c r="C223" s="218">
        <v>3800</v>
      </c>
      <c r="D223" s="219">
        <v>18.651119999999999</v>
      </c>
      <c r="E223" s="39">
        <v>10.89</v>
      </c>
      <c r="F223" s="39">
        <f t="shared" si="23"/>
        <v>-29492.255999999994</v>
      </c>
      <c r="G223" s="39">
        <f t="shared" si="24"/>
        <v>70874.255999999994</v>
      </c>
      <c r="H223" s="180">
        <f t="shared" si="25"/>
        <v>-0.41612085494061474</v>
      </c>
      <c r="I223" s="190"/>
      <c r="J223" s="39"/>
      <c r="K223" s="39"/>
    </row>
    <row r="224" spans="2:11" x14ac:dyDescent="0.25">
      <c r="B224" s="164">
        <v>42677</v>
      </c>
      <c r="C224" s="218">
        <v>3500</v>
      </c>
      <c r="D224" s="219">
        <v>19.289809999999999</v>
      </c>
      <c r="E224" s="39">
        <v>11.1</v>
      </c>
      <c r="F224" s="39">
        <f t="shared" si="23"/>
        <v>-28664.334999999999</v>
      </c>
      <c r="G224" s="39">
        <f t="shared" si="24"/>
        <v>67514.334999999992</v>
      </c>
      <c r="H224" s="180">
        <f t="shared" si="25"/>
        <v>-0.4245666494382267</v>
      </c>
      <c r="I224" s="190">
        <v>19.25</v>
      </c>
      <c r="J224" s="39"/>
      <c r="K224" s="39"/>
    </row>
    <row r="225" spans="1:11" x14ac:dyDescent="0.25">
      <c r="B225" s="164">
        <v>42701</v>
      </c>
      <c r="C225" s="218">
        <v>3500</v>
      </c>
      <c r="D225" s="219">
        <v>19.206700000000001</v>
      </c>
      <c r="E225" s="39">
        <v>11.72</v>
      </c>
      <c r="F225" s="39">
        <f t="shared" si="23"/>
        <v>-26203.450000000004</v>
      </c>
      <c r="G225" s="39">
        <f t="shared" si="24"/>
        <v>67223.450000000012</v>
      </c>
      <c r="H225" s="180">
        <f t="shared" si="25"/>
        <v>-0.38979626901029329</v>
      </c>
      <c r="I225" s="190" t="s">
        <v>297</v>
      </c>
      <c r="J225" s="39"/>
      <c r="K225" s="39"/>
    </row>
    <row r="226" spans="1:11" x14ac:dyDescent="0.25">
      <c r="B226" s="164">
        <v>42702</v>
      </c>
      <c r="C226" s="218">
        <v>3200</v>
      </c>
      <c r="D226" s="219">
        <v>19.891770000000001</v>
      </c>
      <c r="E226" s="39">
        <v>11.92</v>
      </c>
      <c r="F226" s="39">
        <f t="shared" si="23"/>
        <v>-25509.664000000004</v>
      </c>
      <c r="G226" s="39">
        <f t="shared" si="24"/>
        <v>63653.664000000004</v>
      </c>
      <c r="H226" s="180">
        <f t="shared" si="25"/>
        <v>-0.40075719757467537</v>
      </c>
      <c r="I226" s="190"/>
      <c r="J226" s="39"/>
      <c r="K226" s="39"/>
    </row>
    <row r="227" spans="1:11" x14ac:dyDescent="0.25">
      <c r="B227" s="164">
        <v>42704</v>
      </c>
      <c r="C227" s="218">
        <v>3500</v>
      </c>
      <c r="D227" s="219">
        <v>19.160499999999999</v>
      </c>
      <c r="E227" s="39">
        <v>11.15</v>
      </c>
      <c r="F227" s="39">
        <f t="shared" si="23"/>
        <v>-28036.749999999996</v>
      </c>
      <c r="G227" s="39">
        <f t="shared" si="24"/>
        <v>67061.75</v>
      </c>
      <c r="H227" s="180">
        <f t="shared" si="25"/>
        <v>-0.41807364108452277</v>
      </c>
      <c r="I227" s="190">
        <v>19</v>
      </c>
      <c r="J227" s="39"/>
      <c r="K227" s="39"/>
    </row>
    <row r="228" spans="1:11" x14ac:dyDescent="0.25">
      <c r="B228" s="164">
        <v>42705</v>
      </c>
      <c r="C228" s="218">
        <v>4000</v>
      </c>
      <c r="D228" s="219">
        <v>18.104399999999998</v>
      </c>
      <c r="E228" s="39">
        <v>10.41</v>
      </c>
      <c r="F228" s="39">
        <f t="shared" si="23"/>
        <v>-30777.599999999991</v>
      </c>
      <c r="G228" s="39">
        <f t="shared" si="24"/>
        <v>72417.599999999991</v>
      </c>
      <c r="H228" s="180">
        <f t="shared" si="25"/>
        <v>-0.42500165705574328</v>
      </c>
      <c r="I228" s="190"/>
      <c r="J228" s="39"/>
      <c r="K228" s="39"/>
    </row>
    <row r="229" spans="1:11" x14ac:dyDescent="0.25">
      <c r="B229" s="164">
        <v>42710</v>
      </c>
      <c r="C229" s="218">
        <v>3500</v>
      </c>
      <c r="D229" s="219">
        <v>19.114180000000001</v>
      </c>
      <c r="E229" s="39">
        <v>11.1</v>
      </c>
      <c r="F229" s="39">
        <f t="shared" si="23"/>
        <v>-28049.630000000005</v>
      </c>
      <c r="G229" s="39">
        <f t="shared" si="24"/>
        <v>66899.63</v>
      </c>
      <c r="H229" s="180">
        <f t="shared" si="25"/>
        <v>-0.41927929945202991</v>
      </c>
      <c r="I229" s="190">
        <v>19</v>
      </c>
      <c r="J229" s="39"/>
      <c r="K229" s="39"/>
    </row>
    <row r="230" spans="1:11" x14ac:dyDescent="0.25">
      <c r="B230" s="164">
        <v>42711</v>
      </c>
      <c r="C230" s="218">
        <v>3200</v>
      </c>
      <c r="D230" s="219">
        <v>19.857089999999999</v>
      </c>
      <c r="E230" s="39">
        <v>11.06</v>
      </c>
      <c r="F230" s="39">
        <f t="shared" si="23"/>
        <v>-28150.687999999998</v>
      </c>
      <c r="G230" s="39">
        <f t="shared" si="24"/>
        <v>63542.687999999995</v>
      </c>
      <c r="H230" s="180">
        <f t="shared" si="25"/>
        <v>-0.44302010012544635</v>
      </c>
      <c r="I230" s="190"/>
      <c r="J230" s="39"/>
      <c r="K230" s="39"/>
    </row>
    <row r="231" spans="1:11" x14ac:dyDescent="0.25">
      <c r="B231" s="164">
        <v>42712</v>
      </c>
      <c r="C231" s="355">
        <v>3000</v>
      </c>
      <c r="D231" s="403">
        <v>20.420919999999999</v>
      </c>
      <c r="E231" s="39">
        <v>11.28</v>
      </c>
      <c r="F231" s="39">
        <f t="shared" si="23"/>
        <v>-27422.76</v>
      </c>
      <c r="G231" s="39">
        <f t="shared" si="24"/>
        <v>61262.759999999995</v>
      </c>
      <c r="H231" s="180">
        <f t="shared" si="25"/>
        <v>-0.44762527839098337</v>
      </c>
      <c r="I231" s="190"/>
      <c r="J231" s="39"/>
      <c r="K231" s="39"/>
    </row>
    <row r="232" spans="1:11" x14ac:dyDescent="0.25">
      <c r="B232" s="164">
        <v>42713</v>
      </c>
      <c r="C232" s="218">
        <v>2800</v>
      </c>
      <c r="D232" s="219">
        <v>21.042400000000001</v>
      </c>
      <c r="E232" s="39">
        <v>11.66</v>
      </c>
      <c r="F232" s="39">
        <f t="shared" si="23"/>
        <v>-26270.720000000001</v>
      </c>
      <c r="G232" s="39">
        <f t="shared" si="24"/>
        <v>58918.720000000001</v>
      </c>
      <c r="H232" s="180">
        <f t="shared" si="25"/>
        <v>-0.44588069801923735</v>
      </c>
      <c r="I232" s="190"/>
      <c r="J232" s="39"/>
      <c r="K232" s="39"/>
    </row>
    <row r="233" spans="1:11" x14ac:dyDescent="0.25">
      <c r="B233" s="164">
        <v>42716</v>
      </c>
      <c r="C233" s="355">
        <v>3000</v>
      </c>
      <c r="D233" s="403">
        <v>20.4023</v>
      </c>
      <c r="E233" s="39">
        <v>11.43</v>
      </c>
      <c r="F233" s="39">
        <f t="shared" si="23"/>
        <v>-26916.9</v>
      </c>
      <c r="G233" s="39">
        <f t="shared" si="24"/>
        <v>61206.9</v>
      </c>
      <c r="H233" s="180">
        <f t="shared" si="25"/>
        <v>-0.43976904564681435</v>
      </c>
      <c r="I233" s="190"/>
      <c r="J233" s="39"/>
      <c r="K233" s="39"/>
    </row>
    <row r="234" spans="1:11" x14ac:dyDescent="0.25">
      <c r="B234" s="164">
        <v>42731</v>
      </c>
      <c r="C234" s="218">
        <v>3000</v>
      </c>
      <c r="D234" s="219">
        <v>20.402000000000001</v>
      </c>
      <c r="E234" s="39">
        <v>11.71</v>
      </c>
      <c r="F234" s="39">
        <f t="shared" ref="F234:F247" si="26">C234*(E234-D234)</f>
        <v>-26076</v>
      </c>
      <c r="G234" s="39">
        <f t="shared" ref="G234:G247" si="27">IF(C234=0, 0,D234*C234)</f>
        <v>61206</v>
      </c>
      <c r="H234" s="180">
        <f t="shared" ref="H234:H247" si="28">IF(C234=0, D234, (E234-D234)/D234)</f>
        <v>-0.4260366630722478</v>
      </c>
      <c r="I234" s="171"/>
      <c r="J234" s="39"/>
      <c r="K234" s="39"/>
    </row>
    <row r="235" spans="1:11" x14ac:dyDescent="0.25">
      <c r="B235" s="164">
        <v>42733</v>
      </c>
      <c r="C235" s="341">
        <v>2000</v>
      </c>
      <c r="D235" s="174">
        <v>24.788530000000002</v>
      </c>
      <c r="E235" s="39">
        <v>11.64</v>
      </c>
      <c r="F235" s="39">
        <f t="shared" si="26"/>
        <v>-26297.06</v>
      </c>
      <c r="G235" s="39">
        <f t="shared" si="27"/>
        <v>49577.060000000005</v>
      </c>
      <c r="H235" s="180">
        <f t="shared" si="28"/>
        <v>-0.53042798423303039</v>
      </c>
      <c r="I235" s="356" t="s">
        <v>315</v>
      </c>
      <c r="J235" s="39"/>
      <c r="K235" s="39"/>
    </row>
    <row r="236" spans="1:11" x14ac:dyDescent="0.25">
      <c r="A236" t="s">
        <v>324</v>
      </c>
      <c r="B236" s="164">
        <v>42754</v>
      </c>
      <c r="C236" s="218">
        <v>2000</v>
      </c>
      <c r="D236" s="219">
        <v>24.788530000000002</v>
      </c>
      <c r="E236" s="39">
        <v>12.19</v>
      </c>
      <c r="F236" s="39">
        <f t="shared" si="26"/>
        <v>-25197.060000000005</v>
      </c>
      <c r="G236" s="39">
        <f t="shared" si="27"/>
        <v>49577.060000000005</v>
      </c>
      <c r="H236" s="180">
        <f t="shared" si="28"/>
        <v>-0.50824030307565637</v>
      </c>
      <c r="I236" s="171"/>
      <c r="J236" s="39"/>
      <c r="K236" s="39"/>
    </row>
    <row r="237" spans="1:11" x14ac:dyDescent="0.25">
      <c r="A237" t="s">
        <v>349</v>
      </c>
      <c r="B237" s="164">
        <v>42760</v>
      </c>
      <c r="C237" s="218">
        <v>2000</v>
      </c>
      <c r="D237" s="219">
        <v>24.788530000000002</v>
      </c>
      <c r="E237" s="39">
        <v>11.81</v>
      </c>
      <c r="F237" s="39">
        <f t="shared" si="26"/>
        <v>-25957.06</v>
      </c>
      <c r="G237" s="39">
        <f t="shared" si="27"/>
        <v>49577.060000000005</v>
      </c>
      <c r="H237" s="180">
        <f t="shared" si="28"/>
        <v>-0.52356997369347835</v>
      </c>
      <c r="I237" s="171"/>
      <c r="J237" s="39"/>
      <c r="K237" s="39"/>
    </row>
    <row r="238" spans="1:11" x14ac:dyDescent="0.25">
      <c r="A238" t="s">
        <v>349</v>
      </c>
      <c r="B238" s="164">
        <v>42762</v>
      </c>
      <c r="C238" s="218">
        <v>2000</v>
      </c>
      <c r="D238" s="219">
        <v>24.788530000000002</v>
      </c>
      <c r="E238" s="39">
        <v>11.77</v>
      </c>
      <c r="F238" s="39">
        <f t="shared" si="26"/>
        <v>-26037.060000000005</v>
      </c>
      <c r="G238" s="39">
        <f t="shared" si="27"/>
        <v>49577.060000000005</v>
      </c>
      <c r="H238" s="180">
        <f t="shared" si="28"/>
        <v>-0.52518362323219658</v>
      </c>
      <c r="I238" s="171"/>
      <c r="J238" s="39"/>
      <c r="K238" s="39"/>
    </row>
    <row r="239" spans="1:11" x14ac:dyDescent="0.25">
      <c r="A239" t="s">
        <v>366</v>
      </c>
      <c r="B239" s="164">
        <v>42765</v>
      </c>
      <c r="C239" s="218">
        <v>2200</v>
      </c>
      <c r="D239" s="219">
        <v>23.578659999999999</v>
      </c>
      <c r="E239" s="39">
        <v>11.55</v>
      </c>
      <c r="F239" s="39">
        <f t="shared" si="26"/>
        <v>-26463.051999999996</v>
      </c>
      <c r="G239" s="39">
        <f t="shared" si="27"/>
        <v>51873.051999999996</v>
      </c>
      <c r="H239" s="180">
        <f t="shared" si="28"/>
        <v>-0.51015027995653695</v>
      </c>
      <c r="I239" s="171"/>
      <c r="J239" s="39"/>
      <c r="K239" s="39"/>
    </row>
    <row r="240" spans="1:11" x14ac:dyDescent="0.25">
      <c r="A240" t="s">
        <v>370</v>
      </c>
      <c r="B240" s="164">
        <v>42766</v>
      </c>
      <c r="C240" s="341">
        <v>2000</v>
      </c>
      <c r="D240" s="174">
        <v>24.771550000000001</v>
      </c>
      <c r="E240" s="39">
        <v>11.8</v>
      </c>
      <c r="F240" s="39">
        <f t="shared" si="26"/>
        <v>-25943.100000000002</v>
      </c>
      <c r="G240" s="39">
        <f t="shared" si="27"/>
        <v>49543.100000000006</v>
      </c>
      <c r="H240" s="180">
        <f t="shared" si="28"/>
        <v>-0.523647087081753</v>
      </c>
      <c r="I240" s="171"/>
      <c r="J240" s="39"/>
      <c r="K240" s="39"/>
    </row>
    <row r="241" spans="1:11" x14ac:dyDescent="0.25">
      <c r="A241" t="s">
        <v>385</v>
      </c>
      <c r="B241" s="164">
        <v>42769</v>
      </c>
      <c r="C241" s="341">
        <v>2000</v>
      </c>
      <c r="D241" s="174">
        <v>24.734089999999998</v>
      </c>
      <c r="E241" s="39">
        <v>11.65</v>
      </c>
      <c r="F241" s="39">
        <f t="shared" si="26"/>
        <v>-26168.179999999997</v>
      </c>
      <c r="G241" s="39">
        <f t="shared" si="27"/>
        <v>49468.18</v>
      </c>
      <c r="H241" s="180">
        <f t="shared" si="28"/>
        <v>-0.5289901508403988</v>
      </c>
      <c r="I241" s="356">
        <v>24.5</v>
      </c>
      <c r="J241" s="39"/>
      <c r="K241" s="39"/>
    </row>
    <row r="242" spans="1:11" x14ac:dyDescent="0.25">
      <c r="A242" t="s">
        <v>392</v>
      </c>
      <c r="B242" s="164">
        <v>42772</v>
      </c>
      <c r="C242" s="218">
        <v>2500</v>
      </c>
      <c r="D242" s="219">
        <v>22.031269999999999</v>
      </c>
      <c r="E242" s="39">
        <v>11.12</v>
      </c>
      <c r="F242" s="39">
        <f t="shared" si="26"/>
        <v>-27278.174999999999</v>
      </c>
      <c r="G242" s="39">
        <f t="shared" si="27"/>
        <v>55078.174999999996</v>
      </c>
      <c r="H242" s="180">
        <f t="shared" si="28"/>
        <v>-0.49526286954860071</v>
      </c>
      <c r="I242" s="171"/>
      <c r="J242" s="39"/>
      <c r="K242" s="39"/>
    </row>
    <row r="243" spans="1:11" x14ac:dyDescent="0.25">
      <c r="A243" t="s">
        <v>395</v>
      </c>
      <c r="B243" s="164">
        <v>42773</v>
      </c>
      <c r="C243" s="355">
        <v>3000</v>
      </c>
      <c r="D243" s="403">
        <v>20.196059999999999</v>
      </c>
      <c r="E243" s="39">
        <v>11.1</v>
      </c>
      <c r="F243" s="39">
        <f t="shared" si="26"/>
        <v>-27288.18</v>
      </c>
      <c r="G243" s="39">
        <f t="shared" si="27"/>
        <v>60588.18</v>
      </c>
      <c r="H243" s="180">
        <f t="shared" si="28"/>
        <v>-0.45038784792677383</v>
      </c>
      <c r="I243" s="171"/>
      <c r="J243" s="39"/>
      <c r="K243" s="39"/>
    </row>
    <row r="244" spans="1:11" x14ac:dyDescent="0.25">
      <c r="A244" t="s">
        <v>400</v>
      </c>
      <c r="B244" s="164">
        <v>42774</v>
      </c>
      <c r="C244" s="341">
        <v>2000</v>
      </c>
      <c r="D244" s="174">
        <v>24.595400000000001</v>
      </c>
      <c r="E244" s="39">
        <v>11.42</v>
      </c>
      <c r="F244" s="39">
        <f t="shared" si="26"/>
        <v>-26350.800000000003</v>
      </c>
      <c r="G244" s="39">
        <f t="shared" si="27"/>
        <v>49190.8</v>
      </c>
      <c r="H244" s="180">
        <f t="shared" si="28"/>
        <v>-0.53568553469347935</v>
      </c>
      <c r="I244" s="356">
        <v>24.5</v>
      </c>
      <c r="J244" s="39"/>
      <c r="K244" s="39"/>
    </row>
    <row r="245" spans="1:11" x14ac:dyDescent="0.25">
      <c r="A245" t="s">
        <v>401</v>
      </c>
      <c r="B245" s="164">
        <v>42775</v>
      </c>
      <c r="C245" s="218">
        <v>2500</v>
      </c>
      <c r="D245" s="219">
        <v>21.912369999999999</v>
      </c>
      <c r="E245" s="39">
        <v>11.14</v>
      </c>
      <c r="F245" s="39">
        <f t="shared" si="26"/>
        <v>-26930.924999999996</v>
      </c>
      <c r="G245" s="39">
        <f t="shared" si="27"/>
        <v>54780.924999999996</v>
      </c>
      <c r="H245" s="180">
        <f t="shared" si="28"/>
        <v>-0.49161135924594185</v>
      </c>
      <c r="I245" s="171"/>
      <c r="J245" s="39"/>
      <c r="K245" s="39"/>
    </row>
    <row r="246" spans="1:11" x14ac:dyDescent="0.25">
      <c r="A246" t="s">
        <v>402</v>
      </c>
      <c r="B246" s="164">
        <v>42775</v>
      </c>
      <c r="C246" s="355">
        <v>3000</v>
      </c>
      <c r="D246" s="403">
        <v>20.101970000000001</v>
      </c>
      <c r="E246" s="39">
        <v>10.92</v>
      </c>
      <c r="F246" s="39">
        <f t="shared" si="26"/>
        <v>-27545.910000000003</v>
      </c>
      <c r="G246" s="39">
        <f t="shared" si="27"/>
        <v>60305.91</v>
      </c>
      <c r="H246" s="180">
        <f t="shared" si="28"/>
        <v>-0.45676965988905571</v>
      </c>
      <c r="I246" s="403">
        <v>20</v>
      </c>
      <c r="J246" s="39"/>
      <c r="K246" s="39"/>
    </row>
    <row r="247" spans="1:11" x14ac:dyDescent="0.25">
      <c r="A247" t="s">
        <v>407</v>
      </c>
      <c r="B247" s="164">
        <v>42776</v>
      </c>
      <c r="C247" s="218">
        <v>2500</v>
      </c>
      <c r="D247" s="219">
        <v>21.806419999999999</v>
      </c>
      <c r="E247" s="39">
        <v>11.65</v>
      </c>
      <c r="F247" s="39">
        <f t="shared" si="26"/>
        <v>-25391.049999999996</v>
      </c>
      <c r="G247" s="39">
        <f t="shared" si="27"/>
        <v>54516.049999999996</v>
      </c>
      <c r="H247" s="180">
        <f t="shared" si="28"/>
        <v>-0.4657536633706954</v>
      </c>
      <c r="I247" s="171"/>
      <c r="J247" s="39"/>
      <c r="K247" s="39"/>
    </row>
    <row r="248" spans="1:11" x14ac:dyDescent="0.25">
      <c r="A248" t="s">
        <v>407</v>
      </c>
      <c r="B248" s="164">
        <v>42790</v>
      </c>
      <c r="C248" s="218">
        <v>2500</v>
      </c>
      <c r="D248" s="219">
        <v>21.806419999999999</v>
      </c>
      <c r="E248" s="39">
        <v>11.76</v>
      </c>
      <c r="F248" s="39">
        <f t="shared" ref="F248:F253" si="29">C248*(E248-D248)</f>
        <v>-25116.05</v>
      </c>
      <c r="G248" s="39">
        <f t="shared" ref="G248:G253" si="30">IF(C248=0, 0,D248*C248)</f>
        <v>54516.049999999996</v>
      </c>
      <c r="H248" s="180">
        <f t="shared" ref="H248:H253" si="31">IF(C248=0, D248, (E248-D248)/D248)</f>
        <v>-0.46070927735960326</v>
      </c>
      <c r="I248" s="171"/>
      <c r="J248" s="39"/>
      <c r="K248" s="39"/>
    </row>
    <row r="249" spans="1:11" x14ac:dyDescent="0.25">
      <c r="A249" t="s">
        <v>407</v>
      </c>
      <c r="B249" s="164">
        <v>42808</v>
      </c>
      <c r="C249" s="218">
        <v>2700</v>
      </c>
      <c r="D249" s="219">
        <v>20.986999999999998</v>
      </c>
      <c r="E249" s="39">
        <v>10.76</v>
      </c>
      <c r="F249" s="39">
        <f t="shared" si="29"/>
        <v>-27612.899999999998</v>
      </c>
      <c r="G249" s="39">
        <f t="shared" si="30"/>
        <v>56664.899999999994</v>
      </c>
      <c r="H249" s="180">
        <f t="shared" si="31"/>
        <v>-0.48730166293419735</v>
      </c>
      <c r="I249" s="171"/>
      <c r="J249" s="39"/>
      <c r="K249" s="39"/>
    </row>
    <row r="250" spans="1:11" x14ac:dyDescent="0.25">
      <c r="A250">
        <v>2300</v>
      </c>
      <c r="B250" s="164">
        <v>42809</v>
      </c>
      <c r="C250" s="218">
        <v>2500</v>
      </c>
      <c r="D250" s="219">
        <v>21.7944</v>
      </c>
      <c r="E250" s="39">
        <v>11.05</v>
      </c>
      <c r="F250" s="39">
        <f t="shared" si="29"/>
        <v>-26860.999999999996</v>
      </c>
      <c r="G250" s="39">
        <f t="shared" si="30"/>
        <v>54486</v>
      </c>
      <c r="H250" s="180">
        <f t="shared" si="31"/>
        <v>-0.49298902470359351</v>
      </c>
      <c r="I250" s="171"/>
      <c r="J250" s="39">
        <v>42</v>
      </c>
      <c r="K250" s="39"/>
    </row>
    <row r="251" spans="1:11" x14ac:dyDescent="0.25">
      <c r="A251">
        <v>2300</v>
      </c>
      <c r="B251" s="164">
        <v>42814</v>
      </c>
      <c r="C251" s="218">
        <v>2700</v>
      </c>
      <c r="D251" s="219">
        <v>20.969000000000001</v>
      </c>
      <c r="E251" s="39">
        <v>10.65</v>
      </c>
      <c r="F251" s="39">
        <f t="shared" si="29"/>
        <v>-27861.300000000003</v>
      </c>
      <c r="G251" s="39">
        <f t="shared" si="30"/>
        <v>56616.3</v>
      </c>
      <c r="H251" s="180">
        <f t="shared" si="31"/>
        <v>-0.49210739663312508</v>
      </c>
      <c r="I251" s="171"/>
      <c r="J251" s="39"/>
      <c r="K251" s="39"/>
    </row>
    <row r="252" spans="1:11" x14ac:dyDescent="0.25">
      <c r="A252">
        <v>2300</v>
      </c>
      <c r="B252" s="164">
        <v>42818</v>
      </c>
      <c r="C252" s="218">
        <v>2700</v>
      </c>
      <c r="D252" s="219">
        <v>20.969000000000001</v>
      </c>
      <c r="E252" s="39">
        <v>10.8</v>
      </c>
      <c r="F252" s="39">
        <f t="shared" si="29"/>
        <v>-27456.300000000003</v>
      </c>
      <c r="G252" s="39">
        <f t="shared" si="30"/>
        <v>56616.3</v>
      </c>
      <c r="H252" s="180">
        <f t="shared" si="31"/>
        <v>-0.48495397968429588</v>
      </c>
      <c r="I252" s="171"/>
      <c r="J252" s="39"/>
      <c r="K252" s="39"/>
    </row>
    <row r="253" spans="1:11" x14ac:dyDescent="0.25">
      <c r="A253">
        <v>2100</v>
      </c>
      <c r="B253" s="164">
        <v>42823</v>
      </c>
      <c r="C253" s="218">
        <v>2500</v>
      </c>
      <c r="D253" s="219">
        <v>21.7712</v>
      </c>
      <c r="E253" s="39">
        <v>10.91</v>
      </c>
      <c r="F253" s="39">
        <f t="shared" si="29"/>
        <v>-27153</v>
      </c>
      <c r="G253" s="39">
        <f t="shared" si="30"/>
        <v>54428</v>
      </c>
      <c r="H253" s="180">
        <f t="shared" si="31"/>
        <v>-0.49887925332549421</v>
      </c>
      <c r="I253" s="171"/>
      <c r="J253" s="39"/>
      <c r="K253" s="39"/>
    </row>
    <row r="254" spans="1:11" x14ac:dyDescent="0.25">
      <c r="A254">
        <v>1800</v>
      </c>
      <c r="B254" s="164">
        <v>42825</v>
      </c>
      <c r="C254" s="218">
        <v>2200</v>
      </c>
      <c r="D254" s="219">
        <v>23.229199999999999</v>
      </c>
      <c r="E254" s="39">
        <v>10.91</v>
      </c>
      <c r="F254" s="39">
        <f t="shared" ref="F254:F263" si="32">C254*(E254-D254)</f>
        <v>-27102.239999999998</v>
      </c>
      <c r="G254" s="39">
        <f t="shared" ref="G254:G263" si="33">IF(C254=0, 0,D254*C254)</f>
        <v>51104.24</v>
      </c>
      <c r="H254" s="180">
        <f t="shared" ref="H254:H263" si="34">IF(C254=0, D254, (E254-D254)/D254)</f>
        <v>-0.53033251252733626</v>
      </c>
      <c r="I254" s="171"/>
      <c r="J254" s="39">
        <v>49</v>
      </c>
      <c r="K254" s="39"/>
    </row>
    <row r="255" spans="1:11" x14ac:dyDescent="0.25">
      <c r="A255">
        <v>1800</v>
      </c>
      <c r="B255" s="164">
        <v>42833</v>
      </c>
      <c r="C255" s="218">
        <v>2500</v>
      </c>
      <c r="D255" s="219">
        <v>21.716000000000001</v>
      </c>
      <c r="E255" s="39">
        <v>10.53</v>
      </c>
      <c r="F255" s="39">
        <f t="shared" si="32"/>
        <v>-27965.000000000004</v>
      </c>
      <c r="G255" s="39">
        <f t="shared" si="33"/>
        <v>54290</v>
      </c>
      <c r="H255" s="180">
        <f t="shared" si="34"/>
        <v>-0.51510407073125808</v>
      </c>
      <c r="I255" s="171"/>
      <c r="J255" s="39"/>
      <c r="K255" s="39"/>
    </row>
    <row r="256" spans="1:11" x14ac:dyDescent="0.25">
      <c r="A256">
        <v>1500</v>
      </c>
      <c r="B256" s="164">
        <v>42837</v>
      </c>
      <c r="C256" s="218">
        <v>2200</v>
      </c>
      <c r="D256" s="219">
        <v>23.215589999999999</v>
      </c>
      <c r="E256" s="39">
        <v>10.61</v>
      </c>
      <c r="F256" s="39">
        <f t="shared" si="32"/>
        <v>-27732.297999999999</v>
      </c>
      <c r="G256" s="39">
        <f t="shared" si="33"/>
        <v>51074.297999999995</v>
      </c>
      <c r="H256" s="180">
        <f t="shared" si="34"/>
        <v>-0.54297952367353142</v>
      </c>
      <c r="I256" s="171"/>
      <c r="J256" s="39"/>
      <c r="K256" s="39"/>
    </row>
    <row r="257" spans="1:11" x14ac:dyDescent="0.25">
      <c r="A257">
        <v>1700</v>
      </c>
      <c r="B257" s="164">
        <v>42844</v>
      </c>
      <c r="C257" s="10">
        <v>2400</v>
      </c>
      <c r="D257" s="171">
        <v>22.138000000000002</v>
      </c>
      <c r="E257" s="39">
        <v>10.28</v>
      </c>
      <c r="F257" s="39">
        <f t="shared" si="32"/>
        <v>-28459.200000000004</v>
      </c>
      <c r="G257" s="39">
        <f t="shared" si="33"/>
        <v>53131.200000000004</v>
      </c>
      <c r="H257" s="180">
        <f t="shared" si="34"/>
        <v>-0.53564007588761409</v>
      </c>
      <c r="I257" s="171"/>
      <c r="J257" s="39"/>
      <c r="K257" s="39"/>
    </row>
    <row r="258" spans="1:11" x14ac:dyDescent="0.25">
      <c r="A258">
        <v>1900</v>
      </c>
      <c r="B258" s="164">
        <v>42845</v>
      </c>
      <c r="C258" s="10">
        <v>2500</v>
      </c>
      <c r="D258" s="171">
        <v>21.654</v>
      </c>
      <c r="E258" s="39">
        <v>10.08</v>
      </c>
      <c r="F258" s="39">
        <f t="shared" si="32"/>
        <v>-28935</v>
      </c>
      <c r="G258" s="39">
        <f t="shared" si="33"/>
        <v>54135</v>
      </c>
      <c r="H258" s="180">
        <f t="shared" si="34"/>
        <v>-0.53449709060681627</v>
      </c>
      <c r="I258" s="171"/>
      <c r="J258" s="39"/>
      <c r="K258" s="39"/>
    </row>
    <row r="259" spans="1:11" x14ac:dyDescent="0.25">
      <c r="A259">
        <v>1600</v>
      </c>
      <c r="B259" s="164">
        <v>42856</v>
      </c>
      <c r="C259" s="10">
        <v>2200</v>
      </c>
      <c r="D259" s="171">
        <v>23.190999999999999</v>
      </c>
      <c r="E259" s="39">
        <v>10.37</v>
      </c>
      <c r="F259" s="39">
        <f t="shared" si="32"/>
        <v>-28206.2</v>
      </c>
      <c r="G259" s="39">
        <f t="shared" si="33"/>
        <v>51020.2</v>
      </c>
      <c r="H259" s="180">
        <f t="shared" si="34"/>
        <v>-0.55284377560260445</v>
      </c>
      <c r="I259" s="171"/>
      <c r="J259" s="39"/>
      <c r="K259" s="39"/>
    </row>
    <row r="260" spans="1:11" x14ac:dyDescent="0.25">
      <c r="A260">
        <v>1600</v>
      </c>
      <c r="B260" s="164">
        <v>42857</v>
      </c>
      <c r="C260" s="10">
        <v>2500</v>
      </c>
      <c r="D260" s="171">
        <v>21.6</v>
      </c>
      <c r="E260" s="39">
        <v>9.91</v>
      </c>
      <c r="F260" s="39">
        <f t="shared" si="32"/>
        <v>-29225.000000000004</v>
      </c>
      <c r="G260" s="39">
        <f t="shared" si="33"/>
        <v>54000</v>
      </c>
      <c r="H260" s="180">
        <f t="shared" si="34"/>
        <v>-0.54120370370370374</v>
      </c>
      <c r="I260" s="171"/>
      <c r="J260" s="39"/>
      <c r="K260" s="39"/>
    </row>
    <row r="261" spans="1:11" x14ac:dyDescent="0.25">
      <c r="A261">
        <v>1600</v>
      </c>
      <c r="B261" s="164">
        <v>42862</v>
      </c>
      <c r="C261" s="218">
        <v>2500</v>
      </c>
      <c r="D261" s="219">
        <v>21.6</v>
      </c>
      <c r="E261" s="39">
        <v>10.02</v>
      </c>
      <c r="F261" s="39">
        <f t="shared" si="32"/>
        <v>-28950.000000000004</v>
      </c>
      <c r="G261" s="39">
        <f t="shared" si="33"/>
        <v>54000</v>
      </c>
      <c r="H261" s="180">
        <f t="shared" si="34"/>
        <v>-0.5361111111111112</v>
      </c>
      <c r="I261" s="171"/>
      <c r="J261" s="39"/>
      <c r="K261" s="39"/>
    </row>
    <row r="262" spans="1:11" x14ac:dyDescent="0.25">
      <c r="A262">
        <v>1600</v>
      </c>
      <c r="B262" s="164">
        <v>42864</v>
      </c>
      <c r="C262" s="218">
        <v>2200</v>
      </c>
      <c r="D262" s="219">
        <v>23.16</v>
      </c>
      <c r="E262" s="39">
        <v>10.210000000000001</v>
      </c>
      <c r="F262" s="39">
        <f t="shared" si="32"/>
        <v>-28490</v>
      </c>
      <c r="G262" s="39">
        <f t="shared" si="33"/>
        <v>50952</v>
      </c>
      <c r="H262" s="180">
        <f t="shared" si="34"/>
        <v>-0.55915371329879093</v>
      </c>
      <c r="I262" s="171"/>
      <c r="J262" s="39"/>
      <c r="K262" s="39"/>
    </row>
    <row r="263" spans="1:11" x14ac:dyDescent="0.25">
      <c r="A263">
        <v>1400</v>
      </c>
      <c r="B263" s="164">
        <v>42865</v>
      </c>
      <c r="C263" s="341">
        <v>2000</v>
      </c>
      <c r="D263" s="174">
        <v>24.308</v>
      </c>
      <c r="E263" s="39">
        <v>11.89</v>
      </c>
      <c r="F263" s="39">
        <f t="shared" si="32"/>
        <v>-24836</v>
      </c>
      <c r="G263" s="39">
        <f t="shared" si="33"/>
        <v>48616</v>
      </c>
      <c r="H263" s="180">
        <f t="shared" si="34"/>
        <v>-0.51086062201744276</v>
      </c>
      <c r="I263" s="171"/>
      <c r="J263" s="39"/>
      <c r="K263" s="39"/>
    </row>
    <row r="264" spans="1:11" x14ac:dyDescent="0.25">
      <c r="A264">
        <v>1400</v>
      </c>
      <c r="B264" s="164">
        <v>42866</v>
      </c>
      <c r="C264" s="218">
        <v>2000</v>
      </c>
      <c r="D264" s="219">
        <v>24.308</v>
      </c>
      <c r="E264" s="39">
        <v>12.47</v>
      </c>
      <c r="F264" s="39">
        <f>C264*(E264-D264)</f>
        <v>-23676</v>
      </c>
      <c r="G264" s="39">
        <f>IF(C264=0, 0,D264*C264)</f>
        <v>48616</v>
      </c>
      <c r="H264" s="180">
        <f>IF(C264=0, D264, (E264-D264)/D264)</f>
        <v>-0.48700016455487904</v>
      </c>
      <c r="I264" s="171"/>
      <c r="J264" s="39"/>
      <c r="K264" s="39"/>
    </row>
    <row r="265" spans="1:11" x14ac:dyDescent="0.25">
      <c r="A265">
        <v>900</v>
      </c>
      <c r="B265" s="164">
        <v>42872</v>
      </c>
      <c r="C265" s="354">
        <v>1500</v>
      </c>
      <c r="D265" s="486">
        <v>28.084</v>
      </c>
      <c r="E265" s="39">
        <v>13.07</v>
      </c>
      <c r="F265" s="39">
        <f>C265*(E265-D265)</f>
        <v>-22521</v>
      </c>
      <c r="G265" s="39">
        <f>IF(C265=0, 0,D265*C265)</f>
        <v>42126</v>
      </c>
      <c r="H265" s="180">
        <f>IF(C265=0, D265, (E265-D265)/D265)</f>
        <v>-0.534610454351232</v>
      </c>
      <c r="I265" s="171"/>
      <c r="J265" s="39"/>
      <c r="K265" s="39"/>
    </row>
    <row r="266" spans="1:11" x14ac:dyDescent="0.25">
      <c r="A266">
        <v>400</v>
      </c>
      <c r="B266" s="164">
        <v>42873</v>
      </c>
      <c r="C266" s="218">
        <v>1000</v>
      </c>
      <c r="D266" s="219">
        <v>35.485999999999997</v>
      </c>
      <c r="E266" s="39">
        <v>13.12</v>
      </c>
      <c r="F266" s="39">
        <f>C266*(E266-D266)</f>
        <v>-22366</v>
      </c>
      <c r="G266" s="39">
        <f>IF(C266=0, 0,D266*C266)</f>
        <v>35486</v>
      </c>
      <c r="H266" s="180">
        <f>IF(C266=0, D266, (E266-D266)/D266)</f>
        <v>-0.63027672885081443</v>
      </c>
      <c r="I266" s="171"/>
      <c r="J266" s="39"/>
      <c r="K266" s="39"/>
    </row>
    <row r="267" spans="1:11" x14ac:dyDescent="0.25">
      <c r="A267">
        <v>800</v>
      </c>
      <c r="B267" s="164">
        <v>42950</v>
      </c>
      <c r="C267" s="218">
        <v>1000</v>
      </c>
      <c r="D267" s="219">
        <v>35.42</v>
      </c>
      <c r="E267" s="39">
        <v>14.2</v>
      </c>
      <c r="F267" s="39">
        <f>C267*(E267-D267)</f>
        <v>-21220.000000000004</v>
      </c>
      <c r="G267" s="39">
        <f>IF(C267=0, 0,D267*C267)</f>
        <v>35420</v>
      </c>
      <c r="H267" s="180">
        <f>IF(C267=0, D267, (E267-D267)/D267)</f>
        <v>-0.59909655561829478</v>
      </c>
      <c r="I267" s="171"/>
      <c r="J267" s="39"/>
      <c r="K267" s="39"/>
    </row>
    <row r="268" spans="1:11" x14ac:dyDescent="0.25">
      <c r="B268" s="164"/>
      <c r="C268" s="218"/>
      <c r="D268" s="219"/>
      <c r="E268" s="39"/>
      <c r="F268" s="39"/>
      <c r="G268" s="39"/>
      <c r="H268" s="180"/>
      <c r="I268" s="171"/>
      <c r="J268" s="39"/>
      <c r="K268" s="39"/>
    </row>
    <row r="269" spans="1:11" x14ac:dyDescent="0.25">
      <c r="B269" s="164"/>
      <c r="C269" s="218"/>
      <c r="D269" s="219"/>
      <c r="E269" s="39"/>
      <c r="F269" s="39"/>
      <c r="G269" s="39"/>
      <c r="H269" s="180"/>
      <c r="I269" s="171"/>
      <c r="J269" s="39"/>
      <c r="K269" s="39"/>
    </row>
    <row r="270" spans="1:11" x14ac:dyDescent="0.25">
      <c r="B270" s="164"/>
      <c r="C270" s="218"/>
      <c r="D270" s="219"/>
      <c r="E270" s="39"/>
      <c r="F270" s="39"/>
      <c r="G270" s="39"/>
      <c r="H270" s="180"/>
      <c r="I270" s="171"/>
      <c r="J270" s="39"/>
      <c r="K270" s="39"/>
    </row>
    <row r="271" spans="1:11" x14ac:dyDescent="0.25">
      <c r="B271" s="164"/>
      <c r="C271" s="218"/>
      <c r="D271" s="219"/>
      <c r="E271" s="39"/>
      <c r="F271" s="39"/>
      <c r="G271" s="39"/>
      <c r="H271" s="180"/>
      <c r="I271" s="171"/>
      <c r="J271" s="39"/>
      <c r="K271" s="39"/>
    </row>
    <row r="272" spans="1:11" x14ac:dyDescent="0.25">
      <c r="B272" s="164"/>
      <c r="C272" s="218"/>
      <c r="D272" s="219"/>
      <c r="E272" s="39"/>
      <c r="F272" s="39"/>
      <c r="G272" s="39"/>
      <c r="H272" s="180"/>
      <c r="I272" s="171"/>
      <c r="J272" s="39"/>
      <c r="K272" s="39"/>
    </row>
    <row r="273" spans="2:11" x14ac:dyDescent="0.25">
      <c r="B273" s="164"/>
      <c r="C273" s="218"/>
      <c r="D273" s="219"/>
      <c r="E273" s="39"/>
      <c r="F273" s="39"/>
      <c r="G273" s="39"/>
      <c r="H273" s="180"/>
      <c r="I273" s="171"/>
      <c r="J273" s="39"/>
      <c r="K273" s="39"/>
    </row>
    <row r="274" spans="2:11" x14ac:dyDescent="0.25">
      <c r="B274" s="164"/>
      <c r="C274" s="218"/>
      <c r="D274" s="219"/>
      <c r="E274" s="39"/>
      <c r="F274" s="39"/>
      <c r="G274" s="39"/>
      <c r="H274" s="180"/>
      <c r="I274" s="171"/>
      <c r="J274" s="39"/>
      <c r="K274" s="39"/>
    </row>
    <row r="275" spans="2:11" x14ac:dyDescent="0.25">
      <c r="B275" s="164"/>
      <c r="C275" s="218"/>
      <c r="D275" s="219"/>
      <c r="E275" s="39"/>
      <c r="F275" s="39"/>
      <c r="G275" s="39"/>
      <c r="H275" s="180"/>
      <c r="I275" s="171"/>
      <c r="J275" s="39"/>
      <c r="K275" s="39"/>
    </row>
    <row r="276" spans="2:11" x14ac:dyDescent="0.25">
      <c r="B276" s="164"/>
      <c r="C276" s="218"/>
      <c r="D276" s="219"/>
      <c r="E276" s="39"/>
      <c r="F276" s="39"/>
      <c r="G276" s="39"/>
      <c r="H276" s="180"/>
      <c r="I276" s="171"/>
      <c r="J276" s="39"/>
      <c r="K276" s="39"/>
    </row>
    <row r="277" spans="2:11" x14ac:dyDescent="0.25">
      <c r="B277" s="164"/>
      <c r="C277" s="218"/>
      <c r="D277" s="219"/>
      <c r="E277" s="39"/>
      <c r="F277" s="39"/>
      <c r="G277" s="39"/>
      <c r="H277" s="180"/>
      <c r="I277" s="171"/>
      <c r="J277" s="39"/>
      <c r="K277" s="39"/>
    </row>
    <row r="278" spans="2:11" x14ac:dyDescent="0.25">
      <c r="B278" s="164"/>
      <c r="C278" s="218"/>
      <c r="D278" s="219"/>
      <c r="E278" s="39"/>
      <c r="F278" s="39"/>
      <c r="G278" s="39"/>
      <c r="H278" s="180"/>
      <c r="I278" s="171"/>
      <c r="J278" s="39"/>
      <c r="K278" s="39"/>
    </row>
    <row r="279" spans="2:11" x14ac:dyDescent="0.25">
      <c r="B279" s="164"/>
      <c r="C279" s="218"/>
      <c r="D279" s="219"/>
      <c r="E279" s="39"/>
      <c r="F279" s="39"/>
      <c r="G279" s="39"/>
      <c r="H279" s="180"/>
      <c r="I279" s="171"/>
      <c r="J279" s="39"/>
      <c r="K279" s="39"/>
    </row>
    <row r="280" spans="2:11" x14ac:dyDescent="0.25">
      <c r="B280" s="164"/>
      <c r="C280" s="218"/>
      <c r="D280" s="219"/>
      <c r="E280" s="39"/>
      <c r="F280" s="39"/>
      <c r="G280" s="39"/>
      <c r="H280" s="180"/>
      <c r="I280" s="171"/>
      <c r="J280" s="39"/>
      <c r="K280" s="39"/>
    </row>
    <row r="281" spans="2:11" x14ac:dyDescent="0.25">
      <c r="B281" s="164"/>
      <c r="C281" s="218"/>
      <c r="D281" s="219"/>
      <c r="E281" s="39"/>
      <c r="F281" s="39"/>
      <c r="G281" s="39"/>
      <c r="H281" s="180"/>
      <c r="I281" s="171"/>
      <c r="J281" s="39"/>
      <c r="K281" s="39"/>
    </row>
    <row r="282" spans="2:11" x14ac:dyDescent="0.25">
      <c r="B282" s="164"/>
      <c r="C282" s="218"/>
      <c r="D282" s="219"/>
      <c r="E282" s="39"/>
      <c r="F282" s="39"/>
      <c r="G282" s="39"/>
      <c r="H282" s="180"/>
      <c r="I282" s="171"/>
      <c r="J282" s="39"/>
      <c r="K282" s="39"/>
    </row>
    <row r="283" spans="2:11" x14ac:dyDescent="0.25">
      <c r="B283" s="164"/>
      <c r="C283" s="218"/>
      <c r="D283" s="219"/>
      <c r="E283" s="39"/>
      <c r="F283" s="39"/>
      <c r="G283" s="39"/>
      <c r="H283" s="180"/>
      <c r="I283" s="171"/>
      <c r="J283" s="39"/>
      <c r="K283" s="39"/>
    </row>
  </sheetData>
  <mergeCells count="2">
    <mergeCell ref="B47:B48"/>
    <mergeCell ref="A98:A99"/>
  </mergeCells>
  <conditionalFormatting sqref="Q12 F148 H137:H140 H179:H182 F179:F182 H148 H153:H166 F153:F166">
    <cfRule type="expression" dxfId="1728" priority="74">
      <formula>F12&gt;0</formula>
    </cfRule>
    <cfRule type="expression" dxfId="1727" priority="75">
      <formula>F12&lt;0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AD1:AD1048576">
    <cfRule type="dataBar" priority="70">
      <dataBar>
        <cfvo type="min"/>
        <cfvo type="max"/>
        <color rgb="FFFF555A"/>
      </dataBar>
      <extLst>
        <ext xmlns:x14="http://schemas.microsoft.com/office/spreadsheetml/2009/9/main" uri="{B025F937-C7B1-47D3-B67F-A62EFF666E3E}">
          <x14:id>{9299B53F-4A6E-4484-8560-CCEA6A4C0C32}</x14:id>
        </ext>
      </extLst>
    </cfRule>
  </conditionalFormatting>
  <conditionalFormatting sqref="AE1:AE1048576">
    <cfRule type="iconSet" priority="69">
      <iconSet iconSet="3Arrows">
        <cfvo type="percent" val="0"/>
        <cfvo type="num" val="0"/>
        <cfvo type="num" val="0"/>
      </iconSet>
    </cfRule>
  </conditionalFormatting>
  <conditionalFormatting sqref="F124:F140">
    <cfRule type="expression" dxfId="1726" priority="67">
      <formula>F124&gt;0</formula>
    </cfRule>
    <cfRule type="expression" dxfId="1725" priority="68">
      <formula>F124&lt;0</formula>
    </cfRule>
  </conditionalFormatting>
  <conditionalFormatting sqref="H124:H130">
    <cfRule type="expression" dxfId="1724" priority="55">
      <formula>H124&gt;0</formula>
    </cfRule>
    <cfRule type="expression" dxfId="1723" priority="56">
      <formula>H124&lt;0</formula>
    </cfRule>
  </conditionalFormatting>
  <conditionalFormatting sqref="H131">
    <cfRule type="expression" dxfId="1722" priority="53">
      <formula>H131&gt;0</formula>
    </cfRule>
    <cfRule type="expression" dxfId="1721" priority="54">
      <formula>H131&lt;0</formula>
    </cfRule>
  </conditionalFormatting>
  <conditionalFormatting sqref="H132">
    <cfRule type="expression" dxfId="1720" priority="51">
      <formula>H132&gt;0</formula>
    </cfRule>
    <cfRule type="expression" dxfId="1719" priority="52">
      <formula>H132&lt;0</formula>
    </cfRule>
  </conditionalFormatting>
  <conditionalFormatting sqref="H133:H135">
    <cfRule type="expression" dxfId="1718" priority="49">
      <formula>H133&gt;0</formula>
    </cfRule>
    <cfRule type="expression" dxfId="1717" priority="50">
      <formula>H133&lt;0</formula>
    </cfRule>
  </conditionalFormatting>
  <conditionalFormatting sqref="H136">
    <cfRule type="expression" dxfId="1716" priority="45">
      <formula>H136&gt;0</formula>
    </cfRule>
    <cfRule type="expression" dxfId="1715" priority="46">
      <formula>H136&lt;0</formula>
    </cfRule>
  </conditionalFormatting>
  <conditionalFormatting sqref="Q7">
    <cfRule type="expression" dxfId="1714" priority="39">
      <formula>Q7&gt;0</formula>
    </cfRule>
    <cfRule type="expression" dxfId="1713" priority="40">
      <formula>Q7&lt;0</formula>
    </cfRule>
  </conditionalFormatting>
  <conditionalFormatting sqref="Q8">
    <cfRule type="expression" dxfId="1712" priority="37">
      <formula>Q8&gt;0</formula>
    </cfRule>
    <cfRule type="expression" dxfId="1711" priority="38">
      <formula>Q8&lt;0</formula>
    </cfRule>
  </conditionalFormatting>
  <conditionalFormatting sqref="F167:F178 H167:H178">
    <cfRule type="expression" dxfId="1710" priority="35">
      <formula>F167&gt;0</formula>
    </cfRule>
    <cfRule type="expression" dxfId="1709" priority="36">
      <formula>F167&lt;0</formula>
    </cfRule>
  </conditionalFormatting>
  <conditionalFormatting sqref="F183:F197 H183:H197">
    <cfRule type="expression" dxfId="1708" priority="33">
      <formula>F183&gt;0</formula>
    </cfRule>
    <cfRule type="expression" dxfId="1707" priority="34">
      <formula>F183&lt;0</formula>
    </cfRule>
  </conditionalFormatting>
  <conditionalFormatting sqref="F198:F206 H198:H206">
    <cfRule type="expression" dxfId="1706" priority="31">
      <formula>F198&gt;0</formula>
    </cfRule>
    <cfRule type="expression" dxfId="1705" priority="32">
      <formula>F198&lt;0</formula>
    </cfRule>
  </conditionalFormatting>
  <conditionalFormatting sqref="F141:F147 H141:H147">
    <cfRule type="expression" dxfId="1704" priority="29">
      <formula>F141&gt;0</formula>
    </cfRule>
    <cfRule type="expression" dxfId="1703" priority="30">
      <formula>F141&lt;0</formula>
    </cfRule>
  </conditionalFormatting>
  <conditionalFormatting sqref="H149:H152 F149:F152">
    <cfRule type="expression" dxfId="1702" priority="27">
      <formula>F149&gt;0</formula>
    </cfRule>
    <cfRule type="expression" dxfId="1701" priority="28">
      <formula>F149&lt;0</formula>
    </cfRule>
  </conditionalFormatting>
  <conditionalFormatting sqref="F226 H215:H218 H257:H260 F257:F260 H226 H231:H233 F231:F233 F235:F244 H235:H244">
    <cfRule type="expression" dxfId="1700" priority="25">
      <formula>F215&gt;0</formula>
    </cfRule>
    <cfRule type="expression" dxfId="1699" priority="26">
      <formula>F215&lt;0</formula>
    </cfRule>
  </conditionalFormatting>
  <conditionalFormatting sqref="F207:F218">
    <cfRule type="expression" dxfId="1698" priority="23">
      <formula>F207&gt;0</formula>
    </cfRule>
    <cfRule type="expression" dxfId="1697" priority="24">
      <formula>F207&lt;0</formula>
    </cfRule>
  </conditionalFormatting>
  <conditionalFormatting sqref="H207:H208">
    <cfRule type="expression" dxfId="1696" priority="21">
      <formula>H207&gt;0</formula>
    </cfRule>
    <cfRule type="expression" dxfId="1695" priority="22">
      <formula>H207&lt;0</formula>
    </cfRule>
  </conditionalFormatting>
  <conditionalFormatting sqref="H209">
    <cfRule type="expression" dxfId="1694" priority="19">
      <formula>H209&gt;0</formula>
    </cfRule>
    <cfRule type="expression" dxfId="1693" priority="20">
      <formula>H209&lt;0</formula>
    </cfRule>
  </conditionalFormatting>
  <conditionalFormatting sqref="H210">
    <cfRule type="expression" dxfId="1692" priority="17">
      <formula>H210&gt;0</formula>
    </cfRule>
    <cfRule type="expression" dxfId="1691" priority="18">
      <formula>H210&lt;0</formula>
    </cfRule>
  </conditionalFormatting>
  <conditionalFormatting sqref="H211:H213">
    <cfRule type="expression" dxfId="1690" priority="15">
      <formula>H211&gt;0</formula>
    </cfRule>
    <cfRule type="expression" dxfId="1689" priority="16">
      <formula>H211&lt;0</formula>
    </cfRule>
  </conditionalFormatting>
  <conditionalFormatting sqref="H214">
    <cfRule type="expression" dxfId="1688" priority="13">
      <formula>H214&gt;0</formula>
    </cfRule>
    <cfRule type="expression" dxfId="1687" priority="14">
      <formula>H214&lt;0</formula>
    </cfRule>
  </conditionalFormatting>
  <conditionalFormatting sqref="F245:F256 H245:H256">
    <cfRule type="expression" dxfId="1686" priority="11">
      <formula>F245&gt;0</formula>
    </cfRule>
    <cfRule type="expression" dxfId="1685" priority="12">
      <formula>F245&lt;0</formula>
    </cfRule>
  </conditionalFormatting>
  <conditionalFormatting sqref="F261:F275 H261:H275">
    <cfRule type="expression" dxfId="1684" priority="9">
      <formula>F261&gt;0</formula>
    </cfRule>
    <cfRule type="expression" dxfId="1683" priority="10">
      <formula>F261&lt;0</formula>
    </cfRule>
  </conditionalFormatting>
  <conditionalFormatting sqref="F276:F283 H276:H283">
    <cfRule type="expression" dxfId="1682" priority="7">
      <formula>F276&gt;0</formula>
    </cfRule>
    <cfRule type="expression" dxfId="1681" priority="8">
      <formula>F276&lt;0</formula>
    </cfRule>
  </conditionalFormatting>
  <conditionalFormatting sqref="F219:F225 H219:H225">
    <cfRule type="expression" dxfId="1680" priority="5">
      <formula>F219&gt;0</formula>
    </cfRule>
    <cfRule type="expression" dxfId="1679" priority="6">
      <formula>F219&lt;0</formula>
    </cfRule>
  </conditionalFormatting>
  <conditionalFormatting sqref="H227:H230 F227:F230">
    <cfRule type="expression" dxfId="1678" priority="3">
      <formula>F227&gt;0</formula>
    </cfRule>
    <cfRule type="expression" dxfId="1677" priority="4">
      <formula>F227&lt;0</formula>
    </cfRule>
  </conditionalFormatting>
  <conditionalFormatting sqref="H234 F234">
    <cfRule type="expression" dxfId="1676" priority="1">
      <formula>F234&gt;0</formula>
    </cfRule>
    <cfRule type="expression" dxfId="1675" priority="2">
      <formula>F234&lt;0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299B53F-4A6E-4484-8560-CCEA6A4C0C32}">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300</v>
      </c>
      <c r="B2" s="407"/>
      <c r="C2" s="4"/>
      <c r="D2" s="3"/>
      <c r="E2" s="3"/>
      <c r="F2" s="3"/>
      <c r="G2" s="407"/>
      <c r="H2" s="4"/>
      <c r="I2" s="3"/>
      <c r="J2" s="3"/>
      <c r="K2" s="3"/>
      <c r="L2" s="72"/>
      <c r="M2" s="3"/>
      <c r="O2" s="11" t="s">
        <v>57</v>
      </c>
      <c r="Q2">
        <f>C18-H18</f>
        <v>0</v>
      </c>
      <c r="T2" s="1"/>
      <c r="W2" s="130">
        <v>42830</v>
      </c>
      <c r="X2" s="10">
        <v>93.27</v>
      </c>
      <c r="Y2" s="10">
        <v>94.91</v>
      </c>
      <c r="Z2" s="10">
        <v>93</v>
      </c>
      <c r="AA2" s="10">
        <v>93.09</v>
      </c>
      <c r="AB2" s="93">
        <v>1820500</v>
      </c>
      <c r="AC2" s="10">
        <v>93.09</v>
      </c>
      <c r="AD2" s="2">
        <f>Y2-Z2</f>
        <v>1.9099999999999966</v>
      </c>
      <c r="AE2" s="134">
        <f>AC2/AC3-1</f>
        <v>-1.0741138560677044E-4</v>
      </c>
    </row>
    <row r="3" spans="1:31" x14ac:dyDescent="0.25">
      <c r="A3" s="22" t="s">
        <v>71</v>
      </c>
      <c r="B3" s="407"/>
      <c r="C3" s="4"/>
      <c r="D3" s="3"/>
      <c r="E3" s="3"/>
      <c r="F3" s="3"/>
      <c r="G3" s="407"/>
      <c r="H3" s="161"/>
      <c r="I3" s="3"/>
      <c r="J3" s="3"/>
      <c r="K3" s="3"/>
      <c r="L3" s="4"/>
      <c r="M3" s="4"/>
      <c r="O3" s="11" t="s">
        <v>58</v>
      </c>
      <c r="Q3" s="178">
        <f>IF(Q2=0, Q4, (F18-K18-M18)/Q2)</f>
        <v>168.74</v>
      </c>
      <c r="T3" s="1"/>
      <c r="W3" s="130">
        <v>42829</v>
      </c>
      <c r="X3" s="10">
        <v>94.15</v>
      </c>
      <c r="Y3" s="10">
        <v>94.45</v>
      </c>
      <c r="Z3" s="10">
        <v>92.94</v>
      </c>
      <c r="AA3" s="10">
        <v>93.1</v>
      </c>
      <c r="AB3" s="93">
        <v>1169500</v>
      </c>
      <c r="AC3" s="10">
        <v>93.1</v>
      </c>
      <c r="AD3" s="2">
        <f t="shared" ref="AD3:AD66" si="0">Y3-Z3</f>
        <v>1.5100000000000051</v>
      </c>
      <c r="AE3" s="134">
        <f t="shared" ref="AE3:AE66" si="1">AC3/AC4-1</f>
        <v>-1.429327686606674E-2</v>
      </c>
    </row>
    <row r="4" spans="1:31" x14ac:dyDescent="0.25">
      <c r="B4" s="407"/>
      <c r="C4" s="4"/>
      <c r="D4" s="3"/>
      <c r="E4" s="3"/>
      <c r="F4" s="3"/>
      <c r="G4" s="407"/>
      <c r="H4" s="161"/>
      <c r="I4" s="3"/>
      <c r="J4" s="3"/>
      <c r="K4" s="3"/>
      <c r="L4" s="4"/>
      <c r="M4" s="4"/>
      <c r="O4" s="11" t="s">
        <v>66</v>
      </c>
      <c r="Q4" s="54">
        <v>168.74</v>
      </c>
      <c r="R4" s="405">
        <v>1.83E-2</v>
      </c>
      <c r="T4" s="156"/>
      <c r="U4" s="1"/>
      <c r="W4" s="130">
        <v>42828</v>
      </c>
      <c r="X4" s="10">
        <v>93.98</v>
      </c>
      <c r="Y4" s="10">
        <v>94.64</v>
      </c>
      <c r="Z4" s="10">
        <v>93.57</v>
      </c>
      <c r="AA4" s="10">
        <v>94.45</v>
      </c>
      <c r="AB4" s="93">
        <v>1384000</v>
      </c>
      <c r="AC4" s="10">
        <v>94.45</v>
      </c>
      <c r="AD4" s="2">
        <f t="shared" si="0"/>
        <v>1.0700000000000074</v>
      </c>
      <c r="AE4" s="134">
        <f t="shared" si="1"/>
        <v>4.0395450196664129E-3</v>
      </c>
    </row>
    <row r="5" spans="1:31" x14ac:dyDescent="0.25">
      <c r="B5" s="407"/>
      <c r="C5" s="4"/>
      <c r="D5" s="3"/>
      <c r="E5" s="3"/>
      <c r="F5" s="3"/>
      <c r="G5" s="407"/>
      <c r="H5" s="161"/>
      <c r="I5" s="3"/>
      <c r="J5" s="3"/>
      <c r="K5" s="3"/>
      <c r="L5" s="4"/>
      <c r="M5" s="4"/>
      <c r="O5" s="11" t="s">
        <v>67</v>
      </c>
      <c r="Q5" s="3">
        <f>Q4*Q2</f>
        <v>0</v>
      </c>
      <c r="W5" s="130">
        <v>42825</v>
      </c>
      <c r="X5" s="10">
        <v>93.74</v>
      </c>
      <c r="Y5" s="10">
        <v>94.55</v>
      </c>
      <c r="Z5" s="10">
        <v>93.22</v>
      </c>
      <c r="AA5" s="10">
        <v>94.07</v>
      </c>
      <c r="AB5" s="93">
        <v>1200700</v>
      </c>
      <c r="AC5" s="10">
        <v>94.07</v>
      </c>
      <c r="AD5" s="2">
        <f t="shared" si="0"/>
        <v>1.3299999999999983</v>
      </c>
      <c r="AE5" s="134">
        <f t="shared" si="1"/>
        <v>2.2373748135520177E-3</v>
      </c>
    </row>
    <row r="6" spans="1:31" x14ac:dyDescent="0.25">
      <c r="B6" s="407"/>
      <c r="C6" s="4"/>
      <c r="D6" s="3"/>
      <c r="E6" s="3"/>
      <c r="F6" s="3"/>
      <c r="G6" s="407"/>
      <c r="H6" s="161"/>
      <c r="I6" s="3"/>
      <c r="J6" s="3"/>
      <c r="K6" s="3"/>
      <c r="L6" s="4"/>
      <c r="M6" s="4"/>
      <c r="O6" s="11" t="s">
        <v>64</v>
      </c>
      <c r="Q6" s="2">
        <f>Q3*Q2</f>
        <v>0</v>
      </c>
      <c r="W6" s="130">
        <v>42824</v>
      </c>
      <c r="X6" s="10">
        <v>94.47</v>
      </c>
      <c r="Y6" s="10">
        <v>94.67</v>
      </c>
      <c r="Z6" s="10">
        <v>93.62</v>
      </c>
      <c r="AA6" s="10">
        <v>93.86</v>
      </c>
      <c r="AB6" s="93">
        <v>979100</v>
      </c>
      <c r="AC6" s="10">
        <v>93.86</v>
      </c>
      <c r="AD6" s="2">
        <f t="shared" si="0"/>
        <v>1.0499999999999972</v>
      </c>
      <c r="AE6" s="134">
        <f t="shared" si="1"/>
        <v>-5.6150015891514027E-3</v>
      </c>
    </row>
    <row r="7" spans="1:31" x14ac:dyDescent="0.25">
      <c r="B7" s="407"/>
      <c r="C7" s="4"/>
      <c r="D7" s="3"/>
      <c r="E7" s="3"/>
      <c r="F7" s="3"/>
      <c r="G7" s="407"/>
      <c r="H7" s="161"/>
      <c r="I7" s="3"/>
      <c r="J7" s="3"/>
      <c r="K7" s="3"/>
      <c r="L7" s="4"/>
      <c r="M7" s="4"/>
      <c r="O7" s="11" t="s">
        <v>177</v>
      </c>
      <c r="Q7" s="2">
        <f>Q10+Q8</f>
        <v>720.56000000000131</v>
      </c>
      <c r="R7">
        <v>0</v>
      </c>
      <c r="W7" s="130">
        <v>42823</v>
      </c>
      <c r="X7" s="10">
        <v>94.19</v>
      </c>
      <c r="Y7" s="10">
        <v>94.89</v>
      </c>
      <c r="Z7" s="10">
        <v>93.81</v>
      </c>
      <c r="AA7" s="10">
        <v>94.39</v>
      </c>
      <c r="AB7" s="93">
        <v>1317900</v>
      </c>
      <c r="AC7" s="10">
        <v>94.39</v>
      </c>
      <c r="AD7" s="2">
        <f t="shared" si="0"/>
        <v>1.0799999999999983</v>
      </c>
      <c r="AE7" s="134">
        <f t="shared" si="1"/>
        <v>0</v>
      </c>
    </row>
    <row r="8" spans="1:31" x14ac:dyDescent="0.25">
      <c r="B8" s="407"/>
      <c r="C8" s="4"/>
      <c r="D8" s="3"/>
      <c r="E8" s="3"/>
      <c r="F8" s="3"/>
      <c r="G8" s="407"/>
      <c r="H8" s="161"/>
      <c r="I8" s="3"/>
      <c r="J8" s="3"/>
      <c r="K8" s="3"/>
      <c r="L8" s="4"/>
      <c r="M8" s="4"/>
      <c r="O8" s="11" t="s">
        <v>179</v>
      </c>
      <c r="P8" s="33"/>
      <c r="Q8" s="2">
        <f>K18+M18-F18+Q2*Q4</f>
        <v>0</v>
      </c>
      <c r="W8" s="130">
        <v>42822</v>
      </c>
      <c r="X8" s="10">
        <v>95.61</v>
      </c>
      <c r="Y8" s="10">
        <v>96.49</v>
      </c>
      <c r="Z8" s="10">
        <v>93.57</v>
      </c>
      <c r="AA8" s="10">
        <v>94.39</v>
      </c>
      <c r="AB8" s="93">
        <v>2315400</v>
      </c>
      <c r="AC8" s="10">
        <v>94.39</v>
      </c>
      <c r="AD8" s="2">
        <f t="shared" si="0"/>
        <v>2.9200000000000017</v>
      </c>
      <c r="AE8" s="134">
        <f t="shared" si="1"/>
        <v>-1.543757171169291E-2</v>
      </c>
    </row>
    <row r="9" spans="1:31" x14ac:dyDescent="0.25">
      <c r="B9" s="407"/>
      <c r="C9" s="4"/>
      <c r="D9" s="3"/>
      <c r="E9" s="3"/>
      <c r="F9" s="3"/>
      <c r="G9" s="407"/>
      <c r="H9" s="161"/>
      <c r="I9" s="3"/>
      <c r="J9" s="3"/>
      <c r="K9" s="3"/>
      <c r="L9" s="4"/>
      <c r="M9" s="4"/>
      <c r="O9" s="11" t="s">
        <v>204</v>
      </c>
      <c r="Q9" s="134">
        <f>IF(Q2=0, 0, Q8/Q6)</f>
        <v>0</v>
      </c>
      <c r="W9" s="130">
        <v>42821</v>
      </c>
      <c r="X9" s="10">
        <v>95.47</v>
      </c>
      <c r="Y9" s="10">
        <v>96.35</v>
      </c>
      <c r="Z9" s="10">
        <v>94.47</v>
      </c>
      <c r="AA9" s="10">
        <v>95.87</v>
      </c>
      <c r="AB9" s="93">
        <v>1870700</v>
      </c>
      <c r="AC9" s="10">
        <v>95.87</v>
      </c>
      <c r="AD9" s="2">
        <f t="shared" si="0"/>
        <v>1.8799999999999955</v>
      </c>
      <c r="AE9" s="134">
        <f t="shared" si="1"/>
        <v>2.9291766921226703E-3</v>
      </c>
    </row>
    <row r="10" spans="1:31" x14ac:dyDescent="0.25">
      <c r="G10" s="29"/>
      <c r="H10" s="70"/>
      <c r="O10" s="11" t="s">
        <v>203</v>
      </c>
      <c r="P10" s="33"/>
      <c r="Q10" s="2">
        <f>M71</f>
        <v>720.56000000000131</v>
      </c>
      <c r="W10" s="130">
        <v>42818</v>
      </c>
      <c r="X10" s="10">
        <v>94.29</v>
      </c>
      <c r="Y10" s="10">
        <v>96.03</v>
      </c>
      <c r="Z10" s="10">
        <v>94.26</v>
      </c>
      <c r="AA10" s="10">
        <v>95.59</v>
      </c>
      <c r="AB10" s="93">
        <v>1943100</v>
      </c>
      <c r="AC10" s="10">
        <v>95.59</v>
      </c>
      <c r="AD10" s="2">
        <f t="shared" si="0"/>
        <v>1.769999999999996</v>
      </c>
      <c r="AE10" s="134">
        <f t="shared" si="1"/>
        <v>1.3679745493107243E-2</v>
      </c>
    </row>
    <row r="11" spans="1:31" x14ac:dyDescent="0.25">
      <c r="G11" s="29"/>
      <c r="H11" s="70"/>
      <c r="O11" s="11" t="s">
        <v>175</v>
      </c>
      <c r="P11" s="33"/>
      <c r="Q11" s="134">
        <f>IF(U58="N/A (N/A)", 0, VALUE(TRIM(CLEAN(MID(U58, FIND("(", U58)+1, 5)))))</f>
        <v>0</v>
      </c>
      <c r="W11" s="130">
        <v>42817</v>
      </c>
      <c r="X11" s="10">
        <v>93.47</v>
      </c>
      <c r="Y11" s="10">
        <v>95.32</v>
      </c>
      <c r="Z11" s="10">
        <v>93.22</v>
      </c>
      <c r="AA11" s="10">
        <v>94.3</v>
      </c>
      <c r="AB11" s="93">
        <v>1666500</v>
      </c>
      <c r="AC11" s="10">
        <v>94.3</v>
      </c>
      <c r="AD11" s="2">
        <f t="shared" si="0"/>
        <v>2.0999999999999943</v>
      </c>
      <c r="AE11" s="134">
        <f t="shared" si="1"/>
        <v>8.8798544987696015E-3</v>
      </c>
    </row>
    <row r="12" spans="1:31" x14ac:dyDescent="0.25">
      <c r="G12" s="29"/>
      <c r="H12" s="70"/>
      <c r="W12" s="130">
        <v>42816</v>
      </c>
      <c r="X12" s="10">
        <v>92.91</v>
      </c>
      <c r="Y12" s="10">
        <v>93.57</v>
      </c>
      <c r="Z12" s="10">
        <v>92.35</v>
      </c>
      <c r="AA12" s="10">
        <v>93.47</v>
      </c>
      <c r="AB12" s="93">
        <v>1372800</v>
      </c>
      <c r="AC12" s="10">
        <v>93.47</v>
      </c>
      <c r="AD12" s="2">
        <f t="shared" si="0"/>
        <v>1.2199999999999989</v>
      </c>
      <c r="AE12" s="134">
        <f t="shared" si="1"/>
        <v>6.5690286452724234E-3</v>
      </c>
    </row>
    <row r="13" spans="1:31" x14ac:dyDescent="0.25">
      <c r="G13" s="29"/>
      <c r="H13" s="70"/>
      <c r="W13" s="130">
        <v>42815</v>
      </c>
      <c r="X13" s="10">
        <v>94.15</v>
      </c>
      <c r="Y13" s="10">
        <v>94.93</v>
      </c>
      <c r="Z13" s="10">
        <v>92.66</v>
      </c>
      <c r="AA13" s="10">
        <v>92.86</v>
      </c>
      <c r="AB13" s="93">
        <v>1676900</v>
      </c>
      <c r="AC13" s="10">
        <v>92.86</v>
      </c>
      <c r="AD13" s="2">
        <f t="shared" si="0"/>
        <v>2.2700000000000102</v>
      </c>
      <c r="AE13" s="134">
        <f t="shared" si="1"/>
        <v>-1.296768707482987E-2</v>
      </c>
    </row>
    <row r="14" spans="1:31" x14ac:dyDescent="0.25">
      <c r="G14" s="29"/>
      <c r="H14" s="70"/>
      <c r="W14" s="130">
        <v>42814</v>
      </c>
      <c r="X14" s="10">
        <v>94.24</v>
      </c>
      <c r="Y14" s="10">
        <v>94.44</v>
      </c>
      <c r="Z14" s="10">
        <v>93.71</v>
      </c>
      <c r="AA14" s="10">
        <v>94.08</v>
      </c>
      <c r="AB14" s="93">
        <v>1460600</v>
      </c>
      <c r="AC14" s="10">
        <v>94.08</v>
      </c>
      <c r="AD14" s="2">
        <f t="shared" si="0"/>
        <v>0.73000000000000398</v>
      </c>
      <c r="AE14" s="134">
        <f t="shared" si="1"/>
        <v>-3.3898305084746339E-3</v>
      </c>
    </row>
    <row r="15" spans="1:31" x14ac:dyDescent="0.25">
      <c r="G15" s="29"/>
      <c r="H15" s="70"/>
      <c r="W15" s="130">
        <v>42811</v>
      </c>
      <c r="X15" s="10">
        <v>92.75</v>
      </c>
      <c r="Y15" s="10">
        <v>95.79</v>
      </c>
      <c r="Z15" s="10">
        <v>91.3</v>
      </c>
      <c r="AA15" s="10">
        <v>94.4</v>
      </c>
      <c r="AB15" s="93">
        <v>3006500</v>
      </c>
      <c r="AC15" s="10">
        <v>94.4</v>
      </c>
      <c r="AD15" s="2">
        <f t="shared" si="0"/>
        <v>4.4900000000000091</v>
      </c>
      <c r="AE15" s="134">
        <f t="shared" si="1"/>
        <v>1.559978483055402E-2</v>
      </c>
    </row>
    <row r="16" spans="1:31" x14ac:dyDescent="0.25">
      <c r="G16" s="29"/>
      <c r="H16" s="70"/>
      <c r="W16" s="130">
        <v>42810</v>
      </c>
      <c r="X16" s="10">
        <v>93.95</v>
      </c>
      <c r="Y16" s="10">
        <v>94.36</v>
      </c>
      <c r="Z16" s="10">
        <v>92.64</v>
      </c>
      <c r="AA16" s="10">
        <v>92.95</v>
      </c>
      <c r="AB16" s="93">
        <v>1277300</v>
      </c>
      <c r="AC16" s="10">
        <v>92.95</v>
      </c>
      <c r="AD16" s="2">
        <f t="shared" si="0"/>
        <v>1.7199999999999989</v>
      </c>
      <c r="AE16" s="134">
        <f t="shared" si="1"/>
        <v>-1.0643959552953719E-2</v>
      </c>
    </row>
    <row r="17" spans="1:31" x14ac:dyDescent="0.25">
      <c r="G17" s="29"/>
      <c r="W17" s="130">
        <v>42809</v>
      </c>
      <c r="X17" s="10">
        <v>93.93</v>
      </c>
      <c r="Y17" s="10">
        <v>94.48</v>
      </c>
      <c r="Z17" s="10">
        <v>93.63</v>
      </c>
      <c r="AA17" s="10">
        <v>93.95</v>
      </c>
      <c r="AB17" s="93">
        <v>1941800</v>
      </c>
      <c r="AC17" s="10">
        <v>93.95</v>
      </c>
      <c r="AD17" s="2">
        <f t="shared" si="0"/>
        <v>0.85000000000000853</v>
      </c>
      <c r="AE17" s="134">
        <f t="shared" si="1"/>
        <v>9.5887492009372188E-4</v>
      </c>
    </row>
    <row r="18" spans="1:31" x14ac:dyDescent="0.25">
      <c r="A18" s="31" t="s">
        <v>81</v>
      </c>
      <c r="B18" s="408"/>
      <c r="C18" s="14">
        <f>SUM(C2:C6)</f>
        <v>0</v>
      </c>
      <c r="D18" s="18"/>
      <c r="E18" s="18"/>
      <c r="F18" s="18">
        <f>SUM(F2:F6)</f>
        <v>0</v>
      </c>
      <c r="G18" s="14"/>
      <c r="H18" s="14">
        <f>SUM(H2:H5)</f>
        <v>0</v>
      </c>
      <c r="I18" s="18"/>
      <c r="J18" s="18"/>
      <c r="K18" s="18">
        <f>SUM(K2:K5)</f>
        <v>0</v>
      </c>
      <c r="L18" s="14"/>
      <c r="M18" s="18">
        <f>SUM(M2:M10)</f>
        <v>0</v>
      </c>
      <c r="W18" s="130">
        <v>42808</v>
      </c>
      <c r="X18" s="10">
        <v>93.2</v>
      </c>
      <c r="Y18" s="10">
        <v>94.55</v>
      </c>
      <c r="Z18" s="10">
        <v>93.09</v>
      </c>
      <c r="AA18" s="10">
        <v>93.86</v>
      </c>
      <c r="AB18" s="93">
        <v>1609300</v>
      </c>
      <c r="AC18" s="10">
        <v>93.86</v>
      </c>
      <c r="AD18" s="2">
        <f t="shared" si="0"/>
        <v>1.4599999999999937</v>
      </c>
      <c r="AE18" s="134">
        <f t="shared" si="1"/>
        <v>2.7777777777777679E-3</v>
      </c>
    </row>
    <row r="19" spans="1:31" ht="15.75" thickBot="1" x14ac:dyDescent="0.3">
      <c r="A19" s="277" t="s">
        <v>191</v>
      </c>
      <c r="B19" s="409"/>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92.74</v>
      </c>
      <c r="Y19" s="10">
        <v>93.95</v>
      </c>
      <c r="Z19" s="10">
        <v>92.43</v>
      </c>
      <c r="AA19" s="10">
        <v>93.6</v>
      </c>
      <c r="AB19" s="93">
        <v>1571400</v>
      </c>
      <c r="AC19" s="10">
        <v>93.6</v>
      </c>
      <c r="AD19" s="2">
        <f t="shared" si="0"/>
        <v>1.519999999999996</v>
      </c>
      <c r="AE19" s="134">
        <f t="shared" si="1"/>
        <v>9.2732370066852532E-3</v>
      </c>
    </row>
    <row r="20" spans="1:31" x14ac:dyDescent="0.25">
      <c r="W20" s="130">
        <v>42804</v>
      </c>
      <c r="X20" s="10">
        <v>93.21</v>
      </c>
      <c r="Y20" s="10">
        <v>93.51</v>
      </c>
      <c r="Z20" s="10">
        <v>91.96</v>
      </c>
      <c r="AA20" s="10">
        <v>92.74</v>
      </c>
      <c r="AB20" s="93">
        <v>2911000</v>
      </c>
      <c r="AC20" s="10">
        <v>92.74</v>
      </c>
      <c r="AD20" s="2">
        <f t="shared" si="0"/>
        <v>1.5500000000000114</v>
      </c>
      <c r="AE20" s="134">
        <f t="shared" si="1"/>
        <v>-3.438641736514203E-3</v>
      </c>
    </row>
    <row r="21" spans="1:31" x14ac:dyDescent="0.25">
      <c r="W21" s="130">
        <v>42803</v>
      </c>
      <c r="X21" s="10">
        <v>89.42</v>
      </c>
      <c r="Y21" s="10">
        <v>93.36</v>
      </c>
      <c r="Z21" s="10">
        <v>89.2</v>
      </c>
      <c r="AA21" s="10">
        <v>93.06</v>
      </c>
      <c r="AB21" s="93">
        <v>3831800</v>
      </c>
      <c r="AC21" s="10">
        <v>93.06</v>
      </c>
      <c r="AD21" s="2">
        <f t="shared" si="0"/>
        <v>4.1599999999999966</v>
      </c>
      <c r="AE21" s="134">
        <f t="shared" si="1"/>
        <v>3.942812465095491E-2</v>
      </c>
    </row>
    <row r="22" spans="1:31" x14ac:dyDescent="0.25">
      <c r="W22" s="130">
        <v>42802</v>
      </c>
      <c r="X22" s="10">
        <v>90.44</v>
      </c>
      <c r="Y22" s="10">
        <v>91.49</v>
      </c>
      <c r="Z22" s="10">
        <v>89.46</v>
      </c>
      <c r="AA22" s="10">
        <v>89.53</v>
      </c>
      <c r="AB22" s="93">
        <v>2906200</v>
      </c>
      <c r="AC22" s="10">
        <v>89.53</v>
      </c>
      <c r="AD22" s="2">
        <f t="shared" si="0"/>
        <v>2.0300000000000011</v>
      </c>
      <c r="AE22" s="134">
        <f t="shared" si="1"/>
        <v>-1.1155290479346158E-2</v>
      </c>
    </row>
    <row r="23" spans="1:31" x14ac:dyDescent="0.25">
      <c r="W23" s="130">
        <v>42801</v>
      </c>
      <c r="X23" s="10">
        <v>89.65</v>
      </c>
      <c r="Y23" s="10">
        <v>91.02</v>
      </c>
      <c r="Z23" s="10">
        <v>89.65</v>
      </c>
      <c r="AA23" s="10">
        <v>90.54</v>
      </c>
      <c r="AB23" s="93">
        <v>2818300</v>
      </c>
      <c r="AC23" s="10">
        <v>90.54</v>
      </c>
      <c r="AD23" s="2">
        <f t="shared" si="0"/>
        <v>1.3699999999999903</v>
      </c>
      <c r="AE23" s="134">
        <f t="shared" si="1"/>
        <v>6.5591995553084814E-3</v>
      </c>
    </row>
    <row r="24" spans="1:31" x14ac:dyDescent="0.25">
      <c r="B24" s="410" t="s">
        <v>113</v>
      </c>
      <c r="C24" s="162" t="s">
        <v>145</v>
      </c>
      <c r="D24" s="163" t="s">
        <v>144</v>
      </c>
      <c r="E24" s="165" t="s">
        <v>146</v>
      </c>
      <c r="F24" s="165" t="s">
        <v>65</v>
      </c>
      <c r="G24" s="177" t="s">
        <v>150</v>
      </c>
      <c r="H24" s="177" t="s">
        <v>88</v>
      </c>
      <c r="I24" s="177" t="s">
        <v>153</v>
      </c>
      <c r="J24" s="177" t="s">
        <v>149</v>
      </c>
      <c r="W24" s="130">
        <v>42800</v>
      </c>
      <c r="X24" s="10">
        <v>91.71</v>
      </c>
      <c r="Y24" s="10">
        <v>92.1</v>
      </c>
      <c r="Z24" s="10">
        <v>89.23</v>
      </c>
      <c r="AA24" s="10">
        <v>89.95</v>
      </c>
      <c r="AB24" s="93">
        <v>4504700</v>
      </c>
      <c r="AC24" s="10">
        <v>89.95</v>
      </c>
      <c r="AD24" s="2">
        <f t="shared" si="0"/>
        <v>2.8699999999999903</v>
      </c>
      <c r="AE24" s="134">
        <f t="shared" si="1"/>
        <v>-2.6936391172652452E-2</v>
      </c>
    </row>
    <row r="25" spans="1:31" x14ac:dyDescent="0.25">
      <c r="B25" s="150"/>
      <c r="C25" s="10"/>
      <c r="D25" s="39"/>
      <c r="E25" s="39"/>
      <c r="F25" s="39"/>
      <c r="G25" s="39"/>
      <c r="H25" s="179"/>
      <c r="I25" s="39"/>
      <c r="J25" s="39"/>
      <c r="W25" s="130">
        <v>42797</v>
      </c>
      <c r="X25" s="10">
        <v>92.5</v>
      </c>
      <c r="Y25" s="10">
        <v>93.36</v>
      </c>
      <c r="Z25" s="10">
        <v>91.89</v>
      </c>
      <c r="AA25" s="10">
        <v>92.44</v>
      </c>
      <c r="AB25" s="93">
        <v>1977800</v>
      </c>
      <c r="AC25" s="10">
        <v>92.44</v>
      </c>
      <c r="AD25" s="2">
        <f t="shared" si="0"/>
        <v>1.4699999999999989</v>
      </c>
      <c r="AE25" s="134">
        <f t="shared" si="1"/>
        <v>-9.8543273350470972E-3</v>
      </c>
    </row>
    <row r="26" spans="1:31" x14ac:dyDescent="0.25">
      <c r="B26" s="150"/>
      <c r="C26" s="10"/>
      <c r="D26" s="39"/>
      <c r="E26" s="39"/>
      <c r="F26" s="39"/>
      <c r="G26" s="39"/>
      <c r="H26" s="179"/>
      <c r="I26" s="39"/>
      <c r="J26" s="39"/>
      <c r="W26" s="130">
        <v>42796</v>
      </c>
      <c r="X26" s="10">
        <v>93.65</v>
      </c>
      <c r="Y26" s="10">
        <v>94.19</v>
      </c>
      <c r="Z26" s="10">
        <v>92.31</v>
      </c>
      <c r="AA26" s="10">
        <v>93.36</v>
      </c>
      <c r="AB26" s="93">
        <v>2725600</v>
      </c>
      <c r="AC26" s="10">
        <v>93.36</v>
      </c>
      <c r="AD26" s="2">
        <f t="shared" si="0"/>
        <v>1.8799999999999955</v>
      </c>
      <c r="AE26" s="134">
        <f t="shared" si="1"/>
        <v>-6.1741537151372983E-3</v>
      </c>
    </row>
    <row r="27" spans="1:31" x14ac:dyDescent="0.25">
      <c r="B27" s="150"/>
      <c r="C27" s="10"/>
      <c r="D27" s="39"/>
      <c r="E27" s="39"/>
      <c r="F27" s="39"/>
      <c r="G27" s="39"/>
      <c r="H27" s="179"/>
      <c r="I27" s="39"/>
      <c r="J27" s="39"/>
      <c r="W27" s="130">
        <v>42795</v>
      </c>
      <c r="X27" s="10">
        <v>94.55</v>
      </c>
      <c r="Y27" s="10">
        <v>94.93</v>
      </c>
      <c r="Z27" s="10">
        <v>91.8</v>
      </c>
      <c r="AA27" s="10">
        <v>93.94</v>
      </c>
      <c r="AB27" s="93">
        <v>3901800</v>
      </c>
      <c r="AC27" s="10">
        <v>93.94</v>
      </c>
      <c r="AD27" s="2">
        <f t="shared" si="0"/>
        <v>3.1300000000000097</v>
      </c>
      <c r="AE27" s="134">
        <f t="shared" si="1"/>
        <v>-1.0633772862612689E-3</v>
      </c>
    </row>
    <row r="28" spans="1:31" x14ac:dyDescent="0.25">
      <c r="B28" s="150"/>
      <c r="C28" s="10"/>
      <c r="D28" s="39"/>
      <c r="E28" s="39"/>
      <c r="F28" s="39"/>
      <c r="G28" s="39"/>
      <c r="H28" s="179"/>
      <c r="I28" s="39"/>
      <c r="J28" s="39"/>
      <c r="W28" s="130">
        <v>42794</v>
      </c>
      <c r="X28" s="10">
        <v>94.52</v>
      </c>
      <c r="Y28" s="10">
        <v>94.59</v>
      </c>
      <c r="Z28" s="10">
        <v>93.62</v>
      </c>
      <c r="AA28" s="10">
        <v>94.04</v>
      </c>
      <c r="AB28" s="93">
        <v>1772000</v>
      </c>
      <c r="AC28" s="10">
        <v>94.04</v>
      </c>
      <c r="AD28" s="2">
        <f t="shared" si="0"/>
        <v>0.96999999999999886</v>
      </c>
      <c r="AE28" s="134">
        <f t="shared" si="1"/>
        <v>-6.5497570251424886E-3</v>
      </c>
    </row>
    <row r="29" spans="1:31" x14ac:dyDescent="0.25">
      <c r="B29" s="150"/>
      <c r="C29" s="10"/>
      <c r="D29" s="39"/>
      <c r="E29" s="39"/>
      <c r="F29" s="39"/>
      <c r="G29" s="39"/>
      <c r="H29" s="179"/>
      <c r="I29" s="39"/>
      <c r="J29" s="39"/>
      <c r="W29" s="130">
        <v>42793</v>
      </c>
      <c r="X29" s="10">
        <v>94.68</v>
      </c>
      <c r="Y29" s="10">
        <v>95.29</v>
      </c>
      <c r="Z29" s="10">
        <v>93.78</v>
      </c>
      <c r="AA29" s="10">
        <v>94.66</v>
      </c>
      <c r="AB29" s="93">
        <v>1450700</v>
      </c>
      <c r="AC29" s="10">
        <v>94.66</v>
      </c>
      <c r="AD29" s="2">
        <f t="shared" si="0"/>
        <v>1.5100000000000051</v>
      </c>
      <c r="AE29" s="134">
        <f t="shared" si="1"/>
        <v>-1.0552975939215337E-3</v>
      </c>
    </row>
    <row r="30" spans="1:31" x14ac:dyDescent="0.25">
      <c r="B30" s="150"/>
      <c r="C30" s="10"/>
      <c r="D30" s="39"/>
      <c r="E30" s="39"/>
      <c r="F30" s="39"/>
      <c r="G30" s="39"/>
      <c r="H30" s="179"/>
      <c r="I30" s="39"/>
      <c r="J30" s="39"/>
      <c r="W30" s="130">
        <v>42790</v>
      </c>
      <c r="X30" s="10">
        <v>94.68</v>
      </c>
      <c r="Y30" s="10">
        <v>95.02</v>
      </c>
      <c r="Z30" s="10">
        <v>94.12</v>
      </c>
      <c r="AA30" s="10">
        <v>94.76</v>
      </c>
      <c r="AB30" s="93">
        <v>1758000</v>
      </c>
      <c r="AC30" s="10">
        <v>94.76</v>
      </c>
      <c r="AD30" s="2">
        <f t="shared" si="0"/>
        <v>0.89999999999999147</v>
      </c>
      <c r="AE30" s="134">
        <f t="shared" si="1"/>
        <v>-9.822361546499403E-3</v>
      </c>
    </row>
    <row r="31" spans="1:31" x14ac:dyDescent="0.25">
      <c r="B31" s="150"/>
      <c r="C31" s="10"/>
      <c r="D31" s="39"/>
      <c r="E31" s="39"/>
      <c r="F31" s="39"/>
      <c r="G31" s="39"/>
      <c r="H31" s="179"/>
      <c r="I31" s="39"/>
      <c r="J31" s="39"/>
      <c r="W31" s="130">
        <v>42789</v>
      </c>
      <c r="X31" s="10">
        <v>100.26</v>
      </c>
      <c r="Y31" s="10">
        <v>100.48</v>
      </c>
      <c r="Z31" s="10">
        <v>94.45</v>
      </c>
      <c r="AA31" s="10">
        <v>95.7</v>
      </c>
      <c r="AB31" s="93">
        <v>6230600</v>
      </c>
      <c r="AC31" s="10">
        <v>95.7</v>
      </c>
      <c r="AD31" s="2">
        <f t="shared" si="0"/>
        <v>6.0300000000000011</v>
      </c>
      <c r="AE31" s="134">
        <f t="shared" si="1"/>
        <v>3.7848389545602545E-2</v>
      </c>
    </row>
    <row r="32" spans="1:31" x14ac:dyDescent="0.25">
      <c r="B32" s="150"/>
      <c r="C32" s="10"/>
      <c r="D32" s="39"/>
      <c r="E32" s="39"/>
      <c r="F32" s="39"/>
      <c r="G32" s="39"/>
      <c r="H32" s="179"/>
      <c r="I32" s="39"/>
      <c r="J32" s="39"/>
      <c r="W32" s="130">
        <v>42788</v>
      </c>
      <c r="X32" s="10">
        <v>92.39</v>
      </c>
      <c r="Y32" s="10">
        <v>92.66</v>
      </c>
      <c r="Z32" s="10">
        <v>91.9</v>
      </c>
      <c r="AA32" s="10">
        <v>92.21</v>
      </c>
      <c r="AB32" s="93">
        <v>2164200</v>
      </c>
      <c r="AC32" s="10">
        <v>92.21</v>
      </c>
      <c r="AD32" s="2">
        <f t="shared" si="0"/>
        <v>0.75999999999999091</v>
      </c>
      <c r="AE32" s="134">
        <f t="shared" si="1"/>
        <v>-4.9638502212151492E-3</v>
      </c>
    </row>
    <row r="33" spans="2:31" x14ac:dyDescent="0.25">
      <c r="B33" s="150"/>
      <c r="C33" s="10"/>
      <c r="D33" s="39"/>
      <c r="E33" s="39"/>
      <c r="F33" s="39"/>
      <c r="G33" s="39"/>
      <c r="H33" s="179"/>
      <c r="I33" s="184"/>
      <c r="J33" s="184"/>
      <c r="W33" s="130">
        <v>42787</v>
      </c>
      <c r="X33" s="10">
        <v>93.49</v>
      </c>
      <c r="Y33" s="10">
        <v>94.29</v>
      </c>
      <c r="Z33" s="10">
        <v>92.24</v>
      </c>
      <c r="AA33" s="10">
        <v>92.67</v>
      </c>
      <c r="AB33" s="93">
        <v>3683200</v>
      </c>
      <c r="AC33" s="10">
        <v>92.67</v>
      </c>
      <c r="AD33" s="2">
        <f t="shared" si="0"/>
        <v>2.0500000000000114</v>
      </c>
      <c r="AE33" s="134">
        <f t="shared" si="1"/>
        <v>3.2649877423668539E-2</v>
      </c>
    </row>
    <row r="34" spans="2:31" x14ac:dyDescent="0.25">
      <c r="B34" s="150"/>
      <c r="C34" s="10"/>
      <c r="D34" s="39"/>
      <c r="E34" s="39"/>
      <c r="F34" s="39"/>
      <c r="G34" s="39"/>
      <c r="H34" s="179"/>
      <c r="I34" s="39"/>
      <c r="J34" s="39"/>
      <c r="W34" s="130">
        <v>42783</v>
      </c>
      <c r="X34" s="10">
        <v>89.87</v>
      </c>
      <c r="Y34" s="10">
        <v>90.1</v>
      </c>
      <c r="Z34" s="10">
        <v>89.25</v>
      </c>
      <c r="AA34" s="10">
        <v>89.74</v>
      </c>
      <c r="AB34" s="93">
        <v>2437500</v>
      </c>
      <c r="AC34" s="10">
        <v>89.74</v>
      </c>
      <c r="AD34" s="2">
        <f t="shared" si="0"/>
        <v>0.84999999999999432</v>
      </c>
      <c r="AE34" s="134">
        <f t="shared" si="1"/>
        <v>-2.1127543645058644E-3</v>
      </c>
    </row>
    <row r="35" spans="2:31" x14ac:dyDescent="0.25">
      <c r="B35" s="150"/>
      <c r="C35" s="10"/>
      <c r="D35" s="39"/>
      <c r="E35" s="39"/>
      <c r="F35" s="39"/>
      <c r="G35" s="39"/>
      <c r="H35" s="179"/>
      <c r="I35" s="39"/>
      <c r="J35" s="39"/>
      <c r="W35" s="130">
        <v>42782</v>
      </c>
      <c r="X35" s="10">
        <v>90.35</v>
      </c>
      <c r="Y35" s="10">
        <v>90.58</v>
      </c>
      <c r="Z35" s="10">
        <v>89.22</v>
      </c>
      <c r="AA35" s="10">
        <v>89.93</v>
      </c>
      <c r="AB35" s="93">
        <v>1724100</v>
      </c>
      <c r="AC35" s="10">
        <v>89.93</v>
      </c>
      <c r="AD35" s="2">
        <f t="shared" si="0"/>
        <v>1.3599999999999994</v>
      </c>
      <c r="AE35" s="134">
        <f t="shared" si="1"/>
        <v>-4.2077289336728274E-3</v>
      </c>
    </row>
    <row r="36" spans="2:31" x14ac:dyDescent="0.25">
      <c r="B36" s="150"/>
      <c r="C36" s="10"/>
      <c r="D36" s="39"/>
      <c r="E36" s="39"/>
      <c r="F36" s="39"/>
      <c r="G36" s="39"/>
      <c r="H36" s="179"/>
      <c r="I36" s="39"/>
      <c r="J36" s="39"/>
      <c r="W36" s="130">
        <v>42781</v>
      </c>
      <c r="X36" s="10">
        <v>89.43</v>
      </c>
      <c r="Y36" s="10">
        <v>90.65</v>
      </c>
      <c r="Z36" s="10">
        <v>89.3</v>
      </c>
      <c r="AA36" s="10">
        <v>90.31</v>
      </c>
      <c r="AB36" s="93">
        <v>1664200</v>
      </c>
      <c r="AC36" s="10">
        <v>90.31</v>
      </c>
      <c r="AD36" s="2">
        <f t="shared" si="0"/>
        <v>1.3500000000000085</v>
      </c>
      <c r="AE36" s="134">
        <f t="shared" si="1"/>
        <v>9.1630349759750374E-3</v>
      </c>
    </row>
    <row r="37" spans="2:31" x14ac:dyDescent="0.25">
      <c r="B37" s="150"/>
      <c r="C37" s="10"/>
      <c r="D37" s="39"/>
      <c r="E37" s="39"/>
      <c r="F37" s="39"/>
      <c r="G37" s="39"/>
      <c r="H37" s="179"/>
      <c r="I37" s="39"/>
      <c r="J37" s="39"/>
      <c r="W37" s="130">
        <v>42780</v>
      </c>
      <c r="X37" s="10">
        <v>89.79</v>
      </c>
      <c r="Y37" s="10">
        <v>90.28</v>
      </c>
      <c r="Z37" s="10">
        <v>89.23</v>
      </c>
      <c r="AA37" s="10">
        <v>89.49</v>
      </c>
      <c r="AB37" s="93">
        <v>1760600</v>
      </c>
      <c r="AC37" s="10">
        <v>89.49</v>
      </c>
      <c r="AD37" s="2">
        <f t="shared" si="0"/>
        <v>1.0499999999999972</v>
      </c>
      <c r="AE37" s="134">
        <f t="shared" si="1"/>
        <v>-5.2245442418852317E-3</v>
      </c>
    </row>
    <row r="38" spans="2:31" x14ac:dyDescent="0.25">
      <c r="B38" s="150"/>
      <c r="C38" s="10"/>
      <c r="D38" s="39"/>
      <c r="E38" s="39"/>
      <c r="F38" s="39"/>
      <c r="G38" s="39"/>
      <c r="H38" s="179"/>
      <c r="I38" s="39"/>
      <c r="J38" s="39"/>
      <c r="W38" s="130">
        <v>42779</v>
      </c>
      <c r="X38" s="10">
        <v>90.11</v>
      </c>
      <c r="Y38" s="10">
        <v>90.5</v>
      </c>
      <c r="Z38" s="10">
        <v>89.52</v>
      </c>
      <c r="AA38" s="10">
        <v>89.96</v>
      </c>
      <c r="AB38" s="93">
        <v>2138100</v>
      </c>
      <c r="AC38" s="10">
        <v>89.96</v>
      </c>
      <c r="AD38" s="2">
        <f t="shared" si="0"/>
        <v>0.98000000000000398</v>
      </c>
      <c r="AE38" s="134">
        <f t="shared" si="1"/>
        <v>-4.2063316360417824E-3</v>
      </c>
    </row>
    <row r="39" spans="2:31" x14ac:dyDescent="0.25">
      <c r="B39" s="150"/>
      <c r="C39" s="10"/>
      <c r="D39" s="39"/>
      <c r="E39" s="39"/>
      <c r="F39" s="39"/>
      <c r="G39" s="39"/>
      <c r="H39" s="179"/>
      <c r="I39" s="39"/>
      <c r="J39" s="39"/>
      <c r="W39" s="130">
        <v>42776</v>
      </c>
      <c r="X39" s="10">
        <v>90.73</v>
      </c>
      <c r="Y39" s="10">
        <v>90.79</v>
      </c>
      <c r="Z39" s="10">
        <v>89.89</v>
      </c>
      <c r="AA39" s="10">
        <v>90.34</v>
      </c>
      <c r="AB39" s="93">
        <v>2225600</v>
      </c>
      <c r="AC39" s="10">
        <v>90.34</v>
      </c>
      <c r="AD39" s="2">
        <f t="shared" si="0"/>
        <v>0.90000000000000568</v>
      </c>
      <c r="AE39" s="134">
        <f t="shared" si="1"/>
        <v>-5.285179475886248E-3</v>
      </c>
    </row>
    <row r="40" spans="2:31" ht="20.25" thickBot="1" x14ac:dyDescent="0.35">
      <c r="B40" s="150"/>
      <c r="C40" s="10"/>
      <c r="D40" s="39"/>
      <c r="E40" s="39"/>
      <c r="F40" s="39"/>
      <c r="G40" s="39"/>
      <c r="H40" s="179"/>
      <c r="I40" s="39"/>
      <c r="J40" s="39"/>
      <c r="O40" s="884" t="s">
        <v>78</v>
      </c>
      <c r="P40" s="884"/>
      <c r="W40" s="130">
        <v>42775</v>
      </c>
      <c r="X40" s="10">
        <v>90.83</v>
      </c>
      <c r="Y40" s="10">
        <v>91.19</v>
      </c>
      <c r="Z40" s="10">
        <v>90.14</v>
      </c>
      <c r="AA40" s="10">
        <v>90.82</v>
      </c>
      <c r="AB40" s="93">
        <v>1335800</v>
      </c>
      <c r="AC40" s="10">
        <v>90.82</v>
      </c>
      <c r="AD40" s="2">
        <f t="shared" si="0"/>
        <v>1.0499999999999972</v>
      </c>
      <c r="AE40" s="134">
        <f t="shared" si="1"/>
        <v>-1.1009578333154302E-4</v>
      </c>
    </row>
    <row r="41" spans="2:31" ht="15.75" thickTop="1" x14ac:dyDescent="0.25">
      <c r="B41" s="150"/>
      <c r="C41" s="10"/>
      <c r="D41" s="39"/>
      <c r="E41" s="39"/>
      <c r="F41" s="39"/>
      <c r="G41" s="39"/>
      <c r="H41" s="179"/>
      <c r="I41" s="39"/>
      <c r="J41" s="39"/>
      <c r="O41" s="81">
        <v>1.1000000000000001</v>
      </c>
      <c r="P41" s="81">
        <f>O41*$Q$4</f>
        <v>185.61400000000003</v>
      </c>
      <c r="Q41" s="2"/>
      <c r="W41" s="130">
        <v>42774</v>
      </c>
      <c r="X41" s="10">
        <v>90.45</v>
      </c>
      <c r="Y41" s="10">
        <v>91.1</v>
      </c>
      <c r="Z41" s="10">
        <v>90.31</v>
      </c>
      <c r="AA41" s="10">
        <v>90.83</v>
      </c>
      <c r="AB41" s="93">
        <v>1778800</v>
      </c>
      <c r="AC41" s="10">
        <v>90.83</v>
      </c>
      <c r="AD41" s="2">
        <f t="shared" si="0"/>
        <v>0.78999999999999204</v>
      </c>
      <c r="AE41" s="134">
        <f t="shared" si="1"/>
        <v>1.3228971447469817E-3</v>
      </c>
    </row>
    <row r="42" spans="2:31" ht="20.25" thickBot="1" x14ac:dyDescent="0.35">
      <c r="B42" s="150"/>
      <c r="C42" s="10"/>
      <c r="D42" s="39"/>
      <c r="E42" s="39"/>
      <c r="F42" s="39"/>
      <c r="G42" s="39"/>
      <c r="H42" s="179"/>
      <c r="I42" s="39"/>
      <c r="J42" s="39"/>
      <c r="O42" s="81">
        <v>1.0900000000000001</v>
      </c>
      <c r="P42" s="81">
        <f t="shared" ref="P42:P61" si="2">O42*$Q$4</f>
        <v>183.92660000000004</v>
      </c>
      <c r="Q42" s="2"/>
      <c r="T42" s="89" t="s">
        <v>112</v>
      </c>
      <c r="W42" s="130">
        <v>42773</v>
      </c>
      <c r="X42" s="10">
        <v>90.16</v>
      </c>
      <c r="Y42" s="10">
        <v>90.99</v>
      </c>
      <c r="Z42" s="10">
        <v>89.87</v>
      </c>
      <c r="AA42" s="10">
        <v>90.71</v>
      </c>
      <c r="AB42" s="93">
        <v>2418000</v>
      </c>
      <c r="AC42" s="10">
        <v>90.71</v>
      </c>
      <c r="AD42" s="2">
        <f t="shared" si="0"/>
        <v>1.1199999999999903</v>
      </c>
      <c r="AE42" s="134">
        <f t="shared" si="1"/>
        <v>9.3468343162343981E-3</v>
      </c>
    </row>
    <row r="43" spans="2:31" ht="15.75" thickTop="1" x14ac:dyDescent="0.25">
      <c r="B43" s="150"/>
      <c r="C43" s="10"/>
      <c r="D43" s="39"/>
      <c r="E43" s="39"/>
      <c r="F43" s="39"/>
      <c r="G43" s="39"/>
      <c r="H43" s="179"/>
      <c r="I43" s="39"/>
      <c r="J43" s="39"/>
      <c r="O43" s="81">
        <v>1.08</v>
      </c>
      <c r="P43" s="81">
        <f t="shared" si="2"/>
        <v>182.23920000000001</v>
      </c>
      <c r="Q43" s="2"/>
      <c r="T43" s="125" t="s">
        <v>97</v>
      </c>
      <c r="U43" s="126">
        <v>93.1</v>
      </c>
      <c r="W43" s="130">
        <v>42772</v>
      </c>
      <c r="X43" s="10">
        <v>90.58</v>
      </c>
      <c r="Y43" s="10">
        <v>90.69</v>
      </c>
      <c r="Z43" s="10">
        <v>88.67</v>
      </c>
      <c r="AA43" s="10">
        <v>89.87</v>
      </c>
      <c r="AB43" s="93">
        <v>3389500</v>
      </c>
      <c r="AC43" s="10">
        <v>89.87</v>
      </c>
      <c r="AD43" s="2">
        <f t="shared" si="0"/>
        <v>2.019999999999996</v>
      </c>
      <c r="AE43" s="134">
        <f t="shared" si="1"/>
        <v>-6.6320327180280358E-3</v>
      </c>
    </row>
    <row r="44" spans="2:31" x14ac:dyDescent="0.25">
      <c r="B44" s="150"/>
      <c r="C44" s="10"/>
      <c r="D44" s="39"/>
      <c r="E44" s="39"/>
      <c r="F44" s="39"/>
      <c r="G44" s="39"/>
      <c r="H44" s="179"/>
      <c r="I44" s="39"/>
      <c r="J44" s="39"/>
      <c r="O44" s="81">
        <v>1.07</v>
      </c>
      <c r="P44" s="81">
        <f t="shared" si="2"/>
        <v>180.55180000000001</v>
      </c>
      <c r="Q44" s="2"/>
      <c r="T44" s="91" t="s">
        <v>98</v>
      </c>
      <c r="U44" s="127">
        <v>93.27</v>
      </c>
      <c r="W44" s="130">
        <v>42769</v>
      </c>
      <c r="X44" s="10">
        <v>90.42</v>
      </c>
      <c r="Y44" s="10">
        <v>91.4</v>
      </c>
      <c r="Z44" s="10">
        <v>89.51</v>
      </c>
      <c r="AA44" s="10">
        <v>90.47</v>
      </c>
      <c r="AB44" s="93">
        <v>4593200</v>
      </c>
      <c r="AC44" s="10">
        <v>90.47</v>
      </c>
      <c r="AD44" s="2">
        <f t="shared" si="0"/>
        <v>1.8900000000000006</v>
      </c>
      <c r="AE44" s="134">
        <f t="shared" si="1"/>
        <v>8.2469631115569264E-3</v>
      </c>
    </row>
    <row r="45" spans="2:31" x14ac:dyDescent="0.25">
      <c r="B45" s="150"/>
      <c r="C45" s="10"/>
      <c r="D45" s="39"/>
      <c r="E45" s="39"/>
      <c r="F45" s="39"/>
      <c r="G45" s="39"/>
      <c r="H45" s="179"/>
      <c r="I45" s="39"/>
      <c r="J45" s="39"/>
      <c r="O45" s="81">
        <v>1.06</v>
      </c>
      <c r="P45" s="81">
        <f t="shared" si="2"/>
        <v>178.86440000000002</v>
      </c>
      <c r="Q45" s="2"/>
      <c r="T45" s="91" t="s">
        <v>99</v>
      </c>
      <c r="U45" s="127" t="s">
        <v>128</v>
      </c>
      <c r="W45" s="130">
        <v>42768</v>
      </c>
      <c r="X45" s="10">
        <v>92.16</v>
      </c>
      <c r="Y45" s="10">
        <v>92.19</v>
      </c>
      <c r="Z45" s="10">
        <v>86.55</v>
      </c>
      <c r="AA45" s="10">
        <v>89.73</v>
      </c>
      <c r="AB45" s="93">
        <v>8891900</v>
      </c>
      <c r="AC45" s="10">
        <v>89.73</v>
      </c>
      <c r="AD45" s="2">
        <f t="shared" si="0"/>
        <v>5.6400000000000006</v>
      </c>
      <c r="AE45" s="134">
        <f t="shared" si="1"/>
        <v>-8.4574576617016839E-2</v>
      </c>
    </row>
    <row r="46" spans="2:31" x14ac:dyDescent="0.25">
      <c r="B46" s="150"/>
      <c r="C46" s="10"/>
      <c r="D46" s="39"/>
      <c r="E46" s="39"/>
      <c r="F46" s="39"/>
      <c r="G46" s="39"/>
      <c r="H46" s="179"/>
      <c r="I46" s="39"/>
      <c r="J46" s="39"/>
      <c r="O46" s="81">
        <v>1.05</v>
      </c>
      <c r="P46" s="81">
        <f t="shared" si="2"/>
        <v>177.17700000000002</v>
      </c>
      <c r="Q46" s="2"/>
      <c r="T46" s="91" t="s">
        <v>100</v>
      </c>
      <c r="U46" s="127" t="s">
        <v>128</v>
      </c>
      <c r="W46" s="130">
        <v>42767</v>
      </c>
      <c r="X46" s="10">
        <v>96.51</v>
      </c>
      <c r="Y46" s="10">
        <v>98.38</v>
      </c>
      <c r="Z46" s="10">
        <v>96.11</v>
      </c>
      <c r="AA46" s="10">
        <v>98.02</v>
      </c>
      <c r="AB46" s="93">
        <v>3003400</v>
      </c>
      <c r="AC46" s="10">
        <v>98.02</v>
      </c>
      <c r="AD46" s="2">
        <f t="shared" si="0"/>
        <v>2.269999999999996</v>
      </c>
      <c r="AE46" s="134">
        <f t="shared" si="1"/>
        <v>1.849542809642557E-2</v>
      </c>
    </row>
    <row r="47" spans="2:31" x14ac:dyDescent="0.25">
      <c r="B47" s="150"/>
      <c r="C47" s="10"/>
      <c r="D47" s="39"/>
      <c r="E47" s="39"/>
      <c r="F47" s="39"/>
      <c r="G47" s="39"/>
      <c r="H47" s="179"/>
      <c r="I47" s="184"/>
      <c r="J47" s="184"/>
      <c r="O47" s="81">
        <v>1.04</v>
      </c>
      <c r="P47" s="81">
        <f t="shared" si="2"/>
        <v>175.48960000000002</v>
      </c>
      <c r="Q47" s="2"/>
      <c r="T47" s="91" t="s">
        <v>101</v>
      </c>
      <c r="U47" s="127">
        <v>115.9</v>
      </c>
      <c r="W47" s="130">
        <v>42766</v>
      </c>
      <c r="X47" s="10">
        <v>96.39</v>
      </c>
      <c r="Y47" s="10">
        <v>96.9</v>
      </c>
      <c r="Z47" s="10">
        <v>95.25</v>
      </c>
      <c r="AA47" s="10">
        <v>96.24</v>
      </c>
      <c r="AB47" s="93">
        <v>3703300</v>
      </c>
      <c r="AC47" s="10">
        <v>96.24</v>
      </c>
      <c r="AD47" s="2">
        <f t="shared" si="0"/>
        <v>1.6500000000000057</v>
      </c>
      <c r="AE47" s="134">
        <f t="shared" si="1"/>
        <v>-2.3841608790298174E-3</v>
      </c>
    </row>
    <row r="48" spans="2:31" x14ac:dyDescent="0.25">
      <c r="B48" s="150"/>
      <c r="C48" s="10"/>
      <c r="D48" s="39"/>
      <c r="E48" s="39"/>
      <c r="F48" s="39"/>
      <c r="G48" s="39"/>
      <c r="H48" s="179"/>
      <c r="I48" s="39"/>
      <c r="J48" s="39"/>
      <c r="O48" s="81">
        <v>1.03</v>
      </c>
      <c r="P48" s="81">
        <f t="shared" si="2"/>
        <v>173.80220000000003</v>
      </c>
      <c r="Q48" s="2"/>
      <c r="T48" s="91" t="s">
        <v>102</v>
      </c>
      <c r="U48" s="127">
        <v>0.80916999999999994</v>
      </c>
      <c r="W48" s="130">
        <v>42765</v>
      </c>
      <c r="X48" s="10">
        <v>97.07</v>
      </c>
      <c r="Y48" s="10">
        <v>97.23</v>
      </c>
      <c r="Z48" s="10">
        <v>95.49</v>
      </c>
      <c r="AA48" s="10">
        <v>96.47</v>
      </c>
      <c r="AB48" s="93">
        <v>1185600</v>
      </c>
      <c r="AC48" s="10">
        <v>96.47</v>
      </c>
      <c r="AD48" s="2">
        <f t="shared" si="0"/>
        <v>1.7400000000000091</v>
      </c>
      <c r="AE48" s="134">
        <f t="shared" si="1"/>
        <v>-8.5303186022610555E-3</v>
      </c>
    </row>
    <row r="49" spans="2:31" x14ac:dyDescent="0.25">
      <c r="B49" s="150"/>
      <c r="C49" s="10"/>
      <c r="D49" s="39"/>
      <c r="E49" s="39"/>
      <c r="F49" s="39"/>
      <c r="G49" s="39"/>
      <c r="H49" s="179"/>
      <c r="I49" s="39"/>
      <c r="J49" s="39"/>
      <c r="O49" s="81">
        <v>1.02</v>
      </c>
      <c r="P49" s="81">
        <f t="shared" si="2"/>
        <v>172.1148</v>
      </c>
      <c r="Q49" s="2"/>
      <c r="T49" s="91" t="s">
        <v>121</v>
      </c>
      <c r="U49" s="127" t="s">
        <v>378</v>
      </c>
      <c r="W49" s="130">
        <v>42762</v>
      </c>
      <c r="X49" s="10">
        <v>95.67</v>
      </c>
      <c r="Y49" s="10">
        <v>97.34</v>
      </c>
      <c r="Z49" s="10">
        <v>95.53</v>
      </c>
      <c r="AA49" s="10">
        <v>97.3</v>
      </c>
      <c r="AB49" s="93">
        <v>1602100</v>
      </c>
      <c r="AC49" s="10">
        <v>97.3</v>
      </c>
      <c r="AD49" s="2">
        <f t="shared" si="0"/>
        <v>1.8100000000000023</v>
      </c>
      <c r="AE49" s="134">
        <f t="shared" si="1"/>
        <v>2.2810890360559277E-2</v>
      </c>
    </row>
    <row r="50" spans="2:31" x14ac:dyDescent="0.25">
      <c r="B50" s="150"/>
      <c r="C50" s="10"/>
      <c r="D50" s="39"/>
      <c r="E50" s="39"/>
      <c r="F50" s="39"/>
      <c r="G50" s="39"/>
      <c r="H50" s="179"/>
      <c r="I50" s="39"/>
      <c r="J50" s="39"/>
      <c r="O50" s="81">
        <v>1.01</v>
      </c>
      <c r="P50" s="81">
        <f t="shared" si="2"/>
        <v>170.42740000000001</v>
      </c>
      <c r="Q50" s="2"/>
      <c r="T50" s="91"/>
      <c r="U50" s="127"/>
      <c r="W50" s="130">
        <v>42761</v>
      </c>
      <c r="X50" s="10">
        <v>96.2</v>
      </c>
      <c r="Y50" s="10">
        <v>96.89</v>
      </c>
      <c r="Z50" s="10">
        <v>94.97</v>
      </c>
      <c r="AA50" s="10">
        <v>95.13</v>
      </c>
      <c r="AB50" s="93">
        <v>1627900</v>
      </c>
      <c r="AC50" s="10">
        <v>95.13</v>
      </c>
      <c r="AD50" s="2">
        <f t="shared" si="0"/>
        <v>1.9200000000000017</v>
      </c>
      <c r="AE50" s="134">
        <f t="shared" si="1"/>
        <v>-9.578344612181211E-3</v>
      </c>
    </row>
    <row r="51" spans="2:31" x14ac:dyDescent="0.25">
      <c r="B51" s="150"/>
      <c r="C51" s="10"/>
      <c r="D51" s="39"/>
      <c r="E51" s="39"/>
      <c r="F51" s="39"/>
      <c r="G51" s="39"/>
      <c r="H51" s="179"/>
      <c r="I51" s="39"/>
      <c r="J51" s="39"/>
      <c r="O51" s="81">
        <v>1</v>
      </c>
      <c r="P51" s="81">
        <f t="shared" si="2"/>
        <v>168.74</v>
      </c>
      <c r="Q51" s="2"/>
      <c r="T51" s="91" t="s">
        <v>104</v>
      </c>
      <c r="U51" s="127" t="s">
        <v>575</v>
      </c>
      <c r="W51" s="130">
        <v>42760</v>
      </c>
      <c r="X51" s="10">
        <v>94.76</v>
      </c>
      <c r="Y51" s="10">
        <v>96.39</v>
      </c>
      <c r="Z51" s="10">
        <v>94.67</v>
      </c>
      <c r="AA51" s="10">
        <v>96.05</v>
      </c>
      <c r="AB51" s="93">
        <v>1517000</v>
      </c>
      <c r="AC51" s="10">
        <v>96.05</v>
      </c>
      <c r="AD51" s="2">
        <f t="shared" si="0"/>
        <v>1.7199999999999989</v>
      </c>
      <c r="AE51" s="134">
        <f t="shared" si="1"/>
        <v>1.7478813559322015E-2</v>
      </c>
    </row>
    <row r="52" spans="2:31" x14ac:dyDescent="0.25">
      <c r="B52" s="150"/>
      <c r="C52" s="10"/>
      <c r="D52" s="39"/>
      <c r="E52" s="39"/>
      <c r="F52" s="39"/>
      <c r="G52" s="39"/>
      <c r="H52" s="179"/>
      <c r="I52" s="39"/>
      <c r="J52" s="39"/>
      <c r="O52" s="81">
        <v>0.99</v>
      </c>
      <c r="P52" s="81">
        <f t="shared" si="2"/>
        <v>167.05260000000001</v>
      </c>
      <c r="Q52" s="2"/>
      <c r="T52" s="91" t="s">
        <v>105</v>
      </c>
      <c r="U52" s="127" t="s">
        <v>409</v>
      </c>
      <c r="W52" s="130">
        <v>42759</v>
      </c>
      <c r="X52" s="10">
        <v>95.3</v>
      </c>
      <c r="Y52" s="10">
        <v>95.44</v>
      </c>
      <c r="Z52" s="10">
        <v>93.79</v>
      </c>
      <c r="AA52" s="10">
        <v>94.4</v>
      </c>
      <c r="AB52" s="93">
        <v>1630000</v>
      </c>
      <c r="AC52" s="10">
        <v>94.4</v>
      </c>
      <c r="AD52" s="2">
        <f t="shared" si="0"/>
        <v>1.6499999999999915</v>
      </c>
      <c r="AE52" s="134">
        <f t="shared" si="1"/>
        <v>-6.3157894736841635E-3</v>
      </c>
    </row>
    <row r="53" spans="2:31" x14ac:dyDescent="0.25">
      <c r="B53" s="150"/>
      <c r="C53" s="10"/>
      <c r="D53" s="39"/>
      <c r="E53" s="39"/>
      <c r="F53" s="39"/>
      <c r="G53" s="39"/>
      <c r="H53" s="179"/>
      <c r="I53" s="39"/>
      <c r="J53" s="39"/>
      <c r="O53" s="81">
        <v>0.98</v>
      </c>
      <c r="P53" s="81">
        <f t="shared" si="2"/>
        <v>165.36520000000002</v>
      </c>
      <c r="Q53" s="2"/>
      <c r="T53" s="91" t="s">
        <v>106</v>
      </c>
      <c r="U53" s="128">
        <v>1827980</v>
      </c>
      <c r="W53" s="130">
        <v>42758</v>
      </c>
      <c r="X53" s="10">
        <v>95.5</v>
      </c>
      <c r="Y53" s="10">
        <v>95.6</v>
      </c>
      <c r="Z53" s="10">
        <v>94.27</v>
      </c>
      <c r="AA53" s="10">
        <v>95</v>
      </c>
      <c r="AB53" s="93">
        <v>1109600</v>
      </c>
      <c r="AC53" s="10">
        <v>95</v>
      </c>
      <c r="AD53" s="2">
        <f t="shared" si="0"/>
        <v>1.3299999999999983</v>
      </c>
      <c r="AE53" s="134">
        <f t="shared" si="1"/>
        <v>-5.3397549994765869E-3</v>
      </c>
    </row>
    <row r="54" spans="2:31" x14ac:dyDescent="0.25">
      <c r="B54" s="150"/>
      <c r="C54" s="10"/>
      <c r="D54" s="39"/>
      <c r="E54" s="39"/>
      <c r="F54" s="39"/>
      <c r="G54" s="39"/>
      <c r="H54" s="179"/>
      <c r="I54" s="39"/>
      <c r="J54" s="39"/>
      <c r="O54" s="81">
        <v>0.97</v>
      </c>
      <c r="P54" s="81">
        <f t="shared" si="2"/>
        <v>163.67779999999999</v>
      </c>
      <c r="T54" s="91" t="s">
        <v>109</v>
      </c>
      <c r="U54" s="128">
        <v>2259750</v>
      </c>
      <c r="W54" s="130">
        <v>42755</v>
      </c>
      <c r="X54" s="10">
        <v>96.03</v>
      </c>
      <c r="Y54" s="10">
        <v>96.93</v>
      </c>
      <c r="Z54" s="10">
        <v>95.02</v>
      </c>
      <c r="AA54" s="10">
        <v>95.51</v>
      </c>
      <c r="AB54" s="93">
        <v>1143300</v>
      </c>
      <c r="AC54" s="10">
        <v>95.51</v>
      </c>
      <c r="AD54" s="2">
        <f t="shared" si="0"/>
        <v>1.9100000000000108</v>
      </c>
      <c r="AE54" s="134">
        <f t="shared" si="1"/>
        <v>-8.1005296500156199E-3</v>
      </c>
    </row>
    <row r="55" spans="2:31" x14ac:dyDescent="0.25">
      <c r="B55" s="150"/>
      <c r="C55" s="10"/>
      <c r="D55" s="39"/>
      <c r="E55" s="39"/>
      <c r="F55" s="39"/>
      <c r="G55" s="39"/>
      <c r="H55" s="179"/>
      <c r="I55" s="39"/>
      <c r="J55" s="39"/>
      <c r="O55" s="81">
        <v>0.96</v>
      </c>
      <c r="P55" s="81">
        <f t="shared" si="2"/>
        <v>161.99039999999999</v>
      </c>
      <c r="T55" s="91" t="s">
        <v>107</v>
      </c>
      <c r="U55" s="127" t="s">
        <v>576</v>
      </c>
      <c r="W55" s="130">
        <v>42754</v>
      </c>
      <c r="X55" s="10">
        <v>95.92</v>
      </c>
      <c r="Y55" s="10">
        <v>96.72</v>
      </c>
      <c r="Z55" s="10">
        <v>94.85</v>
      </c>
      <c r="AA55" s="10">
        <v>96.29</v>
      </c>
      <c r="AB55" s="93">
        <v>2058800</v>
      </c>
      <c r="AC55" s="10">
        <v>96.29</v>
      </c>
      <c r="AD55" s="2">
        <f t="shared" si="0"/>
        <v>1.8700000000000045</v>
      </c>
      <c r="AE55" s="134">
        <f t="shared" si="1"/>
        <v>5.2197515398266781E-3</v>
      </c>
    </row>
    <row r="56" spans="2:31" x14ac:dyDescent="0.25">
      <c r="B56" s="150"/>
      <c r="C56" s="10"/>
      <c r="D56" s="39"/>
      <c r="E56" s="39"/>
      <c r="F56" s="39"/>
      <c r="G56" s="39"/>
      <c r="H56" s="179"/>
      <c r="I56" s="39"/>
      <c r="J56" s="39"/>
      <c r="O56" s="81">
        <v>0.95</v>
      </c>
      <c r="P56" s="81">
        <f t="shared" si="2"/>
        <v>160.303</v>
      </c>
      <c r="T56" s="91" t="s">
        <v>110</v>
      </c>
      <c r="U56" s="127">
        <v>35.67</v>
      </c>
      <c r="W56" s="130">
        <v>42753</v>
      </c>
      <c r="X56" s="10">
        <v>97.2</v>
      </c>
      <c r="Y56" s="10">
        <v>97.4</v>
      </c>
      <c r="Z56" s="10">
        <v>95.69</v>
      </c>
      <c r="AA56" s="10">
        <v>95.79</v>
      </c>
      <c r="AB56" s="93">
        <v>1451000</v>
      </c>
      <c r="AC56" s="10">
        <v>95.79</v>
      </c>
      <c r="AD56" s="2">
        <f t="shared" si="0"/>
        <v>1.710000000000008</v>
      </c>
      <c r="AE56" s="134">
        <f t="shared" si="1"/>
        <v>-1.1251032204789291E-2</v>
      </c>
    </row>
    <row r="57" spans="2:31" x14ac:dyDescent="0.25">
      <c r="B57" s="150"/>
      <c r="C57" s="10"/>
      <c r="D57" s="39"/>
      <c r="E57" s="39"/>
      <c r="F57" s="39"/>
      <c r="G57" s="39"/>
      <c r="H57" s="179"/>
      <c r="I57" s="39"/>
      <c r="J57" s="39"/>
      <c r="O57" s="81">
        <v>0.94</v>
      </c>
      <c r="P57" s="81">
        <f t="shared" si="2"/>
        <v>158.6156</v>
      </c>
      <c r="T57" s="91" t="s">
        <v>111</v>
      </c>
      <c r="U57" s="127">
        <v>2.61</v>
      </c>
      <c r="W57" s="130">
        <v>42752</v>
      </c>
      <c r="X57" s="10">
        <v>96.49</v>
      </c>
      <c r="Y57" s="10">
        <v>97.4</v>
      </c>
      <c r="Z57" s="10">
        <v>96.01</v>
      </c>
      <c r="AA57" s="10">
        <v>96.88</v>
      </c>
      <c r="AB57" s="93">
        <v>1648200</v>
      </c>
      <c r="AC57" s="10">
        <v>96.88</v>
      </c>
      <c r="AD57" s="2">
        <f t="shared" si="0"/>
        <v>1.3900000000000006</v>
      </c>
      <c r="AE57" s="134">
        <f t="shared" si="1"/>
        <v>-2.5738700710388196E-3</v>
      </c>
    </row>
    <row r="58" spans="2:31" x14ac:dyDescent="0.25">
      <c r="B58" s="150"/>
      <c r="C58" s="10"/>
      <c r="D58" s="39"/>
      <c r="E58" s="39"/>
      <c r="F58" s="39"/>
      <c r="G58" s="39"/>
      <c r="H58" s="179"/>
      <c r="I58" s="39"/>
      <c r="J58" s="39"/>
      <c r="O58" s="81">
        <v>0.93</v>
      </c>
      <c r="P58" s="81">
        <f t="shared" si="2"/>
        <v>156.9282</v>
      </c>
      <c r="T58" s="91" t="s">
        <v>108</v>
      </c>
      <c r="U58" s="127" t="s">
        <v>122</v>
      </c>
      <c r="W58" s="130">
        <v>42748</v>
      </c>
      <c r="X58" s="10">
        <v>97.96</v>
      </c>
      <c r="Y58" s="10">
        <v>97.96</v>
      </c>
      <c r="Z58" s="10">
        <v>96.16</v>
      </c>
      <c r="AA58" s="10">
        <v>97.13</v>
      </c>
      <c r="AB58" s="93">
        <v>1806800</v>
      </c>
      <c r="AC58" s="10">
        <v>97.13</v>
      </c>
      <c r="AD58" s="2">
        <f t="shared" si="0"/>
        <v>1.7999999999999972</v>
      </c>
      <c r="AE58" s="134">
        <f t="shared" si="1"/>
        <v>-4.7135977046829369E-3</v>
      </c>
    </row>
    <row r="59" spans="2:31" x14ac:dyDescent="0.25">
      <c r="B59" s="150"/>
      <c r="C59" s="10"/>
      <c r="D59" s="39"/>
      <c r="E59" s="39"/>
      <c r="F59" s="39"/>
      <c r="G59" s="39"/>
      <c r="H59" s="179"/>
      <c r="I59" s="39"/>
      <c r="J59" s="39"/>
      <c r="O59" s="81">
        <v>0.92</v>
      </c>
      <c r="P59" s="81">
        <f t="shared" si="2"/>
        <v>155.24080000000001</v>
      </c>
      <c r="W59" s="130">
        <v>42747</v>
      </c>
      <c r="X59" s="10">
        <v>97.69</v>
      </c>
      <c r="Y59" s="10">
        <v>97.9</v>
      </c>
      <c r="Z59" s="10">
        <v>96.5</v>
      </c>
      <c r="AA59" s="10">
        <v>97.59</v>
      </c>
      <c r="AB59" s="93">
        <v>1411400</v>
      </c>
      <c r="AC59" s="10">
        <v>97.59</v>
      </c>
      <c r="AD59" s="2">
        <f t="shared" si="0"/>
        <v>1.4000000000000057</v>
      </c>
      <c r="AE59" s="134">
        <f t="shared" si="1"/>
        <v>-1.0745058286872777E-2</v>
      </c>
    </row>
    <row r="60" spans="2:31" x14ac:dyDescent="0.25">
      <c r="B60" s="150"/>
      <c r="C60" s="10"/>
      <c r="D60" s="39"/>
      <c r="E60" s="39"/>
      <c r="F60" s="39"/>
      <c r="G60" s="39"/>
      <c r="H60" s="179"/>
      <c r="I60" s="39"/>
      <c r="J60" s="39"/>
      <c r="O60" s="81">
        <v>0.91</v>
      </c>
      <c r="P60" s="81">
        <f t="shared" si="2"/>
        <v>153.55340000000001</v>
      </c>
      <c r="W60" s="130">
        <v>42746</v>
      </c>
      <c r="X60" s="10">
        <v>99.26</v>
      </c>
      <c r="Y60" s="10">
        <v>99.35</v>
      </c>
      <c r="Z60" s="10">
        <v>97.04</v>
      </c>
      <c r="AA60" s="10">
        <v>98.65</v>
      </c>
      <c r="AB60" s="93">
        <v>1488800</v>
      </c>
      <c r="AC60" s="10">
        <v>98.65</v>
      </c>
      <c r="AD60" s="2">
        <f t="shared" si="0"/>
        <v>2.3099999999999881</v>
      </c>
      <c r="AE60" s="134">
        <f t="shared" si="1"/>
        <v>-4.942505547710252E-3</v>
      </c>
    </row>
    <row r="61" spans="2:31" x14ac:dyDescent="0.25">
      <c r="B61" s="150"/>
      <c r="C61" s="10"/>
      <c r="D61" s="39"/>
      <c r="E61" s="39"/>
      <c r="F61" s="39"/>
      <c r="G61" s="39"/>
      <c r="H61" s="179"/>
      <c r="I61" s="39"/>
      <c r="J61" s="39"/>
      <c r="O61" s="81">
        <v>0.9</v>
      </c>
      <c r="P61" s="81">
        <f t="shared" si="2"/>
        <v>151.86600000000001</v>
      </c>
      <c r="W61" s="130">
        <v>42745</v>
      </c>
      <c r="X61" s="10">
        <v>97.96</v>
      </c>
      <c r="Y61" s="10">
        <v>99.7</v>
      </c>
      <c r="Z61" s="10">
        <v>97.95</v>
      </c>
      <c r="AA61" s="10">
        <v>99.14</v>
      </c>
      <c r="AB61" s="93">
        <v>1907400</v>
      </c>
      <c r="AC61" s="10">
        <v>99.14</v>
      </c>
      <c r="AD61" s="2">
        <f t="shared" si="0"/>
        <v>1.75</v>
      </c>
      <c r="AE61" s="134">
        <f t="shared" si="1"/>
        <v>1.2149055640632955E-2</v>
      </c>
    </row>
    <row r="62" spans="2:31" x14ac:dyDescent="0.25">
      <c r="B62" s="150"/>
      <c r="C62" s="10"/>
      <c r="D62" s="39"/>
      <c r="E62" s="39"/>
      <c r="F62" s="39"/>
      <c r="G62" s="39"/>
      <c r="H62" s="179"/>
      <c r="I62" s="39"/>
      <c r="J62" s="39"/>
      <c r="W62" s="130">
        <v>42744</v>
      </c>
      <c r="X62" s="10">
        <v>97.57</v>
      </c>
      <c r="Y62" s="10">
        <v>98.63</v>
      </c>
      <c r="Z62" s="10">
        <v>97.33</v>
      </c>
      <c r="AA62" s="10">
        <v>97.95</v>
      </c>
      <c r="AB62" s="93">
        <v>1687800</v>
      </c>
      <c r="AC62" s="10">
        <v>97.95</v>
      </c>
      <c r="AD62" s="2">
        <f t="shared" si="0"/>
        <v>1.2999999999999972</v>
      </c>
      <c r="AE62" s="134">
        <f t="shared" si="1"/>
        <v>9.0656227464718242E-3</v>
      </c>
    </row>
    <row r="63" spans="2:31" x14ac:dyDescent="0.25">
      <c r="B63" s="150"/>
      <c r="C63" s="10"/>
      <c r="D63" s="39"/>
      <c r="E63" s="39"/>
      <c r="F63" s="39"/>
      <c r="G63" s="39"/>
      <c r="H63" s="179"/>
      <c r="I63" s="39"/>
      <c r="J63" s="39"/>
      <c r="W63" s="130">
        <v>42741</v>
      </c>
      <c r="X63" s="10">
        <v>97.4</v>
      </c>
      <c r="Y63" s="10">
        <v>97.88</v>
      </c>
      <c r="Z63" s="10">
        <v>96.43</v>
      </c>
      <c r="AA63" s="10">
        <v>97.07</v>
      </c>
      <c r="AB63" s="93">
        <v>2974400</v>
      </c>
      <c r="AC63" s="10">
        <v>97.07</v>
      </c>
      <c r="AD63" s="2">
        <f t="shared" si="0"/>
        <v>1.4499999999999886</v>
      </c>
      <c r="AE63" s="134">
        <f t="shared" si="1"/>
        <v>-1.2346949274617547E-3</v>
      </c>
    </row>
    <row r="64" spans="2:31" x14ac:dyDescent="0.25">
      <c r="B64" s="150"/>
      <c r="C64" s="10"/>
      <c r="D64" s="39"/>
      <c r="E64" s="39"/>
      <c r="F64" s="39"/>
      <c r="G64" s="39"/>
      <c r="H64" s="179"/>
      <c r="I64" s="39"/>
      <c r="J64" s="39"/>
      <c r="W64" s="130">
        <v>42740</v>
      </c>
      <c r="X64" s="10">
        <v>96.91</v>
      </c>
      <c r="Y64" s="10">
        <v>97.91</v>
      </c>
      <c r="Z64" s="10">
        <v>96.61</v>
      </c>
      <c r="AA64" s="10">
        <v>97.19</v>
      </c>
      <c r="AB64" s="93">
        <v>1534300</v>
      </c>
      <c r="AC64" s="10">
        <v>97.19</v>
      </c>
      <c r="AD64" s="2">
        <f t="shared" si="0"/>
        <v>1.2999999999999972</v>
      </c>
      <c r="AE64" s="134">
        <f t="shared" si="1"/>
        <v>6.7329604309094293E-3</v>
      </c>
    </row>
    <row r="65" spans="1:31" x14ac:dyDescent="0.25">
      <c r="B65" s="150"/>
      <c r="C65" s="10"/>
      <c r="D65" s="39"/>
      <c r="E65" s="39"/>
      <c r="F65" s="39"/>
      <c r="G65" s="39"/>
      <c r="H65" s="179"/>
      <c r="I65" s="39"/>
      <c r="J65" s="39"/>
      <c r="W65" s="130">
        <v>42739</v>
      </c>
      <c r="X65" s="10">
        <v>95.52</v>
      </c>
      <c r="Y65" s="10">
        <v>97.29</v>
      </c>
      <c r="Z65" s="10">
        <v>94.88</v>
      </c>
      <c r="AA65" s="10">
        <v>96.54</v>
      </c>
      <c r="AB65" s="93">
        <v>2051600</v>
      </c>
      <c r="AC65" s="10">
        <v>96.54</v>
      </c>
      <c r="AD65" s="2">
        <f t="shared" si="0"/>
        <v>2.4100000000000108</v>
      </c>
      <c r="AE65" s="134">
        <f t="shared" si="1"/>
        <v>1.0678391959799027E-2</v>
      </c>
    </row>
    <row r="66" spans="1:31" x14ac:dyDescent="0.25">
      <c r="B66" s="150"/>
      <c r="C66" s="10"/>
      <c r="D66" s="39"/>
      <c r="E66" s="39"/>
      <c r="F66" s="39"/>
      <c r="G66" s="39"/>
      <c r="H66" s="179"/>
      <c r="I66" s="39"/>
      <c r="J66" s="39"/>
      <c r="W66" s="130">
        <v>42738</v>
      </c>
      <c r="X66" s="10">
        <v>93.8</v>
      </c>
      <c r="Y66" s="10">
        <v>95.52</v>
      </c>
      <c r="Z66" s="10">
        <v>93.06</v>
      </c>
      <c r="AA66" s="10">
        <v>95.52</v>
      </c>
      <c r="AB66" s="93">
        <v>2166100</v>
      </c>
      <c r="AC66" s="10">
        <v>95.52</v>
      </c>
      <c r="AD66" s="2">
        <f t="shared" si="0"/>
        <v>2.4599999999999937</v>
      </c>
      <c r="AE66" s="134">
        <f t="shared" si="1"/>
        <v>1.9423692636072465E-2</v>
      </c>
    </row>
    <row r="67" spans="1:31" x14ac:dyDescent="0.25">
      <c r="B67" s="150"/>
      <c r="C67" s="10"/>
      <c r="D67" s="39"/>
      <c r="E67" s="39"/>
      <c r="F67" s="39"/>
      <c r="G67" s="39"/>
      <c r="H67" s="179"/>
      <c r="I67" s="39"/>
      <c r="J67" s="39"/>
      <c r="W67" s="130">
        <v>42734</v>
      </c>
      <c r="X67" s="10">
        <v>93.89</v>
      </c>
      <c r="Y67" s="10">
        <v>94.58</v>
      </c>
      <c r="Z67" s="10">
        <v>93.35</v>
      </c>
      <c r="AA67" s="10">
        <v>93.7</v>
      </c>
      <c r="AB67" s="93">
        <v>1397500</v>
      </c>
      <c r="AC67" s="10">
        <v>93.7</v>
      </c>
      <c r="AD67" s="2">
        <f>Y67-Z67</f>
        <v>1.230000000000004</v>
      </c>
      <c r="AE67" s="134" t="e">
        <f>AC67/#REF!-1</f>
        <v>#REF!</v>
      </c>
    </row>
    <row r="68" spans="1:31" x14ac:dyDescent="0.25">
      <c r="B68" s="150"/>
      <c r="C68" s="10"/>
      <c r="D68" s="39"/>
      <c r="E68" s="39"/>
      <c r="F68" s="39"/>
      <c r="G68" s="39"/>
      <c r="H68" s="179"/>
      <c r="I68" s="39"/>
      <c r="J68" s="39"/>
      <c r="W68" s="130" t="s">
        <v>120</v>
      </c>
      <c r="X68" s="10"/>
      <c r="Y68" s="10"/>
      <c r="Z68" s="10"/>
      <c r="AA68" s="10"/>
      <c r="AB68" s="93"/>
      <c r="AC68" s="10"/>
      <c r="AD68" s="2" t="e">
        <f>#REF!-#REF!</f>
        <v>#REF!</v>
      </c>
      <c r="AE68" s="134" t="e">
        <f>#REF!/AC69-1</f>
        <v>#REF!</v>
      </c>
    </row>
    <row r="69" spans="1:31" x14ac:dyDescent="0.25">
      <c r="B69" s="150"/>
      <c r="C69" s="10"/>
      <c r="D69" s="39"/>
      <c r="E69" s="39"/>
      <c r="F69" s="39"/>
      <c r="G69" s="39"/>
      <c r="H69" s="179"/>
      <c r="I69" s="39"/>
      <c r="J69" s="39"/>
      <c r="W69" s="130"/>
      <c r="X69" s="10"/>
      <c r="Y69" s="10"/>
      <c r="Z69" s="10"/>
      <c r="AA69" s="10"/>
      <c r="AB69" s="93"/>
      <c r="AC69" s="10"/>
      <c r="AD69" s="2">
        <f>Y69-Z69</f>
        <v>0</v>
      </c>
      <c r="AE69" s="134" t="e">
        <f>AC69/AC70-1</f>
        <v>#DIV/0!</v>
      </c>
    </row>
    <row r="71" spans="1:31" x14ac:dyDescent="0.25">
      <c r="L71" t="s">
        <v>65</v>
      </c>
      <c r="M71" s="2">
        <f>M89+K89-F89</f>
        <v>720.56000000000131</v>
      </c>
    </row>
    <row r="72" spans="1:31" x14ac:dyDescent="0.25">
      <c r="A72" s="199" t="s">
        <v>1</v>
      </c>
      <c r="B72" s="474" t="s">
        <v>2</v>
      </c>
      <c r="C72" s="199" t="s">
        <v>4</v>
      </c>
      <c r="D72" s="200" t="s">
        <v>5</v>
      </c>
      <c r="E72" s="200" t="s">
        <v>94</v>
      </c>
      <c r="F72" s="200" t="s">
        <v>60</v>
      </c>
      <c r="G72" s="199" t="s">
        <v>3</v>
      </c>
      <c r="H72" s="199" t="s">
        <v>6</v>
      </c>
      <c r="I72" s="200" t="s">
        <v>7</v>
      </c>
      <c r="J72" s="200" t="s">
        <v>95</v>
      </c>
      <c r="K72" s="200" t="s">
        <v>61</v>
      </c>
      <c r="L72" s="199" t="s">
        <v>37</v>
      </c>
      <c r="M72" s="199" t="s">
        <v>38</v>
      </c>
    </row>
    <row r="73" spans="1:31" x14ac:dyDescent="0.25">
      <c r="A73" s="201" t="s">
        <v>300</v>
      </c>
      <c r="B73" s="475">
        <v>42704</v>
      </c>
      <c r="C73" s="197">
        <v>40</v>
      </c>
      <c r="D73" s="198">
        <v>83.05</v>
      </c>
      <c r="E73" s="198">
        <v>0</v>
      </c>
      <c r="F73" s="198">
        <f>C73*D73+E73</f>
        <v>3322</v>
      </c>
      <c r="G73" s="475">
        <v>42739</v>
      </c>
      <c r="H73" s="203">
        <v>40</v>
      </c>
      <c r="I73" s="198">
        <v>96.5</v>
      </c>
      <c r="J73" s="198">
        <v>0.08</v>
      </c>
      <c r="K73" s="198">
        <f>I73*H73-J73</f>
        <v>3859.92</v>
      </c>
      <c r="L73" s="202"/>
      <c r="M73" s="198"/>
    </row>
    <row r="74" spans="1:31" x14ac:dyDescent="0.25">
      <c r="A74" s="204" t="s">
        <v>71</v>
      </c>
      <c r="B74" s="566">
        <v>42768</v>
      </c>
      <c r="C74" s="556">
        <v>40</v>
      </c>
      <c r="D74" s="554">
        <v>91.52</v>
      </c>
      <c r="E74" s="554">
        <v>0</v>
      </c>
      <c r="F74" s="554">
        <f>D74*C74+E74</f>
        <v>3660.7999999999997</v>
      </c>
      <c r="G74" s="566">
        <v>42803</v>
      </c>
      <c r="H74" s="556">
        <v>20</v>
      </c>
      <c r="I74" s="554">
        <v>91.58</v>
      </c>
      <c r="J74" s="554">
        <v>0.04</v>
      </c>
      <c r="K74" s="554">
        <f>I74*H74-J74</f>
        <v>1831.56</v>
      </c>
      <c r="L74" s="555"/>
      <c r="M74" s="554"/>
    </row>
    <row r="75" spans="1:31" x14ac:dyDescent="0.25">
      <c r="A75" s="197"/>
      <c r="B75" s="566">
        <v>42768</v>
      </c>
      <c r="C75" s="556">
        <v>40</v>
      </c>
      <c r="D75" s="554">
        <v>88.8</v>
      </c>
      <c r="E75" s="554">
        <v>0</v>
      </c>
      <c r="F75" s="554">
        <f>D75*C75+E75</f>
        <v>3552</v>
      </c>
      <c r="G75" s="566">
        <v>42803</v>
      </c>
      <c r="H75" s="564">
        <v>20</v>
      </c>
      <c r="I75" s="554">
        <v>92.2</v>
      </c>
      <c r="J75" s="554">
        <v>0.04</v>
      </c>
      <c r="K75" s="554">
        <f>I75*H75-J75</f>
        <v>1843.96</v>
      </c>
      <c r="L75" s="556"/>
      <c r="M75" s="556"/>
    </row>
    <row r="76" spans="1:31" x14ac:dyDescent="0.25">
      <c r="A76" s="197"/>
      <c r="B76" s="566"/>
      <c r="C76" s="556"/>
      <c r="D76" s="554"/>
      <c r="E76" s="554"/>
      <c r="F76" s="554"/>
      <c r="G76" s="566">
        <v>42803</v>
      </c>
      <c r="H76" s="564">
        <v>40</v>
      </c>
      <c r="I76" s="554">
        <v>93</v>
      </c>
      <c r="J76" s="554">
        <v>0.08</v>
      </c>
      <c r="K76" s="554">
        <f>I76*H76-J76</f>
        <v>3719.92</v>
      </c>
      <c r="L76" s="556"/>
      <c r="M76" s="556"/>
    </row>
    <row r="77" spans="1:31" x14ac:dyDescent="0.25">
      <c r="A77" s="197"/>
      <c r="B77" s="475"/>
      <c r="C77" s="197"/>
      <c r="D77" s="198"/>
      <c r="E77" s="198"/>
      <c r="F77" s="198"/>
      <c r="G77" s="475"/>
      <c r="H77" s="203"/>
      <c r="I77" s="198"/>
      <c r="J77" s="198"/>
      <c r="K77" s="198"/>
      <c r="L77" s="197"/>
      <c r="M77" s="197"/>
    </row>
    <row r="78" spans="1:31" x14ac:dyDescent="0.25">
      <c r="A78" s="197"/>
      <c r="B78" s="475"/>
      <c r="C78" s="197"/>
      <c r="D78" s="198"/>
      <c r="E78" s="198"/>
      <c r="F78" s="198"/>
      <c r="G78" s="475"/>
      <c r="H78" s="203"/>
      <c r="I78" s="198"/>
      <c r="J78" s="198"/>
      <c r="K78" s="198"/>
      <c r="L78" s="197"/>
      <c r="M78" s="197"/>
    </row>
    <row r="79" spans="1:31" x14ac:dyDescent="0.25">
      <c r="A79" s="197"/>
      <c r="B79" s="475"/>
      <c r="C79" s="197"/>
      <c r="D79" s="198"/>
      <c r="E79" s="198"/>
      <c r="F79" s="198"/>
      <c r="G79" s="475"/>
      <c r="H79" s="203"/>
      <c r="I79" s="198"/>
      <c r="J79" s="198"/>
      <c r="K79" s="198"/>
      <c r="L79" s="197"/>
      <c r="M79" s="197"/>
    </row>
    <row r="80" spans="1:31" x14ac:dyDescent="0.25">
      <c r="A80" s="197"/>
      <c r="B80" s="475"/>
      <c r="C80" s="197"/>
      <c r="D80" s="198"/>
      <c r="E80" s="198"/>
      <c r="F80" s="198"/>
      <c r="G80" s="475"/>
      <c r="H80" s="203"/>
      <c r="I80" s="198"/>
      <c r="J80" s="198"/>
      <c r="K80" s="198"/>
      <c r="L80" s="197"/>
      <c r="M80" s="197"/>
    </row>
    <row r="81" spans="1:13" x14ac:dyDescent="0.25">
      <c r="A81" s="197"/>
      <c r="B81" s="475"/>
      <c r="C81" s="197"/>
      <c r="D81" s="198"/>
      <c r="E81" s="198"/>
      <c r="F81" s="198"/>
      <c r="G81" s="475"/>
      <c r="H81" s="203"/>
      <c r="I81" s="198"/>
      <c r="J81" s="198"/>
      <c r="K81" s="198"/>
      <c r="L81" s="197"/>
      <c r="M81" s="197"/>
    </row>
    <row r="82" spans="1:13" x14ac:dyDescent="0.25">
      <c r="A82" s="197"/>
      <c r="B82" s="475"/>
      <c r="C82" s="197"/>
      <c r="D82" s="198"/>
      <c r="E82" s="198"/>
      <c r="F82" s="198"/>
      <c r="G82" s="475"/>
      <c r="H82" s="203"/>
      <c r="I82" s="198"/>
      <c r="J82" s="198"/>
      <c r="K82" s="198"/>
      <c r="L82" s="197"/>
      <c r="M82" s="197"/>
    </row>
    <row r="83" spans="1:13" x14ac:dyDescent="0.25">
      <c r="A83" s="197"/>
      <c r="B83" s="475"/>
      <c r="C83" s="197"/>
      <c r="D83" s="198"/>
      <c r="E83" s="198"/>
      <c r="F83" s="198"/>
      <c r="G83" s="475"/>
      <c r="H83" s="203"/>
      <c r="I83" s="198"/>
      <c r="J83" s="198"/>
      <c r="K83" s="198"/>
      <c r="L83" s="197"/>
      <c r="M83" s="197"/>
    </row>
    <row r="84" spans="1:13" x14ac:dyDescent="0.25">
      <c r="A84" s="197"/>
      <c r="B84" s="475"/>
      <c r="C84" s="197"/>
      <c r="D84" s="198"/>
      <c r="E84" s="198"/>
      <c r="F84" s="198"/>
      <c r="G84" s="475"/>
      <c r="H84" s="203"/>
      <c r="I84" s="198"/>
      <c r="J84" s="198"/>
      <c r="K84" s="198"/>
      <c r="L84" s="197"/>
      <c r="M84" s="197"/>
    </row>
    <row r="85" spans="1:13" x14ac:dyDescent="0.25">
      <c r="A85" s="197"/>
      <c r="B85" s="475"/>
      <c r="C85" s="197"/>
      <c r="D85" s="198"/>
      <c r="E85" s="198"/>
      <c r="F85" s="198"/>
      <c r="G85" s="475"/>
      <c r="H85" s="203"/>
      <c r="I85" s="198"/>
      <c r="J85" s="198"/>
      <c r="K85" s="198"/>
      <c r="L85" s="197"/>
      <c r="M85" s="197"/>
    </row>
    <row r="86" spans="1:13" x14ac:dyDescent="0.25">
      <c r="A86" s="197"/>
      <c r="B86" s="475"/>
      <c r="C86" s="197"/>
      <c r="D86" s="198"/>
      <c r="E86" s="198"/>
      <c r="F86" s="198"/>
      <c r="G86" s="475"/>
      <c r="H86" s="203"/>
      <c r="I86" s="198"/>
      <c r="J86" s="198"/>
      <c r="K86" s="198"/>
      <c r="L86" s="197"/>
      <c r="M86" s="197"/>
    </row>
    <row r="87" spans="1:13" x14ac:dyDescent="0.25">
      <c r="A87" s="197"/>
      <c r="B87" s="475"/>
      <c r="C87" s="197"/>
      <c r="D87" s="198"/>
      <c r="E87" s="198"/>
      <c r="F87" s="198"/>
      <c r="G87" s="475"/>
      <c r="H87" s="203"/>
      <c r="I87" s="198"/>
      <c r="J87" s="198"/>
      <c r="K87" s="198"/>
      <c r="L87" s="197"/>
      <c r="M87" s="197"/>
    </row>
    <row r="88" spans="1:13" x14ac:dyDescent="0.25">
      <c r="A88" s="197"/>
      <c r="B88" s="475"/>
      <c r="C88" s="197"/>
      <c r="D88" s="198"/>
      <c r="E88" s="198"/>
      <c r="F88" s="198"/>
      <c r="G88" s="475"/>
      <c r="H88" s="197"/>
      <c r="I88" s="198"/>
      <c r="J88" s="198"/>
      <c r="K88" s="198"/>
      <c r="L88" s="197"/>
      <c r="M88" s="197"/>
    </row>
    <row r="89" spans="1:13" x14ac:dyDescent="0.25">
      <c r="A89" s="31" t="s">
        <v>81</v>
      </c>
      <c r="B89" s="408"/>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73" t="s">
        <v>191</v>
      </c>
      <c r="B90" s="476"/>
      <c r="C90" s="375">
        <f>SumByColor($A$19,C73:C88)</f>
        <v>0</v>
      </c>
      <c r="D90" s="375"/>
      <c r="E90" s="375"/>
      <c r="F90" s="376">
        <f>SumByColor($A$19,F73:F88)</f>
        <v>0</v>
      </c>
      <c r="G90" s="375"/>
      <c r="H90" s="375">
        <f>SumByColor($A$19,H73:H88)</f>
        <v>0</v>
      </c>
      <c r="I90" s="375"/>
      <c r="J90" s="375"/>
      <c r="K90" s="376">
        <f>SumByColor($A$19,K73:K88)</f>
        <v>0</v>
      </c>
      <c r="L90" s="375"/>
      <c r="M90" s="376">
        <f>SumByColor($A$19,M73:M88)</f>
        <v>0</v>
      </c>
    </row>
    <row r="95" spans="1:13" x14ac:dyDescent="0.25">
      <c r="B95" s="410" t="s">
        <v>113</v>
      </c>
      <c r="C95" s="162" t="s">
        <v>145</v>
      </c>
      <c r="D95" s="163" t="s">
        <v>144</v>
      </c>
      <c r="E95" s="165" t="s">
        <v>146</v>
      </c>
      <c r="F95" s="165" t="s">
        <v>65</v>
      </c>
      <c r="G95" s="177" t="s">
        <v>150</v>
      </c>
      <c r="H95" s="177" t="s">
        <v>88</v>
      </c>
      <c r="I95" s="177" t="s">
        <v>153</v>
      </c>
    </row>
    <row r="96" spans="1:13" x14ac:dyDescent="0.25">
      <c r="B96" s="546">
        <v>42704</v>
      </c>
      <c r="C96" s="298">
        <v>40</v>
      </c>
      <c r="D96" s="299">
        <v>83.05</v>
      </c>
      <c r="E96" s="299">
        <v>82.85</v>
      </c>
      <c r="F96" s="299">
        <f>C96*(E96-D96)</f>
        <v>-8.0000000000001137</v>
      </c>
      <c r="G96" s="299">
        <f>D96*C96</f>
        <v>3322</v>
      </c>
      <c r="H96" s="300">
        <f>(E96-D96)/D96</f>
        <v>-2.4081878386514491E-3</v>
      </c>
      <c r="I96" s="299"/>
    </row>
    <row r="97" spans="1:10" x14ac:dyDescent="0.25">
      <c r="B97" s="546">
        <v>42708</v>
      </c>
      <c r="C97" s="298">
        <v>40</v>
      </c>
      <c r="D97" s="299">
        <v>83.05</v>
      </c>
      <c r="E97" s="299">
        <v>83.35</v>
      </c>
      <c r="F97" s="299">
        <f>C97*(E97-D97)</f>
        <v>11.999999999999886</v>
      </c>
      <c r="G97" s="299">
        <f>D97*C97</f>
        <v>3322</v>
      </c>
      <c r="H97" s="300">
        <f>(E97-D97)/D97</f>
        <v>3.612281757977088E-3</v>
      </c>
      <c r="I97" s="299"/>
    </row>
    <row r="98" spans="1:10" x14ac:dyDescent="0.25">
      <c r="B98" s="546">
        <v>42729</v>
      </c>
      <c r="C98" s="298">
        <v>40</v>
      </c>
      <c r="D98" s="299">
        <v>83.05</v>
      </c>
      <c r="E98" s="299">
        <v>93</v>
      </c>
      <c r="F98" s="299">
        <f>C98*(E98-D98)</f>
        <v>398.00000000000011</v>
      </c>
      <c r="G98" s="299">
        <f>D98*C98</f>
        <v>3322</v>
      </c>
      <c r="H98" s="300">
        <f>(E98-D98)/D98</f>
        <v>0.11980734497290793</v>
      </c>
      <c r="I98" s="299"/>
    </row>
    <row r="99" spans="1:10" x14ac:dyDescent="0.25">
      <c r="B99" s="546">
        <v>42739</v>
      </c>
      <c r="C99" s="298">
        <v>0</v>
      </c>
      <c r="D99" s="299"/>
      <c r="E99" s="299"/>
      <c r="F99" s="299">
        <v>537.91999999999996</v>
      </c>
      <c r="G99" s="299"/>
      <c r="H99" s="300"/>
      <c r="I99" s="299"/>
    </row>
    <row r="100" spans="1:10" x14ac:dyDescent="0.25">
      <c r="A100" t="s">
        <v>341</v>
      </c>
      <c r="B100" s="150">
        <v>42768</v>
      </c>
      <c r="C100" s="10">
        <v>80</v>
      </c>
      <c r="D100" s="39">
        <v>90.16</v>
      </c>
      <c r="E100" s="39">
        <v>89.73</v>
      </c>
      <c r="F100" s="39">
        <f>C100*(E100-D100)</f>
        <v>-34.399999999999409</v>
      </c>
      <c r="G100" s="39">
        <f>D100*C100</f>
        <v>7212.7999999999993</v>
      </c>
      <c r="H100" s="179">
        <f>(E100-D100)/D100</f>
        <v>-4.7692990239573269E-3</v>
      </c>
      <c r="I100" s="39"/>
      <c r="J100" s="39"/>
    </row>
    <row r="101" spans="1:10" x14ac:dyDescent="0.25">
      <c r="A101" t="s">
        <v>341</v>
      </c>
      <c r="B101" s="150">
        <v>42787</v>
      </c>
      <c r="C101" s="10">
        <v>80</v>
      </c>
      <c r="D101" s="39">
        <v>90.16</v>
      </c>
      <c r="E101" s="39">
        <v>92.67</v>
      </c>
      <c r="F101" s="39">
        <f>C101*(E101-D101)</f>
        <v>200.80000000000041</v>
      </c>
      <c r="G101" s="39">
        <f>D101*C101</f>
        <v>7212.7999999999993</v>
      </c>
      <c r="H101" s="179">
        <f>(E101-D101)/D101</f>
        <v>2.7839396628216561E-2</v>
      </c>
      <c r="I101" s="39"/>
      <c r="J101" s="39"/>
    </row>
    <row r="102" spans="1:10" x14ac:dyDescent="0.25">
      <c r="A102">
        <v>80</v>
      </c>
      <c r="B102" s="150">
        <v>42800</v>
      </c>
      <c r="C102" s="10">
        <v>80</v>
      </c>
      <c r="D102" s="39">
        <v>90.16</v>
      </c>
      <c r="E102" s="39">
        <v>89.95</v>
      </c>
      <c r="F102" s="39">
        <f>C102*(E102-D102)</f>
        <v>-16.7999999999995</v>
      </c>
      <c r="G102" s="39">
        <f>D102*C102</f>
        <v>7212.7999999999993</v>
      </c>
      <c r="H102" s="179">
        <f>(E102-D102)/D102</f>
        <v>-2.3291925465837816E-3</v>
      </c>
      <c r="I102" s="39"/>
      <c r="J102" s="39"/>
    </row>
    <row r="103" spans="1:10" x14ac:dyDescent="0.25">
      <c r="A103">
        <v>60</v>
      </c>
      <c r="B103" s="150">
        <v>42803</v>
      </c>
      <c r="C103" s="10">
        <v>60</v>
      </c>
      <c r="D103" s="39">
        <v>89.686000000000007</v>
      </c>
      <c r="E103" s="39">
        <v>91.5</v>
      </c>
      <c r="F103" s="39">
        <f>C103*(E103-D103)</f>
        <v>108.83999999999958</v>
      </c>
      <c r="G103" s="39">
        <f>D103*C103</f>
        <v>5381.1600000000008</v>
      </c>
      <c r="H103" s="179">
        <f>(E103-D103)/D103</f>
        <v>2.0226122248734393E-2</v>
      </c>
      <c r="I103" s="39"/>
      <c r="J103" s="39"/>
    </row>
    <row r="104" spans="1:10" x14ac:dyDescent="0.25">
      <c r="B104" s="150">
        <v>42803</v>
      </c>
      <c r="C104" s="10">
        <v>0</v>
      </c>
      <c r="D104" s="39"/>
      <c r="E104" s="39"/>
      <c r="F104" s="39">
        <v>182.64</v>
      </c>
      <c r="G104" s="39"/>
      <c r="H104" s="179"/>
      <c r="I104" s="39"/>
      <c r="J104" s="39"/>
    </row>
    <row r="105" spans="1:10" x14ac:dyDescent="0.25">
      <c r="B105" s="546"/>
      <c r="C105" s="298"/>
      <c r="D105" s="299"/>
      <c r="E105" s="299"/>
      <c r="F105" s="299"/>
      <c r="G105" s="299"/>
      <c r="H105" s="300"/>
      <c r="I105" s="299"/>
    </row>
    <row r="106" spans="1:10" x14ac:dyDescent="0.25">
      <c r="B106" s="546"/>
      <c r="C106" s="298"/>
      <c r="D106" s="299"/>
      <c r="E106" s="299"/>
      <c r="F106" s="299"/>
      <c r="G106" s="299"/>
      <c r="H106" s="300"/>
      <c r="I106" s="299"/>
    </row>
    <row r="107" spans="1:10" x14ac:dyDescent="0.25">
      <c r="B107" s="546"/>
      <c r="C107" s="298"/>
      <c r="D107" s="299"/>
      <c r="E107" s="299"/>
      <c r="F107" s="299"/>
      <c r="G107" s="299"/>
      <c r="H107" s="300"/>
      <c r="I107" s="299"/>
    </row>
    <row r="108" spans="1:10" x14ac:dyDescent="0.25">
      <c r="B108" s="546"/>
      <c r="C108" s="298"/>
      <c r="D108" s="299"/>
      <c r="E108" s="299"/>
      <c r="F108" s="299"/>
      <c r="G108" s="299"/>
      <c r="H108" s="300"/>
      <c r="I108" s="299"/>
    </row>
    <row r="109" spans="1:10" x14ac:dyDescent="0.25">
      <c r="B109" s="546"/>
      <c r="C109" s="298"/>
      <c r="D109" s="299"/>
      <c r="E109" s="299"/>
      <c r="F109" s="299"/>
      <c r="G109" s="299"/>
      <c r="H109" s="300"/>
      <c r="I109" s="299"/>
    </row>
    <row r="110" spans="1:10" x14ac:dyDescent="0.25">
      <c r="B110" s="546"/>
      <c r="C110" s="298"/>
      <c r="D110" s="299"/>
      <c r="E110" s="299"/>
      <c r="F110" s="299"/>
      <c r="G110" s="299"/>
      <c r="H110" s="300"/>
      <c r="I110" s="299"/>
    </row>
    <row r="111" spans="1:10" x14ac:dyDescent="0.25">
      <c r="B111" s="546"/>
      <c r="C111" s="298"/>
      <c r="D111" s="299"/>
      <c r="E111" s="299"/>
      <c r="F111" s="299"/>
      <c r="G111" s="299"/>
      <c r="H111" s="300"/>
      <c r="I111" s="299"/>
    </row>
    <row r="112" spans="1:10" x14ac:dyDescent="0.25">
      <c r="B112" s="546"/>
      <c r="C112" s="298"/>
      <c r="D112" s="299"/>
      <c r="E112" s="299"/>
      <c r="F112" s="299"/>
      <c r="G112" s="299"/>
      <c r="H112" s="300"/>
      <c r="I112" s="299"/>
    </row>
    <row r="113" spans="2:9" x14ac:dyDescent="0.25">
      <c r="B113" s="546"/>
      <c r="C113" s="298"/>
      <c r="D113" s="299"/>
      <c r="E113" s="299"/>
      <c r="F113" s="299"/>
      <c r="G113" s="299"/>
      <c r="H113" s="300"/>
      <c r="I113" s="299"/>
    </row>
    <row r="114" spans="2:9" x14ac:dyDescent="0.25">
      <c r="B114" s="546"/>
      <c r="C114" s="298"/>
      <c r="D114" s="299"/>
      <c r="E114" s="299"/>
      <c r="F114" s="299"/>
      <c r="G114" s="299"/>
      <c r="H114" s="300"/>
      <c r="I114" s="299"/>
    </row>
    <row r="115" spans="2:9" x14ac:dyDescent="0.25">
      <c r="B115" s="546"/>
      <c r="C115" s="298"/>
      <c r="D115" s="299"/>
      <c r="E115" s="299"/>
      <c r="F115" s="299"/>
      <c r="G115" s="299"/>
      <c r="H115" s="300"/>
      <c r="I115" s="299"/>
    </row>
    <row r="116" spans="2:9" x14ac:dyDescent="0.25">
      <c r="B116" s="546"/>
      <c r="C116" s="298"/>
      <c r="D116" s="299"/>
      <c r="E116" s="299"/>
      <c r="F116" s="299"/>
      <c r="G116" s="299"/>
      <c r="H116" s="300"/>
      <c r="I116" s="299"/>
    </row>
    <row r="117" spans="2:9" x14ac:dyDescent="0.25">
      <c r="B117" s="546"/>
      <c r="C117" s="298"/>
      <c r="D117" s="299"/>
      <c r="E117" s="299"/>
      <c r="F117" s="299"/>
      <c r="G117" s="299"/>
      <c r="H117" s="300"/>
      <c r="I117" s="299"/>
    </row>
    <row r="118" spans="2:9" x14ac:dyDescent="0.25">
      <c r="B118" s="546"/>
      <c r="C118" s="298"/>
      <c r="D118" s="299"/>
      <c r="E118" s="299"/>
      <c r="F118" s="299"/>
      <c r="G118" s="299"/>
      <c r="H118" s="300"/>
      <c r="I118" s="377"/>
    </row>
    <row r="119" spans="2:9" x14ac:dyDescent="0.25">
      <c r="B119" s="546"/>
      <c r="C119" s="298"/>
      <c r="D119" s="299"/>
      <c r="E119" s="299"/>
      <c r="F119" s="299"/>
      <c r="G119" s="299"/>
      <c r="H119" s="300"/>
      <c r="I119" s="299"/>
    </row>
    <row r="120" spans="2:9" x14ac:dyDescent="0.25">
      <c r="B120" s="546"/>
      <c r="C120" s="298"/>
      <c r="D120" s="299"/>
      <c r="E120" s="299"/>
      <c r="F120" s="299"/>
      <c r="G120" s="299"/>
      <c r="H120" s="300"/>
      <c r="I120" s="299"/>
    </row>
    <row r="121" spans="2:9" x14ac:dyDescent="0.25">
      <c r="B121" s="546"/>
      <c r="C121" s="298"/>
      <c r="D121" s="299"/>
      <c r="E121" s="299"/>
      <c r="F121" s="299"/>
      <c r="G121" s="299"/>
      <c r="H121" s="300"/>
      <c r="I121" s="299"/>
    </row>
    <row r="122" spans="2:9" x14ac:dyDescent="0.25">
      <c r="B122" s="546"/>
      <c r="C122" s="298"/>
      <c r="D122" s="299"/>
      <c r="E122" s="299"/>
      <c r="F122" s="299"/>
      <c r="G122" s="299"/>
      <c r="H122" s="300"/>
      <c r="I122" s="299"/>
    </row>
    <row r="123" spans="2:9" x14ac:dyDescent="0.25">
      <c r="B123" s="546"/>
      <c r="C123" s="298"/>
      <c r="D123" s="299"/>
      <c r="E123" s="299"/>
      <c r="F123" s="299"/>
      <c r="G123" s="299"/>
      <c r="H123" s="300"/>
      <c r="I123" s="299"/>
    </row>
    <row r="124" spans="2:9" x14ac:dyDescent="0.25">
      <c r="B124" s="546"/>
      <c r="C124" s="298"/>
      <c r="D124" s="299"/>
      <c r="E124" s="299"/>
      <c r="F124" s="299"/>
      <c r="G124" s="299"/>
      <c r="H124" s="300"/>
      <c r="I124" s="299"/>
    </row>
    <row r="125" spans="2:9" x14ac:dyDescent="0.25">
      <c r="B125" s="546"/>
      <c r="C125" s="298"/>
      <c r="D125" s="299"/>
      <c r="E125" s="299"/>
      <c r="F125" s="299"/>
      <c r="G125" s="299"/>
      <c r="H125" s="300"/>
      <c r="I125" s="299"/>
    </row>
    <row r="126" spans="2:9" x14ac:dyDescent="0.25">
      <c r="B126" s="546"/>
      <c r="C126" s="298"/>
      <c r="D126" s="299"/>
      <c r="E126" s="299"/>
      <c r="F126" s="299"/>
      <c r="G126" s="299"/>
      <c r="H126" s="300"/>
      <c r="I126" s="299"/>
    </row>
    <row r="127" spans="2:9" x14ac:dyDescent="0.25">
      <c r="B127" s="546"/>
      <c r="C127" s="298"/>
      <c r="D127" s="299"/>
      <c r="E127" s="299"/>
      <c r="F127" s="299"/>
      <c r="G127" s="299"/>
      <c r="H127" s="300"/>
      <c r="I127" s="299"/>
    </row>
    <row r="128" spans="2:9" x14ac:dyDescent="0.25">
      <c r="B128" s="546"/>
      <c r="C128" s="298"/>
      <c r="D128" s="299"/>
      <c r="E128" s="299"/>
      <c r="F128" s="299"/>
      <c r="G128" s="299"/>
      <c r="H128" s="300"/>
      <c r="I128" s="299"/>
    </row>
    <row r="129" spans="2:9" x14ac:dyDescent="0.25">
      <c r="B129" s="546"/>
      <c r="C129" s="298"/>
      <c r="D129" s="299"/>
      <c r="E129" s="299"/>
      <c r="F129" s="299"/>
      <c r="G129" s="299"/>
      <c r="H129" s="300"/>
      <c r="I129" s="299"/>
    </row>
    <row r="130" spans="2:9" x14ac:dyDescent="0.25">
      <c r="B130" s="546"/>
      <c r="C130" s="298"/>
      <c r="D130" s="299"/>
      <c r="E130" s="299"/>
      <c r="F130" s="299"/>
      <c r="G130" s="299"/>
      <c r="H130" s="300"/>
      <c r="I130" s="299"/>
    </row>
    <row r="131" spans="2:9" x14ac:dyDescent="0.25">
      <c r="B131" s="546"/>
      <c r="C131" s="298"/>
      <c r="D131" s="299"/>
      <c r="E131" s="299"/>
      <c r="F131" s="299"/>
      <c r="G131" s="299"/>
      <c r="H131" s="300"/>
      <c r="I131" s="299"/>
    </row>
    <row r="132" spans="2:9" x14ac:dyDescent="0.25">
      <c r="B132" s="546"/>
      <c r="C132" s="298"/>
      <c r="D132" s="299"/>
      <c r="E132" s="299"/>
      <c r="F132" s="299"/>
      <c r="G132" s="299"/>
      <c r="H132" s="300"/>
      <c r="I132" s="299"/>
    </row>
    <row r="133" spans="2:9" x14ac:dyDescent="0.25">
      <c r="B133" s="546"/>
      <c r="C133" s="298"/>
      <c r="D133" s="299"/>
      <c r="E133" s="299"/>
      <c r="F133" s="299"/>
      <c r="G133" s="299"/>
      <c r="H133" s="300"/>
      <c r="I133" s="299"/>
    </row>
    <row r="134" spans="2:9" x14ac:dyDescent="0.25">
      <c r="B134" s="546"/>
      <c r="C134" s="298"/>
      <c r="D134" s="299"/>
      <c r="E134" s="299"/>
      <c r="F134" s="299"/>
      <c r="G134" s="299"/>
      <c r="H134" s="300"/>
      <c r="I134" s="299"/>
    </row>
    <row r="135" spans="2:9" x14ac:dyDescent="0.25">
      <c r="B135" s="546"/>
      <c r="C135" s="298"/>
      <c r="D135" s="299"/>
      <c r="E135" s="299"/>
      <c r="F135" s="299"/>
      <c r="G135" s="299"/>
      <c r="H135" s="300"/>
      <c r="I135" s="299"/>
    </row>
    <row r="136" spans="2:9" x14ac:dyDescent="0.25">
      <c r="B136" s="546"/>
      <c r="C136" s="298"/>
      <c r="D136" s="299"/>
      <c r="E136" s="299"/>
      <c r="F136" s="299"/>
      <c r="G136" s="299"/>
      <c r="H136" s="300"/>
      <c r="I136" s="299"/>
    </row>
    <row r="137" spans="2:9" x14ac:dyDescent="0.25">
      <c r="B137" s="546"/>
      <c r="C137" s="298"/>
      <c r="D137" s="299"/>
      <c r="E137" s="299"/>
      <c r="F137" s="299"/>
      <c r="G137" s="299"/>
      <c r="H137" s="300"/>
      <c r="I137" s="299"/>
    </row>
    <row r="138" spans="2:9" x14ac:dyDescent="0.25">
      <c r="B138" s="546"/>
      <c r="C138" s="298"/>
      <c r="D138" s="299"/>
      <c r="E138" s="299"/>
      <c r="F138" s="299"/>
      <c r="G138" s="299"/>
      <c r="H138" s="300"/>
      <c r="I138" s="299"/>
    </row>
    <row r="139" spans="2:9" x14ac:dyDescent="0.25">
      <c r="B139" s="546"/>
      <c r="C139" s="298"/>
      <c r="D139" s="299"/>
      <c r="E139" s="299"/>
      <c r="F139" s="299"/>
      <c r="G139" s="299"/>
      <c r="H139" s="300"/>
      <c r="I139" s="299"/>
    </row>
    <row r="140" spans="2:9" x14ac:dyDescent="0.25">
      <c r="B140" s="546"/>
      <c r="C140" s="298"/>
      <c r="D140" s="299"/>
      <c r="E140" s="299"/>
      <c r="F140" s="299"/>
      <c r="G140" s="299"/>
      <c r="H140" s="300"/>
      <c r="I140" s="299"/>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1674" priority="43">
      <formula>F33&gt;0</formula>
    </cfRule>
    <cfRule type="expression" dxfId="1673" priority="44">
      <formula>F33&lt;0</formula>
    </cfRule>
  </conditionalFormatting>
  <conditionalFormatting sqref="Q7">
    <cfRule type="expression" dxfId="1672" priority="41">
      <formula>Q7&gt;0</formula>
    </cfRule>
    <cfRule type="expression" dxfId="1671" priority="42">
      <formula>Q7&lt;0</formula>
    </cfRule>
  </conditionalFormatting>
  <conditionalFormatting sqref="Q8">
    <cfRule type="expression" dxfId="1670" priority="39">
      <formula>Q8&gt;0</formula>
    </cfRule>
    <cfRule type="expression" dxfId="1669" priority="40">
      <formula>Q8&lt;0</formula>
    </cfRule>
  </conditionalFormatting>
  <conditionalFormatting sqref="F29 F32">
    <cfRule type="expression" dxfId="1668" priority="37">
      <formula>F29&gt;0</formula>
    </cfRule>
    <cfRule type="expression" dxfId="1667" priority="38">
      <formula>F29&lt;0</formula>
    </cfRule>
  </conditionalFormatting>
  <conditionalFormatting sqref="H29 H32">
    <cfRule type="expression" dxfId="1666" priority="35">
      <formula>H29&gt;0</formula>
    </cfRule>
    <cfRule type="expression" dxfId="1665" priority="36">
      <formula>H29&lt;0</formula>
    </cfRule>
  </conditionalFormatting>
  <conditionalFormatting sqref="F30:F31">
    <cfRule type="expression" dxfId="1664" priority="33">
      <formula>F30&gt;0</formula>
    </cfRule>
    <cfRule type="expression" dxfId="1663" priority="34">
      <formula>F30&lt;0</formula>
    </cfRule>
  </conditionalFormatting>
  <conditionalFormatting sqref="H30:H31">
    <cfRule type="expression" dxfId="1662" priority="31">
      <formula>H30&gt;0</formula>
    </cfRule>
    <cfRule type="expression" dxfId="1661" priority="32">
      <formula>H30&lt;0</formula>
    </cfRule>
  </conditionalFormatting>
  <conditionalFormatting sqref="F105:F140 H105:H140">
    <cfRule type="expression" dxfId="1660" priority="29">
      <formula>F105&gt;0</formula>
    </cfRule>
    <cfRule type="expression" dxfId="1659" priority="30">
      <formula>F105&lt;0</formula>
    </cfRule>
  </conditionalFormatting>
  <conditionalFormatting sqref="F96:F99">
    <cfRule type="expression" dxfId="1658" priority="27">
      <formula>F96&gt;0</formula>
    </cfRule>
    <cfRule type="expression" dxfId="1657" priority="28">
      <formula>F96&lt;0</formula>
    </cfRule>
  </conditionalFormatting>
  <conditionalFormatting sqref="H96:H99">
    <cfRule type="expression" dxfId="1656" priority="25">
      <formula>H96&gt;0</formula>
    </cfRule>
    <cfRule type="expression" dxfId="1655" priority="26">
      <formula>H96&lt;0</formula>
    </cfRule>
  </conditionalFormatting>
  <conditionalFormatting sqref="F25:F28">
    <cfRule type="expression" dxfId="1654" priority="19">
      <formula>F25&gt;0</formula>
    </cfRule>
    <cfRule type="expression" dxfId="1653" priority="20">
      <formula>F25&lt;0</formula>
    </cfRule>
  </conditionalFormatting>
  <conditionalFormatting sqref="H25:H28">
    <cfRule type="expression" dxfId="1652" priority="17">
      <formula>H25&gt;0</formula>
    </cfRule>
    <cfRule type="expression" dxfId="1651" priority="18">
      <formula>H25&lt;0</formula>
    </cfRule>
  </conditionalFormatting>
  <conditionalFormatting sqref="J27">
    <cfRule type="expression" dxfId="1650" priority="15">
      <formula>J27&gt;0</formula>
    </cfRule>
    <cfRule type="expression" dxfId="1649" priority="16">
      <formula>J27&lt;0</formula>
    </cfRule>
  </conditionalFormatting>
  <conditionalFormatting sqref="F104">
    <cfRule type="expression" dxfId="1648" priority="13">
      <formula>F104&gt;0</formula>
    </cfRule>
    <cfRule type="expression" dxfId="1647" priority="14">
      <formula>F104&lt;0</formula>
    </cfRule>
  </conditionalFormatting>
  <conditionalFormatting sqref="H104">
    <cfRule type="expression" dxfId="1646" priority="11">
      <formula>H104&gt;0</formula>
    </cfRule>
    <cfRule type="expression" dxfId="1645" priority="12">
      <formula>H104&lt;0</formula>
    </cfRule>
  </conditionalFormatting>
  <conditionalFormatting sqref="F100:F103">
    <cfRule type="expression" dxfId="1644" priority="9">
      <formula>F100&gt;0</formula>
    </cfRule>
    <cfRule type="expression" dxfId="1643" priority="10">
      <formula>F100&lt;0</formula>
    </cfRule>
  </conditionalFormatting>
  <conditionalFormatting sqref="H100:H103">
    <cfRule type="expression" dxfId="1642" priority="7">
      <formula>H100&gt;0</formula>
    </cfRule>
    <cfRule type="expression" dxfId="1641" priority="8">
      <formula>H100&lt;0</formula>
    </cfRule>
  </conditionalFormatting>
  <conditionalFormatting sqref="J102">
    <cfRule type="expression" dxfId="1640" priority="5">
      <formula>J102&gt;0</formula>
    </cfRule>
    <cfRule type="expression" dxfId="1639" priority="6">
      <formula>J102&lt;0</formula>
    </cfRule>
  </conditionalFormatting>
  <conditionalFormatting sqref="Q10">
    <cfRule type="expression" dxfId="1638" priority="3">
      <formula>Q10&gt;0</formula>
    </cfRule>
    <cfRule type="expression" dxfId="1637" priority="4">
      <formula>Q10&lt;0</formula>
    </cfRule>
  </conditionalFormatting>
  <conditionalFormatting sqref="M71">
    <cfRule type="expression" dxfId="1636" priority="1">
      <formula>M71&gt;0</formula>
    </cfRule>
    <cfRule type="expression" dxfId="1635"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668</v>
      </c>
      <c r="B2" s="72"/>
      <c r="C2" s="4"/>
      <c r="D2" s="3"/>
      <c r="E2" s="3"/>
      <c r="F2" s="3"/>
      <c r="G2" s="72"/>
      <c r="H2" s="4"/>
      <c r="I2" s="3"/>
      <c r="J2" s="3"/>
      <c r="K2" s="3"/>
      <c r="L2" s="72"/>
      <c r="M2" s="4"/>
      <c r="O2" s="11" t="s">
        <v>57</v>
      </c>
      <c r="Q2">
        <f>C18-H18</f>
        <v>0</v>
      </c>
      <c r="T2" s="1"/>
    </row>
    <row r="3" spans="1:21" x14ac:dyDescent="0.25">
      <c r="A3" s="22" t="s">
        <v>71</v>
      </c>
      <c r="B3" s="72"/>
      <c r="C3" s="4"/>
      <c r="D3" s="3"/>
      <c r="E3" s="3"/>
      <c r="F3" s="3"/>
      <c r="G3" s="72"/>
      <c r="H3" s="161"/>
      <c r="I3" s="3"/>
      <c r="J3" s="3"/>
      <c r="K3" s="3"/>
      <c r="L3" s="4"/>
      <c r="O3" s="11" t="s">
        <v>58</v>
      </c>
      <c r="Q3" s="178">
        <f>IF(Q2=0, Q4, (F18-K18-M18)/Q2)</f>
        <v>48.9</v>
      </c>
      <c r="T3" s="1"/>
    </row>
    <row r="4" spans="1:21" x14ac:dyDescent="0.25">
      <c r="B4" s="72"/>
      <c r="C4" s="4"/>
      <c r="D4" s="3"/>
      <c r="E4" s="3"/>
      <c r="F4" s="3"/>
      <c r="G4" s="4"/>
      <c r="H4" s="161"/>
      <c r="I4" s="3"/>
      <c r="J4" s="3"/>
      <c r="K4" s="3"/>
      <c r="L4" s="4"/>
      <c r="O4" s="11" t="s">
        <v>66</v>
      </c>
      <c r="Q4" s="54">
        <v>48.9</v>
      </c>
      <c r="R4" s="405">
        <v>2.1499999999999998E-2</v>
      </c>
      <c r="T4" s="156"/>
      <c r="U4" s="1"/>
    </row>
    <row r="5" spans="1:21" x14ac:dyDescent="0.25">
      <c r="B5" s="72"/>
      <c r="C5" s="4"/>
      <c r="D5" s="3"/>
      <c r="E5" s="3"/>
      <c r="F5" s="3"/>
      <c r="G5" s="4"/>
      <c r="H5" s="161"/>
      <c r="I5" s="3"/>
      <c r="J5" s="3"/>
      <c r="K5" s="3"/>
      <c r="L5" s="4"/>
      <c r="O5" s="11" t="s">
        <v>67</v>
      </c>
      <c r="Q5" s="3">
        <f>Q4*Q2</f>
        <v>0</v>
      </c>
    </row>
    <row r="6" spans="1:21" x14ac:dyDescent="0.25">
      <c r="B6" s="72"/>
      <c r="C6" s="4"/>
      <c r="D6" s="3"/>
      <c r="E6" s="3"/>
      <c r="F6" s="3"/>
      <c r="G6" s="4"/>
      <c r="H6" s="161"/>
      <c r="I6" s="3"/>
      <c r="J6" s="3"/>
      <c r="K6" s="3"/>
      <c r="L6" s="4"/>
      <c r="O6" s="11" t="s">
        <v>64</v>
      </c>
      <c r="Q6" s="2">
        <f>Q3*Q2</f>
        <v>0</v>
      </c>
    </row>
    <row r="7" spans="1:21" x14ac:dyDescent="0.25">
      <c r="B7" s="4"/>
      <c r="C7" s="4"/>
      <c r="D7" s="3"/>
      <c r="E7" s="3"/>
      <c r="F7" s="3"/>
      <c r="G7" s="4"/>
      <c r="H7" s="161"/>
      <c r="I7" s="3"/>
      <c r="J7" s="3"/>
      <c r="K7" s="3"/>
      <c r="L7" s="4"/>
      <c r="O7" s="11" t="s">
        <v>177</v>
      </c>
      <c r="Q7" s="2">
        <f>Q10+Q8</f>
        <v>329.55999999999949</v>
      </c>
      <c r="R7">
        <v>0</v>
      </c>
    </row>
    <row r="8" spans="1:21" x14ac:dyDescent="0.25">
      <c r="B8" s="4"/>
      <c r="C8" s="4"/>
      <c r="D8" s="3"/>
      <c r="E8" s="3"/>
      <c r="F8" s="3"/>
      <c r="G8" s="4"/>
      <c r="H8" s="161"/>
      <c r="I8" s="3"/>
      <c r="J8" s="3"/>
      <c r="K8" s="3"/>
      <c r="L8" s="4"/>
      <c r="O8" s="11" t="s">
        <v>179</v>
      </c>
      <c r="P8" s="33"/>
      <c r="Q8" s="2">
        <f>K18+M18-F18+Q2*Q4</f>
        <v>0</v>
      </c>
    </row>
    <row r="9" spans="1:21" x14ac:dyDescent="0.25">
      <c r="B9" s="4"/>
      <c r="C9" s="4"/>
      <c r="D9" s="3"/>
      <c r="E9" s="3"/>
      <c r="F9" s="3"/>
      <c r="G9" s="4"/>
      <c r="H9" s="161"/>
      <c r="I9" s="3"/>
      <c r="J9" s="3"/>
      <c r="K9" s="3"/>
      <c r="L9" s="4"/>
      <c r="O9" s="11" t="s">
        <v>204</v>
      </c>
      <c r="Q9" s="134">
        <f>IF(Q2=0, 0, Q8/Q6)</f>
        <v>0</v>
      </c>
    </row>
    <row r="10" spans="1:21" x14ac:dyDescent="0.25">
      <c r="B10" s="4"/>
      <c r="C10" s="4"/>
      <c r="D10" s="3"/>
      <c r="E10" s="3"/>
      <c r="F10" s="3"/>
      <c r="G10" s="4"/>
      <c r="H10" s="161"/>
      <c r="I10" s="3"/>
      <c r="J10" s="3"/>
      <c r="K10" s="3"/>
      <c r="L10" s="4"/>
      <c r="O10" s="11" t="s">
        <v>203</v>
      </c>
      <c r="P10" s="33"/>
      <c r="Q10" s="2">
        <f>M46</f>
        <v>329.55999999999949</v>
      </c>
    </row>
    <row r="11" spans="1:21" x14ac:dyDescent="0.25">
      <c r="B11" s="4"/>
      <c r="C11" s="4"/>
      <c r="D11" s="3"/>
      <c r="E11" s="3"/>
      <c r="F11" s="3"/>
      <c r="G11" s="4"/>
      <c r="H11" s="161"/>
      <c r="I11" s="3"/>
      <c r="J11" s="3"/>
      <c r="K11" s="3"/>
      <c r="L11" s="4"/>
      <c r="O11" s="11" t="s">
        <v>175</v>
      </c>
      <c r="P11" s="33"/>
      <c r="Q11" s="134">
        <v>1.78E-2</v>
      </c>
    </row>
    <row r="12" spans="1:21" x14ac:dyDescent="0.25">
      <c r="H12" s="70"/>
    </row>
    <row r="13" spans="1:21" x14ac:dyDescent="0.25">
      <c r="H13" s="70"/>
      <c r="L13" s="1"/>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c r="C25" s="10"/>
      <c r="D25" s="39"/>
      <c r="E25" s="39"/>
      <c r="F25" s="39"/>
      <c r="G25" s="39"/>
      <c r="H25" s="179"/>
      <c r="I25" s="39"/>
    </row>
    <row r="26" spans="1:13" x14ac:dyDescent="0.25">
      <c r="B26" s="164"/>
      <c r="C26" s="10"/>
      <c r="D26" s="39"/>
      <c r="E26" s="39"/>
      <c r="F26" s="39"/>
      <c r="G26" s="39"/>
      <c r="H26" s="179"/>
      <c r="I26" s="39"/>
    </row>
    <row r="27" spans="1:13" x14ac:dyDescent="0.25">
      <c r="B27" s="164"/>
      <c r="C27" s="10"/>
      <c r="D27" s="39"/>
      <c r="E27" s="39"/>
      <c r="F27" s="39"/>
      <c r="G27" s="39"/>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1" spans="1:13" x14ac:dyDescent="0.25">
      <c r="B31" s="164"/>
      <c r="C31" s="10"/>
      <c r="D31" s="39"/>
      <c r="E31" s="39"/>
      <c r="F31" s="39"/>
      <c r="G31" s="39"/>
      <c r="H31" s="179"/>
      <c r="I31" s="39"/>
    </row>
    <row r="32" spans="1:13" x14ac:dyDescent="0.25">
      <c r="B32" s="164"/>
      <c r="C32" s="10"/>
      <c r="D32" s="39"/>
      <c r="E32" s="39"/>
      <c r="F32" s="39"/>
      <c r="G32" s="39"/>
      <c r="H32" s="179"/>
      <c r="I32" s="39"/>
    </row>
    <row r="33" spans="1:21" x14ac:dyDescent="0.25">
      <c r="B33" s="164"/>
      <c r="C33" s="10"/>
      <c r="D33" s="39"/>
      <c r="E33" s="39"/>
      <c r="F33" s="39"/>
      <c r="G33" s="39"/>
      <c r="H33" s="179"/>
      <c r="I33" s="184"/>
    </row>
    <row r="34" spans="1:21" x14ac:dyDescent="0.25">
      <c r="B34" s="164"/>
      <c r="C34" s="10"/>
      <c r="D34" s="39"/>
      <c r="E34" s="39"/>
      <c r="F34" s="39"/>
      <c r="G34" s="39"/>
      <c r="H34" s="179"/>
      <c r="I34" s="39"/>
    </row>
    <row r="35" spans="1:21" x14ac:dyDescent="0.25">
      <c r="B35" s="164"/>
      <c r="C35" s="10"/>
      <c r="D35" s="39"/>
      <c r="E35" s="39"/>
      <c r="F35" s="39"/>
      <c r="G35" s="39"/>
      <c r="H35" s="179"/>
      <c r="I35" s="39"/>
    </row>
    <row r="36" spans="1:21" x14ac:dyDescent="0.25">
      <c r="B36" s="164"/>
      <c r="C36" s="10"/>
      <c r="D36" s="39"/>
      <c r="E36" s="39"/>
      <c r="F36" s="39"/>
      <c r="G36" s="39"/>
      <c r="H36" s="179"/>
      <c r="I36" s="39"/>
    </row>
    <row r="37" spans="1:21" x14ac:dyDescent="0.25">
      <c r="B37" s="164"/>
      <c r="C37" s="10"/>
      <c r="D37" s="39"/>
      <c r="E37" s="39"/>
      <c r="F37" s="39"/>
      <c r="G37" s="39"/>
      <c r="H37" s="179"/>
      <c r="I37" s="39"/>
    </row>
    <row r="38" spans="1:21" x14ac:dyDescent="0.25">
      <c r="B38" s="164"/>
      <c r="C38" s="10"/>
      <c r="D38" s="39"/>
      <c r="E38" s="39"/>
      <c r="F38" s="39"/>
      <c r="G38" s="39"/>
      <c r="H38" s="179"/>
      <c r="I38" s="39"/>
    </row>
    <row r="39" spans="1:21" x14ac:dyDescent="0.25">
      <c r="B39" s="164"/>
      <c r="C39" s="10"/>
      <c r="D39" s="39"/>
      <c r="E39" s="39"/>
      <c r="F39" s="39"/>
      <c r="G39" s="39"/>
      <c r="H39" s="179"/>
      <c r="I39" s="39"/>
    </row>
    <row r="40" spans="1:21" ht="20.25" thickBot="1" x14ac:dyDescent="0.35">
      <c r="B40" s="164"/>
      <c r="C40" s="10"/>
      <c r="D40" s="39"/>
      <c r="E40" s="39"/>
      <c r="F40" s="39"/>
      <c r="G40" s="39"/>
      <c r="H40" s="179"/>
      <c r="I40" s="39"/>
      <c r="O40" s="884" t="s">
        <v>78</v>
      </c>
      <c r="P40" s="884"/>
    </row>
    <row r="41" spans="1:21" ht="15.75" thickTop="1" x14ac:dyDescent="0.25">
      <c r="B41" s="164"/>
      <c r="C41" s="10"/>
      <c r="D41" s="39"/>
      <c r="E41" s="39"/>
      <c r="F41" s="39"/>
      <c r="G41" s="39"/>
      <c r="H41" s="179"/>
      <c r="I41" s="39"/>
      <c r="O41" s="81">
        <v>1.1000000000000001</v>
      </c>
      <c r="P41" s="81">
        <f>O41*$Q$4</f>
        <v>53.790000000000006</v>
      </c>
      <c r="Q41" s="2"/>
    </row>
    <row r="42" spans="1:21" ht="20.25" thickBot="1" x14ac:dyDescent="0.35">
      <c r="B42" s="164"/>
      <c r="C42" s="10"/>
      <c r="D42" s="39"/>
      <c r="E42" s="39"/>
      <c r="F42" s="39"/>
      <c r="G42" s="39"/>
      <c r="H42" s="179"/>
      <c r="I42" s="39"/>
      <c r="O42" s="81">
        <v>1.0900000000000001</v>
      </c>
      <c r="P42" s="81">
        <f t="shared" ref="P42:P61" si="0">O42*$Q$4</f>
        <v>53.301000000000002</v>
      </c>
      <c r="Q42" s="2"/>
      <c r="T42" s="89"/>
    </row>
    <row r="43" spans="1:21" ht="15.75" thickTop="1" x14ac:dyDescent="0.25">
      <c r="O43" s="81">
        <v>1.08</v>
      </c>
      <c r="P43" s="81">
        <f t="shared" si="0"/>
        <v>52.812000000000005</v>
      </c>
      <c r="Q43" s="2"/>
      <c r="T43" s="125"/>
      <c r="U43" s="126"/>
    </row>
    <row r="44" spans="1:21" x14ac:dyDescent="0.25">
      <c r="O44" s="81">
        <v>1.07</v>
      </c>
      <c r="P44" s="81">
        <f t="shared" si="0"/>
        <v>52.323</v>
      </c>
      <c r="Q44" s="2"/>
      <c r="T44" s="91"/>
      <c r="U44" s="127"/>
    </row>
    <row r="45" spans="1:21" x14ac:dyDescent="0.25">
      <c r="O45" s="81">
        <v>1.06</v>
      </c>
      <c r="P45" s="81">
        <f t="shared" si="0"/>
        <v>51.834000000000003</v>
      </c>
      <c r="Q45" s="2"/>
      <c r="T45" s="91"/>
      <c r="U45" s="127"/>
    </row>
    <row r="46" spans="1:21" x14ac:dyDescent="0.25">
      <c r="L46" t="s">
        <v>65</v>
      </c>
      <c r="M46" s="2">
        <f>M64+K64-F64</f>
        <v>329.55999999999949</v>
      </c>
      <c r="O46" s="81">
        <v>1.05</v>
      </c>
      <c r="P46" s="81">
        <f t="shared" si="0"/>
        <v>51.344999999999999</v>
      </c>
      <c r="Q46" s="2"/>
      <c r="T46" s="91"/>
      <c r="U46" s="127"/>
    </row>
    <row r="47" spans="1:21" x14ac:dyDescent="0.25">
      <c r="A47" s="199" t="s">
        <v>1</v>
      </c>
      <c r="B47" s="199" t="s">
        <v>2</v>
      </c>
      <c r="C47" s="199" t="s">
        <v>4</v>
      </c>
      <c r="D47" s="200" t="s">
        <v>5</v>
      </c>
      <c r="E47" s="200" t="s">
        <v>94</v>
      </c>
      <c r="F47" s="200" t="s">
        <v>60</v>
      </c>
      <c r="G47" s="199" t="s">
        <v>3</v>
      </c>
      <c r="H47" s="199" t="s">
        <v>6</v>
      </c>
      <c r="I47" s="200" t="s">
        <v>7</v>
      </c>
      <c r="J47" s="200" t="s">
        <v>95</v>
      </c>
      <c r="K47" s="200" t="s">
        <v>61</v>
      </c>
      <c r="L47" s="199" t="s">
        <v>37</v>
      </c>
      <c r="M47" s="199" t="s">
        <v>38</v>
      </c>
      <c r="O47" s="81">
        <v>1.04</v>
      </c>
      <c r="P47" s="81">
        <f t="shared" si="0"/>
        <v>50.856000000000002</v>
      </c>
      <c r="Q47" s="2"/>
      <c r="T47" s="91"/>
      <c r="U47" s="127"/>
    </row>
    <row r="48" spans="1:21" x14ac:dyDescent="0.25">
      <c r="A48" s="201" t="s">
        <v>668</v>
      </c>
      <c r="B48" s="72">
        <v>42962</v>
      </c>
      <c r="C48" s="4">
        <v>40</v>
      </c>
      <c r="D48" s="3">
        <v>69.680000000000007</v>
      </c>
      <c r="E48" s="3">
        <v>0</v>
      </c>
      <c r="F48" s="3">
        <f>C48*D48+E48</f>
        <v>2787.2000000000003</v>
      </c>
      <c r="G48" s="72">
        <v>42997</v>
      </c>
      <c r="H48" s="4">
        <v>40</v>
      </c>
      <c r="I48" s="3">
        <v>72.83</v>
      </c>
      <c r="J48" s="3">
        <v>7.0000000000000007E-2</v>
      </c>
      <c r="K48" s="3">
        <f>H48*I48-J48</f>
        <v>2913.1299999999997</v>
      </c>
      <c r="L48" s="72"/>
      <c r="M48" s="197"/>
      <c r="O48" s="81">
        <v>1.03</v>
      </c>
      <c r="P48" s="81">
        <f t="shared" si="0"/>
        <v>50.366999999999997</v>
      </c>
      <c r="Q48" s="2"/>
      <c r="T48" s="91"/>
      <c r="U48" s="127"/>
    </row>
    <row r="49" spans="1:21" x14ac:dyDescent="0.25">
      <c r="A49" s="204" t="s">
        <v>71</v>
      </c>
      <c r="B49" s="202"/>
      <c r="C49" s="197"/>
      <c r="D49" s="198"/>
      <c r="E49" s="198"/>
      <c r="F49" s="198"/>
      <c r="G49" s="202"/>
      <c r="H49" s="203"/>
      <c r="I49" s="198"/>
      <c r="J49" s="198"/>
      <c r="K49" s="198"/>
      <c r="L49" s="197"/>
      <c r="M49" s="197"/>
      <c r="O49" s="81">
        <v>1.02</v>
      </c>
      <c r="P49" s="81">
        <f t="shared" si="0"/>
        <v>49.878</v>
      </c>
      <c r="Q49" s="2"/>
      <c r="T49" s="91"/>
      <c r="U49" s="127"/>
    </row>
    <row r="50" spans="1:21" x14ac:dyDescent="0.25">
      <c r="A50" s="197"/>
      <c r="B50" s="72">
        <v>42998</v>
      </c>
      <c r="C50" s="4">
        <v>40</v>
      </c>
      <c r="D50" s="3">
        <v>72.150000000000006</v>
      </c>
      <c r="E50" s="3">
        <v>0</v>
      </c>
      <c r="F50" s="3">
        <f>C50*D50+E50</f>
        <v>2886</v>
      </c>
      <c r="G50" s="72">
        <v>43105</v>
      </c>
      <c r="H50" s="4">
        <v>40</v>
      </c>
      <c r="I50" s="3">
        <v>76.930000000000007</v>
      </c>
      <c r="J50" s="3">
        <v>7.0000000000000007E-2</v>
      </c>
      <c r="K50" s="3">
        <f>H50*I50-J50</f>
        <v>3077.13</v>
      </c>
      <c r="L50" s="72">
        <v>43069</v>
      </c>
      <c r="M50" s="4">
        <v>12.5</v>
      </c>
      <c r="O50" s="81">
        <v>1.01</v>
      </c>
      <c r="P50" s="81">
        <f t="shared" si="0"/>
        <v>49.388999999999996</v>
      </c>
      <c r="Q50" s="2"/>
      <c r="T50" s="91"/>
      <c r="U50" s="127"/>
    </row>
    <row r="51" spans="1:21" x14ac:dyDescent="0.25">
      <c r="A51" s="197"/>
      <c r="B51" s="202"/>
      <c r="C51" s="197"/>
      <c r="D51" s="198"/>
      <c r="E51" s="198"/>
      <c r="F51" s="198"/>
      <c r="G51" s="197"/>
      <c r="H51" s="203"/>
      <c r="I51" s="198"/>
      <c r="J51" s="198"/>
      <c r="K51" s="198"/>
      <c r="L51" s="197"/>
      <c r="M51" s="197"/>
      <c r="O51" s="81">
        <v>1</v>
      </c>
      <c r="P51" s="81">
        <f t="shared" si="0"/>
        <v>48.9</v>
      </c>
      <c r="Q51" s="2"/>
      <c r="T51" s="91"/>
      <c r="U51" s="127"/>
    </row>
    <row r="52" spans="1:21" x14ac:dyDescent="0.25">
      <c r="A52" s="197"/>
      <c r="B52" s="202"/>
      <c r="C52" s="197"/>
      <c r="D52" s="198"/>
      <c r="E52" s="198"/>
      <c r="F52" s="198"/>
      <c r="G52" s="197"/>
      <c r="H52" s="203"/>
      <c r="I52" s="198"/>
      <c r="J52" s="198"/>
      <c r="K52" s="198"/>
      <c r="L52" s="197"/>
      <c r="M52" s="197"/>
      <c r="O52" s="81">
        <v>0.99</v>
      </c>
      <c r="P52" s="81">
        <f t="shared" si="0"/>
        <v>48.411000000000001</v>
      </c>
      <c r="Q52" s="2"/>
      <c r="T52" s="91"/>
      <c r="U52" s="127"/>
    </row>
    <row r="53" spans="1:21" x14ac:dyDescent="0.25">
      <c r="A53" s="197"/>
      <c r="B53" s="197"/>
      <c r="C53" s="197"/>
      <c r="D53" s="198"/>
      <c r="E53" s="198"/>
      <c r="F53" s="198"/>
      <c r="G53" s="197"/>
      <c r="H53" s="203"/>
      <c r="I53" s="198"/>
      <c r="J53" s="198"/>
      <c r="K53" s="198"/>
      <c r="L53" s="197"/>
      <c r="M53" s="197"/>
      <c r="O53" s="81">
        <v>0.98</v>
      </c>
      <c r="P53" s="81">
        <f t="shared" si="0"/>
        <v>47.921999999999997</v>
      </c>
      <c r="Q53" s="2"/>
      <c r="T53" s="91"/>
      <c r="U53" s="128"/>
    </row>
    <row r="54" spans="1:21" x14ac:dyDescent="0.25">
      <c r="A54" s="197"/>
      <c r="B54" s="197"/>
      <c r="C54" s="197"/>
      <c r="D54" s="198"/>
      <c r="E54" s="198"/>
      <c r="F54" s="198"/>
      <c r="G54" s="197"/>
      <c r="H54" s="203"/>
      <c r="I54" s="198"/>
      <c r="J54" s="198"/>
      <c r="K54" s="198"/>
      <c r="L54" s="197"/>
      <c r="M54" s="197"/>
      <c r="O54" s="81">
        <v>0.97</v>
      </c>
      <c r="P54" s="81">
        <f t="shared" si="0"/>
        <v>47.433</v>
      </c>
      <c r="T54" s="91"/>
      <c r="U54" s="128"/>
    </row>
    <row r="55" spans="1:21" x14ac:dyDescent="0.25">
      <c r="A55" s="197"/>
      <c r="B55" s="197"/>
      <c r="C55" s="197"/>
      <c r="D55" s="198"/>
      <c r="E55" s="198"/>
      <c r="F55" s="198"/>
      <c r="G55" s="197"/>
      <c r="H55" s="203"/>
      <c r="I55" s="198"/>
      <c r="J55" s="198"/>
      <c r="K55" s="198"/>
      <c r="L55" s="197"/>
      <c r="M55" s="197"/>
      <c r="O55" s="81">
        <v>0.96</v>
      </c>
      <c r="P55" s="81">
        <f t="shared" si="0"/>
        <v>46.943999999999996</v>
      </c>
      <c r="T55" s="91"/>
      <c r="U55" s="127"/>
    </row>
    <row r="56" spans="1:21" x14ac:dyDescent="0.25">
      <c r="A56" s="197"/>
      <c r="B56" s="197"/>
      <c r="C56" s="197"/>
      <c r="D56" s="198"/>
      <c r="E56" s="198"/>
      <c r="F56" s="198"/>
      <c r="G56" s="197"/>
      <c r="H56" s="203"/>
      <c r="I56" s="198"/>
      <c r="J56" s="198"/>
      <c r="K56" s="198"/>
      <c r="L56" s="197"/>
      <c r="M56" s="197"/>
      <c r="O56" s="81">
        <v>0.95</v>
      </c>
      <c r="P56" s="81">
        <f t="shared" si="0"/>
        <v>46.454999999999998</v>
      </c>
      <c r="T56" s="91"/>
      <c r="U56" s="127"/>
    </row>
    <row r="57" spans="1:21" x14ac:dyDescent="0.25">
      <c r="A57" s="197"/>
      <c r="B57" s="197"/>
      <c r="C57" s="197"/>
      <c r="D57" s="198"/>
      <c r="E57" s="198"/>
      <c r="F57" s="198"/>
      <c r="G57" s="197"/>
      <c r="H57" s="203"/>
      <c r="I57" s="198"/>
      <c r="J57" s="198"/>
      <c r="K57" s="198"/>
      <c r="L57" s="197"/>
      <c r="M57" s="197"/>
      <c r="O57" s="81">
        <v>0.94</v>
      </c>
      <c r="P57" s="81">
        <f t="shared" si="0"/>
        <v>45.965999999999994</v>
      </c>
      <c r="T57" s="91"/>
      <c r="U57" s="127"/>
    </row>
    <row r="58" spans="1:21" x14ac:dyDescent="0.25">
      <c r="A58" s="197"/>
      <c r="B58" s="197"/>
      <c r="C58" s="197"/>
      <c r="D58" s="198"/>
      <c r="E58" s="198"/>
      <c r="F58" s="198"/>
      <c r="G58" s="197"/>
      <c r="H58" s="203"/>
      <c r="I58" s="198"/>
      <c r="J58" s="198"/>
      <c r="K58" s="198"/>
      <c r="L58" s="197"/>
      <c r="M58" s="197"/>
      <c r="O58" s="81">
        <v>0.93</v>
      </c>
      <c r="P58" s="81">
        <f t="shared" si="0"/>
        <v>45.477000000000004</v>
      </c>
      <c r="T58" s="91"/>
      <c r="U58" s="127"/>
    </row>
    <row r="59" spans="1:21" x14ac:dyDescent="0.25">
      <c r="A59" s="197"/>
      <c r="B59" s="197"/>
      <c r="C59" s="197"/>
      <c r="D59" s="198"/>
      <c r="E59" s="198"/>
      <c r="F59" s="198"/>
      <c r="G59" s="197"/>
      <c r="H59" s="203"/>
      <c r="I59" s="198"/>
      <c r="J59" s="198"/>
      <c r="K59" s="198"/>
      <c r="L59" s="197"/>
      <c r="M59" s="197"/>
      <c r="O59" s="81">
        <v>0.92</v>
      </c>
      <c r="P59" s="81">
        <f t="shared" si="0"/>
        <v>44.988</v>
      </c>
    </row>
    <row r="60" spans="1:21" x14ac:dyDescent="0.25">
      <c r="A60" s="197"/>
      <c r="B60" s="197"/>
      <c r="C60" s="197"/>
      <c r="D60" s="198"/>
      <c r="E60" s="198"/>
      <c r="F60" s="198"/>
      <c r="G60" s="197"/>
      <c r="H60" s="203"/>
      <c r="I60" s="198"/>
      <c r="J60" s="198"/>
      <c r="K60" s="198"/>
      <c r="L60" s="197"/>
      <c r="M60" s="197"/>
      <c r="O60" s="81">
        <v>0.91</v>
      </c>
      <c r="P60" s="81">
        <f t="shared" si="0"/>
        <v>44.499000000000002</v>
      </c>
    </row>
    <row r="61" spans="1:21" x14ac:dyDescent="0.25">
      <c r="A61" s="197"/>
      <c r="B61" s="197"/>
      <c r="C61" s="197"/>
      <c r="D61" s="198"/>
      <c r="E61" s="198"/>
      <c r="F61" s="198"/>
      <c r="G61" s="197"/>
      <c r="H61" s="203"/>
      <c r="I61" s="198"/>
      <c r="J61" s="198"/>
      <c r="K61" s="198"/>
      <c r="L61" s="197"/>
      <c r="M61" s="197"/>
      <c r="O61" s="81">
        <v>0.9</v>
      </c>
      <c r="P61" s="81">
        <f t="shared" si="0"/>
        <v>44.01</v>
      </c>
    </row>
    <row r="62" spans="1:21" x14ac:dyDescent="0.25">
      <c r="A62" s="197"/>
      <c r="B62" s="197"/>
      <c r="C62" s="197"/>
      <c r="D62" s="198"/>
      <c r="E62" s="198"/>
      <c r="F62" s="198"/>
      <c r="G62" s="197"/>
      <c r="H62" s="203"/>
      <c r="I62" s="198"/>
      <c r="J62" s="198"/>
      <c r="K62" s="198"/>
      <c r="L62" s="197"/>
      <c r="M62" s="197"/>
    </row>
    <row r="63" spans="1:21" x14ac:dyDescent="0.25">
      <c r="A63" s="197"/>
      <c r="B63" s="197"/>
      <c r="C63" s="197"/>
      <c r="D63" s="198"/>
      <c r="E63" s="198"/>
      <c r="F63" s="198"/>
      <c r="G63" s="197"/>
      <c r="H63" s="197"/>
      <c r="I63" s="198"/>
      <c r="J63" s="198"/>
      <c r="K63" s="198"/>
      <c r="L63" s="197"/>
      <c r="M63" s="197"/>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73" t="s">
        <v>191</v>
      </c>
      <c r="B65" s="374"/>
      <c r="C65" s="375">
        <f>SumByColor($A$19,C48:C63)</f>
        <v>0</v>
      </c>
      <c r="D65" s="375"/>
      <c r="E65" s="375"/>
      <c r="F65" s="376">
        <f>SumByColor($A$19,F48:F63)</f>
        <v>0</v>
      </c>
      <c r="G65" s="375"/>
      <c r="H65" s="375">
        <f>SumByColor($A$19,H48:H63)</f>
        <v>0</v>
      </c>
      <c r="I65" s="375"/>
      <c r="J65" s="375"/>
      <c r="K65" s="376">
        <f>SumByColor($A$19,K48:K63)</f>
        <v>0</v>
      </c>
      <c r="L65" s="375"/>
      <c r="M65" s="376">
        <f>SumByColor($A$19,M48:M63)</f>
        <v>0</v>
      </c>
    </row>
    <row r="69" spans="1:13" x14ac:dyDescent="0.25">
      <c r="B69" s="414" t="s">
        <v>113</v>
      </c>
      <c r="C69" s="414" t="s">
        <v>145</v>
      </c>
      <c r="D69" s="415" t="s">
        <v>144</v>
      </c>
      <c r="E69" s="416" t="s">
        <v>146</v>
      </c>
      <c r="F69" s="416" t="s">
        <v>65</v>
      </c>
      <c r="G69" s="418" t="s">
        <v>150</v>
      </c>
      <c r="H69" s="418" t="s">
        <v>88</v>
      </c>
      <c r="I69" s="418" t="s">
        <v>153</v>
      </c>
    </row>
    <row r="70" spans="1:13" x14ac:dyDescent="0.25">
      <c r="B70" s="164">
        <v>42962</v>
      </c>
      <c r="C70" s="10">
        <v>40</v>
      </c>
      <c r="D70" s="39">
        <v>69.680000000000007</v>
      </c>
      <c r="E70" s="39">
        <v>70.16</v>
      </c>
      <c r="F70" s="39">
        <f>(E70-D70)*C70</f>
        <v>19.199999999999591</v>
      </c>
      <c r="G70" s="39">
        <f>D70*C70</f>
        <v>2787.2000000000003</v>
      </c>
      <c r="H70" s="179">
        <f>(E70-D70)/D70</f>
        <v>6.8886337543052484E-3</v>
      </c>
      <c r="I70" s="39"/>
    </row>
    <row r="71" spans="1:13" x14ac:dyDescent="0.25">
      <c r="B71" s="164">
        <v>42983</v>
      </c>
      <c r="C71" s="10">
        <v>40</v>
      </c>
      <c r="D71" s="39">
        <v>69.680000000000007</v>
      </c>
      <c r="E71" s="39">
        <v>72.34</v>
      </c>
      <c r="F71" s="39">
        <f>(E71-D71)*C71</f>
        <v>106.39999999999986</v>
      </c>
      <c r="G71" s="39">
        <f>D71*C71</f>
        <v>2787.2000000000003</v>
      </c>
      <c r="H71" s="179">
        <f>(E71-D71)/D71</f>
        <v>3.8174512055109015E-2</v>
      </c>
      <c r="I71" s="39"/>
    </row>
    <row r="72" spans="1:13" x14ac:dyDescent="0.25">
      <c r="B72" s="164">
        <v>42997</v>
      </c>
      <c r="C72" s="10">
        <v>0</v>
      </c>
      <c r="D72" s="39"/>
      <c r="E72" s="39"/>
      <c r="F72" s="39">
        <v>125.93</v>
      </c>
      <c r="G72" s="39"/>
      <c r="H72" s="179"/>
      <c r="I72" s="39"/>
    </row>
    <row r="73" spans="1:13" x14ac:dyDescent="0.25">
      <c r="B73" s="297"/>
      <c r="C73" s="298"/>
      <c r="D73" s="299"/>
      <c r="E73" s="299"/>
      <c r="F73" s="299"/>
      <c r="G73" s="299"/>
      <c r="H73" s="300"/>
      <c r="I73" s="299"/>
    </row>
    <row r="74" spans="1:13" x14ac:dyDescent="0.25">
      <c r="B74" s="164">
        <v>42998</v>
      </c>
      <c r="C74" s="10">
        <v>40</v>
      </c>
      <c r="D74" s="39">
        <v>72.150000000000006</v>
      </c>
      <c r="E74" s="39">
        <v>72.42</v>
      </c>
      <c r="F74" s="39">
        <f>(E74-D74)*C74</f>
        <v>10.799999999999841</v>
      </c>
      <c r="G74" s="39">
        <f>D74*C74</f>
        <v>2886</v>
      </c>
      <c r="H74" s="179">
        <f>(E74-D74)/D74</f>
        <v>3.7422037422036869E-3</v>
      </c>
      <c r="I74" s="39"/>
    </row>
    <row r="75" spans="1:13" x14ac:dyDescent="0.25">
      <c r="B75" s="164">
        <v>43070</v>
      </c>
      <c r="C75" s="10">
        <v>40</v>
      </c>
      <c r="D75" s="39">
        <v>71.837500000000006</v>
      </c>
      <c r="E75" s="39">
        <v>75.349999999999994</v>
      </c>
      <c r="F75" s="39">
        <f>(E75-D75)*C75</f>
        <v>140.49999999999955</v>
      </c>
      <c r="G75" s="39">
        <f>D75*C75</f>
        <v>2873.5</v>
      </c>
      <c r="H75" s="179">
        <f>(E75-D75)/D75</f>
        <v>4.8895075691665055E-2</v>
      </c>
      <c r="I75" s="39"/>
    </row>
    <row r="76" spans="1:13" x14ac:dyDescent="0.25">
      <c r="B76" s="164">
        <v>43105</v>
      </c>
      <c r="C76" s="10">
        <v>0</v>
      </c>
      <c r="D76" s="39"/>
      <c r="E76" s="39">
        <v>76.930000000000007</v>
      </c>
      <c r="F76" s="39">
        <v>203.63</v>
      </c>
      <c r="G76" s="39">
        <v>0</v>
      </c>
      <c r="H76" s="179"/>
      <c r="I76" s="39"/>
    </row>
    <row r="77" spans="1:13" x14ac:dyDescent="0.25">
      <c r="B77" s="297"/>
      <c r="C77" s="298"/>
      <c r="D77" s="299"/>
      <c r="E77" s="299"/>
      <c r="F77" s="299"/>
      <c r="G77" s="299"/>
      <c r="H77" s="300"/>
      <c r="I77" s="299"/>
    </row>
    <row r="78" spans="1:13" x14ac:dyDescent="0.25">
      <c r="B78" s="297"/>
      <c r="C78" s="298"/>
      <c r="D78" s="299"/>
      <c r="E78" s="299"/>
      <c r="F78" s="299"/>
      <c r="G78" s="299"/>
      <c r="H78" s="300"/>
      <c r="I78" s="377"/>
    </row>
    <row r="79" spans="1:13" x14ac:dyDescent="0.25">
      <c r="B79" s="297"/>
      <c r="C79" s="298"/>
      <c r="D79" s="299"/>
      <c r="E79" s="299"/>
      <c r="F79" s="299"/>
      <c r="G79" s="299"/>
      <c r="H79" s="300"/>
      <c r="I79" s="299"/>
    </row>
    <row r="80" spans="1:13" x14ac:dyDescent="0.25">
      <c r="B80" s="297"/>
      <c r="C80" s="298"/>
      <c r="D80" s="299"/>
      <c r="E80" s="299"/>
      <c r="F80" s="299"/>
      <c r="G80" s="299"/>
      <c r="H80" s="300"/>
      <c r="I80" s="299"/>
    </row>
    <row r="81" spans="2:9" x14ac:dyDescent="0.25">
      <c r="B81" s="297"/>
      <c r="C81" s="298"/>
      <c r="D81" s="299"/>
      <c r="E81" s="299"/>
      <c r="F81" s="299"/>
      <c r="G81" s="299"/>
      <c r="H81" s="300"/>
      <c r="I81" s="299"/>
    </row>
    <row r="82" spans="2:9" x14ac:dyDescent="0.25">
      <c r="B82" s="297"/>
      <c r="C82" s="298"/>
      <c r="D82" s="299"/>
      <c r="E82" s="299"/>
      <c r="F82" s="299"/>
      <c r="G82" s="299"/>
      <c r="H82" s="300"/>
      <c r="I82" s="299"/>
    </row>
    <row r="83" spans="2:9" x14ac:dyDescent="0.25">
      <c r="B83" s="297"/>
      <c r="C83" s="298"/>
      <c r="D83" s="299"/>
      <c r="E83" s="299"/>
      <c r="F83" s="299"/>
      <c r="G83" s="299"/>
      <c r="H83" s="300"/>
      <c r="I83" s="299"/>
    </row>
    <row r="84" spans="2:9" x14ac:dyDescent="0.25">
      <c r="B84" s="297"/>
      <c r="C84" s="298"/>
      <c r="D84" s="299"/>
      <c r="E84" s="299"/>
      <c r="F84" s="299"/>
      <c r="G84" s="299"/>
      <c r="H84" s="300"/>
      <c r="I84" s="299"/>
    </row>
    <row r="85" spans="2:9" x14ac:dyDescent="0.25">
      <c r="B85" s="297"/>
      <c r="C85" s="298"/>
      <c r="D85" s="299"/>
      <c r="E85" s="299"/>
      <c r="F85" s="299"/>
      <c r="G85" s="299"/>
      <c r="H85" s="300"/>
      <c r="I85" s="299"/>
    </row>
    <row r="86" spans="2:9" x14ac:dyDescent="0.25">
      <c r="B86" s="297"/>
      <c r="C86" s="298"/>
      <c r="D86" s="299"/>
      <c r="E86" s="299"/>
      <c r="F86" s="299"/>
      <c r="G86" s="299"/>
      <c r="H86" s="300"/>
      <c r="I86" s="299"/>
    </row>
    <row r="87" spans="2:9" x14ac:dyDescent="0.25">
      <c r="B87" s="297"/>
      <c r="C87" s="298"/>
      <c r="D87" s="299"/>
      <c r="E87" s="299"/>
      <c r="F87" s="299"/>
      <c r="G87" s="299"/>
      <c r="H87" s="300"/>
      <c r="I87" s="299"/>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1634" priority="33">
      <formula>F34&gt;0</formula>
    </cfRule>
    <cfRule type="expression" dxfId="1633" priority="34">
      <formula>F34&lt;0</formula>
    </cfRule>
  </conditionalFormatting>
  <conditionalFormatting sqref="Q7">
    <cfRule type="expression" dxfId="1632" priority="31">
      <formula>Q7&gt;0</formula>
    </cfRule>
    <cfRule type="expression" dxfId="1631" priority="32">
      <formula>Q7&lt;0</formula>
    </cfRule>
  </conditionalFormatting>
  <conditionalFormatting sqref="Q8">
    <cfRule type="expression" dxfId="1630" priority="29">
      <formula>Q8&gt;0</formula>
    </cfRule>
    <cfRule type="expression" dxfId="1629" priority="30">
      <formula>Q8&lt;0</formula>
    </cfRule>
  </conditionalFormatting>
  <conditionalFormatting sqref="F27:F33">
    <cfRule type="expression" dxfId="1628" priority="27">
      <formula>F27&gt;0</formula>
    </cfRule>
    <cfRule type="expression" dxfId="1627" priority="28">
      <formula>F27&lt;0</formula>
    </cfRule>
  </conditionalFormatting>
  <conditionalFormatting sqref="H27:H33">
    <cfRule type="expression" dxfId="1626" priority="25">
      <formula>H27&gt;0</formula>
    </cfRule>
    <cfRule type="expression" dxfId="1625" priority="26">
      <formula>H27&lt;0</formula>
    </cfRule>
  </conditionalFormatting>
  <conditionalFormatting sqref="M46">
    <cfRule type="expression" dxfId="1624" priority="23">
      <formula>M46&gt;0</formula>
    </cfRule>
    <cfRule type="expression" dxfId="1623" priority="24">
      <formula>M46&lt;0</formula>
    </cfRule>
  </conditionalFormatting>
  <conditionalFormatting sqref="F79:F87 H79:H87">
    <cfRule type="expression" dxfId="1622" priority="21">
      <formula>F79&gt;0</formula>
    </cfRule>
    <cfRule type="expression" dxfId="1621" priority="22">
      <formula>F79&lt;0</formula>
    </cfRule>
  </conditionalFormatting>
  <conditionalFormatting sqref="F73 F77:F78">
    <cfRule type="expression" dxfId="1620" priority="19">
      <formula>F73&gt;0</formula>
    </cfRule>
    <cfRule type="expression" dxfId="1619" priority="20">
      <formula>F73&lt;0</formula>
    </cfRule>
  </conditionalFormatting>
  <conditionalFormatting sqref="H73 H77:H78">
    <cfRule type="expression" dxfId="1618" priority="17">
      <formula>H73&gt;0</formula>
    </cfRule>
    <cfRule type="expression" dxfId="1617" priority="18">
      <formula>H73&lt;0</formula>
    </cfRule>
  </conditionalFormatting>
  <conditionalFormatting sqref="F70:F72">
    <cfRule type="expression" dxfId="1616" priority="15">
      <formula>F70&gt;0</formula>
    </cfRule>
    <cfRule type="expression" dxfId="1615" priority="16">
      <formula>F70&lt;0</formula>
    </cfRule>
  </conditionalFormatting>
  <conditionalFormatting sqref="H70:H72">
    <cfRule type="expression" dxfId="1614" priority="13">
      <formula>H70&gt;0</formula>
    </cfRule>
    <cfRule type="expression" dxfId="1613" priority="14">
      <formula>H70&lt;0</formula>
    </cfRule>
  </conditionalFormatting>
  <conditionalFormatting sqref="F25:F26">
    <cfRule type="expression" dxfId="1612" priority="11">
      <formula>F25&gt;0</formula>
    </cfRule>
    <cfRule type="expression" dxfId="1611" priority="12">
      <formula>F25&lt;0</formula>
    </cfRule>
  </conditionalFormatting>
  <conditionalFormatting sqref="H25:H26">
    <cfRule type="expression" dxfId="1610" priority="9">
      <formula>H25&gt;0</formula>
    </cfRule>
    <cfRule type="expression" dxfId="1609" priority="10">
      <formula>H25&lt;0</formula>
    </cfRule>
  </conditionalFormatting>
  <conditionalFormatting sqref="F76">
    <cfRule type="expression" dxfId="1608" priority="7">
      <formula>F76&gt;0</formula>
    </cfRule>
    <cfRule type="expression" dxfId="1607" priority="8">
      <formula>F76&lt;0</formula>
    </cfRule>
  </conditionalFormatting>
  <conditionalFormatting sqref="H76">
    <cfRule type="expression" dxfId="1606" priority="5">
      <formula>H76&gt;0</formula>
    </cfRule>
    <cfRule type="expression" dxfId="1605" priority="6">
      <formula>H76&lt;0</formula>
    </cfRule>
  </conditionalFormatting>
  <conditionalFormatting sqref="F74:F75">
    <cfRule type="expression" dxfId="1604" priority="3">
      <formula>F74&gt;0</formula>
    </cfRule>
    <cfRule type="expression" dxfId="1603" priority="4">
      <formula>F74&lt;0</formula>
    </cfRule>
  </conditionalFormatting>
  <conditionalFormatting sqref="H74:H75">
    <cfRule type="expression" dxfId="1602" priority="1">
      <formula>H74&gt;0</formula>
    </cfRule>
    <cfRule type="expression" dxfId="1601"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934</v>
      </c>
      <c r="B2" s="368">
        <v>43178</v>
      </c>
      <c r="C2" s="7">
        <v>25</v>
      </c>
      <c r="D2" s="43">
        <v>166.11</v>
      </c>
      <c r="E2" s="43">
        <v>0</v>
      </c>
      <c r="F2" s="43">
        <f t="shared" ref="F2:F17" si="0">C2*D2+E2</f>
        <v>4152.75</v>
      </c>
      <c r="G2" s="406">
        <v>43181</v>
      </c>
      <c r="H2" s="7">
        <v>25</v>
      </c>
      <c r="I2" s="43">
        <v>165.09</v>
      </c>
      <c r="J2" s="43">
        <v>0.22</v>
      </c>
      <c r="K2" s="43">
        <f t="shared" ref="K2:K14" si="1">H2*I2-J2</f>
        <v>4127.03</v>
      </c>
      <c r="L2" s="72">
        <v>43312</v>
      </c>
      <c r="M2" s="43">
        <v>15.13</v>
      </c>
      <c r="O2" s="11" t="s">
        <v>57</v>
      </c>
      <c r="Q2">
        <f>C21-H21</f>
        <v>0</v>
      </c>
      <c r="T2" s="1"/>
    </row>
    <row r="3" spans="1:21" x14ac:dyDescent="0.25">
      <c r="A3" s="22" t="s">
        <v>71</v>
      </c>
      <c r="B3" s="368" t="s">
        <v>970</v>
      </c>
      <c r="C3" s="7">
        <v>25</v>
      </c>
      <c r="D3" s="43">
        <v>163.47999999999999</v>
      </c>
      <c r="E3" s="43">
        <v>0</v>
      </c>
      <c r="F3" s="43">
        <f t="shared" si="0"/>
        <v>4086.9999999999995</v>
      </c>
      <c r="G3" s="406">
        <v>43200</v>
      </c>
      <c r="H3" s="80">
        <v>25</v>
      </c>
      <c r="I3" s="43">
        <v>161</v>
      </c>
      <c r="J3" s="43">
        <v>0.09</v>
      </c>
      <c r="K3" s="43">
        <f t="shared" si="1"/>
        <v>4024.91</v>
      </c>
      <c r="L3" s="72">
        <v>43465</v>
      </c>
      <c r="M3" s="43">
        <v>33.65</v>
      </c>
      <c r="O3" s="11" t="s">
        <v>58</v>
      </c>
      <c r="Q3" s="178">
        <f>IF(Q2=0, Q4, (F21-K21-M21)/Q2)</f>
        <v>171.94</v>
      </c>
      <c r="T3" s="1"/>
    </row>
    <row r="4" spans="1:21" x14ac:dyDescent="0.25">
      <c r="B4" s="406">
        <v>43181</v>
      </c>
      <c r="C4" s="7">
        <v>25</v>
      </c>
      <c r="D4" s="43">
        <v>162.97999999999999</v>
      </c>
      <c r="E4" s="43">
        <v>0</v>
      </c>
      <c r="F4" s="43">
        <f t="shared" si="0"/>
        <v>4074.4999999999995</v>
      </c>
      <c r="G4" s="406">
        <v>43216</v>
      </c>
      <c r="H4" s="80">
        <v>25</v>
      </c>
      <c r="I4" s="43">
        <v>164.11</v>
      </c>
      <c r="J4" s="43">
        <v>0.09</v>
      </c>
      <c r="K4" s="43">
        <f t="shared" si="1"/>
        <v>4102.66</v>
      </c>
      <c r="L4" s="4"/>
      <c r="M4" s="4"/>
      <c r="O4" s="11" t="s">
        <v>66</v>
      </c>
      <c r="Q4" s="54">
        <v>171.94</v>
      </c>
      <c r="R4" s="425">
        <v>4.1999999999999997E-3</v>
      </c>
      <c r="T4" s="693">
        <v>43256</v>
      </c>
      <c r="U4" s="756" t="s">
        <v>1089</v>
      </c>
    </row>
    <row r="5" spans="1:21" x14ac:dyDescent="0.25">
      <c r="B5" s="406">
        <v>43196</v>
      </c>
      <c r="C5" s="7">
        <v>25</v>
      </c>
      <c r="D5" s="43">
        <v>156.5</v>
      </c>
      <c r="E5" s="43">
        <v>0</v>
      </c>
      <c r="F5" s="43">
        <f t="shared" si="0"/>
        <v>3912.5</v>
      </c>
      <c r="G5" s="406">
        <v>43252</v>
      </c>
      <c r="H5" s="80">
        <v>25</v>
      </c>
      <c r="I5" s="43">
        <v>171.78</v>
      </c>
      <c r="J5" s="43">
        <v>0.06</v>
      </c>
      <c r="K5" s="43">
        <f t="shared" si="1"/>
        <v>4294.4399999999996</v>
      </c>
      <c r="L5" s="4"/>
      <c r="M5" s="4"/>
      <c r="O5" s="11" t="s">
        <v>67</v>
      </c>
      <c r="Q5" s="3">
        <f>Q4*Q2</f>
        <v>0</v>
      </c>
    </row>
    <row r="6" spans="1:21" x14ac:dyDescent="0.25">
      <c r="B6" s="406">
        <v>43214</v>
      </c>
      <c r="C6" s="7">
        <v>15</v>
      </c>
      <c r="D6" s="43">
        <v>158</v>
      </c>
      <c r="E6" s="43">
        <v>0</v>
      </c>
      <c r="F6" s="43">
        <f t="shared" si="0"/>
        <v>2370</v>
      </c>
      <c r="G6" s="406">
        <v>43271</v>
      </c>
      <c r="H6" s="80">
        <v>15</v>
      </c>
      <c r="I6" s="43">
        <v>177.53</v>
      </c>
      <c r="J6" s="43">
        <v>0.03</v>
      </c>
      <c r="K6" s="43">
        <f t="shared" si="1"/>
        <v>2662.9199999999996</v>
      </c>
      <c r="L6" s="4"/>
      <c r="M6" s="4"/>
      <c r="O6" s="11" t="s">
        <v>64</v>
      </c>
      <c r="Q6" s="2">
        <f>Q3*Q2</f>
        <v>0</v>
      </c>
    </row>
    <row r="7" spans="1:21" x14ac:dyDescent="0.25">
      <c r="B7" s="406">
        <v>43217</v>
      </c>
      <c r="C7" s="7">
        <v>25</v>
      </c>
      <c r="D7" s="43">
        <v>162.08000000000001</v>
      </c>
      <c r="E7" s="43">
        <v>0</v>
      </c>
      <c r="F7" s="43">
        <f t="shared" si="0"/>
        <v>4052.0000000000005</v>
      </c>
      <c r="G7" s="406">
        <v>43286</v>
      </c>
      <c r="H7" s="80">
        <v>25</v>
      </c>
      <c r="I7" s="43">
        <v>172.76</v>
      </c>
      <c r="J7" s="43">
        <v>0.06</v>
      </c>
      <c r="K7" s="43">
        <f t="shared" si="1"/>
        <v>4318.9399999999996</v>
      </c>
      <c r="L7" s="4"/>
      <c r="M7" s="4"/>
      <c r="O7" s="11" t="s">
        <v>177</v>
      </c>
      <c r="Q7" s="2">
        <f>Q10+Q8</f>
        <v>1372.8899999999921</v>
      </c>
      <c r="R7">
        <v>0</v>
      </c>
    </row>
    <row r="8" spans="1:21" x14ac:dyDescent="0.25">
      <c r="B8" s="406">
        <v>43276</v>
      </c>
      <c r="C8" s="7">
        <v>15</v>
      </c>
      <c r="D8" s="43">
        <v>171.05</v>
      </c>
      <c r="E8" s="43">
        <v>0</v>
      </c>
      <c r="F8" s="43">
        <f t="shared" si="0"/>
        <v>2565.75</v>
      </c>
      <c r="G8" s="406">
        <v>43314</v>
      </c>
      <c r="H8" s="80">
        <v>15</v>
      </c>
      <c r="I8" s="43">
        <v>179.38</v>
      </c>
      <c r="J8" s="43">
        <v>0.03</v>
      </c>
      <c r="K8" s="43">
        <f t="shared" si="1"/>
        <v>2690.6699999999996</v>
      </c>
      <c r="L8" s="4"/>
      <c r="M8" s="4"/>
      <c r="O8" s="11" t="s">
        <v>179</v>
      </c>
      <c r="P8" s="33"/>
      <c r="Q8" s="2">
        <f>K21+M21-F21+Q2*Q4</f>
        <v>1372.8899999999921</v>
      </c>
    </row>
    <row r="9" spans="1:21" x14ac:dyDescent="0.25">
      <c r="B9" s="406">
        <v>43327</v>
      </c>
      <c r="C9" s="7">
        <v>15</v>
      </c>
      <c r="D9" s="43">
        <v>178.28</v>
      </c>
      <c r="E9" s="43">
        <v>0</v>
      </c>
      <c r="F9" s="43">
        <f t="shared" si="0"/>
        <v>2674.2</v>
      </c>
      <c r="G9" s="406">
        <v>43363</v>
      </c>
      <c r="H9" s="80">
        <v>15</v>
      </c>
      <c r="I9" s="43">
        <v>184.58</v>
      </c>
      <c r="J9" s="43">
        <v>0.04</v>
      </c>
      <c r="K9" s="43">
        <f t="shared" si="1"/>
        <v>2768.6600000000003</v>
      </c>
      <c r="L9" s="4"/>
      <c r="M9" s="4"/>
      <c r="O9" s="11" t="s">
        <v>204</v>
      </c>
      <c r="Q9" s="134">
        <f>IF(Q2=0, 0, Q8/Q6)</f>
        <v>0</v>
      </c>
      <c r="T9" s="156"/>
    </row>
    <row r="10" spans="1:21" ht="15" customHeight="1" x14ac:dyDescent="0.25">
      <c r="A10" s="785" t="s">
        <v>758</v>
      </c>
      <c r="B10" s="406">
        <v>43378</v>
      </c>
      <c r="C10" s="7">
        <v>15</v>
      </c>
      <c r="D10" s="43">
        <v>178.68</v>
      </c>
      <c r="E10" s="43">
        <v>0</v>
      </c>
      <c r="F10" s="43">
        <f t="shared" si="0"/>
        <v>2680.2000000000003</v>
      </c>
      <c r="G10" s="406">
        <v>43389</v>
      </c>
      <c r="H10" s="80">
        <v>15</v>
      </c>
      <c r="I10" s="43">
        <v>178.45</v>
      </c>
      <c r="J10" s="43">
        <v>0.03</v>
      </c>
      <c r="K10" s="43">
        <f t="shared" si="1"/>
        <v>2676.72</v>
      </c>
      <c r="L10" s="4"/>
      <c r="M10" s="4"/>
      <c r="O10" s="11" t="s">
        <v>203</v>
      </c>
      <c r="P10" s="33"/>
      <c r="Q10" s="2">
        <f>M71</f>
        <v>0</v>
      </c>
    </row>
    <row r="11" spans="1:21" x14ac:dyDescent="0.25">
      <c r="A11" s="888" t="s">
        <v>1296</v>
      </c>
      <c r="B11" s="406">
        <v>43383</v>
      </c>
      <c r="C11" s="7">
        <v>15</v>
      </c>
      <c r="D11" s="43">
        <v>176</v>
      </c>
      <c r="E11" s="43">
        <v>0</v>
      </c>
      <c r="F11" s="43">
        <f t="shared" si="0"/>
        <v>2640</v>
      </c>
      <c r="G11" s="406">
        <v>43411</v>
      </c>
      <c r="H11" s="80">
        <v>15</v>
      </c>
      <c r="I11" s="43">
        <v>175.5</v>
      </c>
      <c r="J11" s="43">
        <v>0.03</v>
      </c>
      <c r="K11" s="43">
        <f t="shared" si="1"/>
        <v>2632.47</v>
      </c>
      <c r="L11" s="4"/>
      <c r="M11" s="4"/>
      <c r="N11" t="s">
        <v>758</v>
      </c>
      <c r="O11" s="11" t="s">
        <v>175</v>
      </c>
      <c r="P11" s="33"/>
      <c r="Q11" s="134">
        <f>R11*4/Q4</f>
        <v>7.4444573688495991E-3</v>
      </c>
      <c r="R11">
        <v>0.32</v>
      </c>
    </row>
    <row r="12" spans="1:21" x14ac:dyDescent="0.25">
      <c r="A12" s="888"/>
      <c r="B12" s="406">
        <v>43383</v>
      </c>
      <c r="C12" s="7">
        <v>10</v>
      </c>
      <c r="D12" s="43">
        <v>173.28</v>
      </c>
      <c r="E12" s="43">
        <v>0</v>
      </c>
      <c r="F12" s="43">
        <f t="shared" si="0"/>
        <v>1732.8</v>
      </c>
      <c r="G12" s="406">
        <v>43430</v>
      </c>
      <c r="H12" s="80">
        <v>20</v>
      </c>
      <c r="I12" s="43">
        <v>162.84</v>
      </c>
      <c r="J12" s="43">
        <v>0.04</v>
      </c>
      <c r="K12" s="43">
        <f t="shared" si="1"/>
        <v>3256.76</v>
      </c>
    </row>
    <row r="13" spans="1:21" x14ac:dyDescent="0.25">
      <c r="A13" s="888"/>
      <c r="B13" s="406">
        <v>43383</v>
      </c>
      <c r="C13" s="7">
        <v>10</v>
      </c>
      <c r="D13" s="43">
        <v>170.8</v>
      </c>
      <c r="E13" s="43">
        <v>0</v>
      </c>
      <c r="F13" s="43">
        <f t="shared" si="0"/>
        <v>1708</v>
      </c>
      <c r="G13" s="406">
        <v>43482</v>
      </c>
      <c r="H13" s="80">
        <v>20</v>
      </c>
      <c r="I13" s="43">
        <v>163.74</v>
      </c>
      <c r="J13" s="43">
        <v>0.04</v>
      </c>
      <c r="K13" s="43">
        <f t="shared" si="1"/>
        <v>3274.76</v>
      </c>
      <c r="O13" s="11" t="s">
        <v>947</v>
      </c>
      <c r="Q13">
        <v>19.68</v>
      </c>
    </row>
    <row r="14" spans="1:21" x14ac:dyDescent="0.25">
      <c r="A14" s="888"/>
      <c r="B14" s="406">
        <v>43391</v>
      </c>
      <c r="C14" s="7">
        <v>15</v>
      </c>
      <c r="D14" s="43">
        <v>173.2</v>
      </c>
      <c r="E14" s="43">
        <v>0</v>
      </c>
      <c r="F14" s="43">
        <f t="shared" si="0"/>
        <v>2598</v>
      </c>
      <c r="G14" s="406">
        <v>43511</v>
      </c>
      <c r="H14" s="80">
        <v>60</v>
      </c>
      <c r="I14" s="43">
        <v>172.52</v>
      </c>
      <c r="J14" s="43">
        <v>0.13</v>
      </c>
      <c r="K14" s="43">
        <f t="shared" si="1"/>
        <v>10351.070000000002</v>
      </c>
    </row>
    <row r="15" spans="1:21" x14ac:dyDescent="0.25">
      <c r="B15" s="406">
        <v>43416</v>
      </c>
      <c r="C15" s="7">
        <v>25</v>
      </c>
      <c r="D15" s="43">
        <v>167.88</v>
      </c>
      <c r="E15" s="43">
        <v>0</v>
      </c>
      <c r="F15" s="43">
        <f t="shared" si="0"/>
        <v>4197</v>
      </c>
      <c r="G15" s="29"/>
      <c r="H15" s="70"/>
    </row>
    <row r="16" spans="1:21" x14ac:dyDescent="0.25">
      <c r="B16" s="406">
        <v>43423</v>
      </c>
      <c r="C16" s="7">
        <v>20</v>
      </c>
      <c r="D16" s="43">
        <v>162.97999999999999</v>
      </c>
      <c r="E16" s="43">
        <v>0</v>
      </c>
      <c r="F16" s="43">
        <f t="shared" si="0"/>
        <v>3259.6</v>
      </c>
      <c r="G16" s="29"/>
      <c r="H16" s="70"/>
    </row>
    <row r="17" spans="1:17" x14ac:dyDescent="0.25">
      <c r="B17" s="406">
        <v>43424</v>
      </c>
      <c r="C17" s="7">
        <v>20</v>
      </c>
      <c r="D17" s="43">
        <v>157.68</v>
      </c>
      <c r="E17" s="43">
        <v>0</v>
      </c>
      <c r="F17" s="43">
        <f t="shared" si="0"/>
        <v>3153.6000000000004</v>
      </c>
      <c r="G17" s="29"/>
    </row>
    <row r="18" spans="1:17" x14ac:dyDescent="0.25">
      <c r="B18" s="29"/>
      <c r="C18" s="4"/>
      <c r="G18" s="29"/>
      <c r="H18" s="70"/>
    </row>
    <row r="19" spans="1:17" x14ac:dyDescent="0.25">
      <c r="B19" s="29"/>
      <c r="G19" s="29"/>
      <c r="H19" s="70"/>
    </row>
    <row r="20" spans="1:17" x14ac:dyDescent="0.25">
      <c r="B20" s="29"/>
      <c r="G20" s="29"/>
    </row>
    <row r="21" spans="1:17" x14ac:dyDescent="0.25">
      <c r="A21" s="31" t="s">
        <v>81</v>
      </c>
      <c r="B21" s="14"/>
      <c r="C21" s="14">
        <f>SUM(C2:C18)</f>
        <v>300</v>
      </c>
      <c r="D21" s="18"/>
      <c r="E21" s="18"/>
      <c r="F21" s="18">
        <f>SUM(F2:F18)</f>
        <v>49857.9</v>
      </c>
      <c r="G21" s="14"/>
      <c r="H21" s="71">
        <f>SUM(H2:H14)</f>
        <v>300</v>
      </c>
      <c r="I21" s="18"/>
      <c r="J21" s="18"/>
      <c r="K21" s="18">
        <f>SUM(K2:K14)</f>
        <v>51182.009999999995</v>
      </c>
      <c r="L21" s="14"/>
      <c r="M21" s="18">
        <f>SUM(M2:M10)</f>
        <v>48.78</v>
      </c>
    </row>
    <row r="22" spans="1:17" ht="20.25" thickBot="1" x14ac:dyDescent="0.35">
      <c r="A22" s="277" t="s">
        <v>191</v>
      </c>
      <c r="B22" s="278"/>
      <c r="C22" s="279">
        <f>SumByColor($A$22,C2:C20)</f>
        <v>300</v>
      </c>
      <c r="D22" s="279"/>
      <c r="E22" s="279"/>
      <c r="F22" s="280">
        <f>SumByColor($A$22,F2:F20)</f>
        <v>49858</v>
      </c>
      <c r="G22" s="279"/>
      <c r="H22" s="279">
        <f>SumByColor($A$22,H2:H20)</f>
        <v>300</v>
      </c>
      <c r="I22" s="279"/>
      <c r="J22" s="279"/>
      <c r="K22" s="280">
        <f>SumByColor($A$22,K2:K20)</f>
        <v>51183</v>
      </c>
      <c r="L22" s="279"/>
      <c r="M22" s="280">
        <f>SumByColor($A$22,M2:M20)</f>
        <v>49</v>
      </c>
      <c r="O22" s="717" t="s">
        <v>78</v>
      </c>
      <c r="P22" s="717"/>
    </row>
    <row r="23" spans="1:17" x14ac:dyDescent="0.25">
      <c r="O23" s="81">
        <v>1.1000000000000001</v>
      </c>
      <c r="P23" s="81">
        <f>O23*$Q$4</f>
        <v>189.13400000000001</v>
      </c>
      <c r="Q23" s="2"/>
    </row>
    <row r="24" spans="1:17" x14ac:dyDescent="0.25">
      <c r="O24" s="81">
        <v>1.0900000000000001</v>
      </c>
      <c r="P24" s="81">
        <f t="shared" ref="P24:P43" si="2">O24*$Q$4</f>
        <v>187.41460000000001</v>
      </c>
      <c r="Q24" s="2"/>
    </row>
    <row r="25" spans="1:17" x14ac:dyDescent="0.25">
      <c r="O25" s="81">
        <v>1.08</v>
      </c>
      <c r="P25" s="81">
        <f t="shared" si="2"/>
        <v>185.6952</v>
      </c>
      <c r="Q25" s="2"/>
    </row>
    <row r="26" spans="1:17" x14ac:dyDescent="0.25">
      <c r="O26" s="81">
        <v>1.07</v>
      </c>
      <c r="P26" s="81">
        <f t="shared" si="2"/>
        <v>183.97580000000002</v>
      </c>
      <c r="Q26" s="2"/>
    </row>
    <row r="27" spans="1:17" x14ac:dyDescent="0.25">
      <c r="B27" s="162" t="s">
        <v>113</v>
      </c>
      <c r="C27" s="162" t="s">
        <v>145</v>
      </c>
      <c r="D27" s="163" t="s">
        <v>144</v>
      </c>
      <c r="E27" s="165" t="s">
        <v>146</v>
      </c>
      <c r="F27" s="165" t="s">
        <v>65</v>
      </c>
      <c r="G27" s="177" t="s">
        <v>150</v>
      </c>
      <c r="H27" s="177" t="s">
        <v>88</v>
      </c>
      <c r="I27" s="177" t="s">
        <v>153</v>
      </c>
      <c r="J27" s="177" t="s">
        <v>149</v>
      </c>
      <c r="K27" s="177"/>
      <c r="L27" s="177"/>
      <c r="O27" s="81">
        <v>1.06</v>
      </c>
      <c r="P27" s="81">
        <f t="shared" si="2"/>
        <v>182.25640000000001</v>
      </c>
      <c r="Q27" s="2"/>
    </row>
    <row r="28" spans="1:17" x14ac:dyDescent="0.25">
      <c r="B28" s="164">
        <v>43178</v>
      </c>
      <c r="C28" s="10">
        <v>25</v>
      </c>
      <c r="D28" s="39">
        <v>166.11</v>
      </c>
      <c r="E28" s="39">
        <v>166.3</v>
      </c>
      <c r="F28" s="39">
        <f t="shared" ref="F28:F35" si="3">C28*(E28-D28)</f>
        <v>4.7499999999999432</v>
      </c>
      <c r="G28" s="39">
        <f t="shared" ref="G28:G35" si="4">D28*C28</f>
        <v>4152.75</v>
      </c>
      <c r="H28" s="179">
        <f t="shared" ref="H28:H35" si="5">(E28-D28)/D28</f>
        <v>1.1438203600023943E-3</v>
      </c>
      <c r="I28" s="39"/>
      <c r="J28" s="39"/>
      <c r="K28" s="39"/>
      <c r="L28" s="39"/>
      <c r="O28" s="81">
        <v>1.05</v>
      </c>
      <c r="P28" s="81">
        <f t="shared" si="2"/>
        <v>180.53700000000001</v>
      </c>
      <c r="Q28" s="2"/>
    </row>
    <row r="29" spans="1:17" x14ac:dyDescent="0.25">
      <c r="B29" s="164">
        <v>43181</v>
      </c>
      <c r="C29" s="10">
        <v>50</v>
      </c>
      <c r="D29" s="39">
        <v>164.79499999999999</v>
      </c>
      <c r="E29" s="39">
        <v>163.47999999999999</v>
      </c>
      <c r="F29" s="39">
        <f t="shared" si="3"/>
        <v>-65.749999999999886</v>
      </c>
      <c r="G29" s="39">
        <f t="shared" si="4"/>
        <v>8239.75</v>
      </c>
      <c r="H29" s="179">
        <f t="shared" si="5"/>
        <v>-7.9796110318880904E-3</v>
      </c>
      <c r="I29" s="39"/>
      <c r="J29" s="39"/>
      <c r="K29" s="39"/>
      <c r="L29" s="39"/>
      <c r="O29" s="81">
        <v>1.04</v>
      </c>
      <c r="P29" s="81">
        <f t="shared" si="2"/>
        <v>178.8176</v>
      </c>
      <c r="Q29" s="2"/>
    </row>
    <row r="30" spans="1:17" x14ac:dyDescent="0.25">
      <c r="B30" s="164">
        <v>43181</v>
      </c>
      <c r="C30" s="10">
        <v>25</v>
      </c>
      <c r="D30" s="39">
        <v>164.50880000000001</v>
      </c>
      <c r="E30" s="39">
        <v>165.09</v>
      </c>
      <c r="F30" s="39">
        <f t="shared" si="3"/>
        <v>14.529999999999887</v>
      </c>
      <c r="G30" s="39">
        <f t="shared" si="4"/>
        <v>4112.72</v>
      </c>
      <c r="H30" s="179">
        <f t="shared" si="5"/>
        <v>3.5329417028146545E-3</v>
      </c>
      <c r="I30" s="39"/>
      <c r="J30" s="39"/>
      <c r="K30" s="39"/>
      <c r="L30" s="155"/>
      <c r="O30" s="81">
        <v>1.03</v>
      </c>
      <c r="P30" s="81">
        <f t="shared" si="2"/>
        <v>177.09819999999999</v>
      </c>
      <c r="Q30" s="2"/>
    </row>
    <row r="31" spans="1:17" x14ac:dyDescent="0.25">
      <c r="B31" s="164">
        <v>43181</v>
      </c>
      <c r="C31" s="10">
        <v>50</v>
      </c>
      <c r="D31" s="39">
        <v>163.74440000000001</v>
      </c>
      <c r="E31" s="39">
        <v>162.80000000000001</v>
      </c>
      <c r="F31" s="39">
        <f t="shared" si="3"/>
        <v>-47.220000000000084</v>
      </c>
      <c r="G31" s="39">
        <f t="shared" si="4"/>
        <v>8187.22</v>
      </c>
      <c r="H31" s="179">
        <f t="shared" si="5"/>
        <v>-5.7675254848410179E-3</v>
      </c>
      <c r="I31" s="39"/>
      <c r="J31" s="39"/>
      <c r="K31" s="39"/>
      <c r="L31" s="155"/>
      <c r="O31" s="81">
        <v>1.02</v>
      </c>
      <c r="P31" s="81">
        <f t="shared" si="2"/>
        <v>175.37880000000001</v>
      </c>
      <c r="Q31" s="2"/>
    </row>
    <row r="32" spans="1:17" x14ac:dyDescent="0.25">
      <c r="B32" s="164">
        <v>43185</v>
      </c>
      <c r="C32" s="10">
        <v>50</v>
      </c>
      <c r="D32" s="39">
        <v>163.74440000000001</v>
      </c>
      <c r="E32" s="39">
        <v>164.4</v>
      </c>
      <c r="F32" s="39">
        <f t="shared" si="3"/>
        <v>32.779999999999632</v>
      </c>
      <c r="G32" s="39">
        <f t="shared" si="4"/>
        <v>8187.22</v>
      </c>
      <c r="H32" s="179">
        <f t="shared" si="5"/>
        <v>4.0038010460204596E-3</v>
      </c>
      <c r="I32" s="39"/>
      <c r="J32" s="39"/>
      <c r="K32" s="39"/>
      <c r="L32" s="155"/>
      <c r="O32" s="81">
        <v>1.01</v>
      </c>
      <c r="P32" s="81">
        <f t="shared" si="2"/>
        <v>173.65940000000001</v>
      </c>
      <c r="Q32" s="2"/>
    </row>
    <row r="33" spans="1:17" x14ac:dyDescent="0.25">
      <c r="B33" s="164">
        <v>43186</v>
      </c>
      <c r="C33" s="10">
        <v>50</v>
      </c>
      <c r="D33" s="39">
        <v>163.74440000000001</v>
      </c>
      <c r="E33" s="39">
        <v>159.08000000000001</v>
      </c>
      <c r="F33" s="39">
        <f t="shared" si="3"/>
        <v>-233.22000000000003</v>
      </c>
      <c r="G33" s="39">
        <f t="shared" si="4"/>
        <v>8187.22</v>
      </c>
      <c r="H33" s="179">
        <f t="shared" si="5"/>
        <v>-2.8485859669094029E-2</v>
      </c>
      <c r="I33" s="39"/>
      <c r="J33" s="39"/>
      <c r="K33" s="39"/>
      <c r="L33" s="155"/>
      <c r="O33" s="81">
        <v>1</v>
      </c>
      <c r="P33" s="81">
        <f t="shared" si="2"/>
        <v>171.94</v>
      </c>
      <c r="Q33" s="2"/>
    </row>
    <row r="34" spans="1:17" x14ac:dyDescent="0.25">
      <c r="B34" s="164">
        <v>43196</v>
      </c>
      <c r="C34" s="10">
        <v>75</v>
      </c>
      <c r="D34" s="39">
        <v>161.3296</v>
      </c>
      <c r="E34" s="39">
        <v>156.5</v>
      </c>
      <c r="F34" s="39">
        <f t="shared" si="3"/>
        <v>-362.21999999999991</v>
      </c>
      <c r="G34" s="39">
        <f t="shared" si="4"/>
        <v>12099.72</v>
      </c>
      <c r="H34" s="179">
        <f t="shared" si="5"/>
        <v>-2.9936229929287614E-2</v>
      </c>
      <c r="I34" s="39">
        <v>161</v>
      </c>
      <c r="J34" s="39"/>
      <c r="K34" s="39"/>
      <c r="L34" s="155"/>
      <c r="O34" s="81">
        <v>0.99</v>
      </c>
      <c r="P34" s="81">
        <f t="shared" si="2"/>
        <v>170.22059999999999</v>
      </c>
      <c r="Q34" s="2"/>
    </row>
    <row r="35" spans="1:17" x14ac:dyDescent="0.25">
      <c r="A35">
        <v>0</v>
      </c>
      <c r="B35" s="164">
        <v>43200</v>
      </c>
      <c r="C35" s="10">
        <v>50</v>
      </c>
      <c r="D35" s="39">
        <v>161.49619999999999</v>
      </c>
      <c r="E35" s="39">
        <v>161.21</v>
      </c>
      <c r="F35" s="39">
        <f t="shared" si="3"/>
        <v>-14.309999999998979</v>
      </c>
      <c r="G35" s="39">
        <f t="shared" si="4"/>
        <v>8074.8099999999995</v>
      </c>
      <c r="H35" s="179">
        <f t="shared" si="5"/>
        <v>-1.7721779212141191E-3</v>
      </c>
      <c r="I35" s="39">
        <v>161</v>
      </c>
      <c r="J35" s="39"/>
      <c r="K35" s="39"/>
      <c r="L35" s="155"/>
      <c r="O35" s="81">
        <v>0.98</v>
      </c>
      <c r="P35" s="81">
        <f t="shared" si="2"/>
        <v>168.50119999999998</v>
      </c>
      <c r="Q35" s="2"/>
    </row>
    <row r="36" spans="1:17" x14ac:dyDescent="0.25">
      <c r="B36" s="164">
        <v>43202</v>
      </c>
      <c r="C36" s="10">
        <v>50</v>
      </c>
      <c r="D36" s="39">
        <v>161.49600000000001</v>
      </c>
      <c r="E36" s="39">
        <v>162.21</v>
      </c>
      <c r="F36" s="39">
        <f t="shared" ref="F36:F45" si="6">C36*(E36-D36)</f>
        <v>35.699999999999932</v>
      </c>
      <c r="G36" s="39">
        <f t="shared" ref="G36:G46" si="7">D36*C36</f>
        <v>8074.8</v>
      </c>
      <c r="H36" s="179">
        <f t="shared" ref="H36:H46" si="8">(E36-D36)/D36</f>
        <v>4.421162134046655E-3</v>
      </c>
      <c r="I36" s="39"/>
      <c r="J36" s="39"/>
      <c r="K36" s="39"/>
      <c r="L36" s="155"/>
      <c r="O36" s="81">
        <v>0.97</v>
      </c>
      <c r="P36" s="81">
        <f t="shared" si="2"/>
        <v>166.7818</v>
      </c>
    </row>
    <row r="37" spans="1:17" x14ac:dyDescent="0.25">
      <c r="A37">
        <v>25</v>
      </c>
      <c r="B37" s="164">
        <v>43214</v>
      </c>
      <c r="C37" s="10">
        <v>65</v>
      </c>
      <c r="D37" s="39">
        <v>160.68940000000001</v>
      </c>
      <c r="E37" s="39">
        <v>158.5</v>
      </c>
      <c r="F37" s="39">
        <f t="shared" si="6"/>
        <v>-142.3110000000004</v>
      </c>
      <c r="G37" s="39">
        <f t="shared" si="7"/>
        <v>10444.811</v>
      </c>
      <c r="H37" s="179">
        <f t="shared" si="8"/>
        <v>-1.3625043095562036E-2</v>
      </c>
      <c r="I37" s="39"/>
      <c r="J37" s="39"/>
      <c r="K37" s="39"/>
      <c r="L37" s="155"/>
      <c r="O37" s="81">
        <v>0.96</v>
      </c>
      <c r="P37" s="81">
        <f t="shared" si="2"/>
        <v>165.0624</v>
      </c>
    </row>
    <row r="38" spans="1:17" x14ac:dyDescent="0.25">
      <c r="A38">
        <v>0</v>
      </c>
      <c r="B38" s="164">
        <v>43216</v>
      </c>
      <c r="C38" s="10">
        <v>40</v>
      </c>
      <c r="D38" s="39">
        <v>158.5515</v>
      </c>
      <c r="E38" s="39">
        <v>161.99</v>
      </c>
      <c r="F38" s="39">
        <f t="shared" si="6"/>
        <v>137.54000000000019</v>
      </c>
      <c r="G38" s="39">
        <f t="shared" si="7"/>
        <v>6342.06</v>
      </c>
      <c r="H38" s="179">
        <f t="shared" si="8"/>
        <v>2.1686959757555146E-2</v>
      </c>
      <c r="I38" s="39"/>
      <c r="J38" s="39"/>
      <c r="K38" s="39"/>
      <c r="L38" s="155"/>
      <c r="O38" s="81">
        <v>0.95</v>
      </c>
      <c r="P38" s="81">
        <f t="shared" si="2"/>
        <v>163.34299999999999</v>
      </c>
    </row>
    <row r="39" spans="1:17" x14ac:dyDescent="0.25">
      <c r="A39">
        <v>0</v>
      </c>
      <c r="B39" s="164">
        <v>43217</v>
      </c>
      <c r="C39" s="10">
        <v>65</v>
      </c>
      <c r="D39" s="39">
        <v>159.91</v>
      </c>
      <c r="E39" s="39">
        <v>162.08000000000001</v>
      </c>
      <c r="F39" s="39">
        <f t="shared" si="6"/>
        <v>141.05000000000103</v>
      </c>
      <c r="G39" s="39">
        <f t="shared" si="7"/>
        <v>10394.15</v>
      </c>
      <c r="H39" s="179">
        <f t="shared" si="8"/>
        <v>1.3570133199925057E-2</v>
      </c>
      <c r="I39" s="39"/>
      <c r="J39" s="39"/>
      <c r="K39" s="39"/>
      <c r="L39" s="39"/>
      <c r="O39" s="81">
        <v>0.94</v>
      </c>
      <c r="P39" s="81">
        <f t="shared" si="2"/>
        <v>161.62359999999998</v>
      </c>
    </row>
    <row r="40" spans="1:17" x14ac:dyDescent="0.25">
      <c r="B40" s="164">
        <v>43236</v>
      </c>
      <c r="C40" s="10">
        <v>65</v>
      </c>
      <c r="D40" s="39">
        <v>159.91</v>
      </c>
      <c r="E40" s="39">
        <v>168.98</v>
      </c>
      <c r="F40" s="39">
        <f t="shared" si="6"/>
        <v>589.5499999999995</v>
      </c>
      <c r="G40" s="39">
        <f t="shared" si="7"/>
        <v>10394.15</v>
      </c>
      <c r="H40" s="179">
        <f t="shared" si="8"/>
        <v>5.6719404665124089E-2</v>
      </c>
      <c r="I40" s="39"/>
      <c r="J40" s="39"/>
      <c r="K40" s="39"/>
      <c r="L40" s="39"/>
      <c r="O40" s="81">
        <v>0.93</v>
      </c>
      <c r="P40" s="81">
        <f t="shared" si="2"/>
        <v>159.9042</v>
      </c>
    </row>
    <row r="41" spans="1:17" x14ac:dyDescent="0.25">
      <c r="A41">
        <v>40</v>
      </c>
      <c r="B41" s="164">
        <v>43252</v>
      </c>
      <c r="C41" s="10">
        <v>40</v>
      </c>
      <c r="D41" s="39">
        <v>152.49279999999999</v>
      </c>
      <c r="E41" s="39">
        <v>172.74</v>
      </c>
      <c r="F41" s="39">
        <f t="shared" si="6"/>
        <v>809.88800000000083</v>
      </c>
      <c r="G41" s="39">
        <f t="shared" si="7"/>
        <v>6099.7119999999995</v>
      </c>
      <c r="H41" s="179">
        <f t="shared" si="8"/>
        <v>0.13277479330171668</v>
      </c>
      <c r="I41" s="39"/>
      <c r="J41" s="39"/>
      <c r="K41" s="39"/>
      <c r="L41" s="39"/>
      <c r="O41" s="81">
        <v>0.92</v>
      </c>
      <c r="P41" s="81">
        <f t="shared" si="2"/>
        <v>158.1848</v>
      </c>
    </row>
    <row r="42" spans="1:17" x14ac:dyDescent="0.25">
      <c r="A42">
        <v>25</v>
      </c>
      <c r="B42" s="164">
        <v>43271</v>
      </c>
      <c r="C42" s="10">
        <v>25</v>
      </c>
      <c r="D42" s="39">
        <v>137.4716</v>
      </c>
      <c r="E42" s="39">
        <v>177.25</v>
      </c>
      <c r="F42" s="39">
        <f t="shared" si="6"/>
        <v>994.46000000000015</v>
      </c>
      <c r="G42" s="39">
        <f t="shared" si="7"/>
        <v>3436.79</v>
      </c>
      <c r="H42" s="179">
        <f t="shared" si="8"/>
        <v>0.28935721996397806</v>
      </c>
      <c r="I42" s="39"/>
      <c r="J42" s="39"/>
      <c r="K42" s="39"/>
      <c r="L42" s="39"/>
      <c r="O42" s="81">
        <v>0.91</v>
      </c>
      <c r="P42" s="81">
        <f t="shared" si="2"/>
        <v>156.46540000000002</v>
      </c>
    </row>
    <row r="43" spans="1:17" x14ac:dyDescent="0.25">
      <c r="A43">
        <v>25</v>
      </c>
      <c r="B43" s="164">
        <v>43276</v>
      </c>
      <c r="C43" s="10">
        <v>40</v>
      </c>
      <c r="D43" s="39">
        <v>150.06</v>
      </c>
      <c r="E43" s="39">
        <v>171.37</v>
      </c>
      <c r="F43" s="39">
        <f t="shared" si="6"/>
        <v>852.40000000000009</v>
      </c>
      <c r="G43" s="39">
        <f t="shared" si="7"/>
        <v>6002.4</v>
      </c>
      <c r="H43" s="179">
        <f t="shared" si="8"/>
        <v>0.14200986272157806</v>
      </c>
      <c r="I43" s="39"/>
      <c r="J43" s="39"/>
      <c r="K43" s="39"/>
      <c r="L43" s="39"/>
      <c r="O43" s="81">
        <v>0.9</v>
      </c>
      <c r="P43" s="81">
        <f t="shared" si="2"/>
        <v>154.74600000000001</v>
      </c>
    </row>
    <row r="44" spans="1:17" x14ac:dyDescent="0.25">
      <c r="A44">
        <v>0</v>
      </c>
      <c r="B44" s="164">
        <v>43286</v>
      </c>
      <c r="C44" s="10">
        <v>15</v>
      </c>
      <c r="D44" s="39">
        <v>112.24</v>
      </c>
      <c r="E44" s="39">
        <v>172.92</v>
      </c>
      <c r="F44" s="39">
        <f t="shared" si="6"/>
        <v>910.19999999999993</v>
      </c>
      <c r="G44" s="39">
        <f t="shared" si="7"/>
        <v>1683.6</v>
      </c>
      <c r="H44" s="179">
        <f t="shared" si="8"/>
        <v>0.54062722736992153</v>
      </c>
      <c r="I44" s="39"/>
      <c r="J44" s="39"/>
      <c r="K44" s="39"/>
      <c r="L44" s="39"/>
    </row>
    <row r="45" spans="1:17" x14ac:dyDescent="0.25">
      <c r="B45" s="164">
        <v>43312</v>
      </c>
      <c r="C45" s="10">
        <v>15</v>
      </c>
      <c r="D45" s="39">
        <v>111.2313</v>
      </c>
      <c r="E45" s="39">
        <v>176.45</v>
      </c>
      <c r="F45" s="39">
        <f t="shared" si="6"/>
        <v>978.28049999999973</v>
      </c>
      <c r="G45" s="39">
        <f t="shared" si="7"/>
        <v>1668.4695000000002</v>
      </c>
      <c r="H45" s="179">
        <f t="shared" si="8"/>
        <v>0.58633406244465347</v>
      </c>
      <c r="I45" s="39"/>
      <c r="J45" s="39"/>
      <c r="K45" s="39"/>
      <c r="L45" s="39"/>
    </row>
    <row r="46" spans="1:17" x14ac:dyDescent="0.25">
      <c r="B46" s="164">
        <v>43314</v>
      </c>
      <c r="C46" s="10">
        <v>0</v>
      </c>
      <c r="D46" s="39">
        <v>111.23</v>
      </c>
      <c r="E46" s="39">
        <v>176.45</v>
      </c>
      <c r="F46" s="39">
        <v>1022.2</v>
      </c>
      <c r="G46" s="39">
        <f t="shared" si="7"/>
        <v>0</v>
      </c>
      <c r="H46" s="179">
        <f t="shared" si="8"/>
        <v>0.58635260271509471</v>
      </c>
      <c r="I46" s="39"/>
      <c r="J46" s="39"/>
      <c r="K46" s="39"/>
      <c r="L46" s="39"/>
    </row>
    <row r="47" spans="1:17" x14ac:dyDescent="0.25">
      <c r="B47" s="164">
        <v>43327</v>
      </c>
      <c r="C47" s="10">
        <v>15</v>
      </c>
      <c r="D47" s="39">
        <v>110.133</v>
      </c>
      <c r="E47" s="39">
        <v>179.23</v>
      </c>
      <c r="F47" s="39">
        <f t="shared" ref="F47:F58" si="9">C47*(E47-D47)</f>
        <v>1036.4549999999999</v>
      </c>
      <c r="G47" s="39">
        <f t="shared" ref="G47:G58" si="10">D47*C47</f>
        <v>1651.9949999999999</v>
      </c>
      <c r="H47" s="179">
        <f t="shared" ref="H47:H58" si="11">(E47-D47)/D47</f>
        <v>0.62739596669481446</v>
      </c>
      <c r="I47" s="39"/>
      <c r="J47" s="39"/>
      <c r="K47" s="39"/>
      <c r="L47" s="39"/>
    </row>
    <row r="48" spans="1:17" x14ac:dyDescent="0.25">
      <c r="B48" s="164">
        <v>43363</v>
      </c>
      <c r="C48" s="10">
        <v>0</v>
      </c>
      <c r="D48" s="39">
        <v>110.133</v>
      </c>
      <c r="E48" s="39">
        <v>184.72</v>
      </c>
      <c r="F48" s="39">
        <f t="shared" si="9"/>
        <v>0</v>
      </c>
      <c r="G48" s="39">
        <f t="shared" si="10"/>
        <v>0</v>
      </c>
      <c r="H48" s="179">
        <f t="shared" si="11"/>
        <v>0.67724478584983616</v>
      </c>
      <c r="I48" s="39"/>
      <c r="J48" s="778">
        <v>1116.6600000000001</v>
      </c>
      <c r="K48" s="39"/>
      <c r="L48" s="39"/>
    </row>
    <row r="49" spans="1:12" x14ac:dyDescent="0.25">
      <c r="A49">
        <v>0</v>
      </c>
      <c r="B49" s="164">
        <v>43378</v>
      </c>
      <c r="C49" s="10">
        <v>15</v>
      </c>
      <c r="D49" s="39">
        <v>104.236</v>
      </c>
      <c r="E49" s="39">
        <v>180.15</v>
      </c>
      <c r="F49" s="778">
        <f t="shared" si="9"/>
        <v>1138.71</v>
      </c>
      <c r="G49" s="39">
        <f t="shared" si="10"/>
        <v>1563.54</v>
      </c>
      <c r="H49" s="179">
        <f t="shared" si="11"/>
        <v>0.72828965040868798</v>
      </c>
      <c r="I49" s="39"/>
      <c r="J49" s="778">
        <f t="shared" ref="J49:J63" si="12">F49+$Q$10</f>
        <v>1138.71</v>
      </c>
      <c r="K49" s="39"/>
      <c r="L49" s="39"/>
    </row>
    <row r="50" spans="1:12" x14ac:dyDescent="0.25">
      <c r="A50">
        <v>0</v>
      </c>
      <c r="B50" s="164">
        <v>43383</v>
      </c>
      <c r="C50" s="185">
        <v>50</v>
      </c>
      <c r="D50" s="186">
        <v>152.88679999999999</v>
      </c>
      <c r="E50" s="39">
        <v>171.73</v>
      </c>
      <c r="F50" s="101">
        <f t="shared" si="9"/>
        <v>942.15999999999985</v>
      </c>
      <c r="G50" s="39">
        <f t="shared" si="10"/>
        <v>7644.34</v>
      </c>
      <c r="H50" s="179">
        <f t="shared" si="11"/>
        <v>0.12324935834879137</v>
      </c>
      <c r="I50" s="39"/>
      <c r="J50" s="101">
        <f t="shared" si="12"/>
        <v>942.15999999999985</v>
      </c>
      <c r="K50" s="39"/>
      <c r="L50" s="39"/>
    </row>
    <row r="51" spans="1:12" x14ac:dyDescent="0.25">
      <c r="A51">
        <v>0</v>
      </c>
      <c r="B51" s="164">
        <v>43389</v>
      </c>
      <c r="C51" s="10">
        <v>35</v>
      </c>
      <c r="D51" s="39">
        <v>141.93199999999999</v>
      </c>
      <c r="E51" s="39">
        <v>177.22</v>
      </c>
      <c r="F51" s="778">
        <f t="shared" si="9"/>
        <v>1235.0800000000004</v>
      </c>
      <c r="G51" s="39">
        <f t="shared" si="10"/>
        <v>4967.62</v>
      </c>
      <c r="H51" s="179">
        <f t="shared" si="11"/>
        <v>0.24862610264070129</v>
      </c>
      <c r="I51" s="39"/>
      <c r="J51" s="778">
        <f t="shared" si="12"/>
        <v>1235.0800000000004</v>
      </c>
      <c r="K51" s="39"/>
      <c r="L51" s="39"/>
    </row>
    <row r="52" spans="1:12" x14ac:dyDescent="0.25">
      <c r="A52">
        <v>0</v>
      </c>
      <c r="B52" s="164">
        <v>43391</v>
      </c>
      <c r="C52" s="10">
        <v>50</v>
      </c>
      <c r="D52" s="39">
        <v>151.3124</v>
      </c>
      <c r="E52" s="39">
        <v>173.18</v>
      </c>
      <c r="F52" s="101">
        <f t="shared" si="9"/>
        <v>1093.3800000000006</v>
      </c>
      <c r="G52" s="39">
        <f t="shared" si="10"/>
        <v>7565.62</v>
      </c>
      <c r="H52" s="179">
        <f t="shared" si="11"/>
        <v>0.14451955028140465</v>
      </c>
      <c r="I52" s="39"/>
      <c r="J52" s="101">
        <f t="shared" si="12"/>
        <v>1093.3800000000006</v>
      </c>
      <c r="K52" s="39"/>
      <c r="L52" s="39"/>
    </row>
    <row r="53" spans="1:12" x14ac:dyDescent="0.25">
      <c r="A53">
        <v>0</v>
      </c>
      <c r="B53" s="164">
        <v>43402</v>
      </c>
      <c r="C53" s="10">
        <v>50</v>
      </c>
      <c r="D53" s="39">
        <v>151.3124</v>
      </c>
      <c r="E53" s="39">
        <v>163.22999999999999</v>
      </c>
      <c r="F53" s="101">
        <f t="shared" si="9"/>
        <v>595.87999999999965</v>
      </c>
      <c r="G53" s="39">
        <f t="shared" si="10"/>
        <v>7565.62</v>
      </c>
      <c r="H53" s="179">
        <f t="shared" si="11"/>
        <v>7.8761555563192392E-2</v>
      </c>
      <c r="I53" s="39"/>
      <c r="J53" s="101">
        <f t="shared" si="12"/>
        <v>595.87999999999965</v>
      </c>
      <c r="K53" s="39"/>
      <c r="L53" s="39"/>
    </row>
    <row r="54" spans="1:12" x14ac:dyDescent="0.25">
      <c r="A54">
        <v>0</v>
      </c>
      <c r="B54" s="164">
        <v>43411</v>
      </c>
      <c r="C54" s="10">
        <v>35</v>
      </c>
      <c r="D54" s="39">
        <v>140.94710000000001</v>
      </c>
      <c r="E54" s="39">
        <v>175.58</v>
      </c>
      <c r="F54" s="39">
        <f t="shared" si="9"/>
        <v>1212.1515000000002</v>
      </c>
      <c r="G54" s="39">
        <f t="shared" si="10"/>
        <v>4933.1485000000002</v>
      </c>
      <c r="H54" s="179">
        <f t="shared" si="11"/>
        <v>0.24571559116860159</v>
      </c>
      <c r="I54" s="39"/>
      <c r="J54" s="101">
        <f t="shared" si="12"/>
        <v>1212.1515000000002</v>
      </c>
      <c r="K54" s="39"/>
      <c r="L54" s="39"/>
    </row>
    <row r="55" spans="1:12" x14ac:dyDescent="0.25">
      <c r="A55">
        <v>20</v>
      </c>
      <c r="B55" s="164">
        <v>43416</v>
      </c>
      <c r="C55" s="10">
        <v>60</v>
      </c>
      <c r="D55" s="39">
        <v>152.16919999999999</v>
      </c>
      <c r="E55" s="39">
        <v>166.33</v>
      </c>
      <c r="F55" s="39">
        <f t="shared" si="9"/>
        <v>849.64800000000139</v>
      </c>
      <c r="G55" s="39">
        <f t="shared" si="10"/>
        <v>9130.152</v>
      </c>
      <c r="H55" s="179">
        <f t="shared" si="11"/>
        <v>9.3059567902046045E-2</v>
      </c>
      <c r="I55" s="39"/>
      <c r="J55" s="101">
        <f t="shared" si="12"/>
        <v>849.64800000000139</v>
      </c>
      <c r="K55" s="39"/>
      <c r="L55" s="39"/>
    </row>
    <row r="56" spans="1:12" x14ac:dyDescent="0.25">
      <c r="A56">
        <v>35</v>
      </c>
      <c r="B56" s="164">
        <v>43423</v>
      </c>
      <c r="C56" s="10">
        <v>80</v>
      </c>
      <c r="D56" s="39">
        <v>154.87200000000001</v>
      </c>
      <c r="E56" s="39">
        <v>162.06</v>
      </c>
      <c r="F56" s="39">
        <f t="shared" si="9"/>
        <v>575.03999999999905</v>
      </c>
      <c r="G56" s="39">
        <f t="shared" si="10"/>
        <v>12389.760000000002</v>
      </c>
      <c r="H56" s="179">
        <f t="shared" si="11"/>
        <v>4.6412521307918717E-2</v>
      </c>
      <c r="I56" s="39"/>
      <c r="J56" s="101">
        <f t="shared" si="12"/>
        <v>575.03999999999905</v>
      </c>
      <c r="K56" s="39"/>
      <c r="L56" s="39"/>
    </row>
    <row r="57" spans="1:12" x14ac:dyDescent="0.25">
      <c r="A57" s="4">
        <v>35</v>
      </c>
      <c r="B57" s="164">
        <v>43424</v>
      </c>
      <c r="C57" s="7">
        <v>100</v>
      </c>
      <c r="D57" s="43">
        <v>155.43350000000001</v>
      </c>
      <c r="E57" s="39">
        <v>159.16</v>
      </c>
      <c r="F57" s="39">
        <f t="shared" si="9"/>
        <v>372.64999999999873</v>
      </c>
      <c r="G57" s="39">
        <f t="shared" si="10"/>
        <v>15543.35</v>
      </c>
      <c r="H57" s="179">
        <f t="shared" si="11"/>
        <v>2.3974883149385347E-2</v>
      </c>
      <c r="I57" s="39">
        <v>150</v>
      </c>
      <c r="J57" s="101">
        <f t="shared" si="12"/>
        <v>372.64999999999873</v>
      </c>
      <c r="K57" s="39"/>
      <c r="L57" s="39"/>
    </row>
    <row r="58" spans="1:12" x14ac:dyDescent="0.25">
      <c r="A58" s="4">
        <v>15</v>
      </c>
      <c r="B58" s="164">
        <v>43430</v>
      </c>
      <c r="C58" s="10">
        <v>80</v>
      </c>
      <c r="D58" s="39">
        <v>153.58240000000001</v>
      </c>
      <c r="E58" s="39">
        <v>162.88999999999999</v>
      </c>
      <c r="F58" s="39">
        <f t="shared" si="9"/>
        <v>744.60799999999836</v>
      </c>
      <c r="G58" s="39">
        <f t="shared" si="10"/>
        <v>12286.592000000001</v>
      </c>
      <c r="H58" s="179">
        <f t="shared" si="11"/>
        <v>6.0603298294596118E-2</v>
      </c>
      <c r="I58" s="39"/>
      <c r="J58" s="101">
        <f t="shared" si="12"/>
        <v>744.60799999999836</v>
      </c>
      <c r="K58" s="39"/>
      <c r="L58" s="39"/>
    </row>
    <row r="59" spans="1:12" x14ac:dyDescent="0.25">
      <c r="A59" s="4">
        <v>15</v>
      </c>
      <c r="B59" s="164">
        <v>43436</v>
      </c>
      <c r="C59" s="10">
        <v>80</v>
      </c>
      <c r="D59" s="39">
        <v>153.58240000000001</v>
      </c>
      <c r="E59" s="39">
        <v>169.37</v>
      </c>
      <c r="F59" s="778">
        <f t="shared" ref="F59:F64" si="13">C59*(E59-D59)</f>
        <v>1263.0079999999998</v>
      </c>
      <c r="G59" s="39">
        <f t="shared" ref="G59:G64" si="14">D59*C59</f>
        <v>12286.592000000001</v>
      </c>
      <c r="H59" s="179">
        <f t="shared" ref="H59:H64" si="15">(E59-D59)/D59</f>
        <v>0.10279563283292875</v>
      </c>
      <c r="I59" s="39"/>
      <c r="J59" s="101">
        <f t="shared" si="12"/>
        <v>1263.0079999999998</v>
      </c>
      <c r="K59" s="39"/>
      <c r="L59" s="39"/>
    </row>
    <row r="60" spans="1:12" x14ac:dyDescent="0.25">
      <c r="A60" s="4">
        <v>15</v>
      </c>
      <c r="B60" s="164">
        <v>43442</v>
      </c>
      <c r="C60" s="10">
        <v>80</v>
      </c>
      <c r="D60" s="39">
        <v>153.58000000000001</v>
      </c>
      <c r="E60" s="39">
        <v>161.38</v>
      </c>
      <c r="F60" s="39">
        <f t="shared" si="13"/>
        <v>623.99999999999864</v>
      </c>
      <c r="G60" s="39">
        <f t="shared" si="14"/>
        <v>12286.400000000001</v>
      </c>
      <c r="H60" s="179">
        <f t="shared" si="15"/>
        <v>5.0787863002995065E-2</v>
      </c>
      <c r="I60" s="39"/>
      <c r="J60" s="101">
        <f t="shared" si="12"/>
        <v>623.99999999999864</v>
      </c>
      <c r="K60" s="39"/>
      <c r="L60" s="39"/>
    </row>
    <row r="61" spans="1:12" x14ac:dyDescent="0.25">
      <c r="A61" s="4"/>
      <c r="B61" s="164">
        <v>43465</v>
      </c>
      <c r="C61" s="10">
        <v>80</v>
      </c>
      <c r="D61" s="39">
        <v>153.16200000000001</v>
      </c>
      <c r="E61" s="39">
        <v>154.26</v>
      </c>
      <c r="F61" s="39">
        <f t="shared" si="13"/>
        <v>87.839999999998781</v>
      </c>
      <c r="G61" s="39">
        <f t="shared" si="14"/>
        <v>12252.960000000001</v>
      </c>
      <c r="H61" s="179">
        <f t="shared" si="15"/>
        <v>7.1688800094017102E-3</v>
      </c>
      <c r="I61" s="39"/>
      <c r="J61" s="101">
        <f t="shared" si="12"/>
        <v>87.839999999998781</v>
      </c>
      <c r="K61" s="39"/>
      <c r="L61" s="39"/>
    </row>
    <row r="62" spans="1:12" x14ac:dyDescent="0.25">
      <c r="A62" s="4">
        <v>60</v>
      </c>
      <c r="B62" s="164">
        <v>43482</v>
      </c>
      <c r="C62" s="10">
        <v>60</v>
      </c>
      <c r="D62" s="39">
        <v>149.63630000000001</v>
      </c>
      <c r="E62" s="39">
        <v>163.63</v>
      </c>
      <c r="F62" s="39">
        <f t="shared" si="13"/>
        <v>839.62199999999939</v>
      </c>
      <c r="G62" s="39">
        <f t="shared" si="14"/>
        <v>8978.1779999999999</v>
      </c>
      <c r="H62" s="179">
        <f t="shared" si="15"/>
        <v>9.3518083513158171E-2</v>
      </c>
      <c r="I62" s="39"/>
      <c r="J62" s="101">
        <f t="shared" si="12"/>
        <v>839.62199999999939</v>
      </c>
      <c r="K62" s="39"/>
      <c r="L62" s="39"/>
    </row>
    <row r="63" spans="1:12" x14ac:dyDescent="0.25">
      <c r="A63" s="4"/>
      <c r="B63" s="164">
        <v>43502</v>
      </c>
      <c r="C63" s="10">
        <v>60</v>
      </c>
      <c r="D63" s="39">
        <v>149.63999999999999</v>
      </c>
      <c r="E63" s="39">
        <v>170.53</v>
      </c>
      <c r="F63" s="39">
        <f t="shared" si="13"/>
        <v>1253.400000000001</v>
      </c>
      <c r="G63" s="39">
        <f t="shared" si="14"/>
        <v>8978.4</v>
      </c>
      <c r="H63" s="179">
        <f t="shared" si="15"/>
        <v>0.13960171077252082</v>
      </c>
      <c r="I63" s="39"/>
      <c r="J63" s="101">
        <f t="shared" si="12"/>
        <v>1253.400000000001</v>
      </c>
      <c r="K63" s="39"/>
      <c r="L63" s="39"/>
    </row>
    <row r="64" spans="1:12" x14ac:dyDescent="0.25">
      <c r="A64" s="4">
        <v>0</v>
      </c>
      <c r="B64" s="164">
        <v>43511</v>
      </c>
      <c r="C64" s="10">
        <v>0</v>
      </c>
      <c r="D64" s="39">
        <v>149.63999999999999</v>
      </c>
      <c r="E64" s="39">
        <v>171.94</v>
      </c>
      <c r="F64" s="39">
        <f t="shared" si="13"/>
        <v>0</v>
      </c>
      <c r="G64" s="39">
        <f t="shared" si="14"/>
        <v>0</v>
      </c>
      <c r="H64" s="179">
        <f t="shared" si="15"/>
        <v>0.14902432504677904</v>
      </c>
      <c r="I64" s="39"/>
      <c r="J64" s="778">
        <v>1372.89</v>
      </c>
      <c r="K64" s="39"/>
      <c r="L64" s="39"/>
    </row>
    <row r="65" spans="1:13" x14ac:dyDescent="0.25">
      <c r="A65" s="4"/>
      <c r="B65" s="164"/>
      <c r="C65" s="10"/>
      <c r="D65" s="39"/>
      <c r="E65" s="39"/>
      <c r="F65" s="39"/>
      <c r="G65" s="39"/>
      <c r="H65" s="179"/>
      <c r="I65" s="39"/>
      <c r="J65" s="39"/>
      <c r="K65" s="39"/>
      <c r="L65" s="39"/>
    </row>
    <row r="66" spans="1:13" x14ac:dyDescent="0.25">
      <c r="A66" s="4"/>
      <c r="B66" s="164"/>
      <c r="C66" s="10"/>
      <c r="D66" s="39"/>
      <c r="E66" s="39"/>
      <c r="F66" s="39"/>
      <c r="G66" s="39"/>
      <c r="H66" s="179"/>
      <c r="I66" s="39"/>
      <c r="J66" s="39"/>
      <c r="K66" s="39"/>
      <c r="L66" s="39"/>
    </row>
    <row r="67" spans="1:13" x14ac:dyDescent="0.25">
      <c r="A67" s="4"/>
      <c r="B67" s="164"/>
      <c r="C67" s="10"/>
      <c r="D67" s="39"/>
      <c r="E67" s="39"/>
      <c r="F67" s="39"/>
      <c r="G67" s="39"/>
      <c r="H67" s="179"/>
      <c r="I67" s="39"/>
      <c r="J67" s="39"/>
      <c r="K67" s="39"/>
      <c r="L67" s="39"/>
    </row>
    <row r="68" spans="1:13" x14ac:dyDescent="0.25">
      <c r="A68" s="4"/>
      <c r="B68" s="72"/>
      <c r="C68" s="4"/>
      <c r="D68" s="3"/>
      <c r="E68" s="3"/>
      <c r="F68" s="3"/>
      <c r="G68" s="3"/>
      <c r="H68" s="216"/>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91"/>
      <c r="B71" s="491"/>
      <c r="C71" s="491"/>
      <c r="D71" s="492"/>
      <c r="E71" s="492"/>
      <c r="F71" s="492"/>
      <c r="G71" s="491"/>
      <c r="H71" s="491"/>
      <c r="I71" s="492"/>
      <c r="J71" s="492"/>
      <c r="K71" s="492"/>
      <c r="L71" s="491" t="s">
        <v>65</v>
      </c>
      <c r="M71" s="492">
        <f>M89+K89-F89</f>
        <v>0</v>
      </c>
    </row>
    <row r="72" spans="1:13" x14ac:dyDescent="0.25">
      <c r="A72" s="610" t="s">
        <v>1</v>
      </c>
      <c r="B72" s="610" t="s">
        <v>2</v>
      </c>
      <c r="C72" s="610" t="s">
        <v>4</v>
      </c>
      <c r="D72" s="611" t="s">
        <v>5</v>
      </c>
      <c r="E72" s="611" t="s">
        <v>94</v>
      </c>
      <c r="F72" s="611" t="s">
        <v>60</v>
      </c>
      <c r="G72" s="610" t="s">
        <v>3</v>
      </c>
      <c r="H72" s="610" t="s">
        <v>6</v>
      </c>
      <c r="I72" s="611" t="s">
        <v>7</v>
      </c>
      <c r="J72" s="611" t="s">
        <v>95</v>
      </c>
      <c r="K72" s="611" t="s">
        <v>61</v>
      </c>
      <c r="L72" s="610" t="s">
        <v>37</v>
      </c>
      <c r="M72" s="610" t="s">
        <v>38</v>
      </c>
    </row>
    <row r="73" spans="1:13" x14ac:dyDescent="0.25">
      <c r="A73" s="612" t="s">
        <v>934</v>
      </c>
      <c r="B73" s="494"/>
      <c r="C73" s="491"/>
      <c r="D73" s="492"/>
      <c r="E73" s="492"/>
      <c r="F73" s="492"/>
      <c r="G73" s="494"/>
      <c r="H73" s="491"/>
      <c r="I73" s="492"/>
      <c r="J73" s="492"/>
      <c r="K73" s="492"/>
      <c r="L73" s="494"/>
      <c r="M73" s="492"/>
    </row>
    <row r="74" spans="1:13" x14ac:dyDescent="0.25">
      <c r="A74" s="613"/>
      <c r="B74" s="494"/>
      <c r="C74" s="491"/>
      <c r="D74" s="492"/>
      <c r="E74" s="492"/>
      <c r="F74" s="492"/>
      <c r="G74" s="494"/>
      <c r="H74" s="493"/>
      <c r="I74" s="492"/>
      <c r="J74" s="492"/>
      <c r="K74" s="492"/>
      <c r="L74" s="491"/>
      <c r="M74" s="491"/>
    </row>
    <row r="75" spans="1:13" x14ac:dyDescent="0.25">
      <c r="A75" s="491"/>
      <c r="B75" s="494"/>
      <c r="C75" s="491"/>
      <c r="D75" s="492"/>
      <c r="E75" s="492"/>
      <c r="F75" s="492"/>
      <c r="G75" s="494"/>
      <c r="H75" s="493"/>
      <c r="I75" s="492"/>
      <c r="J75" s="492"/>
      <c r="K75" s="492"/>
      <c r="L75" s="491"/>
      <c r="M75" s="491"/>
    </row>
    <row r="76" spans="1:13" x14ac:dyDescent="0.25">
      <c r="A76" s="491"/>
      <c r="B76" s="494"/>
      <c r="C76" s="491"/>
      <c r="D76" s="492"/>
      <c r="E76" s="492"/>
      <c r="F76" s="492"/>
      <c r="G76" s="491"/>
      <c r="H76" s="493"/>
      <c r="I76" s="492"/>
      <c r="J76" s="492"/>
      <c r="K76" s="492"/>
      <c r="L76" s="491"/>
      <c r="M76" s="491"/>
    </row>
    <row r="77" spans="1:13" x14ac:dyDescent="0.25">
      <c r="A77" s="491"/>
      <c r="B77" s="494"/>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1"/>
      <c r="I88" s="492"/>
      <c r="J88" s="492"/>
      <c r="K88" s="492"/>
      <c r="L88" s="491"/>
      <c r="M88" s="491"/>
    </row>
    <row r="89" spans="1:13" x14ac:dyDescent="0.25">
      <c r="A89" s="614" t="s">
        <v>81</v>
      </c>
      <c r="B89" s="615"/>
      <c r="C89" s="615">
        <f>SUM(C73:C77)</f>
        <v>0</v>
      </c>
      <c r="D89" s="616"/>
      <c r="E89" s="616"/>
      <c r="F89" s="616">
        <f>SUM(F73:F77)</f>
        <v>0</v>
      </c>
      <c r="G89" s="615"/>
      <c r="H89" s="617">
        <f>SUM(H73:H76)</f>
        <v>0</v>
      </c>
      <c r="I89" s="616"/>
      <c r="J89" s="616"/>
      <c r="K89" s="616">
        <f>SUM(K73:K76)</f>
        <v>0</v>
      </c>
      <c r="L89" s="615"/>
      <c r="M89" s="616">
        <f>SUM(M73:M81)</f>
        <v>0</v>
      </c>
    </row>
    <row r="90" spans="1:13" ht="15.75" thickBot="1" x14ac:dyDescent="0.3">
      <c r="A90" s="618" t="s">
        <v>191</v>
      </c>
      <c r="B90" s="650"/>
      <c r="C90" s="619">
        <f>SumByColor($A$22,C73:C88)</f>
        <v>0</v>
      </c>
      <c r="D90" s="619"/>
      <c r="E90" s="619"/>
      <c r="F90" s="620">
        <f>SumByColor($A$22,F73:F88)</f>
        <v>0</v>
      </c>
      <c r="G90" s="619"/>
      <c r="H90" s="619">
        <f>SumByColor($A$22,H73:H88)</f>
        <v>0</v>
      </c>
      <c r="I90" s="619"/>
      <c r="J90" s="619"/>
      <c r="K90" s="620">
        <f>SumByColor($A$22,K74:K88)</f>
        <v>0</v>
      </c>
      <c r="L90" s="619"/>
      <c r="M90" s="620">
        <f>SumByColor($A$22,M73:M88)</f>
        <v>0</v>
      </c>
    </row>
    <row r="93" spans="1:13" x14ac:dyDescent="0.25">
      <c r="B93" s="162" t="s">
        <v>113</v>
      </c>
      <c r="C93" s="162" t="s">
        <v>145</v>
      </c>
      <c r="D93" s="163" t="s">
        <v>144</v>
      </c>
      <c r="E93" s="165" t="s">
        <v>146</v>
      </c>
      <c r="F93" s="165" t="s">
        <v>65</v>
      </c>
      <c r="G93" s="177" t="s">
        <v>150</v>
      </c>
      <c r="H93" s="177" t="s">
        <v>88</v>
      </c>
      <c r="I93" s="177" t="s">
        <v>153</v>
      </c>
      <c r="J93" s="177" t="s">
        <v>149</v>
      </c>
      <c r="K93" s="177" t="s">
        <v>646</v>
      </c>
      <c r="L93" s="177" t="s">
        <v>652</v>
      </c>
    </row>
    <row r="94" spans="1:13" x14ac:dyDescent="0.25">
      <c r="B94" s="164"/>
      <c r="C94" s="10"/>
      <c r="D94" s="39"/>
      <c r="E94" s="39"/>
      <c r="F94" s="39"/>
      <c r="G94" s="39"/>
      <c r="H94" s="179"/>
      <c r="I94" s="39"/>
      <c r="J94" s="39"/>
      <c r="K94" s="39"/>
      <c r="L94" s="39"/>
    </row>
    <row r="95" spans="1:13" x14ac:dyDescent="0.25">
      <c r="B95" s="164"/>
      <c r="C95" s="10"/>
      <c r="D95" s="39"/>
      <c r="E95" s="39"/>
      <c r="F95" s="39"/>
      <c r="G95" s="39"/>
      <c r="H95" s="179"/>
      <c r="I95" s="39"/>
      <c r="J95" s="39"/>
      <c r="K95" s="39"/>
      <c r="L95" s="39"/>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1600" priority="59">
      <formula>F49&gt;0</formula>
    </cfRule>
    <cfRule type="expression" dxfId="1599" priority="60">
      <formula>F49&lt;0</formula>
    </cfRule>
  </conditionalFormatting>
  <conditionalFormatting sqref="Q7">
    <cfRule type="expression" dxfId="1598" priority="57">
      <formula>Q7&gt;0</formula>
    </cfRule>
    <cfRule type="expression" dxfId="1597" priority="58">
      <formula>Q7&lt;0</formula>
    </cfRule>
  </conditionalFormatting>
  <conditionalFormatting sqref="Q8">
    <cfRule type="expression" dxfId="1596" priority="55">
      <formula>Q8&gt;0</formula>
    </cfRule>
    <cfRule type="expression" dxfId="1595" priority="56">
      <formula>Q8&lt;0</formula>
    </cfRule>
  </conditionalFormatting>
  <conditionalFormatting sqref="F34:F46">
    <cfRule type="expression" dxfId="1594" priority="53">
      <formula>F34&gt;0</formula>
    </cfRule>
    <cfRule type="expression" dxfId="1593" priority="54">
      <formula>F34&lt;0</formula>
    </cfRule>
  </conditionalFormatting>
  <conditionalFormatting sqref="H34:H46">
    <cfRule type="expression" dxfId="1592" priority="51">
      <formula>H34&gt;0</formula>
    </cfRule>
    <cfRule type="expression" dxfId="1591" priority="52">
      <formula>H34&lt;0</formula>
    </cfRule>
  </conditionalFormatting>
  <conditionalFormatting sqref="Q10">
    <cfRule type="expression" dxfId="1590" priority="49">
      <formula>Q10&gt;0</formula>
    </cfRule>
    <cfRule type="expression" dxfId="1589" priority="50">
      <formula>Q10&lt;0</formula>
    </cfRule>
  </conditionalFormatting>
  <conditionalFormatting sqref="J28:J41">
    <cfRule type="expression" dxfId="1588" priority="47">
      <formula>J28&gt;0</formula>
    </cfRule>
    <cfRule type="expression" dxfId="1587" priority="48">
      <formula>J28&lt;0</formula>
    </cfRule>
  </conditionalFormatting>
  <conditionalFormatting sqref="K28:K41">
    <cfRule type="expression" dxfId="1586" priority="45">
      <formula>K28&gt;0</formula>
    </cfRule>
    <cfRule type="expression" dxfId="1585" priority="46">
      <formula>K28&lt;0</formula>
    </cfRule>
  </conditionalFormatting>
  <conditionalFormatting sqref="L28:L41">
    <cfRule type="expression" dxfId="1584" priority="43">
      <formula>L28&gt;0</formula>
    </cfRule>
    <cfRule type="expression" dxfId="1583" priority="44">
      <formula>L28&lt;0</formula>
    </cfRule>
  </conditionalFormatting>
  <conditionalFormatting sqref="F94:F115">
    <cfRule type="expression" dxfId="1582" priority="41">
      <formula>F94&gt;0</formula>
    </cfRule>
    <cfRule type="expression" dxfId="1581" priority="42">
      <formula>F94&lt;0</formula>
    </cfRule>
  </conditionalFormatting>
  <conditionalFormatting sqref="H94:H115">
    <cfRule type="expression" dxfId="1580" priority="39">
      <formula>H94&gt;0</formula>
    </cfRule>
    <cfRule type="expression" dxfId="1579" priority="40">
      <formula>H94&lt;0</formula>
    </cfRule>
  </conditionalFormatting>
  <conditionalFormatting sqref="J94:J107">
    <cfRule type="expression" dxfId="1578" priority="37">
      <formula>J94&gt;0</formula>
    </cfRule>
    <cfRule type="expression" dxfId="1577" priority="38">
      <formula>J94&lt;0</formula>
    </cfRule>
  </conditionalFormatting>
  <conditionalFormatting sqref="K94:K107">
    <cfRule type="expression" dxfId="1576" priority="35">
      <formula>K94&gt;0</formula>
    </cfRule>
    <cfRule type="expression" dxfId="1575" priority="36">
      <formula>K94&lt;0</formula>
    </cfRule>
  </conditionalFormatting>
  <conditionalFormatting sqref="L94:L107">
    <cfRule type="expression" dxfId="1574" priority="33">
      <formula>L94&gt;0</formula>
    </cfRule>
    <cfRule type="expression" dxfId="1573" priority="34">
      <formula>L94&lt;0</formula>
    </cfRule>
  </conditionalFormatting>
  <conditionalFormatting sqref="F28:F31">
    <cfRule type="expression" dxfId="1572" priority="31">
      <formula>F28&gt;0</formula>
    </cfRule>
    <cfRule type="expression" dxfId="1571" priority="32">
      <formula>F28&lt;0</formula>
    </cfRule>
  </conditionalFormatting>
  <conditionalFormatting sqref="H28:H31">
    <cfRule type="expression" dxfId="1570" priority="29">
      <formula>H28&gt;0</formula>
    </cfRule>
    <cfRule type="expression" dxfId="1569" priority="30">
      <formula>H28&lt;0</formula>
    </cfRule>
  </conditionalFormatting>
  <conditionalFormatting sqref="F32:F33">
    <cfRule type="expression" dxfId="1568" priority="25">
      <formula>F32&gt;0</formula>
    </cfRule>
    <cfRule type="expression" dxfId="1567" priority="26">
      <formula>F32&lt;0</formula>
    </cfRule>
  </conditionalFormatting>
  <conditionalFormatting sqref="H32:H33">
    <cfRule type="expression" dxfId="1566" priority="23">
      <formula>H32&gt;0</formula>
    </cfRule>
    <cfRule type="expression" dxfId="1565" priority="24">
      <formula>H32&lt;0</formula>
    </cfRule>
  </conditionalFormatting>
  <conditionalFormatting sqref="J48">
    <cfRule type="expression" dxfId="1564" priority="21">
      <formula>J48&gt;0</formula>
    </cfRule>
    <cfRule type="expression" dxfId="1563" priority="22">
      <formula>J48&lt;0</formula>
    </cfRule>
  </conditionalFormatting>
  <conditionalFormatting sqref="F47:F48">
    <cfRule type="expression" dxfId="1562" priority="19">
      <formula>F47&gt;0</formula>
    </cfRule>
    <cfRule type="expression" dxfId="1561" priority="20">
      <formula>F47&lt;0</formula>
    </cfRule>
  </conditionalFormatting>
  <conditionalFormatting sqref="H47:H48">
    <cfRule type="expression" dxfId="1560" priority="17">
      <formula>H47&gt;0</formula>
    </cfRule>
    <cfRule type="expression" dxfId="1559" priority="18">
      <formula>H47&lt;0</formula>
    </cfRule>
  </conditionalFormatting>
  <conditionalFormatting sqref="J49:J53">
    <cfRule type="expression" dxfId="1558" priority="15">
      <formula>J49&gt;0</formula>
    </cfRule>
    <cfRule type="expression" dxfId="1557" priority="16">
      <formula>J49&lt;0</formula>
    </cfRule>
  </conditionalFormatting>
  <conditionalFormatting sqref="J54:J62">
    <cfRule type="expression" dxfId="1556" priority="13">
      <formula>J54&gt;0</formula>
    </cfRule>
    <cfRule type="expression" dxfId="1555" priority="14">
      <formula>J54&lt;0</formula>
    </cfRule>
  </conditionalFormatting>
  <conditionalFormatting sqref="J63">
    <cfRule type="expression" dxfId="1554" priority="5">
      <formula>J63&gt;0</formula>
    </cfRule>
    <cfRule type="expression" dxfId="1553" priority="6">
      <formula>J63&lt;0</formula>
    </cfRule>
  </conditionalFormatting>
  <conditionalFormatting sqref="H64:H65 F64:F65">
    <cfRule type="expression" dxfId="1552" priority="3">
      <formula>F64&gt;0</formula>
    </cfRule>
    <cfRule type="expression" dxfId="1551" priority="4">
      <formula>F64&lt;0</formula>
    </cfRule>
  </conditionalFormatting>
  <conditionalFormatting sqref="J64">
    <cfRule type="expression" dxfId="1550" priority="1">
      <formula>J64&gt;0</formula>
    </cfRule>
    <cfRule type="expression" dxfId="1549"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81"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710" t="s">
        <v>7</v>
      </c>
      <c r="J1" s="20" t="s">
        <v>95</v>
      </c>
      <c r="K1" s="20" t="s">
        <v>61</v>
      </c>
      <c r="L1" s="11" t="s">
        <v>37</v>
      </c>
      <c r="M1" s="11" t="s">
        <v>38</v>
      </c>
      <c r="T1" s="11" t="s">
        <v>70</v>
      </c>
    </row>
    <row r="2" spans="1:22" x14ac:dyDescent="0.25">
      <c r="A2" s="6" t="s">
        <v>711</v>
      </c>
      <c r="B2" s="368">
        <v>42997</v>
      </c>
      <c r="C2" s="7">
        <v>50</v>
      </c>
      <c r="D2" s="43">
        <v>81.08</v>
      </c>
      <c r="E2" s="43">
        <v>0</v>
      </c>
      <c r="F2" s="43">
        <f t="shared" ref="F2:F15" si="0">C2*D2+E2</f>
        <v>4054</v>
      </c>
      <c r="G2" s="368">
        <v>43040</v>
      </c>
      <c r="H2" s="7">
        <v>100</v>
      </c>
      <c r="I2" s="437">
        <v>67.48</v>
      </c>
      <c r="J2" s="43">
        <v>0.16</v>
      </c>
      <c r="K2" s="43">
        <f t="shared" ref="K2:K13" si="1">H2*I2-J2</f>
        <v>6747.84</v>
      </c>
      <c r="L2" s="72">
        <v>43082</v>
      </c>
      <c r="M2" s="43">
        <v>80</v>
      </c>
      <c r="O2" s="11" t="s">
        <v>57</v>
      </c>
      <c r="Q2">
        <f>C24-H24</f>
        <v>0</v>
      </c>
      <c r="U2" t="s">
        <v>1230</v>
      </c>
      <c r="V2" s="134"/>
    </row>
    <row r="3" spans="1:22" x14ac:dyDescent="0.25">
      <c r="A3" s="22" t="s">
        <v>71</v>
      </c>
      <c r="B3" s="368">
        <v>43014</v>
      </c>
      <c r="C3" s="7">
        <v>50</v>
      </c>
      <c r="D3" s="43">
        <v>75.28</v>
      </c>
      <c r="E3" s="43">
        <v>0</v>
      </c>
      <c r="F3" s="43">
        <f t="shared" si="0"/>
        <v>3764</v>
      </c>
      <c r="G3" s="368">
        <v>43052</v>
      </c>
      <c r="H3" s="80">
        <v>50</v>
      </c>
      <c r="I3" s="437">
        <v>73.28</v>
      </c>
      <c r="J3" s="43">
        <v>0.08</v>
      </c>
      <c r="K3" s="43">
        <f t="shared" si="1"/>
        <v>3663.92</v>
      </c>
      <c r="L3" s="72">
        <v>43172</v>
      </c>
      <c r="M3" s="43">
        <v>60</v>
      </c>
      <c r="O3" s="11" t="s">
        <v>58</v>
      </c>
      <c r="Q3" s="178">
        <f>IF(Q2=0, Q4, (F24-K24-M24)/Q2)</f>
        <v>71.61</v>
      </c>
      <c r="V3" s="134"/>
    </row>
    <row r="4" spans="1:22" x14ac:dyDescent="0.25">
      <c r="B4" s="368">
        <v>43014</v>
      </c>
      <c r="C4" s="7">
        <v>50</v>
      </c>
      <c r="D4" s="43">
        <v>73.180000000000007</v>
      </c>
      <c r="E4" s="43">
        <v>0</v>
      </c>
      <c r="F4" s="43">
        <f t="shared" si="0"/>
        <v>3659.0000000000005</v>
      </c>
      <c r="G4" s="368">
        <v>43069</v>
      </c>
      <c r="H4" s="80">
        <v>50</v>
      </c>
      <c r="I4" s="437">
        <v>72.48</v>
      </c>
      <c r="J4" s="43">
        <v>0.08</v>
      </c>
      <c r="K4" s="43">
        <f t="shared" si="1"/>
        <v>3623.92</v>
      </c>
      <c r="L4" s="72">
        <v>43263</v>
      </c>
      <c r="M4" s="43">
        <v>120</v>
      </c>
      <c r="O4" s="11" t="s">
        <v>66</v>
      </c>
      <c r="Q4" s="54">
        <v>71.61</v>
      </c>
      <c r="R4" s="425">
        <v>4.1000000000000003E-3</v>
      </c>
      <c r="T4" s="1">
        <v>43114</v>
      </c>
      <c r="U4" t="s">
        <v>861</v>
      </c>
      <c r="V4" s="134"/>
    </row>
    <row r="5" spans="1:22" x14ac:dyDescent="0.25">
      <c r="B5" s="368">
        <v>43017</v>
      </c>
      <c r="C5" s="7">
        <v>50</v>
      </c>
      <c r="D5" s="43">
        <v>71.38</v>
      </c>
      <c r="E5" s="43">
        <v>0</v>
      </c>
      <c r="F5" s="43">
        <f t="shared" si="0"/>
        <v>3569</v>
      </c>
      <c r="G5" s="368">
        <v>43090</v>
      </c>
      <c r="H5" s="80">
        <v>100</v>
      </c>
      <c r="I5" s="437">
        <v>73.41</v>
      </c>
      <c r="J5" s="43">
        <v>0.17</v>
      </c>
      <c r="K5" s="43">
        <f t="shared" si="1"/>
        <v>7340.83</v>
      </c>
      <c r="L5" s="72">
        <v>43355</v>
      </c>
      <c r="M5" s="43">
        <v>88</v>
      </c>
      <c r="O5" s="11" t="s">
        <v>67</v>
      </c>
      <c r="Q5" s="3">
        <f>Q4*Q2</f>
        <v>0</v>
      </c>
      <c r="T5" s="1"/>
      <c r="U5" t="s">
        <v>1129</v>
      </c>
      <c r="V5" s="134"/>
    </row>
    <row r="6" spans="1:22" x14ac:dyDescent="0.25">
      <c r="B6" s="368">
        <v>43032</v>
      </c>
      <c r="C6" s="7">
        <v>50</v>
      </c>
      <c r="D6" s="43">
        <v>67.28</v>
      </c>
      <c r="E6" s="43">
        <v>0</v>
      </c>
      <c r="F6" s="43">
        <f t="shared" si="0"/>
        <v>3364</v>
      </c>
      <c r="G6" s="368">
        <v>43105</v>
      </c>
      <c r="H6" s="80">
        <v>50</v>
      </c>
      <c r="I6" s="437">
        <v>72.62</v>
      </c>
      <c r="J6" s="43">
        <v>0.08</v>
      </c>
      <c r="K6" s="43">
        <f t="shared" si="1"/>
        <v>3630.92</v>
      </c>
      <c r="L6" s="4"/>
      <c r="M6" s="4"/>
      <c r="O6" s="11" t="s">
        <v>64</v>
      </c>
      <c r="Q6" s="2">
        <f>Q3*Q2</f>
        <v>0</v>
      </c>
      <c r="T6" s="156"/>
      <c r="U6" s="1"/>
      <c r="V6" s="134"/>
    </row>
    <row r="7" spans="1:22" x14ac:dyDescent="0.25">
      <c r="B7" s="368">
        <v>43035</v>
      </c>
      <c r="C7" s="7">
        <v>50</v>
      </c>
      <c r="D7" s="43">
        <v>64.180000000000007</v>
      </c>
      <c r="E7" s="43">
        <v>0</v>
      </c>
      <c r="F7" s="43">
        <f t="shared" si="0"/>
        <v>3209.0000000000005</v>
      </c>
      <c r="G7" s="368">
        <v>43166</v>
      </c>
      <c r="H7" s="80">
        <v>100</v>
      </c>
      <c r="I7" s="437">
        <v>70.14</v>
      </c>
      <c r="J7" s="43">
        <v>0.14000000000000001</v>
      </c>
      <c r="K7" s="43">
        <f t="shared" si="1"/>
        <v>7013.86</v>
      </c>
      <c r="L7" s="4"/>
      <c r="M7" s="4"/>
      <c r="O7" s="11" t="s">
        <v>177</v>
      </c>
      <c r="Q7" s="2">
        <f>Q10+Q8</f>
        <v>2113.4099999999889</v>
      </c>
      <c r="R7">
        <v>0</v>
      </c>
      <c r="T7" s="1">
        <v>43187</v>
      </c>
      <c r="U7" t="s">
        <v>951</v>
      </c>
      <c r="V7" s="134"/>
    </row>
    <row r="8" spans="1:22" x14ac:dyDescent="0.25">
      <c r="B8" s="368">
        <v>43059</v>
      </c>
      <c r="C8" s="7">
        <v>50</v>
      </c>
      <c r="D8" s="43">
        <v>69.88</v>
      </c>
      <c r="E8" s="43">
        <v>0</v>
      </c>
      <c r="F8" s="43">
        <f t="shared" si="0"/>
        <v>3494</v>
      </c>
      <c r="G8" s="368">
        <v>43271</v>
      </c>
      <c r="H8" s="80">
        <v>100</v>
      </c>
      <c r="I8" s="437">
        <v>67.75</v>
      </c>
      <c r="J8" s="43">
        <v>0.09</v>
      </c>
      <c r="K8" s="43">
        <f t="shared" si="1"/>
        <v>6774.91</v>
      </c>
      <c r="L8" s="4"/>
      <c r="M8" s="4"/>
      <c r="O8" s="11" t="s">
        <v>179</v>
      </c>
      <c r="P8" s="33"/>
      <c r="Q8" s="2">
        <f>K24+M24-F24+Q2*Q4</f>
        <v>2113.4099999999889</v>
      </c>
      <c r="V8" s="134"/>
    </row>
    <row r="9" spans="1:22" x14ac:dyDescent="0.25">
      <c r="B9" s="368">
        <v>43104</v>
      </c>
      <c r="C9" s="7">
        <v>50</v>
      </c>
      <c r="D9" s="43">
        <v>70.97</v>
      </c>
      <c r="E9" s="43">
        <v>0</v>
      </c>
      <c r="F9" s="43">
        <f t="shared" si="0"/>
        <v>3548.5</v>
      </c>
      <c r="G9" s="368">
        <v>43286</v>
      </c>
      <c r="H9" s="80">
        <v>100</v>
      </c>
      <c r="I9" s="437">
        <v>62.38</v>
      </c>
      <c r="J9" s="43">
        <v>0.08</v>
      </c>
      <c r="K9" s="43">
        <f t="shared" si="1"/>
        <v>6237.92</v>
      </c>
      <c r="L9" s="4"/>
      <c r="M9" s="4"/>
      <c r="O9" s="11" t="s">
        <v>204</v>
      </c>
      <c r="Q9" s="134">
        <f>IF(Q2=0, 0, Q8/Q6)</f>
        <v>0</v>
      </c>
      <c r="T9" s="1">
        <v>43212</v>
      </c>
      <c r="U9" t="s">
        <v>995</v>
      </c>
      <c r="V9" s="134"/>
    </row>
    <row r="10" spans="1:22" x14ac:dyDescent="0.25">
      <c r="A10" t="s">
        <v>758</v>
      </c>
      <c r="B10" s="368">
        <v>43136</v>
      </c>
      <c r="C10" s="7">
        <v>50</v>
      </c>
      <c r="D10" s="43">
        <v>70.17</v>
      </c>
      <c r="E10" s="43">
        <v>-0.06</v>
      </c>
      <c r="F10" s="43">
        <f t="shared" si="0"/>
        <v>3508.44</v>
      </c>
      <c r="G10" s="368">
        <v>43287</v>
      </c>
      <c r="H10" s="80">
        <v>100</v>
      </c>
      <c r="I10" s="437">
        <v>63.53</v>
      </c>
      <c r="J10" s="43">
        <v>0.57999999999999996</v>
      </c>
      <c r="K10" s="43">
        <f t="shared" si="1"/>
        <v>6352.42</v>
      </c>
      <c r="O10" s="11" t="s">
        <v>203</v>
      </c>
      <c r="P10" s="33"/>
      <c r="Q10" s="2">
        <f>M91</f>
        <v>0</v>
      </c>
      <c r="U10" t="s">
        <v>996</v>
      </c>
      <c r="V10" s="134"/>
    </row>
    <row r="11" spans="1:22" x14ac:dyDescent="0.25">
      <c r="B11" s="368">
        <v>43139</v>
      </c>
      <c r="C11" s="7">
        <v>50</v>
      </c>
      <c r="D11" s="43">
        <v>68.48</v>
      </c>
      <c r="E11" s="43">
        <v>0</v>
      </c>
      <c r="F11" s="43">
        <f t="shared" si="0"/>
        <v>3424</v>
      </c>
      <c r="G11" s="368">
        <v>43355</v>
      </c>
      <c r="H11" s="80">
        <v>50</v>
      </c>
      <c r="I11" s="437">
        <v>70.2</v>
      </c>
      <c r="J11" s="43">
        <v>0.05</v>
      </c>
      <c r="K11" s="43">
        <f t="shared" si="1"/>
        <v>3509.95</v>
      </c>
      <c r="O11" s="11" t="s">
        <v>175</v>
      </c>
      <c r="P11" s="33"/>
      <c r="Q11" s="134">
        <f>R11*4/Q4</f>
        <v>2.2343248149699763E-2</v>
      </c>
      <c r="R11">
        <f>0.4</f>
        <v>0.4</v>
      </c>
      <c r="V11" s="134"/>
    </row>
    <row r="12" spans="1:22" x14ac:dyDescent="0.25">
      <c r="B12" s="368">
        <v>43165</v>
      </c>
      <c r="C12" s="7">
        <v>50</v>
      </c>
      <c r="D12" s="43">
        <v>69.180000000000007</v>
      </c>
      <c r="E12" s="43">
        <v>0</v>
      </c>
      <c r="F12" s="43">
        <f t="shared" si="0"/>
        <v>3459.0000000000005</v>
      </c>
      <c r="G12" s="368">
        <v>43362</v>
      </c>
      <c r="H12" s="80">
        <v>100</v>
      </c>
      <c r="I12" s="437">
        <v>71.680000000000007</v>
      </c>
      <c r="J12" s="43">
        <v>0.09</v>
      </c>
      <c r="K12" s="43">
        <f t="shared" si="1"/>
        <v>7167.9100000000008</v>
      </c>
      <c r="O12" s="11" t="s">
        <v>921</v>
      </c>
      <c r="Q12" s="1"/>
      <c r="T12" s="1">
        <v>43237</v>
      </c>
      <c r="U12" t="s">
        <v>1059</v>
      </c>
      <c r="V12" s="134"/>
    </row>
    <row r="13" spans="1:22" x14ac:dyDescent="0.25">
      <c r="B13" s="368">
        <v>43166</v>
      </c>
      <c r="C13" s="7">
        <v>100</v>
      </c>
      <c r="D13" s="43">
        <v>69.099999999999994</v>
      </c>
      <c r="E13" s="43">
        <v>0</v>
      </c>
      <c r="F13" s="43">
        <f t="shared" si="0"/>
        <v>6909.9999999999991</v>
      </c>
      <c r="G13" s="368">
        <v>43388</v>
      </c>
      <c r="H13" s="80">
        <v>50</v>
      </c>
      <c r="I13" s="437">
        <v>75.28</v>
      </c>
      <c r="J13" s="43">
        <v>0.05</v>
      </c>
      <c r="K13" s="43">
        <f t="shared" si="1"/>
        <v>3763.95</v>
      </c>
      <c r="O13" s="11" t="s">
        <v>947</v>
      </c>
      <c r="Q13" s="2">
        <f>Q4/(5.9+6.05)*2</f>
        <v>11.984937238493725</v>
      </c>
      <c r="V13" s="134"/>
    </row>
    <row r="14" spans="1:22" x14ac:dyDescent="0.25">
      <c r="B14" s="368">
        <v>43228</v>
      </c>
      <c r="C14" s="7">
        <v>100</v>
      </c>
      <c r="D14" s="43">
        <v>61.88</v>
      </c>
      <c r="E14" s="43">
        <v>0</v>
      </c>
      <c r="F14" s="43">
        <f t="shared" si="0"/>
        <v>6188</v>
      </c>
      <c r="H14" s="70"/>
      <c r="O14" s="11" t="s">
        <v>1012</v>
      </c>
      <c r="Q14" s="29">
        <v>43317</v>
      </c>
      <c r="T14" s="1">
        <v>43242</v>
      </c>
      <c r="U14" t="s">
        <v>1046</v>
      </c>
      <c r="V14" s="134"/>
    </row>
    <row r="15" spans="1:22" x14ac:dyDescent="0.25">
      <c r="B15" s="368">
        <v>43279</v>
      </c>
      <c r="C15" s="7">
        <v>50</v>
      </c>
      <c r="D15" s="43">
        <v>59.56</v>
      </c>
      <c r="E15" s="43">
        <v>0</v>
      </c>
      <c r="F15" s="43">
        <f t="shared" si="0"/>
        <v>2978</v>
      </c>
      <c r="H15" s="70"/>
      <c r="V15" s="134"/>
    </row>
    <row r="16" spans="1:22" x14ac:dyDescent="0.25">
      <c r="B16" s="368">
        <v>43279</v>
      </c>
      <c r="C16" s="7">
        <v>100</v>
      </c>
      <c r="D16" s="43">
        <v>59.56</v>
      </c>
      <c r="E16" s="43">
        <v>0</v>
      </c>
      <c r="F16" s="43">
        <f>C16*D16+E16</f>
        <v>5956</v>
      </c>
      <c r="H16" s="70"/>
      <c r="T16" s="1">
        <v>43260</v>
      </c>
      <c r="U16" t="s">
        <v>1093</v>
      </c>
      <c r="V16" s="134"/>
    </row>
    <row r="17" spans="1:22" x14ac:dyDescent="0.25">
      <c r="B17" s="368">
        <v>43279</v>
      </c>
      <c r="C17" s="7">
        <v>50</v>
      </c>
      <c r="D17" s="43">
        <v>59.56</v>
      </c>
      <c r="E17" s="43">
        <v>0</v>
      </c>
      <c r="F17" s="43">
        <f>C17*D17+E17</f>
        <v>2978</v>
      </c>
      <c r="T17" s="1">
        <v>43271</v>
      </c>
      <c r="U17" t="s">
        <v>1111</v>
      </c>
      <c r="V17" s="134"/>
    </row>
    <row r="18" spans="1:22" x14ac:dyDescent="0.25">
      <c r="C18" s="4"/>
      <c r="D18" s="3"/>
      <c r="E18" s="3"/>
      <c r="F18" s="3"/>
      <c r="H18" s="70"/>
      <c r="T18" s="1">
        <v>43274</v>
      </c>
      <c r="U18" t="s">
        <v>1110</v>
      </c>
      <c r="V18" s="134"/>
    </row>
    <row r="19" spans="1:22" x14ac:dyDescent="0.25">
      <c r="V19" s="134"/>
    </row>
    <row r="20" spans="1:22" x14ac:dyDescent="0.25">
      <c r="C20" s="4"/>
      <c r="D20" s="3"/>
      <c r="E20" s="3"/>
      <c r="F20" s="3"/>
      <c r="H20" s="70"/>
      <c r="T20" s="1">
        <v>43279</v>
      </c>
      <c r="U20" t="s">
        <v>1121</v>
      </c>
      <c r="V20" s="134"/>
    </row>
    <row r="21" spans="1:22" ht="20.25" thickBot="1" x14ac:dyDescent="0.35">
      <c r="O21" s="884" t="s">
        <v>78</v>
      </c>
      <c r="P21" s="884"/>
      <c r="U21" t="s">
        <v>1128</v>
      </c>
      <c r="V21" s="134"/>
    </row>
    <row r="22" spans="1:22" ht="15.75" thickTop="1" x14ac:dyDescent="0.25">
      <c r="C22" s="4"/>
      <c r="D22" s="3"/>
      <c r="E22" s="3"/>
      <c r="F22" s="3"/>
      <c r="H22" s="70"/>
      <c r="O22" s="81">
        <v>1.1000000000000001</v>
      </c>
      <c r="P22" s="81">
        <f>O22*$Q$4</f>
        <v>78.771000000000001</v>
      </c>
      <c r="V22" s="134"/>
    </row>
    <row r="23" spans="1:22" x14ac:dyDescent="0.25">
      <c r="O23" s="81">
        <v>1.0900000000000001</v>
      </c>
      <c r="P23" s="81">
        <f t="shared" ref="P23:P42" si="2">O23*$Q$4</f>
        <v>78.054900000000004</v>
      </c>
      <c r="T23" s="1">
        <v>43285</v>
      </c>
      <c r="U23" t="s">
        <v>1124</v>
      </c>
      <c r="V23" s="134"/>
    </row>
    <row r="24" spans="1:22" x14ac:dyDescent="0.25">
      <c r="A24" s="31" t="s">
        <v>81</v>
      </c>
      <c r="B24" s="14"/>
      <c r="C24" s="14">
        <f>SUM(C2:C22)</f>
        <v>950</v>
      </c>
      <c r="D24" s="18"/>
      <c r="E24" s="18"/>
      <c r="F24" s="18">
        <f>SUM(F2:F22)</f>
        <v>64062.94</v>
      </c>
      <c r="G24" s="14"/>
      <c r="H24" s="71">
        <f>SUM(H2:H13)</f>
        <v>950</v>
      </c>
      <c r="I24" s="711"/>
      <c r="J24" s="18"/>
      <c r="K24" s="18">
        <f>SUM(K2:K13)</f>
        <v>65828.349999999991</v>
      </c>
      <c r="L24" s="14"/>
      <c r="M24" s="18">
        <f>SUM(M2:M10)</f>
        <v>348</v>
      </c>
      <c r="O24" s="81">
        <v>1.08</v>
      </c>
      <c r="P24" s="81">
        <f t="shared" si="2"/>
        <v>77.338800000000006</v>
      </c>
      <c r="U24" t="s">
        <v>1125</v>
      </c>
      <c r="V24" s="134"/>
    </row>
    <row r="25" spans="1:22" ht="15.75" thickBot="1" x14ac:dyDescent="0.3">
      <c r="A25" s="277" t="s">
        <v>191</v>
      </c>
      <c r="B25" s="278"/>
      <c r="C25" s="279">
        <f>SumByColor($A$25,C2:C23)</f>
        <v>950</v>
      </c>
      <c r="D25" s="279"/>
      <c r="E25" s="279"/>
      <c r="F25" s="280">
        <f>SumByColor($A$25,F2:F23)</f>
        <v>64063</v>
      </c>
      <c r="G25" s="279"/>
      <c r="H25" s="279">
        <f>SumByColor($A$25,H2:H23)</f>
        <v>950</v>
      </c>
      <c r="I25" s="712"/>
      <c r="J25" s="279"/>
      <c r="K25" s="280">
        <f>SumByColor($A$25,K2:K23)</f>
        <v>65829</v>
      </c>
      <c r="L25" s="279"/>
      <c r="M25" s="280">
        <f>SumByColor($A$25,M2:M23)</f>
        <v>348</v>
      </c>
      <c r="O25" s="81">
        <v>1.07</v>
      </c>
      <c r="P25" s="81">
        <f t="shared" si="2"/>
        <v>76.622700000000009</v>
      </c>
      <c r="U25" t="s">
        <v>1126</v>
      </c>
      <c r="V25" s="134"/>
    </row>
    <row r="26" spans="1:22" x14ac:dyDescent="0.25">
      <c r="O26" s="81">
        <v>1.06</v>
      </c>
      <c r="P26" s="81">
        <f t="shared" si="2"/>
        <v>75.906599999999997</v>
      </c>
      <c r="U26" t="s">
        <v>1127</v>
      </c>
      <c r="V26" s="134"/>
    </row>
    <row r="27" spans="1:22" x14ac:dyDescent="0.25">
      <c r="O27" s="81">
        <v>1.05</v>
      </c>
      <c r="P27" s="81">
        <f t="shared" si="2"/>
        <v>75.1905</v>
      </c>
      <c r="V27" s="134"/>
    </row>
    <row r="28" spans="1:22" x14ac:dyDescent="0.25">
      <c r="O28" s="81">
        <v>1.04</v>
      </c>
      <c r="P28" s="81">
        <f t="shared" si="2"/>
        <v>74.474400000000003</v>
      </c>
      <c r="V28" s="134"/>
    </row>
    <row r="29" spans="1:22" x14ac:dyDescent="0.25">
      <c r="O29" s="81">
        <v>1.03</v>
      </c>
      <c r="P29" s="81">
        <f t="shared" si="2"/>
        <v>73.758300000000006</v>
      </c>
      <c r="V29" s="134"/>
    </row>
    <row r="30" spans="1:22" x14ac:dyDescent="0.25">
      <c r="B30" s="162" t="s">
        <v>113</v>
      </c>
      <c r="C30" s="162" t="s">
        <v>145</v>
      </c>
      <c r="D30" s="163" t="s">
        <v>144</v>
      </c>
      <c r="E30" s="165" t="s">
        <v>146</v>
      </c>
      <c r="F30" s="165" t="s">
        <v>65</v>
      </c>
      <c r="G30" s="177" t="s">
        <v>150</v>
      </c>
      <c r="H30" s="177" t="s">
        <v>88</v>
      </c>
      <c r="I30" s="177" t="s">
        <v>153</v>
      </c>
      <c r="J30" s="177" t="s">
        <v>149</v>
      </c>
      <c r="K30" s="177" t="s">
        <v>646</v>
      </c>
      <c r="L30" s="177" t="s">
        <v>487</v>
      </c>
      <c r="M30" s="177" t="s">
        <v>947</v>
      </c>
      <c r="O30" s="81">
        <v>1.02</v>
      </c>
      <c r="P30" s="81">
        <f t="shared" si="2"/>
        <v>73.042199999999994</v>
      </c>
      <c r="T30" s="693">
        <v>43318</v>
      </c>
      <c r="U30" t="s">
        <v>1151</v>
      </c>
      <c r="V30" s="134"/>
    </row>
    <row r="31" spans="1:22" x14ac:dyDescent="0.25">
      <c r="B31" s="164">
        <v>42997</v>
      </c>
      <c r="C31" s="10">
        <v>50</v>
      </c>
      <c r="D31" s="39">
        <v>81.08</v>
      </c>
      <c r="E31" s="39">
        <v>81.209999999999994</v>
      </c>
      <c r="F31" s="39">
        <f>C31*(E31-D31)</f>
        <v>6.4999999999997726</v>
      </c>
      <c r="G31" s="39">
        <f>D31*C31</f>
        <v>4054</v>
      </c>
      <c r="H31" s="179">
        <f>(E31-D31)/D31</f>
        <v>1.6033547113960959E-3</v>
      </c>
      <c r="I31" s="173">
        <v>80.5</v>
      </c>
      <c r="J31" s="39"/>
      <c r="K31" s="39"/>
      <c r="L31" s="39"/>
      <c r="M31" s="39"/>
      <c r="O31" s="81">
        <v>1.01</v>
      </c>
      <c r="P31" s="81">
        <f t="shared" si="2"/>
        <v>72.326099999999997</v>
      </c>
      <c r="V31" s="134"/>
    </row>
    <row r="32" spans="1:22" x14ac:dyDescent="0.25">
      <c r="A32" s="1">
        <v>43028</v>
      </c>
      <c r="B32" s="164">
        <v>43014</v>
      </c>
      <c r="C32" s="185">
        <v>100</v>
      </c>
      <c r="D32" s="186">
        <v>78.180000000000007</v>
      </c>
      <c r="E32" s="39">
        <v>75.86</v>
      </c>
      <c r="F32" s="39">
        <f>C32*(E32-D32)</f>
        <v>-232.00000000000074</v>
      </c>
      <c r="G32" s="39">
        <f>D32*C32</f>
        <v>7818.0000000000009</v>
      </c>
      <c r="H32" s="179">
        <f>(E32-D32)/D32</f>
        <v>-2.9675108723458778E-2</v>
      </c>
      <c r="I32" s="173">
        <v>78</v>
      </c>
      <c r="J32" s="39"/>
      <c r="K32" s="39"/>
      <c r="L32" s="39"/>
      <c r="M32" s="39"/>
      <c r="O32" s="81">
        <v>1</v>
      </c>
      <c r="P32" s="81">
        <f t="shared" si="2"/>
        <v>71.61</v>
      </c>
      <c r="V32" s="134"/>
    </row>
    <row r="33" spans="1:22" x14ac:dyDescent="0.25">
      <c r="A33" s="1">
        <v>43028</v>
      </c>
      <c r="B33" s="164">
        <v>43014</v>
      </c>
      <c r="C33" s="10">
        <v>150</v>
      </c>
      <c r="D33" s="39">
        <v>76.513300000000001</v>
      </c>
      <c r="E33" s="39">
        <v>73.180000000000007</v>
      </c>
      <c r="F33" s="39">
        <f>C33*(E33-D33)</f>
        <v>-499.9949999999991</v>
      </c>
      <c r="G33" s="39">
        <f>D33*C33</f>
        <v>11476.995000000001</v>
      </c>
      <c r="H33" s="179">
        <f>(E33-D33)/D33</f>
        <v>-4.3564974978206328E-2</v>
      </c>
      <c r="I33" s="173">
        <v>76</v>
      </c>
      <c r="J33" s="39"/>
      <c r="K33" s="39"/>
      <c r="L33" s="155"/>
      <c r="M33" s="155"/>
      <c r="O33" s="81">
        <v>0.99</v>
      </c>
      <c r="P33" s="81">
        <f t="shared" si="2"/>
        <v>70.893900000000002</v>
      </c>
      <c r="V33" s="134"/>
    </row>
    <row r="34" spans="1:22" x14ac:dyDescent="0.25">
      <c r="A34" s="1">
        <v>43028</v>
      </c>
      <c r="B34" s="164">
        <v>43017</v>
      </c>
      <c r="C34" s="7">
        <v>200</v>
      </c>
      <c r="D34" s="43">
        <v>75.23</v>
      </c>
      <c r="E34" s="39">
        <v>70.87</v>
      </c>
      <c r="F34" s="39">
        <f>C34*(E34-D34)</f>
        <v>-871.99999999999989</v>
      </c>
      <c r="G34" s="39">
        <f>D34*C34</f>
        <v>15046</v>
      </c>
      <c r="H34" s="179">
        <f>(E34-D34)/D34</f>
        <v>-5.7955602818024712E-2</v>
      </c>
      <c r="I34" s="173">
        <v>75</v>
      </c>
      <c r="J34" s="39"/>
      <c r="K34" s="39"/>
      <c r="L34" s="155"/>
      <c r="M34" s="155"/>
      <c r="O34" s="81">
        <v>0.98</v>
      </c>
      <c r="P34" s="81">
        <f t="shared" si="2"/>
        <v>70.177800000000005</v>
      </c>
      <c r="V34" s="134"/>
    </row>
    <row r="35" spans="1:22" x14ac:dyDescent="0.25">
      <c r="B35" s="164">
        <v>43018</v>
      </c>
      <c r="C35" s="10">
        <v>200</v>
      </c>
      <c r="D35" s="39">
        <v>75.23</v>
      </c>
      <c r="E35" s="39">
        <v>70.87</v>
      </c>
      <c r="F35" s="39">
        <f>C35*(E35-D35)</f>
        <v>-871.99999999999989</v>
      </c>
      <c r="G35" s="39">
        <f>D35*C35</f>
        <v>15046</v>
      </c>
      <c r="H35" s="179">
        <f>(E35-D35)/D35</f>
        <v>-5.7955602818024712E-2</v>
      </c>
      <c r="I35" s="173"/>
      <c r="J35" s="39"/>
      <c r="K35" s="39"/>
      <c r="L35" s="652"/>
      <c r="M35" s="652"/>
      <c r="O35" s="81">
        <v>0.97</v>
      </c>
      <c r="P35" s="81">
        <f t="shared" si="2"/>
        <v>69.461699999999993</v>
      </c>
      <c r="V35" s="134"/>
    </row>
    <row r="36" spans="1:22" x14ac:dyDescent="0.25">
      <c r="B36" s="164">
        <v>43023</v>
      </c>
      <c r="C36" s="10">
        <v>200</v>
      </c>
      <c r="D36" s="39">
        <v>75.23</v>
      </c>
      <c r="E36" s="39">
        <v>67.56</v>
      </c>
      <c r="F36" s="39">
        <f t="shared" ref="F36:F46" si="3">C36*(E36-D36)</f>
        <v>-1534.0000000000005</v>
      </c>
      <c r="G36" s="39">
        <f t="shared" ref="G36:G46" si="4">D36*C36</f>
        <v>15046</v>
      </c>
      <c r="H36" s="179">
        <f t="shared" ref="H36:H46" si="5">(E36-D36)/D36</f>
        <v>-0.10195400770969031</v>
      </c>
      <c r="I36" s="173"/>
      <c r="J36" s="39"/>
      <c r="K36" s="39"/>
      <c r="L36" s="39">
        <v>15.91</v>
      </c>
      <c r="M36" s="652"/>
      <c r="O36" s="81">
        <v>0.96</v>
      </c>
      <c r="P36" s="81">
        <f t="shared" si="2"/>
        <v>68.745599999999996</v>
      </c>
      <c r="V36" s="134"/>
    </row>
    <row r="37" spans="1:22" x14ac:dyDescent="0.25">
      <c r="B37" s="164">
        <v>43032</v>
      </c>
      <c r="C37" s="10">
        <v>250</v>
      </c>
      <c r="D37" s="39">
        <v>73.64</v>
      </c>
      <c r="E37" s="39">
        <v>67.290000000000006</v>
      </c>
      <c r="F37" s="39">
        <f t="shared" si="3"/>
        <v>-1587.4999999999986</v>
      </c>
      <c r="G37" s="39">
        <f t="shared" si="4"/>
        <v>18410</v>
      </c>
      <c r="H37" s="179">
        <f t="shared" si="5"/>
        <v>-8.6230309614339959E-2</v>
      </c>
      <c r="I37" s="173">
        <v>73.2</v>
      </c>
      <c r="J37" s="39"/>
      <c r="K37" s="39"/>
      <c r="L37" s="652"/>
      <c r="M37" s="652"/>
      <c r="O37" s="81">
        <v>0.95</v>
      </c>
      <c r="P37" s="81">
        <f t="shared" si="2"/>
        <v>68.029499999999999</v>
      </c>
      <c r="V37" s="134"/>
    </row>
    <row r="38" spans="1:22" x14ac:dyDescent="0.25">
      <c r="B38" s="164">
        <v>43035</v>
      </c>
      <c r="C38" s="10">
        <v>300</v>
      </c>
      <c r="D38" s="39">
        <v>72.063299999999998</v>
      </c>
      <c r="E38" s="39">
        <v>64.180000000000007</v>
      </c>
      <c r="F38" s="39">
        <f t="shared" si="3"/>
        <v>-2364.9899999999975</v>
      </c>
      <c r="G38" s="39">
        <f t="shared" si="4"/>
        <v>21618.989999999998</v>
      </c>
      <c r="H38" s="179">
        <f t="shared" si="5"/>
        <v>-0.10939410212965534</v>
      </c>
      <c r="I38" s="173">
        <v>71.5</v>
      </c>
      <c r="J38" s="39"/>
      <c r="K38" s="39"/>
      <c r="L38" s="652"/>
      <c r="M38" s="652"/>
      <c r="O38" s="81">
        <v>0.94</v>
      </c>
      <c r="P38" s="81">
        <f t="shared" si="2"/>
        <v>67.313400000000001</v>
      </c>
      <c r="V38" s="134"/>
    </row>
    <row r="39" spans="1:22" x14ac:dyDescent="0.25">
      <c r="A39" s="29"/>
      <c r="B39" s="164">
        <v>43040</v>
      </c>
      <c r="C39" s="10">
        <v>200</v>
      </c>
      <c r="D39" s="39">
        <v>74.355800000000002</v>
      </c>
      <c r="E39" s="39">
        <v>67.010000000000005</v>
      </c>
      <c r="F39" s="39">
        <f t="shared" si="3"/>
        <v>-1469.1599999999994</v>
      </c>
      <c r="G39" s="39">
        <f t="shared" si="4"/>
        <v>14871.16</v>
      </c>
      <c r="H39" s="179">
        <f t="shared" si="5"/>
        <v>-9.8792562248002133E-2</v>
      </c>
      <c r="I39" s="173" t="s">
        <v>738</v>
      </c>
      <c r="J39" s="39"/>
      <c r="K39" s="39"/>
      <c r="L39" s="652"/>
      <c r="M39" s="652"/>
      <c r="O39" s="81">
        <v>0.93</v>
      </c>
      <c r="P39" s="81">
        <f t="shared" si="2"/>
        <v>66.597300000000004</v>
      </c>
      <c r="V39" s="134"/>
    </row>
    <row r="40" spans="1:22" x14ac:dyDescent="0.25">
      <c r="B40" s="164">
        <v>43052</v>
      </c>
      <c r="C40" s="10">
        <v>150</v>
      </c>
      <c r="D40" s="39">
        <v>74.7149</v>
      </c>
      <c r="E40" s="39">
        <v>70.459999999999994</v>
      </c>
      <c r="F40" s="39">
        <f t="shared" si="3"/>
        <v>-638.23500000000092</v>
      </c>
      <c r="G40" s="39">
        <f t="shared" si="4"/>
        <v>11207.235000000001</v>
      </c>
      <c r="H40" s="179">
        <f t="shared" si="5"/>
        <v>-5.6948480155899379E-2</v>
      </c>
      <c r="I40" s="173" t="s">
        <v>740</v>
      </c>
      <c r="J40" s="39"/>
      <c r="K40" s="39"/>
      <c r="L40" s="652"/>
      <c r="M40" s="652"/>
      <c r="O40" s="81">
        <v>0.92</v>
      </c>
      <c r="P40" s="81">
        <f t="shared" si="2"/>
        <v>65.881200000000007</v>
      </c>
    </row>
    <row r="41" spans="1:22" x14ac:dyDescent="0.25">
      <c r="B41" s="164">
        <v>43059</v>
      </c>
      <c r="C41" s="7">
        <v>200</v>
      </c>
      <c r="D41" s="43">
        <v>73.506200000000007</v>
      </c>
      <c r="E41" s="39">
        <v>70.650000000000006</v>
      </c>
      <c r="F41" s="39">
        <f t="shared" si="3"/>
        <v>-571.24000000000024</v>
      </c>
      <c r="G41" s="39">
        <f t="shared" si="4"/>
        <v>14701.240000000002</v>
      </c>
      <c r="H41" s="179">
        <f t="shared" si="5"/>
        <v>-3.885658624714651E-2</v>
      </c>
      <c r="I41" s="173"/>
      <c r="J41" s="39"/>
      <c r="K41" s="39"/>
      <c r="L41" s="652"/>
      <c r="M41" s="652"/>
      <c r="O41" s="81">
        <v>0.91</v>
      </c>
      <c r="P41" s="81">
        <f t="shared" si="2"/>
        <v>65.165099999999995</v>
      </c>
      <c r="Q41" s="2"/>
    </row>
    <row r="42" spans="1:22" x14ac:dyDescent="0.25">
      <c r="A42">
        <v>100</v>
      </c>
      <c r="B42" s="164">
        <v>43069</v>
      </c>
      <c r="C42" s="10">
        <v>150</v>
      </c>
      <c r="D42" s="39">
        <v>73.848799999999997</v>
      </c>
      <c r="E42" s="39">
        <v>72.760000000000005</v>
      </c>
      <c r="F42" s="39">
        <f t="shared" si="3"/>
        <v>-163.3199999999988</v>
      </c>
      <c r="G42" s="39">
        <f t="shared" si="4"/>
        <v>11077.32</v>
      </c>
      <c r="H42" s="179">
        <f t="shared" si="5"/>
        <v>-1.4743638352958912E-2</v>
      </c>
      <c r="I42" s="173" t="s">
        <v>745</v>
      </c>
      <c r="J42" s="39"/>
      <c r="K42" s="39"/>
      <c r="L42" s="652"/>
      <c r="M42" s="652"/>
      <c r="O42" s="81">
        <v>0.9</v>
      </c>
      <c r="P42" s="81">
        <f t="shared" si="2"/>
        <v>64.448999999999998</v>
      </c>
      <c r="Q42" s="2"/>
    </row>
    <row r="43" spans="1:22" x14ac:dyDescent="0.25">
      <c r="A43">
        <v>100</v>
      </c>
      <c r="B43" s="164">
        <v>43082</v>
      </c>
      <c r="C43" s="10">
        <v>150</v>
      </c>
      <c r="D43" s="39">
        <v>73.3155</v>
      </c>
      <c r="E43" s="39">
        <v>71.72</v>
      </c>
      <c r="F43" s="39">
        <f t="shared" si="3"/>
        <v>-239.32500000000019</v>
      </c>
      <c r="G43" s="39">
        <f t="shared" si="4"/>
        <v>10997.325000000001</v>
      </c>
      <c r="H43" s="179">
        <f t="shared" si="5"/>
        <v>-2.1762110331376056E-2</v>
      </c>
      <c r="I43" s="173" t="s">
        <v>749</v>
      </c>
      <c r="J43" s="39"/>
      <c r="K43" s="39"/>
      <c r="L43" s="39"/>
      <c r="M43" s="39"/>
      <c r="Q43" s="2"/>
    </row>
    <row r="44" spans="1:22" x14ac:dyDescent="0.25">
      <c r="A44">
        <v>0</v>
      </c>
      <c r="B44" s="164">
        <v>43090</v>
      </c>
      <c r="C44" s="10">
        <v>50</v>
      </c>
      <c r="D44" s="39">
        <v>73.13</v>
      </c>
      <c r="E44" s="39">
        <v>73.41</v>
      </c>
      <c r="F44" s="39">
        <f t="shared" si="3"/>
        <v>14.000000000000057</v>
      </c>
      <c r="G44" s="39">
        <f t="shared" si="4"/>
        <v>3656.5</v>
      </c>
      <c r="H44" s="179">
        <f t="shared" si="5"/>
        <v>3.8287980309038858E-3</v>
      </c>
      <c r="I44" s="173" t="s">
        <v>756</v>
      </c>
      <c r="J44" s="39"/>
      <c r="K44" s="39"/>
      <c r="L44" s="39"/>
      <c r="M44" s="39"/>
      <c r="Q44" s="2"/>
    </row>
    <row r="45" spans="1:22" x14ac:dyDescent="0.25">
      <c r="A45">
        <v>50</v>
      </c>
      <c r="B45" s="164">
        <v>43104</v>
      </c>
      <c r="C45" s="10">
        <v>100</v>
      </c>
      <c r="D45" s="39">
        <v>72.049899999999994</v>
      </c>
      <c r="E45" s="39">
        <v>70.97</v>
      </c>
      <c r="F45" s="39">
        <f t="shared" si="3"/>
        <v>-107.9899999999995</v>
      </c>
      <c r="G45" s="39">
        <f t="shared" si="4"/>
        <v>7204.99</v>
      </c>
      <c r="H45" s="179">
        <f t="shared" si="5"/>
        <v>-1.4988223439588328E-2</v>
      </c>
      <c r="I45" s="173" t="s">
        <v>819</v>
      </c>
      <c r="J45" s="39"/>
      <c r="K45" s="39"/>
      <c r="L45" s="39"/>
      <c r="M45" s="39"/>
      <c r="Q45" s="2"/>
    </row>
    <row r="46" spans="1:22" x14ac:dyDescent="0.25">
      <c r="A46">
        <v>0</v>
      </c>
      <c r="B46" s="164">
        <v>43105</v>
      </c>
      <c r="C46" s="10">
        <v>50</v>
      </c>
      <c r="D46" s="39">
        <v>71.481399999999994</v>
      </c>
      <c r="E46" s="39">
        <v>72.92</v>
      </c>
      <c r="F46" s="39">
        <f t="shared" si="3"/>
        <v>71.930000000000405</v>
      </c>
      <c r="G46" s="39">
        <f t="shared" si="4"/>
        <v>3574.0699999999997</v>
      </c>
      <c r="H46" s="179">
        <f t="shared" si="5"/>
        <v>2.0125515168981138E-2</v>
      </c>
      <c r="I46" s="173" t="s">
        <v>825</v>
      </c>
      <c r="J46" s="39"/>
      <c r="K46" s="39"/>
      <c r="L46" s="39"/>
      <c r="M46" s="39"/>
      <c r="Q46" s="2"/>
    </row>
    <row r="47" spans="1:22" x14ac:dyDescent="0.25">
      <c r="A47" s="1"/>
      <c r="B47" s="164">
        <v>43108</v>
      </c>
      <c r="C47" s="10">
        <v>50</v>
      </c>
      <c r="D47" s="39">
        <v>71.481399999999994</v>
      </c>
      <c r="E47" s="39">
        <v>73.849999999999994</v>
      </c>
      <c r="F47" s="39">
        <f>C47*(E47-D47)</f>
        <v>118.43000000000004</v>
      </c>
      <c r="G47" s="39">
        <f>D47*C47</f>
        <v>3574.0699999999997</v>
      </c>
      <c r="H47" s="179">
        <f>(E47-D47)/D47</f>
        <v>3.3135892693763706E-2</v>
      </c>
      <c r="I47" s="173"/>
      <c r="J47" s="39"/>
      <c r="K47" s="39"/>
      <c r="L47" s="39"/>
      <c r="M47" s="39"/>
      <c r="Q47" s="2"/>
    </row>
    <row r="48" spans="1:22" x14ac:dyDescent="0.25">
      <c r="A48">
        <v>50</v>
      </c>
      <c r="B48" s="164">
        <v>43117</v>
      </c>
      <c r="C48" s="10">
        <v>50</v>
      </c>
      <c r="D48" s="39">
        <v>71.481399999999994</v>
      </c>
      <c r="E48" s="39">
        <v>75.78</v>
      </c>
      <c r="F48" s="39">
        <f t="shared" ref="F48:F53" si="6">C48*(E48-D48)</f>
        <v>214.93000000000038</v>
      </c>
      <c r="G48" s="39">
        <f t="shared" ref="G48:G53" si="7">D48*C48</f>
        <v>3574.0699999999997</v>
      </c>
      <c r="H48" s="179">
        <f t="shared" ref="H48:H53" si="8">(E48-D48)/D48</f>
        <v>6.0135923471000961E-2</v>
      </c>
      <c r="I48" s="173"/>
      <c r="J48" s="39"/>
      <c r="K48" s="39"/>
      <c r="L48" s="39"/>
      <c r="M48" s="39"/>
      <c r="Q48" s="2"/>
    </row>
    <row r="49" spans="1:22" x14ac:dyDescent="0.25">
      <c r="A49">
        <v>50</v>
      </c>
      <c r="B49" s="164">
        <v>43136</v>
      </c>
      <c r="C49" s="185">
        <v>100</v>
      </c>
      <c r="D49" s="186">
        <v>70.825100000000006</v>
      </c>
      <c r="E49" s="39">
        <v>70.430000000000007</v>
      </c>
      <c r="F49" s="39">
        <f t="shared" si="6"/>
        <v>-39.509999999999934</v>
      </c>
      <c r="G49" s="39">
        <f t="shared" si="7"/>
        <v>7082.51</v>
      </c>
      <c r="H49" s="179">
        <f t="shared" si="8"/>
        <v>-5.5785307751065553E-3</v>
      </c>
      <c r="I49" s="173"/>
      <c r="J49" s="39"/>
      <c r="K49" s="39"/>
      <c r="L49" s="39"/>
      <c r="M49" s="39"/>
      <c r="Q49" s="2"/>
    </row>
    <row r="50" spans="1:22" x14ac:dyDescent="0.25">
      <c r="A50">
        <v>50</v>
      </c>
      <c r="B50" s="164">
        <v>43139</v>
      </c>
      <c r="C50" s="10">
        <v>150</v>
      </c>
      <c r="D50" s="39">
        <v>70.043400000000005</v>
      </c>
      <c r="E50" s="39">
        <v>68.22</v>
      </c>
      <c r="F50" s="39">
        <f t="shared" si="6"/>
        <v>-273.51000000000101</v>
      </c>
      <c r="G50" s="39">
        <f t="shared" si="7"/>
        <v>10506.51</v>
      </c>
      <c r="H50" s="179">
        <f t="shared" si="8"/>
        <v>-2.6032431321152405E-2</v>
      </c>
      <c r="I50" s="173" t="s">
        <v>927</v>
      </c>
      <c r="J50" s="39"/>
      <c r="K50" s="39"/>
      <c r="L50" s="39"/>
      <c r="M50" s="39"/>
      <c r="Q50" s="2"/>
    </row>
    <row r="51" spans="1:22" x14ac:dyDescent="0.25">
      <c r="A51">
        <v>50</v>
      </c>
      <c r="B51" s="164">
        <v>43165</v>
      </c>
      <c r="C51" s="10">
        <v>200</v>
      </c>
      <c r="D51" s="39">
        <v>69.83</v>
      </c>
      <c r="E51" s="39">
        <v>69.790000000000006</v>
      </c>
      <c r="F51" s="39">
        <f t="shared" si="6"/>
        <v>-7.9999999999984084</v>
      </c>
      <c r="G51" s="39">
        <f t="shared" si="7"/>
        <v>13966</v>
      </c>
      <c r="H51" s="179">
        <f t="shared" si="8"/>
        <v>-5.7281970499773794E-4</v>
      </c>
      <c r="I51" s="173" t="s">
        <v>928</v>
      </c>
      <c r="J51" s="39"/>
      <c r="K51" s="39"/>
      <c r="L51" s="39"/>
      <c r="M51" s="39"/>
      <c r="Q51" s="2"/>
    </row>
    <row r="52" spans="1:22" x14ac:dyDescent="0.25">
      <c r="A52">
        <v>0</v>
      </c>
      <c r="B52" s="164">
        <v>43166</v>
      </c>
      <c r="C52" s="10">
        <v>100</v>
      </c>
      <c r="D52" s="39">
        <v>69.52</v>
      </c>
      <c r="E52" s="39">
        <v>70.14</v>
      </c>
      <c r="F52" s="39">
        <f t="shared" si="6"/>
        <v>62.000000000000455</v>
      </c>
      <c r="G52" s="39">
        <f t="shared" si="7"/>
        <v>6952</v>
      </c>
      <c r="H52" s="179">
        <f t="shared" si="8"/>
        <v>8.9182968929805029E-3</v>
      </c>
      <c r="I52" s="173" t="s">
        <v>929</v>
      </c>
      <c r="J52" s="39"/>
      <c r="K52" s="39"/>
      <c r="L52" s="39"/>
      <c r="M52" s="39"/>
      <c r="Q52" s="2"/>
    </row>
    <row r="53" spans="1:22" x14ac:dyDescent="0.25">
      <c r="A53">
        <v>0</v>
      </c>
      <c r="B53" s="164">
        <v>43166</v>
      </c>
      <c r="C53" s="7">
        <v>200</v>
      </c>
      <c r="D53" s="43">
        <v>69.308000000000007</v>
      </c>
      <c r="E53" s="39">
        <v>69.099999999999994</v>
      </c>
      <c r="F53" s="39">
        <f t="shared" si="6"/>
        <v>-41.600000000002524</v>
      </c>
      <c r="G53" s="39">
        <f t="shared" si="7"/>
        <v>13861.600000000002</v>
      </c>
      <c r="H53" s="179">
        <f t="shared" si="8"/>
        <v>-3.0010965545104835E-3</v>
      </c>
      <c r="I53" s="173">
        <v>69</v>
      </c>
      <c r="J53" s="39"/>
      <c r="K53" s="39"/>
      <c r="L53" s="39"/>
      <c r="M53" s="39"/>
      <c r="Q53" s="2"/>
    </row>
    <row r="54" spans="1:22" x14ac:dyDescent="0.25">
      <c r="A54">
        <v>0</v>
      </c>
      <c r="B54" s="164">
        <v>43168</v>
      </c>
      <c r="C54" s="10">
        <v>200</v>
      </c>
      <c r="D54" s="39">
        <v>69.308000000000007</v>
      </c>
      <c r="E54" s="39">
        <v>70.599999999999994</v>
      </c>
      <c r="F54" s="39">
        <f t="shared" ref="F54:F60" si="9">C54*(E54-D54)</f>
        <v>258.39999999999748</v>
      </c>
      <c r="G54" s="39">
        <f t="shared" ref="G54:G60" si="10">D54*C54</f>
        <v>13861.600000000002</v>
      </c>
      <c r="H54" s="179">
        <f t="shared" ref="H54:H60" si="11">(E54-D54)/D54</f>
        <v>1.8641426675131113E-2</v>
      </c>
      <c r="I54" s="173"/>
      <c r="J54" s="39"/>
      <c r="K54" s="39"/>
      <c r="L54" s="39"/>
      <c r="M54" s="39"/>
    </row>
    <row r="55" spans="1:22" x14ac:dyDescent="0.25">
      <c r="A55">
        <v>50</v>
      </c>
      <c r="B55" s="164">
        <v>43172</v>
      </c>
      <c r="C55" s="10">
        <v>200</v>
      </c>
      <c r="D55" s="39">
        <v>69.007999999999996</v>
      </c>
      <c r="E55" s="39">
        <v>70.58</v>
      </c>
      <c r="F55" s="39">
        <f t="shared" si="9"/>
        <v>314.40000000000055</v>
      </c>
      <c r="G55" s="39">
        <f t="shared" si="10"/>
        <v>13801.599999999999</v>
      </c>
      <c r="H55" s="179">
        <f t="shared" si="11"/>
        <v>2.2779967539995404E-2</v>
      </c>
      <c r="I55" s="173" t="s">
        <v>184</v>
      </c>
      <c r="J55" s="39"/>
      <c r="K55" s="39"/>
      <c r="L55" s="39"/>
      <c r="M55" s="39"/>
    </row>
    <row r="56" spans="1:22" x14ac:dyDescent="0.25">
      <c r="A56">
        <v>50</v>
      </c>
      <c r="B56" s="164">
        <v>43177</v>
      </c>
      <c r="C56" s="10">
        <v>200</v>
      </c>
      <c r="D56" s="39">
        <v>69.007999999999996</v>
      </c>
      <c r="E56" s="39">
        <v>67.569999999999993</v>
      </c>
      <c r="F56" s="39">
        <f t="shared" si="9"/>
        <v>-287.60000000000048</v>
      </c>
      <c r="G56" s="39">
        <f t="shared" si="10"/>
        <v>13801.599999999999</v>
      </c>
      <c r="H56" s="179">
        <f t="shared" si="11"/>
        <v>-2.0838163691166277E-2</v>
      </c>
      <c r="I56" s="173"/>
      <c r="J56" s="39"/>
      <c r="K56" s="39"/>
      <c r="L56" s="39"/>
      <c r="M56" s="39"/>
    </row>
    <row r="57" spans="1:22" x14ac:dyDescent="0.25">
      <c r="A57">
        <v>50</v>
      </c>
      <c r="B57" s="164">
        <v>43178</v>
      </c>
      <c r="C57" s="10">
        <v>200</v>
      </c>
      <c r="D57" s="39">
        <v>69.007999999999996</v>
      </c>
      <c r="E57" s="39">
        <v>66.62</v>
      </c>
      <c r="F57" s="39">
        <f t="shared" si="9"/>
        <v>-477.5999999999982</v>
      </c>
      <c r="G57" s="39">
        <f t="shared" si="10"/>
        <v>13801.599999999999</v>
      </c>
      <c r="H57" s="179">
        <f t="shared" si="11"/>
        <v>-3.4604683514954659E-2</v>
      </c>
      <c r="I57" s="173"/>
      <c r="J57" s="39"/>
      <c r="K57" s="39"/>
      <c r="L57" s="39"/>
      <c r="M57" s="39"/>
    </row>
    <row r="58" spans="1:22" x14ac:dyDescent="0.25">
      <c r="A58">
        <v>50</v>
      </c>
      <c r="B58" s="164">
        <v>43186</v>
      </c>
      <c r="C58" s="10">
        <v>200</v>
      </c>
      <c r="D58" s="39">
        <v>69.007999999999996</v>
      </c>
      <c r="E58" s="39">
        <v>65.959999999999994</v>
      </c>
      <c r="F58" s="39">
        <f t="shared" si="9"/>
        <v>-609.60000000000036</v>
      </c>
      <c r="G58" s="39">
        <f t="shared" si="10"/>
        <v>13801.599999999999</v>
      </c>
      <c r="H58" s="179">
        <f t="shared" si="11"/>
        <v>-4.4168792024113175E-2</v>
      </c>
      <c r="I58" s="173"/>
      <c r="J58" s="39"/>
      <c r="K58" s="39"/>
      <c r="L58" s="39"/>
      <c r="M58" s="39"/>
    </row>
    <row r="59" spans="1:22" x14ac:dyDescent="0.25">
      <c r="A59">
        <v>200</v>
      </c>
      <c r="B59" s="164">
        <v>43196</v>
      </c>
      <c r="C59" s="10">
        <v>200</v>
      </c>
      <c r="D59" s="39">
        <v>69.007999999999996</v>
      </c>
      <c r="E59" s="39">
        <v>63.47</v>
      </c>
      <c r="F59" s="39">
        <f t="shared" si="9"/>
        <v>-1107.5999999999995</v>
      </c>
      <c r="G59" s="39">
        <f t="shared" si="10"/>
        <v>13801.599999999999</v>
      </c>
      <c r="H59" s="179">
        <f t="shared" si="11"/>
        <v>-8.0251565035937819E-2</v>
      </c>
      <c r="I59" s="173">
        <v>69</v>
      </c>
      <c r="J59" s="39"/>
      <c r="K59" s="39"/>
      <c r="L59" s="39"/>
      <c r="M59" s="39">
        <v>10.67</v>
      </c>
    </row>
    <row r="60" spans="1:22" x14ac:dyDescent="0.25">
      <c r="A60" s="4">
        <v>200</v>
      </c>
      <c r="B60" s="164">
        <v>43206</v>
      </c>
      <c r="C60" s="10">
        <v>200</v>
      </c>
      <c r="D60" s="39">
        <v>69.010000000000005</v>
      </c>
      <c r="E60" s="39">
        <v>66.22</v>
      </c>
      <c r="F60" s="39">
        <f t="shared" si="9"/>
        <v>-558.00000000000125</v>
      </c>
      <c r="G60" s="39">
        <f t="shared" si="10"/>
        <v>13802.000000000002</v>
      </c>
      <c r="H60" s="179">
        <f t="shared" si="11"/>
        <v>-4.0428923344442924E-2</v>
      </c>
      <c r="I60" s="173"/>
      <c r="J60" s="39"/>
      <c r="K60" s="39"/>
      <c r="L60" s="39">
        <v>42.23</v>
      </c>
      <c r="M60" s="39">
        <v>10.74</v>
      </c>
    </row>
    <row r="61" spans="1:22" x14ac:dyDescent="0.25">
      <c r="A61" s="4">
        <v>200</v>
      </c>
      <c r="B61" s="164">
        <v>43218</v>
      </c>
      <c r="C61" s="10">
        <v>200</v>
      </c>
      <c r="D61" s="39">
        <v>69.010000000000005</v>
      </c>
      <c r="E61" s="39">
        <v>67.11</v>
      </c>
      <c r="F61" s="39">
        <f t="shared" ref="F61:F68" si="12">C61*(E61-D61)</f>
        <v>-380.00000000000114</v>
      </c>
      <c r="G61" s="39">
        <f t="shared" ref="G61:G68" si="13">D61*C61</f>
        <v>13802.000000000002</v>
      </c>
      <c r="H61" s="179">
        <f t="shared" ref="H61:H68" si="14">(E61-D61)/D61</f>
        <v>-2.7532241704100936E-2</v>
      </c>
      <c r="I61" s="173"/>
      <c r="J61" s="39"/>
      <c r="K61" s="39"/>
      <c r="L61" s="39"/>
      <c r="M61" s="39">
        <v>11.28</v>
      </c>
    </row>
    <row r="62" spans="1:22" x14ac:dyDescent="0.25">
      <c r="A62" s="4">
        <v>200</v>
      </c>
      <c r="B62" s="164">
        <v>43226</v>
      </c>
      <c r="C62" s="10">
        <v>200</v>
      </c>
      <c r="D62" s="39">
        <v>69.010000000000005</v>
      </c>
      <c r="E62" s="39">
        <v>63.81</v>
      </c>
      <c r="F62" s="39">
        <f t="shared" si="12"/>
        <v>-1040.0000000000005</v>
      </c>
      <c r="G62" s="39">
        <f t="shared" si="13"/>
        <v>13802.000000000002</v>
      </c>
      <c r="H62" s="179">
        <f t="shared" si="14"/>
        <v>-7.5351398348065535E-2</v>
      </c>
      <c r="I62" s="173"/>
      <c r="J62" s="39"/>
      <c r="K62" s="39"/>
      <c r="L62" s="39"/>
      <c r="M62" s="39">
        <v>10.72</v>
      </c>
      <c r="V62" s="134"/>
    </row>
    <row r="63" spans="1:22" x14ac:dyDescent="0.25">
      <c r="A63" s="4">
        <v>200</v>
      </c>
      <c r="B63" s="164">
        <v>43228</v>
      </c>
      <c r="C63" s="10">
        <v>300</v>
      </c>
      <c r="D63" s="39">
        <v>66.632199999999997</v>
      </c>
      <c r="E63" s="39">
        <v>62.36</v>
      </c>
      <c r="F63" s="39">
        <f t="shared" si="12"/>
        <v>-1281.6599999999994</v>
      </c>
      <c r="G63" s="39">
        <f t="shared" si="13"/>
        <v>19989.66</v>
      </c>
      <c r="H63" s="179">
        <f t="shared" si="14"/>
        <v>-6.4116148048541072E-2</v>
      </c>
      <c r="I63" s="173"/>
      <c r="J63" s="39"/>
      <c r="K63" s="39"/>
      <c r="L63" s="39"/>
      <c r="M63" s="39">
        <v>10.48</v>
      </c>
      <c r="V63" s="134"/>
    </row>
    <row r="64" spans="1:22" x14ac:dyDescent="0.25">
      <c r="A64" s="4">
        <v>200</v>
      </c>
      <c r="B64" s="164">
        <v>43236</v>
      </c>
      <c r="C64" s="10">
        <v>300</v>
      </c>
      <c r="D64" s="39">
        <v>66.63</v>
      </c>
      <c r="E64" s="39">
        <v>65.739999999999995</v>
      </c>
      <c r="F64" s="39">
        <f t="shared" si="12"/>
        <v>-267.00000000000017</v>
      </c>
      <c r="G64" s="39">
        <f t="shared" si="13"/>
        <v>19989</v>
      </c>
      <c r="H64" s="179">
        <f t="shared" si="14"/>
        <v>-1.3357346540597339E-2</v>
      </c>
      <c r="I64" s="173"/>
      <c r="J64" s="39"/>
      <c r="K64" s="39"/>
      <c r="L64" s="39"/>
      <c r="M64" s="39">
        <v>11.05</v>
      </c>
      <c r="V64" s="134"/>
    </row>
    <row r="65" spans="1:22" x14ac:dyDescent="0.25">
      <c r="A65" s="4">
        <v>200</v>
      </c>
      <c r="B65" s="164">
        <v>43241</v>
      </c>
      <c r="C65" s="10">
        <v>300</v>
      </c>
      <c r="D65" s="39">
        <v>66.63</v>
      </c>
      <c r="E65" s="39">
        <v>64.5</v>
      </c>
      <c r="F65" s="39">
        <f t="shared" si="12"/>
        <v>-638.99999999999864</v>
      </c>
      <c r="G65" s="39">
        <f t="shared" si="13"/>
        <v>19989</v>
      </c>
      <c r="H65" s="179">
        <f t="shared" si="14"/>
        <v>-3.1967582170193541E-2</v>
      </c>
      <c r="I65" s="173"/>
      <c r="J65" s="39"/>
      <c r="K65" s="39"/>
      <c r="L65" s="39"/>
      <c r="M65" s="39">
        <v>10.84</v>
      </c>
      <c r="V65" s="134"/>
    </row>
    <row r="66" spans="1:22" x14ac:dyDescent="0.25">
      <c r="A66" s="4">
        <v>300</v>
      </c>
      <c r="B66" s="164">
        <v>43263</v>
      </c>
      <c r="C66" s="10">
        <v>300</v>
      </c>
      <c r="D66" s="39">
        <v>66.232200000000006</v>
      </c>
      <c r="E66" s="39">
        <v>63.7</v>
      </c>
      <c r="F66" s="39">
        <f t="shared" si="12"/>
        <v>-759.66000000000099</v>
      </c>
      <c r="G66" s="39">
        <f t="shared" si="13"/>
        <v>19869.660000000003</v>
      </c>
      <c r="H66" s="179">
        <f t="shared" si="14"/>
        <v>-3.8232158980073178E-2</v>
      </c>
      <c r="I66" s="173"/>
      <c r="J66" s="39"/>
      <c r="K66" s="39"/>
      <c r="L66" s="39"/>
      <c r="M66" s="39">
        <v>10.71</v>
      </c>
      <c r="V66" s="134"/>
    </row>
    <row r="67" spans="1:22" x14ac:dyDescent="0.25">
      <c r="A67" s="4">
        <v>300</v>
      </c>
      <c r="B67" s="164">
        <v>43267</v>
      </c>
      <c r="C67" s="10">
        <v>300</v>
      </c>
      <c r="D67" s="39">
        <v>66.232200000000006</v>
      </c>
      <c r="E67" s="39">
        <v>65.8</v>
      </c>
      <c r="F67" s="39">
        <f t="shared" si="12"/>
        <v>-129.66000000000264</v>
      </c>
      <c r="G67" s="39">
        <f t="shared" si="13"/>
        <v>19869.660000000003</v>
      </c>
      <c r="H67" s="179">
        <f t="shared" si="14"/>
        <v>-6.5255268585372181E-3</v>
      </c>
      <c r="I67" s="173"/>
      <c r="J67" s="39"/>
      <c r="K67" s="39"/>
      <c r="L67" s="39"/>
      <c r="M67" s="39">
        <v>11.06</v>
      </c>
      <c r="V67" s="134"/>
    </row>
    <row r="68" spans="1:22" x14ac:dyDescent="0.25">
      <c r="A68" s="4">
        <v>200</v>
      </c>
      <c r="B68" s="164">
        <v>43271</v>
      </c>
      <c r="C68" s="7">
        <v>200</v>
      </c>
      <c r="D68" s="43">
        <v>65.473699999999994</v>
      </c>
      <c r="E68" s="39">
        <v>68</v>
      </c>
      <c r="F68" s="39">
        <f t="shared" si="12"/>
        <v>505.26000000000124</v>
      </c>
      <c r="G68" s="39">
        <f t="shared" si="13"/>
        <v>13094.739999999998</v>
      </c>
      <c r="H68" s="179">
        <f t="shared" si="14"/>
        <v>3.8584958540604952E-2</v>
      </c>
      <c r="I68" s="173"/>
      <c r="J68" s="39"/>
      <c r="K68" s="39"/>
      <c r="L68" s="39"/>
      <c r="M68" s="39">
        <v>11.43</v>
      </c>
      <c r="V68" s="134"/>
    </row>
    <row r="69" spans="1:22" x14ac:dyDescent="0.25">
      <c r="A69" s="4">
        <v>200</v>
      </c>
      <c r="B69" s="164">
        <v>43278</v>
      </c>
      <c r="C69" s="10">
        <v>200</v>
      </c>
      <c r="D69" s="39">
        <v>65.473699999999994</v>
      </c>
      <c r="E69" s="39">
        <v>66.260000000000005</v>
      </c>
      <c r="F69" s="39">
        <f t="shared" ref="F69:F77" si="15">C69*(E69-D69)</f>
        <v>157.26000000000226</v>
      </c>
      <c r="G69" s="39">
        <f t="shared" ref="G69:G77" si="16">D69*C69</f>
        <v>13094.739999999998</v>
      </c>
      <c r="H69" s="179">
        <f t="shared" ref="H69:H77" si="17">(E69-D69)/D69</f>
        <v>1.2009402248536609E-2</v>
      </c>
      <c r="I69" s="173"/>
      <c r="J69" s="39"/>
      <c r="K69" s="39"/>
      <c r="L69" s="39"/>
      <c r="M69" s="39">
        <v>11.14</v>
      </c>
      <c r="V69" s="134"/>
    </row>
    <row r="70" spans="1:22" x14ac:dyDescent="0.25">
      <c r="A70" s="4">
        <v>200</v>
      </c>
      <c r="B70" s="164">
        <v>43279</v>
      </c>
      <c r="C70" s="10">
        <v>400</v>
      </c>
      <c r="D70" s="39">
        <v>62.517000000000003</v>
      </c>
      <c r="E70" s="39">
        <v>59.7</v>
      </c>
      <c r="F70" s="39">
        <f t="shared" si="15"/>
        <v>-1126.8000000000002</v>
      </c>
      <c r="G70" s="39">
        <f t="shared" si="16"/>
        <v>25006.800000000003</v>
      </c>
      <c r="H70" s="179">
        <f t="shared" si="17"/>
        <v>-4.5059743749700079E-2</v>
      </c>
      <c r="I70" s="173"/>
      <c r="J70" s="39"/>
      <c r="K70" s="39"/>
      <c r="L70" s="39"/>
      <c r="M70" s="39">
        <v>10.029999999999999</v>
      </c>
    </row>
    <row r="71" spans="1:22" x14ac:dyDescent="0.25">
      <c r="A71" s="4">
        <v>200</v>
      </c>
      <c r="B71" s="164">
        <v>43283</v>
      </c>
      <c r="C71" s="10">
        <v>400</v>
      </c>
      <c r="D71" s="39">
        <v>62.52</v>
      </c>
      <c r="E71" s="39">
        <v>61.13</v>
      </c>
      <c r="F71" s="39">
        <f t="shared" si="15"/>
        <v>-556.00000000000023</v>
      </c>
      <c r="G71" s="39">
        <f t="shared" si="16"/>
        <v>25008</v>
      </c>
      <c r="H71" s="179">
        <f t="shared" si="17"/>
        <v>-2.2232885476647479E-2</v>
      </c>
      <c r="I71" s="173"/>
      <c r="J71" s="39"/>
      <c r="K71" s="39"/>
      <c r="L71" s="39"/>
      <c r="M71" s="39">
        <v>10.27</v>
      </c>
    </row>
    <row r="72" spans="1:22" x14ac:dyDescent="0.25">
      <c r="A72" s="4">
        <v>200</v>
      </c>
      <c r="B72" s="164">
        <v>43285</v>
      </c>
      <c r="C72" s="10">
        <v>400</v>
      </c>
      <c r="D72" s="39">
        <v>62.52</v>
      </c>
      <c r="E72" s="39">
        <v>60.76</v>
      </c>
      <c r="F72" s="39">
        <f t="shared" si="15"/>
        <v>-704.00000000000205</v>
      </c>
      <c r="G72" s="39">
        <f t="shared" si="16"/>
        <v>25008</v>
      </c>
      <c r="H72" s="179">
        <f t="shared" si="17"/>
        <v>-2.8150991682661629E-2</v>
      </c>
      <c r="I72" s="173"/>
      <c r="J72" s="39"/>
      <c r="K72" s="39"/>
      <c r="L72" s="39"/>
      <c r="M72" s="39">
        <v>10.17</v>
      </c>
    </row>
    <row r="73" spans="1:22" x14ac:dyDescent="0.25">
      <c r="A73" s="4">
        <v>100</v>
      </c>
      <c r="B73" s="164">
        <v>43286</v>
      </c>
      <c r="C73" s="10">
        <v>300</v>
      </c>
      <c r="D73" s="39">
        <v>62.563000000000002</v>
      </c>
      <c r="E73" s="39">
        <v>62.38</v>
      </c>
      <c r="F73" s="39">
        <f t="shared" si="15"/>
        <v>-54.899999999999949</v>
      </c>
      <c r="G73" s="39">
        <f t="shared" si="16"/>
        <v>18768.900000000001</v>
      </c>
      <c r="H73" s="179">
        <f t="shared" si="17"/>
        <v>-2.9250515480395735E-3</v>
      </c>
      <c r="I73" s="173"/>
      <c r="J73" s="39"/>
      <c r="K73" s="39"/>
      <c r="L73" s="39"/>
      <c r="M73" s="39">
        <v>10.44</v>
      </c>
    </row>
    <row r="74" spans="1:22" x14ac:dyDescent="0.25">
      <c r="A74" s="4">
        <v>0</v>
      </c>
      <c r="B74" s="164">
        <v>43287</v>
      </c>
      <c r="C74" s="7">
        <v>200</v>
      </c>
      <c r="D74" s="43">
        <v>62.08</v>
      </c>
      <c r="E74" s="39">
        <v>63.53</v>
      </c>
      <c r="F74" s="39">
        <f t="shared" si="15"/>
        <v>290.00000000000057</v>
      </c>
      <c r="G74" s="39">
        <f t="shared" si="16"/>
        <v>12416</v>
      </c>
      <c r="H74" s="179">
        <f t="shared" si="17"/>
        <v>2.3356958762886643E-2</v>
      </c>
      <c r="I74" s="173"/>
      <c r="J74" s="39"/>
      <c r="K74" s="39"/>
      <c r="L74" s="39"/>
      <c r="M74" s="39">
        <v>10.63</v>
      </c>
    </row>
    <row r="75" spans="1:22" x14ac:dyDescent="0.25">
      <c r="A75" s="4">
        <v>0</v>
      </c>
      <c r="B75" s="164">
        <v>43299</v>
      </c>
      <c r="C75" s="10">
        <v>200</v>
      </c>
      <c r="D75" s="39">
        <v>62.08</v>
      </c>
      <c r="E75" s="39">
        <v>66.099999999999994</v>
      </c>
      <c r="F75" s="39">
        <f t="shared" si="15"/>
        <v>803.9999999999992</v>
      </c>
      <c r="G75" s="39">
        <f t="shared" si="16"/>
        <v>12416</v>
      </c>
      <c r="H75" s="179">
        <f t="shared" si="17"/>
        <v>6.4755154639175194E-2</v>
      </c>
      <c r="I75" s="173"/>
      <c r="J75" s="39"/>
      <c r="K75" s="39"/>
      <c r="L75" s="39"/>
      <c r="M75" s="39">
        <v>11.07</v>
      </c>
    </row>
    <row r="76" spans="1:22" x14ac:dyDescent="0.25">
      <c r="A76" s="4">
        <v>0</v>
      </c>
      <c r="B76" s="164">
        <v>43300</v>
      </c>
      <c r="C76" s="10">
        <v>200</v>
      </c>
      <c r="D76" s="39">
        <v>62.08</v>
      </c>
      <c r="E76" s="39">
        <v>64.930000000000007</v>
      </c>
      <c r="F76" s="39">
        <f t="shared" si="15"/>
        <v>570.00000000000171</v>
      </c>
      <c r="G76" s="39">
        <f t="shared" si="16"/>
        <v>12416</v>
      </c>
      <c r="H76" s="179">
        <f t="shared" si="17"/>
        <v>4.5908505154639311E-2</v>
      </c>
      <c r="I76" s="173"/>
      <c r="J76" s="39"/>
      <c r="K76" s="39"/>
      <c r="L76" s="39"/>
      <c r="M76" s="39">
        <v>10.87</v>
      </c>
    </row>
    <row r="77" spans="1:22" x14ac:dyDescent="0.25">
      <c r="A77" s="4">
        <v>200</v>
      </c>
      <c r="B77" s="164">
        <v>43312</v>
      </c>
      <c r="C77" s="10">
        <v>200</v>
      </c>
      <c r="D77" s="39">
        <v>62.08</v>
      </c>
      <c r="E77" s="39">
        <v>67.62</v>
      </c>
      <c r="F77" s="39">
        <f t="shared" si="15"/>
        <v>1108.0000000000014</v>
      </c>
      <c r="G77" s="39">
        <f t="shared" si="16"/>
        <v>12416</v>
      </c>
      <c r="H77" s="179">
        <f t="shared" si="17"/>
        <v>8.9239690721649584E-2</v>
      </c>
      <c r="I77" s="173"/>
      <c r="J77" s="39"/>
      <c r="K77" s="39"/>
      <c r="L77" s="39"/>
      <c r="M77" s="39">
        <v>11.32</v>
      </c>
    </row>
    <row r="78" spans="1:22" x14ac:dyDescent="0.25">
      <c r="A78" s="4">
        <v>200</v>
      </c>
      <c r="B78" s="164">
        <v>43320</v>
      </c>
      <c r="C78" s="10">
        <v>200</v>
      </c>
      <c r="D78" s="39">
        <v>62.08</v>
      </c>
      <c r="E78" s="39">
        <v>66.489999999999995</v>
      </c>
      <c r="F78" s="39">
        <f t="shared" ref="F78:F84" si="18">C78*(E78-D78)</f>
        <v>881.99999999999932</v>
      </c>
      <c r="G78" s="39">
        <f t="shared" ref="G78:G84" si="19">D78*C78</f>
        <v>12416</v>
      </c>
      <c r="H78" s="179">
        <f t="shared" ref="H78:H84" si="20">(E78-D78)/D78</f>
        <v>7.103737113402056E-2</v>
      </c>
      <c r="I78" s="173"/>
      <c r="J78" s="39"/>
      <c r="K78" s="39"/>
      <c r="L78" s="39"/>
      <c r="M78" s="39">
        <v>11.13</v>
      </c>
    </row>
    <row r="79" spans="1:22" x14ac:dyDescent="0.25">
      <c r="A79" s="4"/>
      <c r="B79" s="164">
        <v>43328</v>
      </c>
      <c r="C79" s="10">
        <v>200</v>
      </c>
      <c r="D79" s="39">
        <v>62.08</v>
      </c>
      <c r="E79" s="39">
        <v>69.62</v>
      </c>
      <c r="F79" s="39">
        <f t="shared" si="18"/>
        <v>1508.0000000000014</v>
      </c>
      <c r="G79" s="39">
        <f t="shared" si="19"/>
        <v>12416</v>
      </c>
      <c r="H79" s="179">
        <f t="shared" si="20"/>
        <v>0.12145618556701042</v>
      </c>
      <c r="I79" s="173"/>
      <c r="J79" s="39"/>
      <c r="K79" s="39"/>
      <c r="L79" s="39"/>
      <c r="M79" s="39"/>
    </row>
    <row r="80" spans="1:22" x14ac:dyDescent="0.25">
      <c r="A80" s="4">
        <v>200</v>
      </c>
      <c r="B80" s="164">
        <v>43332</v>
      </c>
      <c r="C80" s="10">
        <v>200</v>
      </c>
      <c r="D80" s="39">
        <v>62.08</v>
      </c>
      <c r="E80" s="39">
        <v>69.989999999999995</v>
      </c>
      <c r="F80" s="778">
        <f t="shared" si="18"/>
        <v>1581.9999999999993</v>
      </c>
      <c r="G80" s="39">
        <f t="shared" si="19"/>
        <v>12416</v>
      </c>
      <c r="H80" s="179">
        <f t="shared" si="20"/>
        <v>0.127416237113402</v>
      </c>
      <c r="I80" s="173"/>
      <c r="J80" s="39"/>
      <c r="K80" s="39"/>
      <c r="L80" s="39"/>
      <c r="M80" s="39">
        <v>11.71</v>
      </c>
    </row>
    <row r="81" spans="1:13" x14ac:dyDescent="0.25">
      <c r="A81" s="4">
        <v>200</v>
      </c>
      <c r="B81" s="164">
        <v>43342</v>
      </c>
      <c r="C81" s="10">
        <v>200</v>
      </c>
      <c r="D81" s="39">
        <v>62.08</v>
      </c>
      <c r="E81" s="39">
        <v>67.8</v>
      </c>
      <c r="F81" s="39">
        <f t="shared" si="18"/>
        <v>1143.9999999999998</v>
      </c>
      <c r="G81" s="39">
        <f t="shared" si="19"/>
        <v>12416</v>
      </c>
      <c r="H81" s="179">
        <f t="shared" si="20"/>
        <v>9.2139175257731937E-2</v>
      </c>
      <c r="I81" s="173"/>
      <c r="J81" s="39"/>
      <c r="K81" s="39"/>
      <c r="L81" s="39"/>
      <c r="M81" s="39">
        <v>11.35</v>
      </c>
    </row>
    <row r="82" spans="1:13" x14ac:dyDescent="0.25">
      <c r="A82" s="4">
        <v>200</v>
      </c>
      <c r="B82" s="164">
        <v>43343</v>
      </c>
      <c r="C82" s="10">
        <v>200</v>
      </c>
      <c r="D82" s="39">
        <v>62.08</v>
      </c>
      <c r="E82" s="39">
        <v>68.56</v>
      </c>
      <c r="F82" s="39">
        <f t="shared" si="18"/>
        <v>1296.0000000000009</v>
      </c>
      <c r="G82" s="39">
        <f t="shared" si="19"/>
        <v>12416</v>
      </c>
      <c r="H82" s="179">
        <f t="shared" si="20"/>
        <v>0.10438144329896915</v>
      </c>
      <c r="I82" s="173"/>
      <c r="J82" s="39"/>
      <c r="K82" s="39"/>
      <c r="L82" s="39"/>
      <c r="M82" s="39">
        <v>11.47</v>
      </c>
    </row>
    <row r="83" spans="1:13" x14ac:dyDescent="0.25">
      <c r="A83" s="4">
        <v>150</v>
      </c>
      <c r="B83" s="164">
        <v>43355</v>
      </c>
      <c r="C83" s="10">
        <v>150</v>
      </c>
      <c r="D83" s="39">
        <v>58.79</v>
      </c>
      <c r="E83" s="39">
        <v>70.38</v>
      </c>
      <c r="F83" s="778">
        <f t="shared" si="18"/>
        <v>1738.4999999999995</v>
      </c>
      <c r="G83" s="39">
        <f t="shared" si="19"/>
        <v>8818.5</v>
      </c>
      <c r="H83" s="179">
        <f t="shared" si="20"/>
        <v>0.19714237115155633</v>
      </c>
      <c r="I83" s="173"/>
      <c r="J83" s="39"/>
      <c r="K83" s="39"/>
      <c r="L83" s="39"/>
      <c r="M83" s="39">
        <v>11.78</v>
      </c>
    </row>
    <row r="84" spans="1:13" x14ac:dyDescent="0.25">
      <c r="A84" s="4"/>
      <c r="B84" s="164">
        <v>43362</v>
      </c>
      <c r="C84" s="10">
        <v>50</v>
      </c>
      <c r="D84" s="39">
        <v>33.010800000000003</v>
      </c>
      <c r="E84" s="39">
        <v>71.28</v>
      </c>
      <c r="F84" s="778">
        <f t="shared" si="18"/>
        <v>1913.4599999999998</v>
      </c>
      <c r="G84" s="39">
        <f t="shared" si="19"/>
        <v>1650.5400000000002</v>
      </c>
      <c r="H84" s="179">
        <f t="shared" si="20"/>
        <v>1.1592933221854664</v>
      </c>
      <c r="I84" s="173"/>
      <c r="J84" s="39"/>
      <c r="K84" s="39"/>
      <c r="L84" s="39"/>
      <c r="M84" s="39">
        <v>11.93</v>
      </c>
    </row>
    <row r="85" spans="1:13" x14ac:dyDescent="0.25">
      <c r="A85" s="4">
        <v>50</v>
      </c>
      <c r="B85" s="164">
        <v>43363</v>
      </c>
      <c r="C85" s="10">
        <v>50</v>
      </c>
      <c r="D85" s="39">
        <v>33.010800000000003</v>
      </c>
      <c r="E85" s="39">
        <v>72.89</v>
      </c>
      <c r="F85" s="778">
        <f>C85*(E85-D85)</f>
        <v>1993.9599999999998</v>
      </c>
      <c r="G85" s="39">
        <f>D85*C85</f>
        <v>1650.5400000000002</v>
      </c>
      <c r="H85" s="179">
        <f>(E85-D85)/D85</f>
        <v>1.2080652392550315</v>
      </c>
      <c r="I85" s="173"/>
      <c r="J85" s="39"/>
      <c r="K85" s="39"/>
      <c r="L85" s="39"/>
      <c r="M85" s="39">
        <v>12.2</v>
      </c>
    </row>
    <row r="86" spans="1:13" x14ac:dyDescent="0.25">
      <c r="A86" s="4"/>
      <c r="B86" s="164">
        <v>43388</v>
      </c>
      <c r="C86" s="10">
        <v>0</v>
      </c>
      <c r="D86" s="39"/>
      <c r="E86" s="39"/>
      <c r="F86" s="39"/>
      <c r="G86" s="39"/>
      <c r="H86" s="179"/>
      <c r="I86" s="173"/>
      <c r="J86" s="778">
        <v>2113.41</v>
      </c>
      <c r="K86" s="39"/>
      <c r="L86" s="39"/>
      <c r="M86" s="39"/>
    </row>
    <row r="87" spans="1:13" x14ac:dyDescent="0.25">
      <c r="A87" s="4"/>
      <c r="B87" s="164"/>
      <c r="C87" s="10"/>
      <c r="D87" s="39"/>
      <c r="E87" s="39"/>
      <c r="F87" s="39"/>
      <c r="G87" s="39"/>
      <c r="H87" s="179"/>
      <c r="I87" s="173"/>
      <c r="J87" s="39"/>
      <c r="K87" s="39"/>
      <c r="L87" s="39"/>
      <c r="M87" s="39"/>
    </row>
    <row r="88" spans="1:13" x14ac:dyDescent="0.25">
      <c r="A88" s="4"/>
      <c r="B88" s="164"/>
      <c r="C88" s="10"/>
      <c r="D88" s="39"/>
      <c r="E88" s="39"/>
      <c r="F88" s="39"/>
      <c r="G88" s="39"/>
      <c r="H88" s="179"/>
      <c r="I88" s="173"/>
      <c r="J88" s="39"/>
      <c r="K88" s="39"/>
      <c r="L88" s="39"/>
      <c r="M88" s="39"/>
    </row>
    <row r="89" spans="1:13" x14ac:dyDescent="0.25">
      <c r="A89" s="4"/>
      <c r="B89" s="164"/>
      <c r="C89" s="10"/>
      <c r="D89" s="39"/>
      <c r="E89" s="39"/>
      <c r="F89" s="39"/>
      <c r="G89" s="39"/>
      <c r="H89" s="179"/>
      <c r="I89" s="173"/>
      <c r="J89" s="39"/>
      <c r="K89" s="39"/>
      <c r="L89" s="39"/>
      <c r="M89" s="39"/>
    </row>
    <row r="90" spans="1:13" x14ac:dyDescent="0.25">
      <c r="A90" s="4"/>
      <c r="B90" s="4"/>
      <c r="C90" s="4"/>
      <c r="D90" s="3"/>
      <c r="E90" s="3"/>
      <c r="F90" s="3"/>
      <c r="G90" s="4"/>
      <c r="H90" s="4"/>
      <c r="I90" s="482"/>
      <c r="J90" s="3"/>
      <c r="K90" s="3"/>
      <c r="L90" s="4"/>
    </row>
    <row r="91" spans="1:13" x14ac:dyDescent="0.25">
      <c r="A91" s="4"/>
      <c r="B91" s="4"/>
      <c r="C91" s="4"/>
      <c r="D91" s="3"/>
      <c r="E91" s="3"/>
      <c r="F91" s="3"/>
      <c r="G91" s="4"/>
      <c r="H91" s="4"/>
      <c r="I91" s="482"/>
      <c r="J91" s="3"/>
      <c r="K91" s="3"/>
      <c r="L91" s="4" t="s">
        <v>65</v>
      </c>
      <c r="M91" s="2">
        <f>M109+K109-F109</f>
        <v>0</v>
      </c>
    </row>
    <row r="92" spans="1:13" x14ac:dyDescent="0.25">
      <c r="A92" s="440" t="s">
        <v>1</v>
      </c>
      <c r="B92" s="440" t="s">
        <v>2</v>
      </c>
      <c r="C92" s="440" t="s">
        <v>4</v>
      </c>
      <c r="D92" s="441" t="s">
        <v>5</v>
      </c>
      <c r="E92" s="441" t="s">
        <v>94</v>
      </c>
      <c r="F92" s="441" t="s">
        <v>60</v>
      </c>
      <c r="G92" s="440" t="s">
        <v>3</v>
      </c>
      <c r="H92" s="440" t="s">
        <v>6</v>
      </c>
      <c r="I92" s="713" t="s">
        <v>7</v>
      </c>
      <c r="J92" s="441" t="s">
        <v>95</v>
      </c>
      <c r="K92" s="441" t="s">
        <v>61</v>
      </c>
      <c r="L92" s="440" t="s">
        <v>37</v>
      </c>
      <c r="M92" s="440" t="s">
        <v>38</v>
      </c>
    </row>
    <row r="93" spans="1:13" x14ac:dyDescent="0.25">
      <c r="A93" s="442" t="s">
        <v>710</v>
      </c>
      <c r="B93" s="426"/>
      <c r="C93" s="427"/>
      <c r="D93" s="429"/>
      <c r="E93" s="429"/>
      <c r="F93" s="429"/>
      <c r="G93" s="426"/>
      <c r="H93" s="443"/>
      <c r="I93" s="714"/>
      <c r="J93" s="429"/>
      <c r="K93" s="429"/>
      <c r="L93" s="426"/>
      <c r="M93" s="429"/>
    </row>
    <row r="94" spans="1:13" x14ac:dyDescent="0.25">
      <c r="A94" s="444" t="s">
        <v>71</v>
      </c>
      <c r="B94" s="426"/>
      <c r="C94" s="427"/>
      <c r="D94" s="429"/>
      <c r="E94" s="429"/>
      <c r="F94" s="429"/>
      <c r="G94" s="426"/>
      <c r="H94" s="443"/>
      <c r="I94" s="714"/>
      <c r="J94" s="429"/>
      <c r="K94" s="429"/>
      <c r="L94" s="427"/>
      <c r="M94" s="427"/>
    </row>
    <row r="95" spans="1:13" x14ac:dyDescent="0.25">
      <c r="A95" s="427"/>
      <c r="B95" s="426"/>
      <c r="C95" s="427"/>
      <c r="D95" s="429"/>
      <c r="E95" s="429"/>
      <c r="F95" s="429"/>
      <c r="G95" s="426"/>
      <c r="H95" s="443"/>
      <c r="I95" s="714"/>
      <c r="J95" s="429"/>
      <c r="K95" s="429"/>
      <c r="L95" s="427"/>
      <c r="M95" s="427"/>
    </row>
    <row r="96" spans="1:13" x14ac:dyDescent="0.25">
      <c r="A96" s="427"/>
      <c r="B96" s="426"/>
      <c r="C96" s="427"/>
      <c r="D96" s="429"/>
      <c r="E96" s="429"/>
      <c r="F96" s="429"/>
      <c r="G96" s="427"/>
      <c r="H96" s="443"/>
      <c r="I96" s="714"/>
      <c r="J96" s="429"/>
      <c r="K96" s="429"/>
      <c r="L96" s="427"/>
      <c r="M96" s="427"/>
    </row>
    <row r="97" spans="1:13" x14ac:dyDescent="0.25">
      <c r="A97" s="427"/>
      <c r="B97" s="426"/>
      <c r="C97" s="427"/>
      <c r="D97" s="429"/>
      <c r="E97" s="429"/>
      <c r="F97" s="429"/>
      <c r="G97" s="427"/>
      <c r="H97" s="443"/>
      <c r="I97" s="714"/>
      <c r="J97" s="429"/>
      <c r="K97" s="429"/>
      <c r="L97" s="427"/>
      <c r="M97" s="427"/>
    </row>
    <row r="98" spans="1:13" x14ac:dyDescent="0.25">
      <c r="A98" s="427"/>
      <c r="B98" s="427"/>
      <c r="C98" s="427"/>
      <c r="D98" s="429"/>
      <c r="E98" s="429"/>
      <c r="F98" s="429"/>
      <c r="G98" s="427"/>
      <c r="H98" s="443"/>
      <c r="I98" s="714"/>
      <c r="J98" s="429"/>
      <c r="K98" s="429"/>
      <c r="L98" s="427"/>
      <c r="M98" s="427"/>
    </row>
    <row r="99" spans="1:13" x14ac:dyDescent="0.25">
      <c r="A99" s="427"/>
      <c r="B99" s="427"/>
      <c r="C99" s="427"/>
      <c r="D99" s="429"/>
      <c r="E99" s="429"/>
      <c r="F99" s="429"/>
      <c r="G99" s="427"/>
      <c r="H99" s="443"/>
      <c r="I99" s="714"/>
      <c r="J99" s="429"/>
      <c r="K99" s="429"/>
      <c r="L99" s="427"/>
      <c r="M99" s="427"/>
    </row>
    <row r="100" spans="1:13" x14ac:dyDescent="0.25">
      <c r="A100" s="427"/>
      <c r="B100" s="427"/>
      <c r="C100" s="427"/>
      <c r="D100" s="429"/>
      <c r="E100" s="429"/>
      <c r="F100" s="429"/>
      <c r="G100" s="427"/>
      <c r="H100" s="443"/>
      <c r="I100" s="714"/>
      <c r="J100" s="429"/>
      <c r="K100" s="429"/>
      <c r="L100" s="427"/>
      <c r="M100" s="427"/>
    </row>
    <row r="101" spans="1:13" x14ac:dyDescent="0.25">
      <c r="A101" s="427"/>
      <c r="B101" s="427"/>
      <c r="C101" s="427"/>
      <c r="D101" s="429"/>
      <c r="E101" s="429"/>
      <c r="F101" s="429"/>
      <c r="G101" s="427"/>
      <c r="H101" s="443"/>
      <c r="I101" s="714"/>
      <c r="J101" s="429"/>
      <c r="K101" s="429"/>
      <c r="L101" s="427"/>
      <c r="M101" s="427"/>
    </row>
    <row r="102" spans="1:13" x14ac:dyDescent="0.25">
      <c r="A102" s="427"/>
      <c r="B102" s="427"/>
      <c r="C102" s="427"/>
      <c r="D102" s="429"/>
      <c r="E102" s="429"/>
      <c r="F102" s="429"/>
      <c r="G102" s="427"/>
      <c r="H102" s="443"/>
      <c r="I102" s="714"/>
      <c r="J102" s="429"/>
      <c r="K102" s="429"/>
      <c r="L102" s="427"/>
      <c r="M102" s="427"/>
    </row>
    <row r="103" spans="1:13" x14ac:dyDescent="0.25">
      <c r="A103" s="427"/>
      <c r="B103" s="427"/>
      <c r="C103" s="427"/>
      <c r="D103" s="429"/>
      <c r="E103" s="429"/>
      <c r="F103" s="429"/>
      <c r="G103" s="427"/>
      <c r="H103" s="443"/>
      <c r="I103" s="714"/>
      <c r="J103" s="429"/>
      <c r="K103" s="429"/>
      <c r="L103" s="427"/>
      <c r="M103" s="427"/>
    </row>
    <row r="104" spans="1:13" x14ac:dyDescent="0.25">
      <c r="A104" s="427"/>
      <c r="B104" s="427"/>
      <c r="C104" s="427"/>
      <c r="D104" s="429"/>
      <c r="E104" s="429"/>
      <c r="F104" s="429"/>
      <c r="G104" s="427"/>
      <c r="H104" s="443"/>
      <c r="I104" s="714"/>
      <c r="J104" s="429"/>
      <c r="K104" s="429"/>
      <c r="L104" s="427"/>
      <c r="M104" s="427"/>
    </row>
    <row r="105" spans="1:13" x14ac:dyDescent="0.25">
      <c r="A105" s="427"/>
      <c r="B105" s="427"/>
      <c r="C105" s="427"/>
      <c r="D105" s="429"/>
      <c r="E105" s="429"/>
      <c r="F105" s="429"/>
      <c r="G105" s="427"/>
      <c r="H105" s="443"/>
      <c r="I105" s="714"/>
      <c r="J105" s="429"/>
      <c r="K105" s="429"/>
      <c r="L105" s="427"/>
      <c r="M105" s="427"/>
    </row>
    <row r="106" spans="1:13" x14ac:dyDescent="0.25">
      <c r="A106" s="427"/>
      <c r="B106" s="427"/>
      <c r="C106" s="427"/>
      <c r="D106" s="429"/>
      <c r="E106" s="429"/>
      <c r="F106" s="429"/>
      <c r="G106" s="427"/>
      <c r="H106" s="443"/>
      <c r="I106" s="714"/>
      <c r="J106" s="429"/>
      <c r="K106" s="429"/>
      <c r="L106" s="427"/>
      <c r="M106" s="427"/>
    </row>
    <row r="107" spans="1:13" x14ac:dyDescent="0.25">
      <c r="A107" s="427"/>
      <c r="B107" s="427"/>
      <c r="C107" s="427"/>
      <c r="D107" s="429"/>
      <c r="E107" s="429"/>
      <c r="F107" s="429"/>
      <c r="G107" s="427"/>
      <c r="H107" s="443"/>
      <c r="I107" s="714"/>
      <c r="J107" s="429"/>
      <c r="K107" s="429"/>
      <c r="L107" s="427"/>
      <c r="M107" s="427"/>
    </row>
    <row r="108" spans="1:13" x14ac:dyDescent="0.25">
      <c r="A108" s="427"/>
      <c r="B108" s="427"/>
      <c r="C108" s="427"/>
      <c r="D108" s="429"/>
      <c r="E108" s="429"/>
      <c r="F108" s="429"/>
      <c r="G108" s="427"/>
      <c r="H108" s="427"/>
      <c r="I108" s="714"/>
      <c r="J108" s="429"/>
      <c r="K108" s="429"/>
      <c r="L108" s="427"/>
      <c r="M108" s="427"/>
    </row>
    <row r="109" spans="1:13" x14ac:dyDescent="0.25">
      <c r="A109" s="445" t="s">
        <v>81</v>
      </c>
      <c r="B109" s="446"/>
      <c r="C109" s="446">
        <f>SUM(C93:C97)</f>
        <v>0</v>
      </c>
      <c r="D109" s="447"/>
      <c r="E109" s="447"/>
      <c r="F109" s="447">
        <f>SUM(F93:F97)</f>
        <v>0</v>
      </c>
      <c r="G109" s="446"/>
      <c r="H109" s="468">
        <f>SUM(H93:H96)</f>
        <v>0</v>
      </c>
      <c r="I109" s="715"/>
      <c r="J109" s="447"/>
      <c r="K109" s="447">
        <f>SUM(K93:K96)</f>
        <v>0</v>
      </c>
      <c r="L109" s="446"/>
      <c r="M109" s="447">
        <f>SUM(M93:M101)</f>
        <v>0</v>
      </c>
    </row>
    <row r="110" spans="1:13" ht="15.75" thickBot="1" x14ac:dyDescent="0.3">
      <c r="A110" s="448" t="s">
        <v>191</v>
      </c>
      <c r="B110" s="449"/>
      <c r="C110" s="450">
        <f>SumByColor($A$25,C93:C108)</f>
        <v>0</v>
      </c>
      <c r="D110" s="450"/>
      <c r="E110" s="450"/>
      <c r="F110" s="451">
        <f>SumByColor($A$25,F93:F108)</f>
        <v>0</v>
      </c>
      <c r="G110" s="450"/>
      <c r="H110" s="450">
        <f>SumByColor($A$25,H93:H108)</f>
        <v>0</v>
      </c>
      <c r="I110" s="716"/>
      <c r="J110" s="450"/>
      <c r="K110" s="451">
        <f>SumByColor($A$25,K94:K108)</f>
        <v>0</v>
      </c>
      <c r="L110" s="450"/>
      <c r="M110" s="451">
        <f>SumByColor($A$25,M93:M108)</f>
        <v>0</v>
      </c>
    </row>
    <row r="113" spans="2:9" x14ac:dyDescent="0.25">
      <c r="B113" s="162" t="s">
        <v>113</v>
      </c>
      <c r="C113" s="162" t="s">
        <v>145</v>
      </c>
      <c r="D113" s="163" t="s">
        <v>144</v>
      </c>
      <c r="E113" s="165" t="s">
        <v>146</v>
      </c>
      <c r="F113" s="165" t="s">
        <v>65</v>
      </c>
      <c r="G113" s="177" t="s">
        <v>150</v>
      </c>
      <c r="H113" s="177" t="s">
        <v>88</v>
      </c>
      <c r="I113" s="177" t="s">
        <v>153</v>
      </c>
    </row>
    <row r="114" spans="2:9" x14ac:dyDescent="0.25">
      <c r="B114" s="164"/>
      <c r="C114" s="10"/>
      <c r="D114" s="39"/>
      <c r="E114" s="39"/>
      <c r="F114" s="39"/>
      <c r="G114" s="39"/>
      <c r="H114" s="179"/>
      <c r="I114" s="173"/>
    </row>
    <row r="115" spans="2:9" x14ac:dyDescent="0.25">
      <c r="B115" s="164"/>
      <c r="C115" s="10"/>
      <c r="D115" s="39"/>
      <c r="E115" s="39"/>
      <c r="F115" s="39"/>
      <c r="G115" s="39"/>
      <c r="H115" s="179"/>
      <c r="I115" s="173"/>
    </row>
    <row r="116" spans="2:9" x14ac:dyDescent="0.25">
      <c r="B116" s="164"/>
      <c r="C116" s="10"/>
      <c r="D116" s="39"/>
      <c r="E116" s="39"/>
      <c r="F116" s="39"/>
      <c r="G116" s="39"/>
      <c r="H116" s="179"/>
      <c r="I116" s="173"/>
    </row>
    <row r="117" spans="2:9" x14ac:dyDescent="0.25">
      <c r="B117" s="164"/>
      <c r="C117" s="10"/>
      <c r="D117" s="39"/>
      <c r="E117" s="39"/>
      <c r="F117" s="39"/>
      <c r="G117" s="39"/>
      <c r="H117" s="179"/>
      <c r="I117" s="173"/>
    </row>
    <row r="118" spans="2:9" x14ac:dyDescent="0.25">
      <c r="B118" s="164"/>
      <c r="C118" s="10"/>
      <c r="D118" s="39"/>
      <c r="E118" s="39"/>
      <c r="F118" s="39"/>
      <c r="G118" s="39"/>
      <c r="H118" s="179"/>
      <c r="I118" s="173"/>
    </row>
    <row r="119" spans="2:9" x14ac:dyDescent="0.25">
      <c r="B119" s="164"/>
      <c r="C119" s="10"/>
      <c r="D119" s="39"/>
      <c r="E119" s="39"/>
      <c r="F119" s="39"/>
      <c r="G119" s="39"/>
      <c r="H119" s="179"/>
      <c r="I119" s="173"/>
    </row>
    <row r="120" spans="2:9" x14ac:dyDescent="0.25">
      <c r="B120" s="164"/>
      <c r="C120" s="10"/>
      <c r="D120" s="39"/>
      <c r="E120" s="39"/>
      <c r="F120" s="39"/>
      <c r="G120" s="39"/>
      <c r="H120" s="179"/>
      <c r="I120" s="173"/>
    </row>
    <row r="121" spans="2:9" x14ac:dyDescent="0.25">
      <c r="B121" s="164"/>
      <c r="C121" s="10"/>
      <c r="D121" s="39"/>
      <c r="E121" s="39"/>
      <c r="F121" s="39"/>
      <c r="G121" s="39"/>
      <c r="H121" s="179"/>
      <c r="I121" s="173"/>
    </row>
    <row r="122" spans="2:9" x14ac:dyDescent="0.25">
      <c r="B122" s="164"/>
      <c r="C122" s="10"/>
      <c r="D122" s="39"/>
      <c r="E122" s="39"/>
      <c r="F122" s="39"/>
      <c r="G122" s="39"/>
      <c r="H122" s="179"/>
      <c r="I122" s="173"/>
    </row>
    <row r="123" spans="2:9" x14ac:dyDescent="0.25">
      <c r="B123" s="164"/>
      <c r="C123" s="10"/>
      <c r="D123" s="39"/>
      <c r="E123" s="39"/>
      <c r="F123" s="39"/>
      <c r="G123" s="39"/>
      <c r="H123" s="179"/>
      <c r="I123" s="173"/>
    </row>
    <row r="124" spans="2:9" x14ac:dyDescent="0.25">
      <c r="B124" s="164"/>
      <c r="C124" s="10"/>
      <c r="D124" s="39"/>
      <c r="E124" s="39"/>
      <c r="F124" s="39"/>
      <c r="G124" s="39"/>
      <c r="H124" s="179"/>
      <c r="I124" s="173"/>
    </row>
    <row r="125" spans="2:9" x14ac:dyDescent="0.25">
      <c r="B125" s="164"/>
      <c r="C125" s="10"/>
      <c r="D125" s="39"/>
      <c r="E125" s="39"/>
      <c r="F125" s="39"/>
      <c r="G125" s="39"/>
      <c r="H125" s="179"/>
      <c r="I125" s="173"/>
    </row>
    <row r="126" spans="2:9" x14ac:dyDescent="0.25">
      <c r="B126" s="164"/>
      <c r="C126" s="10"/>
      <c r="D126" s="39"/>
      <c r="E126" s="39"/>
      <c r="F126" s="39"/>
      <c r="G126" s="39"/>
      <c r="H126" s="179"/>
      <c r="I126" s="173"/>
    </row>
    <row r="127" spans="2:9" x14ac:dyDescent="0.25">
      <c r="B127" s="164"/>
      <c r="C127" s="10"/>
      <c r="D127" s="39"/>
      <c r="E127" s="39"/>
      <c r="F127" s="39"/>
      <c r="G127" s="39"/>
      <c r="H127" s="179"/>
      <c r="I127" s="173"/>
    </row>
    <row r="128" spans="2:9" x14ac:dyDescent="0.25">
      <c r="B128" s="164"/>
      <c r="C128" s="10"/>
      <c r="D128" s="39"/>
      <c r="E128" s="39"/>
      <c r="F128" s="39"/>
      <c r="G128" s="39"/>
      <c r="H128" s="179"/>
      <c r="I128" s="173"/>
    </row>
    <row r="129" spans="2:9" x14ac:dyDescent="0.25">
      <c r="B129" s="164"/>
      <c r="C129" s="10"/>
      <c r="D129" s="39"/>
      <c r="E129" s="39"/>
      <c r="F129" s="39"/>
      <c r="G129" s="39"/>
      <c r="H129" s="179"/>
      <c r="I129" s="173"/>
    </row>
    <row r="130" spans="2:9" x14ac:dyDescent="0.25">
      <c r="B130" s="164"/>
      <c r="C130" s="10"/>
      <c r="D130" s="39"/>
      <c r="E130" s="39"/>
      <c r="F130" s="39"/>
      <c r="G130" s="39"/>
      <c r="H130" s="179"/>
      <c r="I130" s="173"/>
    </row>
    <row r="131" spans="2:9" x14ac:dyDescent="0.25">
      <c r="B131" s="164"/>
      <c r="C131" s="10"/>
      <c r="D131" s="39"/>
      <c r="E131" s="39"/>
      <c r="F131" s="39"/>
      <c r="G131" s="39"/>
      <c r="H131" s="179"/>
      <c r="I131" s="173"/>
    </row>
    <row r="132" spans="2:9" x14ac:dyDescent="0.25">
      <c r="B132" s="164"/>
      <c r="C132" s="10"/>
      <c r="D132" s="39"/>
      <c r="E132" s="39"/>
      <c r="F132" s="39"/>
      <c r="G132" s="39"/>
      <c r="H132" s="179"/>
      <c r="I132" s="173"/>
    </row>
    <row r="133" spans="2:9" x14ac:dyDescent="0.25">
      <c r="B133" s="164"/>
      <c r="C133" s="10"/>
      <c r="D133" s="39"/>
      <c r="E133" s="39"/>
      <c r="F133" s="39"/>
      <c r="G133" s="39"/>
      <c r="H133" s="179"/>
      <c r="I133" s="173"/>
    </row>
    <row r="134" spans="2:9" x14ac:dyDescent="0.25">
      <c r="B134" s="164"/>
      <c r="C134" s="10"/>
      <c r="D134" s="39"/>
      <c r="E134" s="39"/>
      <c r="F134" s="39"/>
      <c r="G134" s="39"/>
      <c r="H134" s="179"/>
      <c r="I134" s="173"/>
    </row>
    <row r="135" spans="2:9" x14ac:dyDescent="0.25">
      <c r="B135" s="164"/>
      <c r="C135" s="10"/>
      <c r="D135" s="39"/>
      <c r="E135" s="39"/>
      <c r="F135" s="39"/>
      <c r="G135" s="39"/>
      <c r="H135" s="179"/>
      <c r="I135" s="173"/>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1548" priority="33">
      <formula>F7&gt;0</formula>
    </cfRule>
    <cfRule type="expression" dxfId="1547" priority="34">
      <formula>F7&lt;0</formula>
    </cfRule>
  </conditionalFormatting>
  <conditionalFormatting sqref="Q8">
    <cfRule type="expression" dxfId="1546" priority="31">
      <formula>Q8&gt;0</formula>
    </cfRule>
    <cfRule type="expression" dxfId="1545" priority="32">
      <formula>Q8&lt;0</formula>
    </cfRule>
  </conditionalFormatting>
  <conditionalFormatting sqref="F114:F135">
    <cfRule type="expression" dxfId="1544" priority="25">
      <formula>F114&gt;0</formula>
    </cfRule>
    <cfRule type="expression" dxfId="1543" priority="26">
      <formula>F114&lt;0</formula>
    </cfRule>
  </conditionalFormatting>
  <conditionalFormatting sqref="H114:H135">
    <cfRule type="expression" dxfId="1542" priority="23">
      <formula>H114&gt;0</formula>
    </cfRule>
    <cfRule type="expression" dxfId="1541" priority="24">
      <formula>H114&lt;0</formula>
    </cfRule>
  </conditionalFormatting>
  <conditionalFormatting sqref="Q10">
    <cfRule type="expression" dxfId="1540" priority="21">
      <formula>Q10&gt;0</formula>
    </cfRule>
    <cfRule type="expression" dxfId="1539" priority="22">
      <formula>Q10&lt;0</formula>
    </cfRule>
  </conditionalFormatting>
  <conditionalFormatting sqref="J31:J44">
    <cfRule type="expression" dxfId="1538" priority="19">
      <formula>J31&gt;0</formula>
    </cfRule>
    <cfRule type="expression" dxfId="1537" priority="20">
      <formula>J31&lt;0</formula>
    </cfRule>
  </conditionalFormatting>
  <conditionalFormatting sqref="K31:K44">
    <cfRule type="expression" dxfId="1536" priority="17">
      <formula>K31&gt;0</formula>
    </cfRule>
    <cfRule type="expression" dxfId="1535" priority="18">
      <formula>K31&lt;0</formula>
    </cfRule>
  </conditionalFormatting>
  <conditionalFormatting sqref="L31:L35 L37:L44">
    <cfRule type="expression" dxfId="1534" priority="15">
      <formula>L31&gt;0</formula>
    </cfRule>
    <cfRule type="expression" dxfId="1533" priority="16">
      <formula>L31&lt;0</formula>
    </cfRule>
  </conditionalFormatting>
  <conditionalFormatting sqref="M31:M44">
    <cfRule type="expression" dxfId="1532" priority="13">
      <formula>M31&gt;0</formula>
    </cfRule>
    <cfRule type="expression" dxfId="1531" priority="14">
      <formula>M31&lt;0</formula>
    </cfRule>
  </conditionalFormatting>
  <conditionalFormatting sqref="F82 H82">
    <cfRule type="expression" dxfId="1530" priority="9">
      <formula>F82&gt;0</formula>
    </cfRule>
    <cfRule type="expression" dxfId="1529" priority="10">
      <formula>F82&lt;0</formula>
    </cfRule>
  </conditionalFormatting>
  <conditionalFormatting sqref="F75:F81 H75:H81">
    <cfRule type="expression" dxfId="1528" priority="7">
      <formula>F75&gt;0</formula>
    </cfRule>
    <cfRule type="expression" dxfId="1527" priority="8">
      <formula>F75&lt;0</formula>
    </cfRule>
  </conditionalFormatting>
  <conditionalFormatting sqref="F71:F74 H71:H74">
    <cfRule type="expression" dxfId="1526" priority="5">
      <formula>F71&gt;0</formula>
    </cfRule>
    <cfRule type="expression" dxfId="1525" priority="6">
      <formula>F71&lt;0</formula>
    </cfRule>
  </conditionalFormatting>
  <conditionalFormatting sqref="F86 H84:H86">
    <cfRule type="expression" dxfId="1524" priority="3">
      <formula>F84&gt;0</formula>
    </cfRule>
    <cfRule type="expression" dxfId="1523" priority="4">
      <formula>F84&lt;0</formula>
    </cfRule>
  </conditionalFormatting>
  <conditionalFormatting sqref="J86">
    <cfRule type="expression" dxfId="1522" priority="1">
      <formula>J86&gt;0</formula>
    </cfRule>
    <cfRule type="expression" dxfId="1521"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710</v>
      </c>
      <c r="B2" s="72"/>
      <c r="C2" s="4"/>
      <c r="D2" s="3"/>
      <c r="E2" s="3"/>
      <c r="F2" s="3"/>
      <c r="G2" s="72"/>
      <c r="H2" s="4"/>
      <c r="I2" s="3"/>
      <c r="J2" s="3"/>
      <c r="K2" s="3"/>
      <c r="L2" s="72"/>
      <c r="M2" s="3"/>
      <c r="O2" s="11" t="s">
        <v>57</v>
      </c>
      <c r="Q2">
        <f>C18-H18</f>
        <v>0</v>
      </c>
      <c r="T2" s="1"/>
      <c r="W2" s="130"/>
      <c r="X2" s="10"/>
      <c r="Y2" s="10"/>
      <c r="Z2" s="10"/>
      <c r="AA2" s="10"/>
      <c r="AB2" s="93"/>
      <c r="AC2" s="10"/>
      <c r="AD2" s="2"/>
      <c r="AE2" s="134"/>
    </row>
    <row r="3" spans="1:31" x14ac:dyDescent="0.25">
      <c r="A3" s="22" t="s">
        <v>71</v>
      </c>
      <c r="B3" s="72"/>
      <c r="C3" s="4"/>
      <c r="D3" s="3"/>
      <c r="E3" s="3"/>
      <c r="F3" s="3"/>
      <c r="G3" s="72"/>
      <c r="H3" s="161"/>
      <c r="I3" s="3"/>
      <c r="J3" s="3"/>
      <c r="K3" s="3"/>
      <c r="L3" s="72"/>
      <c r="M3" s="3"/>
      <c r="O3" s="11" t="s">
        <v>58</v>
      </c>
      <c r="Q3" s="178">
        <f>IF(Q2=0, Q4, (F18-K18-M18)/Q2)</f>
        <v>843.17</v>
      </c>
      <c r="T3" s="1"/>
      <c r="W3" s="130"/>
      <c r="X3" s="10"/>
      <c r="Y3" s="10"/>
      <c r="Z3" s="10"/>
      <c r="AA3" s="10"/>
      <c r="AB3" s="93"/>
      <c r="AC3" s="10"/>
      <c r="AD3" s="2"/>
      <c r="AE3" s="134"/>
    </row>
    <row r="4" spans="1:31" x14ac:dyDescent="0.25">
      <c r="B4" s="72"/>
      <c r="C4" s="4"/>
      <c r="D4" s="3"/>
      <c r="E4" s="3"/>
      <c r="F4" s="3"/>
      <c r="G4" s="72"/>
      <c r="H4" s="161"/>
      <c r="I4" s="3"/>
      <c r="J4" s="3"/>
      <c r="K4" s="3"/>
      <c r="L4" s="4"/>
      <c r="M4" s="4"/>
      <c r="O4" s="11" t="s">
        <v>66</v>
      </c>
      <c r="Q4" s="54">
        <v>843.17</v>
      </c>
      <c r="R4" s="425">
        <v>-8.0000000000000004E-4</v>
      </c>
      <c r="T4" s="156"/>
      <c r="U4" s="1"/>
      <c r="W4" s="130"/>
      <c r="X4" s="10"/>
      <c r="Y4" s="10"/>
      <c r="Z4" s="10"/>
      <c r="AA4" s="10"/>
      <c r="AB4" s="93"/>
      <c r="AC4" s="10"/>
      <c r="AD4" s="2"/>
      <c r="AE4" s="134"/>
    </row>
    <row r="5" spans="1:31" x14ac:dyDescent="0.25">
      <c r="B5" s="72"/>
      <c r="C5" s="4"/>
      <c r="D5" s="3"/>
      <c r="E5" s="3"/>
      <c r="F5" s="3"/>
      <c r="G5" s="4"/>
      <c r="H5" s="161"/>
      <c r="I5" s="3"/>
      <c r="J5" s="3"/>
      <c r="K5" s="3"/>
      <c r="L5" s="4"/>
      <c r="M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M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M7" s="4"/>
      <c r="O7" s="11" t="s">
        <v>177</v>
      </c>
      <c r="Q7" s="2">
        <f>Q10+Q8</f>
        <v>559.89000000000033</v>
      </c>
      <c r="R7">
        <v>0</v>
      </c>
      <c r="W7" s="130"/>
      <c r="X7" s="10"/>
      <c r="Y7" s="10"/>
      <c r="Z7" s="10"/>
      <c r="AA7" s="10"/>
      <c r="AB7" s="93"/>
      <c r="AC7" s="10"/>
      <c r="AD7" s="2"/>
      <c r="AE7" s="134"/>
    </row>
    <row r="8" spans="1:31" x14ac:dyDescent="0.25">
      <c r="B8" s="4"/>
      <c r="C8" s="4"/>
      <c r="D8" s="3"/>
      <c r="E8" s="3"/>
      <c r="F8" s="3"/>
      <c r="G8" s="4"/>
      <c r="H8" s="161"/>
      <c r="I8" s="3"/>
      <c r="J8" s="3"/>
      <c r="K8" s="3"/>
      <c r="L8" s="4"/>
      <c r="M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c r="AE9" s="134"/>
    </row>
    <row r="10" spans="1:31" x14ac:dyDescent="0.25">
      <c r="H10" s="70"/>
      <c r="O10" s="11" t="s">
        <v>203</v>
      </c>
      <c r="P10" s="33"/>
      <c r="Q10" s="2">
        <f>M66</f>
        <v>559.89000000000033</v>
      </c>
      <c r="W10" s="130"/>
      <c r="X10" s="10"/>
      <c r="Y10" s="10"/>
      <c r="Z10" s="10"/>
      <c r="AA10" s="10"/>
      <c r="AB10" s="93"/>
      <c r="AC10" s="10"/>
      <c r="AD10" s="2"/>
      <c r="AE10" s="134"/>
    </row>
    <row r="11" spans="1:31" x14ac:dyDescent="0.25">
      <c r="H11" s="70"/>
      <c r="O11" s="11" t="s">
        <v>175</v>
      </c>
      <c r="P11" s="33"/>
      <c r="Q11" s="134">
        <v>0</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71">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t="s">
        <v>149</v>
      </c>
      <c r="K24" s="177" t="s">
        <v>646</v>
      </c>
      <c r="L24" s="177" t="s">
        <v>652</v>
      </c>
      <c r="W24" s="130"/>
      <c r="X24" s="10"/>
      <c r="Y24" s="10"/>
      <c r="Z24" s="10"/>
      <c r="AA24" s="10"/>
      <c r="AB24" s="93"/>
      <c r="AC24" s="10"/>
      <c r="AD24" s="2"/>
      <c r="AE24" s="134"/>
    </row>
    <row r="25" spans="1:31" x14ac:dyDescent="0.25">
      <c r="B25" s="164">
        <v>42997</v>
      </c>
      <c r="C25" s="10">
        <v>8</v>
      </c>
      <c r="D25" s="39">
        <v>538</v>
      </c>
      <c r="E25" s="39">
        <v>535.19000000000005</v>
      </c>
      <c r="F25" s="39">
        <f>C25*(E25-D25)</f>
        <v>-22.479999999999563</v>
      </c>
      <c r="G25" s="39">
        <f>D25*C25</f>
        <v>4304</v>
      </c>
      <c r="H25" s="179">
        <f>(E25-D25)/D25</f>
        <v>-5.2230483271374448E-3</v>
      </c>
      <c r="I25" s="39">
        <v>22</v>
      </c>
      <c r="J25" s="39"/>
      <c r="K25" s="39"/>
      <c r="L25" s="39"/>
      <c r="W25" s="130"/>
      <c r="X25" s="10"/>
      <c r="Y25" s="10"/>
      <c r="Z25" s="10"/>
      <c r="AA25" s="10"/>
      <c r="AB25" s="93"/>
      <c r="AC25" s="10"/>
      <c r="AD25" s="2"/>
      <c r="AE25" s="134"/>
    </row>
    <row r="26" spans="1:31" x14ac:dyDescent="0.25">
      <c r="B26" s="164">
        <v>43031</v>
      </c>
      <c r="C26" s="10">
        <v>8</v>
      </c>
      <c r="D26" s="39">
        <v>538</v>
      </c>
      <c r="E26" s="39">
        <v>589</v>
      </c>
      <c r="F26" s="39">
        <f>C26*(E26-D26)</f>
        <v>408</v>
      </c>
      <c r="G26" s="39">
        <f>D26*C26</f>
        <v>4304</v>
      </c>
      <c r="H26" s="179">
        <f>(E26-D26)/D26</f>
        <v>9.4795539033457249E-2</v>
      </c>
      <c r="I26" s="39"/>
      <c r="J26" s="39"/>
      <c r="K26" s="39"/>
      <c r="L26" s="39"/>
      <c r="W26" s="130"/>
      <c r="X26" s="10"/>
      <c r="Y26" s="10"/>
      <c r="Z26" s="10"/>
      <c r="AA26" s="10"/>
      <c r="AB26" s="93"/>
      <c r="AC26" s="10"/>
      <c r="AD26" s="2"/>
      <c r="AE26" s="134"/>
    </row>
    <row r="27" spans="1:31" x14ac:dyDescent="0.25">
      <c r="B27" s="164">
        <v>43042</v>
      </c>
      <c r="C27" s="10">
        <v>0</v>
      </c>
      <c r="D27" s="39"/>
      <c r="E27" s="39"/>
      <c r="F27" s="39">
        <v>559.89</v>
      </c>
      <c r="G27" s="39"/>
      <c r="H27" s="179"/>
      <c r="I27" s="39"/>
      <c r="J27" s="39"/>
      <c r="K27" s="39"/>
      <c r="L27" s="155"/>
      <c r="W27" s="130"/>
      <c r="X27" s="10"/>
      <c r="Y27" s="10"/>
      <c r="Z27" s="10"/>
      <c r="AA27" s="10"/>
      <c r="AB27" s="93"/>
      <c r="AC27" s="10"/>
      <c r="AD27" s="2"/>
      <c r="AE27" s="134"/>
    </row>
    <row r="28" spans="1:31" x14ac:dyDescent="0.25">
      <c r="B28" s="164"/>
      <c r="C28" s="10"/>
      <c r="D28" s="39"/>
      <c r="E28" s="39"/>
      <c r="F28" s="39"/>
      <c r="G28" s="39"/>
      <c r="H28" s="179"/>
      <c r="I28" s="39"/>
      <c r="J28" s="39"/>
      <c r="K28" s="39"/>
      <c r="L28" s="155"/>
      <c r="W28" s="130"/>
      <c r="X28" s="10"/>
      <c r="Y28" s="10"/>
      <c r="Z28" s="10"/>
      <c r="AA28" s="10"/>
      <c r="AB28" s="93"/>
      <c r="AC28" s="10"/>
      <c r="AD28" s="2"/>
      <c r="AE28" s="134"/>
    </row>
    <row r="29" spans="1:31" x14ac:dyDescent="0.25">
      <c r="B29" s="164"/>
      <c r="C29" s="10"/>
      <c r="D29" s="39"/>
      <c r="E29" s="39"/>
      <c r="F29" s="39"/>
      <c r="G29" s="39"/>
      <c r="H29" s="179"/>
      <c r="I29" s="39"/>
      <c r="J29" s="39"/>
      <c r="K29" s="39"/>
      <c r="L29" s="155"/>
      <c r="W29" s="130"/>
      <c r="X29" s="10"/>
      <c r="Y29" s="10"/>
      <c r="Z29" s="10"/>
      <c r="AA29" s="10"/>
      <c r="AB29" s="93"/>
      <c r="AC29" s="10"/>
      <c r="AD29" s="2"/>
      <c r="AE29" s="134"/>
    </row>
    <row r="30" spans="1:31" x14ac:dyDescent="0.25">
      <c r="B30" s="164"/>
      <c r="C30" s="10"/>
      <c r="D30" s="39"/>
      <c r="E30" s="39"/>
      <c r="F30" s="39"/>
      <c r="G30" s="39"/>
      <c r="H30" s="179"/>
      <c r="I30" s="39"/>
      <c r="J30" s="39"/>
      <c r="K30" s="39"/>
      <c r="L30" s="155"/>
      <c r="W30" s="130"/>
      <c r="X30" s="10"/>
      <c r="Y30" s="10"/>
      <c r="Z30" s="10"/>
      <c r="AA30" s="10"/>
      <c r="AB30" s="93"/>
      <c r="AC30" s="10"/>
      <c r="AD30" s="2"/>
      <c r="AE30" s="134"/>
    </row>
    <row r="31" spans="1:31" x14ac:dyDescent="0.25">
      <c r="B31" s="164"/>
      <c r="C31" s="10"/>
      <c r="D31" s="39"/>
      <c r="E31" s="39"/>
      <c r="F31" s="39"/>
      <c r="G31" s="39"/>
      <c r="H31" s="179"/>
      <c r="I31" s="39"/>
      <c r="J31" s="39"/>
      <c r="K31" s="39"/>
      <c r="L31" s="155"/>
      <c r="W31" s="130"/>
      <c r="X31" s="10"/>
      <c r="Y31" s="10"/>
      <c r="Z31" s="10"/>
      <c r="AA31" s="10"/>
      <c r="AB31" s="93"/>
      <c r="AC31" s="10"/>
      <c r="AD31" s="2"/>
      <c r="AE31" s="134"/>
    </row>
    <row r="32" spans="1:31" x14ac:dyDescent="0.25">
      <c r="B32" s="164"/>
      <c r="C32" s="10"/>
      <c r="D32" s="39"/>
      <c r="E32" s="39"/>
      <c r="F32" s="39"/>
      <c r="G32" s="39"/>
      <c r="H32" s="179"/>
      <c r="I32" s="39"/>
      <c r="J32" s="39"/>
      <c r="K32" s="39"/>
      <c r="L32" s="155"/>
      <c r="W32" s="130"/>
      <c r="X32" s="10"/>
      <c r="Y32" s="10"/>
      <c r="Z32" s="10"/>
      <c r="AA32" s="10"/>
      <c r="AB32" s="93"/>
      <c r="AC32" s="10"/>
      <c r="AD32" s="2"/>
      <c r="AE32" s="134"/>
    </row>
    <row r="33" spans="1:31" x14ac:dyDescent="0.25">
      <c r="A33" s="29"/>
      <c r="B33" s="164"/>
      <c r="C33" s="10"/>
      <c r="D33" s="39"/>
      <c r="E33" s="39"/>
      <c r="F33" s="39"/>
      <c r="G33" s="39"/>
      <c r="H33" s="179"/>
      <c r="I33" s="39"/>
      <c r="J33" s="39"/>
      <c r="K33" s="39"/>
      <c r="L33" s="155"/>
      <c r="W33" s="130"/>
      <c r="X33" s="10"/>
      <c r="Y33" s="10"/>
      <c r="Z33" s="10"/>
      <c r="AA33" s="10"/>
      <c r="AB33" s="93"/>
      <c r="AC33" s="10"/>
      <c r="AD33" s="2"/>
      <c r="AE33" s="134"/>
    </row>
    <row r="34" spans="1:31" x14ac:dyDescent="0.25">
      <c r="B34" s="164"/>
      <c r="C34" s="10"/>
      <c r="D34" s="39"/>
      <c r="E34" s="39"/>
      <c r="F34" s="39"/>
      <c r="G34" s="39"/>
      <c r="H34" s="179"/>
      <c r="I34" s="39"/>
      <c r="J34" s="39"/>
      <c r="K34" s="39"/>
      <c r="L34" s="155"/>
      <c r="W34" s="130"/>
      <c r="X34" s="10"/>
      <c r="Y34" s="10"/>
      <c r="Z34" s="10"/>
      <c r="AA34" s="10"/>
      <c r="AB34" s="93"/>
      <c r="AC34" s="10"/>
      <c r="AD34" s="2"/>
      <c r="AE34" s="134"/>
    </row>
    <row r="35" spans="1:31" x14ac:dyDescent="0.25">
      <c r="B35" s="164"/>
      <c r="C35" s="10"/>
      <c r="D35" s="39"/>
      <c r="E35" s="39"/>
      <c r="F35" s="39"/>
      <c r="G35" s="39"/>
      <c r="H35" s="179"/>
      <c r="I35" s="39"/>
      <c r="J35" s="39"/>
      <c r="K35" s="39"/>
      <c r="L35" s="155"/>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4" t="s">
        <v>78</v>
      </c>
      <c r="P40" s="884"/>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927.48700000000008</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919.05529999999999</v>
      </c>
      <c r="Q42" s="2"/>
      <c r="T42" s="89"/>
      <c r="W42" s="130"/>
      <c r="X42" s="10"/>
      <c r="Y42" s="10"/>
      <c r="Z42" s="10"/>
      <c r="AA42" s="10"/>
      <c r="AB42" s="93"/>
      <c r="AC42" s="10"/>
      <c r="AD42" s="2"/>
      <c r="AE42" s="134"/>
    </row>
    <row r="43" spans="1:31" ht="15.75" thickTop="1" x14ac:dyDescent="0.25">
      <c r="B43" s="164"/>
      <c r="C43" s="10"/>
      <c r="D43" s="39"/>
      <c r="E43" s="39"/>
      <c r="F43" s="39"/>
      <c r="G43" s="39"/>
      <c r="H43" s="179"/>
      <c r="I43" s="39"/>
      <c r="J43" s="39"/>
      <c r="K43" s="39"/>
      <c r="L43" s="39"/>
      <c r="O43" s="81">
        <v>1.08</v>
      </c>
      <c r="P43" s="81">
        <f t="shared" si="0"/>
        <v>910.62360000000001</v>
      </c>
      <c r="Q43" s="2"/>
      <c r="T43" s="125"/>
      <c r="U43" s="126"/>
      <c r="W43" s="130"/>
      <c r="X43" s="10"/>
      <c r="Y43" s="10"/>
      <c r="Z43" s="10"/>
      <c r="AA43" s="10"/>
      <c r="AB43" s="93"/>
      <c r="AC43" s="10"/>
      <c r="AD43" s="2"/>
      <c r="AE43" s="134"/>
    </row>
    <row r="44" spans="1:31" x14ac:dyDescent="0.25">
      <c r="B44" s="164"/>
      <c r="C44" s="10"/>
      <c r="D44" s="39"/>
      <c r="E44" s="39"/>
      <c r="F44" s="39"/>
      <c r="G44" s="39"/>
      <c r="H44" s="179"/>
      <c r="I44" s="39"/>
      <c r="J44" s="39"/>
      <c r="K44" s="39"/>
      <c r="L44" s="39"/>
      <c r="O44" s="81">
        <v>1.07</v>
      </c>
      <c r="P44" s="81">
        <f t="shared" si="0"/>
        <v>902.19190000000003</v>
      </c>
      <c r="Q44" s="2"/>
      <c r="T44" s="91"/>
      <c r="U44" s="127"/>
      <c r="W44" s="130"/>
      <c r="X44" s="10"/>
      <c r="Y44" s="10"/>
      <c r="Z44" s="10"/>
      <c r="AA44" s="10"/>
      <c r="AB44" s="93"/>
      <c r="AC44" s="10"/>
      <c r="AD44" s="2"/>
      <c r="AE44" s="134"/>
    </row>
    <row r="45" spans="1:31" x14ac:dyDescent="0.25">
      <c r="B45" s="164"/>
      <c r="C45" s="10"/>
      <c r="D45" s="39"/>
      <c r="E45" s="39"/>
      <c r="F45" s="39"/>
      <c r="G45" s="39"/>
      <c r="H45" s="179"/>
      <c r="I45" s="39"/>
      <c r="J45" s="39"/>
      <c r="K45" s="39"/>
      <c r="L45" s="39"/>
      <c r="O45" s="81">
        <v>1.06</v>
      </c>
      <c r="P45" s="81">
        <f t="shared" si="0"/>
        <v>893.76020000000005</v>
      </c>
      <c r="Q45" s="2"/>
      <c r="T45" s="91"/>
      <c r="U45" s="127"/>
      <c r="W45" s="130"/>
      <c r="X45" s="10"/>
      <c r="Y45" s="10"/>
      <c r="Z45" s="10"/>
      <c r="AA45" s="10"/>
      <c r="AB45" s="93"/>
      <c r="AC45" s="10"/>
      <c r="AD45" s="2"/>
      <c r="AE45" s="134"/>
    </row>
    <row r="46" spans="1:31" x14ac:dyDescent="0.25">
      <c r="B46" s="164"/>
      <c r="C46" s="10"/>
      <c r="D46" s="39"/>
      <c r="E46" s="39"/>
      <c r="F46" s="39"/>
      <c r="G46" s="39"/>
      <c r="H46" s="179"/>
      <c r="I46" s="39"/>
      <c r="J46" s="39"/>
      <c r="K46" s="39"/>
      <c r="L46" s="39"/>
      <c r="O46" s="81">
        <v>1.05</v>
      </c>
      <c r="P46" s="81">
        <f t="shared" si="0"/>
        <v>885.32849999999996</v>
      </c>
      <c r="Q46" s="2"/>
      <c r="T46" s="91"/>
      <c r="U46" s="127"/>
      <c r="W46" s="130"/>
      <c r="X46" s="10"/>
      <c r="Y46" s="10"/>
      <c r="Z46" s="10"/>
      <c r="AA46" s="10"/>
      <c r="AB46" s="93"/>
      <c r="AC46" s="10"/>
      <c r="AD46" s="2"/>
      <c r="AE46" s="134"/>
    </row>
    <row r="47" spans="1:31" x14ac:dyDescent="0.25">
      <c r="B47" s="72"/>
      <c r="C47" s="4"/>
      <c r="D47" s="3"/>
      <c r="E47" s="3"/>
      <c r="F47" s="3"/>
      <c r="G47" s="3"/>
      <c r="H47" s="216"/>
      <c r="I47" s="214"/>
      <c r="O47" s="81">
        <v>1.04</v>
      </c>
      <c r="P47" s="81">
        <f t="shared" si="0"/>
        <v>876.89679999999998</v>
      </c>
      <c r="Q47" s="2"/>
      <c r="T47" s="91"/>
      <c r="U47" s="127"/>
      <c r="W47" s="130"/>
      <c r="X47" s="10"/>
      <c r="Y47" s="10"/>
      <c r="Z47" s="10"/>
      <c r="AA47" s="10"/>
      <c r="AB47" s="93"/>
      <c r="AC47" s="10"/>
      <c r="AD47" s="2"/>
      <c r="AE47" s="134"/>
    </row>
    <row r="48" spans="1:31" x14ac:dyDescent="0.25">
      <c r="B48" s="72"/>
      <c r="C48" s="4"/>
      <c r="D48" s="3"/>
      <c r="E48" s="3"/>
      <c r="F48" s="3"/>
      <c r="G48" s="3"/>
      <c r="H48" s="216"/>
      <c r="I48" s="3"/>
      <c r="O48" s="81">
        <v>1.03</v>
      </c>
      <c r="P48" s="81">
        <f t="shared" si="0"/>
        <v>868.46510000000001</v>
      </c>
      <c r="Q48" s="2"/>
      <c r="T48" s="91"/>
      <c r="U48" s="127"/>
      <c r="W48" s="130"/>
      <c r="X48" s="10"/>
      <c r="Y48" s="10"/>
      <c r="Z48" s="10"/>
      <c r="AA48" s="10"/>
      <c r="AB48" s="93"/>
      <c r="AC48" s="10"/>
      <c r="AD48" s="2"/>
      <c r="AE48" s="134"/>
    </row>
    <row r="49" spans="1:31" x14ac:dyDescent="0.25">
      <c r="B49" s="72"/>
      <c r="C49" s="4"/>
      <c r="D49" s="3"/>
      <c r="E49" s="3"/>
      <c r="F49" s="3"/>
      <c r="G49" s="3"/>
      <c r="H49" s="216"/>
      <c r="I49" s="3"/>
      <c r="O49" s="81">
        <v>1.02</v>
      </c>
      <c r="P49" s="81">
        <f t="shared" si="0"/>
        <v>860.03340000000003</v>
      </c>
      <c r="Q49" s="2"/>
      <c r="T49" s="91"/>
      <c r="U49" s="127"/>
      <c r="W49" s="130"/>
      <c r="X49" s="10"/>
      <c r="Y49" s="10"/>
      <c r="Z49" s="10"/>
      <c r="AA49" s="10"/>
      <c r="AB49" s="93"/>
      <c r="AC49" s="10"/>
      <c r="AD49" s="2"/>
      <c r="AE49" s="134"/>
    </row>
    <row r="50" spans="1:31" x14ac:dyDescent="0.25">
      <c r="B50" s="72"/>
      <c r="C50" s="4"/>
      <c r="D50" s="3"/>
      <c r="E50" s="3"/>
      <c r="F50" s="3"/>
      <c r="G50" s="3"/>
      <c r="H50" s="216"/>
      <c r="I50" s="3"/>
      <c r="O50" s="81">
        <v>1.01</v>
      </c>
      <c r="P50" s="81">
        <f t="shared" si="0"/>
        <v>851.60169999999994</v>
      </c>
      <c r="Q50" s="2"/>
      <c r="T50" s="91"/>
      <c r="U50" s="127"/>
      <c r="W50" s="130"/>
      <c r="X50" s="10"/>
      <c r="Y50" s="10"/>
      <c r="Z50" s="10"/>
      <c r="AA50" s="10"/>
      <c r="AB50" s="93"/>
      <c r="AC50" s="10"/>
      <c r="AD50" s="2"/>
      <c r="AE50" s="134"/>
    </row>
    <row r="51" spans="1:31" x14ac:dyDescent="0.25">
      <c r="B51" s="72"/>
      <c r="C51" s="4"/>
      <c r="D51" s="3"/>
      <c r="E51" s="3"/>
      <c r="F51" s="3"/>
      <c r="G51" s="3"/>
      <c r="H51" s="216"/>
      <c r="I51" s="3"/>
      <c r="O51" s="81">
        <v>1</v>
      </c>
      <c r="P51" s="81">
        <f t="shared" si="0"/>
        <v>843.17</v>
      </c>
      <c r="Q51" s="2"/>
      <c r="T51" s="91"/>
      <c r="U51" s="127"/>
      <c r="W51" s="130"/>
      <c r="X51" s="10"/>
      <c r="Y51" s="10"/>
      <c r="Z51" s="10"/>
      <c r="AA51" s="10"/>
      <c r="AB51" s="93"/>
      <c r="AC51" s="10"/>
      <c r="AD51" s="2"/>
      <c r="AE51" s="134"/>
    </row>
    <row r="52" spans="1:31" x14ac:dyDescent="0.25">
      <c r="B52" s="72"/>
      <c r="C52" s="4"/>
      <c r="D52" s="3"/>
      <c r="E52" s="3"/>
      <c r="F52" s="3"/>
      <c r="G52" s="3"/>
      <c r="H52" s="216"/>
      <c r="I52" s="3"/>
      <c r="O52" s="81">
        <v>0.99</v>
      </c>
      <c r="P52" s="81">
        <f t="shared" si="0"/>
        <v>834.73829999999998</v>
      </c>
      <c r="Q52" s="2"/>
      <c r="T52" s="91"/>
      <c r="U52" s="127"/>
      <c r="W52" s="130"/>
      <c r="X52" s="10"/>
      <c r="Y52" s="10"/>
      <c r="Z52" s="10"/>
      <c r="AA52" s="10"/>
      <c r="AB52" s="93"/>
      <c r="AC52" s="10"/>
      <c r="AD52" s="2"/>
      <c r="AE52" s="134"/>
    </row>
    <row r="53" spans="1:31" x14ac:dyDescent="0.25">
      <c r="B53" s="72"/>
      <c r="C53" s="4"/>
      <c r="D53" s="3"/>
      <c r="E53" s="3"/>
      <c r="F53" s="3"/>
      <c r="G53" s="3"/>
      <c r="H53" s="216"/>
      <c r="I53" s="3"/>
      <c r="O53" s="81">
        <v>0.98</v>
      </c>
      <c r="P53" s="81">
        <f t="shared" si="0"/>
        <v>826.30659999999989</v>
      </c>
      <c r="Q53" s="2"/>
      <c r="T53" s="91"/>
      <c r="U53" s="128"/>
      <c r="W53" s="130"/>
      <c r="X53" s="10"/>
      <c r="Y53" s="10"/>
      <c r="Z53" s="10"/>
      <c r="AA53" s="10"/>
      <c r="AB53" s="93"/>
      <c r="AC53" s="10"/>
      <c r="AD53" s="2"/>
      <c r="AE53" s="134"/>
    </row>
    <row r="54" spans="1:31" x14ac:dyDescent="0.25">
      <c r="A54" s="4"/>
      <c r="B54" s="72"/>
      <c r="C54" s="4"/>
      <c r="D54" s="3"/>
      <c r="E54" s="3"/>
      <c r="F54" s="3"/>
      <c r="G54" s="3"/>
      <c r="H54" s="216"/>
      <c r="I54" s="3"/>
      <c r="J54" s="3"/>
      <c r="K54" s="3"/>
      <c r="L54" s="4"/>
      <c r="O54" s="81">
        <v>0.97</v>
      </c>
      <c r="P54" s="81">
        <f t="shared" si="0"/>
        <v>817.87489999999991</v>
      </c>
      <c r="T54" s="91"/>
      <c r="U54" s="128"/>
      <c r="W54" s="130"/>
      <c r="X54" s="10"/>
      <c r="Y54" s="10"/>
      <c r="Z54" s="10"/>
      <c r="AA54" s="10"/>
      <c r="AB54" s="93"/>
      <c r="AC54" s="10"/>
      <c r="AD54" s="2"/>
      <c r="AE54" s="134"/>
    </row>
    <row r="55" spans="1:31" x14ac:dyDescent="0.25">
      <c r="A55" s="4"/>
      <c r="B55" s="72"/>
      <c r="C55" s="4"/>
      <c r="D55" s="3"/>
      <c r="E55" s="3"/>
      <c r="F55" s="3"/>
      <c r="G55" s="3"/>
      <c r="H55" s="216"/>
      <c r="I55" s="3"/>
      <c r="J55" s="3"/>
      <c r="K55" s="3"/>
      <c r="L55" s="4"/>
      <c r="O55" s="81">
        <v>0.96</v>
      </c>
      <c r="P55" s="81">
        <f t="shared" si="0"/>
        <v>809.44319999999993</v>
      </c>
      <c r="T55" s="91"/>
      <c r="U55" s="127"/>
      <c r="W55" s="130"/>
      <c r="X55" s="10"/>
      <c r="Y55" s="10"/>
      <c r="Z55" s="10"/>
      <c r="AA55" s="10"/>
      <c r="AB55" s="93"/>
      <c r="AC55" s="10"/>
      <c r="AD55" s="2"/>
      <c r="AE55" s="134"/>
    </row>
    <row r="56" spans="1:31" x14ac:dyDescent="0.25">
      <c r="A56" s="4"/>
      <c r="B56" s="72"/>
      <c r="C56" s="4"/>
      <c r="D56" s="3"/>
      <c r="E56" s="3"/>
      <c r="F56" s="3"/>
      <c r="G56" s="3"/>
      <c r="H56" s="216"/>
      <c r="I56" s="3"/>
      <c r="J56" s="3"/>
      <c r="K56" s="3"/>
      <c r="L56" s="4"/>
      <c r="O56" s="81">
        <v>0.95</v>
      </c>
      <c r="P56" s="81">
        <f t="shared" si="0"/>
        <v>801.01149999999996</v>
      </c>
      <c r="T56" s="91"/>
      <c r="U56" s="127"/>
      <c r="W56" s="130"/>
      <c r="X56" s="10"/>
      <c r="Y56" s="10"/>
      <c r="Z56" s="10"/>
      <c r="AA56" s="10"/>
      <c r="AB56" s="93"/>
      <c r="AC56" s="10"/>
      <c r="AD56" s="2"/>
      <c r="AE56" s="134"/>
    </row>
    <row r="57" spans="1:31" x14ac:dyDescent="0.25">
      <c r="A57" s="4"/>
      <c r="B57" s="72"/>
      <c r="C57" s="4"/>
      <c r="D57" s="3"/>
      <c r="E57" s="3"/>
      <c r="F57" s="3"/>
      <c r="G57" s="3"/>
      <c r="H57" s="216"/>
      <c r="I57" s="3"/>
      <c r="J57" s="3"/>
      <c r="K57" s="3"/>
      <c r="L57" s="4"/>
      <c r="O57" s="81">
        <v>0.94</v>
      </c>
      <c r="P57" s="81">
        <f t="shared" si="0"/>
        <v>792.57979999999986</v>
      </c>
      <c r="T57" s="91"/>
      <c r="U57" s="127"/>
      <c r="W57" s="130"/>
      <c r="X57" s="10"/>
      <c r="Y57" s="10"/>
      <c r="Z57" s="10"/>
      <c r="AA57" s="10"/>
      <c r="AB57" s="93"/>
      <c r="AC57" s="10"/>
      <c r="AD57" s="2"/>
      <c r="AE57" s="134"/>
    </row>
    <row r="58" spans="1:31" x14ac:dyDescent="0.25">
      <c r="A58" s="4"/>
      <c r="B58" s="72"/>
      <c r="C58" s="4"/>
      <c r="D58" s="3"/>
      <c r="E58" s="3"/>
      <c r="F58" s="3"/>
      <c r="G58" s="3"/>
      <c r="H58" s="216"/>
      <c r="I58" s="3"/>
      <c r="J58" s="3"/>
      <c r="K58" s="3"/>
      <c r="L58" s="4"/>
      <c r="O58" s="81">
        <v>0.93</v>
      </c>
      <c r="P58" s="81">
        <f t="shared" si="0"/>
        <v>784.1481</v>
      </c>
      <c r="T58" s="91"/>
      <c r="U58" s="127"/>
      <c r="W58" s="130"/>
      <c r="X58" s="10"/>
      <c r="Y58" s="10"/>
      <c r="Z58" s="10"/>
      <c r="AA58" s="10"/>
      <c r="AB58" s="93"/>
      <c r="AC58" s="10"/>
      <c r="AD58" s="2"/>
      <c r="AE58" s="134"/>
    </row>
    <row r="59" spans="1:31" x14ac:dyDescent="0.25">
      <c r="A59" s="4"/>
      <c r="B59" s="72"/>
      <c r="C59" s="4"/>
      <c r="D59" s="3"/>
      <c r="E59" s="3"/>
      <c r="F59" s="3"/>
      <c r="G59" s="3"/>
      <c r="H59" s="216"/>
      <c r="I59" s="3"/>
      <c r="J59" s="3"/>
      <c r="K59" s="3"/>
      <c r="L59" s="4"/>
      <c r="O59" s="81">
        <v>0.92</v>
      </c>
      <c r="P59" s="81">
        <f t="shared" si="0"/>
        <v>775.71640000000002</v>
      </c>
      <c r="W59" s="130"/>
      <c r="X59" s="10"/>
      <c r="Y59" s="10"/>
      <c r="Z59" s="10"/>
      <c r="AA59" s="10"/>
      <c r="AB59" s="93"/>
      <c r="AC59" s="10"/>
      <c r="AD59" s="2"/>
      <c r="AE59" s="134"/>
    </row>
    <row r="60" spans="1:31" x14ac:dyDescent="0.25">
      <c r="A60" s="4"/>
      <c r="B60" s="72"/>
      <c r="C60" s="4"/>
      <c r="D60" s="3"/>
      <c r="E60" s="3"/>
      <c r="F60" s="3"/>
      <c r="G60" s="3"/>
      <c r="H60" s="216"/>
      <c r="I60" s="3"/>
      <c r="J60" s="3"/>
      <c r="K60" s="3"/>
      <c r="L60" s="4"/>
      <c r="O60" s="81">
        <v>0.91</v>
      </c>
      <c r="P60" s="81">
        <f t="shared" si="0"/>
        <v>767.28470000000004</v>
      </c>
      <c r="W60" s="130"/>
      <c r="X60" s="10"/>
      <c r="Y60" s="10"/>
      <c r="Z60" s="10"/>
      <c r="AA60" s="10"/>
      <c r="AB60" s="93"/>
      <c r="AC60" s="10"/>
      <c r="AD60" s="2"/>
      <c r="AE60" s="134"/>
    </row>
    <row r="61" spans="1:31" x14ac:dyDescent="0.25">
      <c r="A61" s="4"/>
      <c r="B61" s="72"/>
      <c r="C61" s="4"/>
      <c r="D61" s="3"/>
      <c r="E61" s="3"/>
      <c r="F61" s="3"/>
      <c r="G61" s="3"/>
      <c r="H61" s="216"/>
      <c r="I61" s="3"/>
      <c r="J61" s="3"/>
      <c r="K61" s="3"/>
      <c r="L61" s="4"/>
      <c r="O61" s="81">
        <v>0.9</v>
      </c>
      <c r="P61" s="81">
        <f t="shared" si="0"/>
        <v>758.85299999999995</v>
      </c>
      <c r="W61" s="130"/>
      <c r="X61" s="10"/>
      <c r="Y61" s="10"/>
      <c r="Z61" s="10"/>
      <c r="AA61" s="10"/>
      <c r="AB61" s="93"/>
      <c r="AC61" s="10"/>
      <c r="AD61" s="2"/>
      <c r="AE61" s="134"/>
    </row>
    <row r="62" spans="1:31" x14ac:dyDescent="0.25">
      <c r="A62" s="4"/>
      <c r="B62" s="72"/>
      <c r="C62" s="4"/>
      <c r="D62" s="3"/>
      <c r="E62" s="3"/>
      <c r="F62" s="3"/>
      <c r="G62" s="3"/>
      <c r="H62" s="216"/>
      <c r="I62" s="3"/>
      <c r="J62" s="3"/>
      <c r="K62" s="3"/>
      <c r="L62" s="4"/>
      <c r="W62" s="130"/>
      <c r="X62" s="10"/>
      <c r="Y62" s="10"/>
      <c r="Z62" s="10"/>
      <c r="AA62" s="10"/>
      <c r="AB62" s="93"/>
      <c r="AC62" s="10"/>
      <c r="AD62" s="2"/>
      <c r="AE62" s="134"/>
    </row>
    <row r="63" spans="1:31" x14ac:dyDescent="0.25">
      <c r="A63" s="4"/>
      <c r="B63" s="72"/>
      <c r="C63" s="4"/>
      <c r="D63" s="3"/>
      <c r="E63" s="3"/>
      <c r="F63" s="3"/>
      <c r="G63" s="3"/>
      <c r="H63" s="216"/>
      <c r="I63" s="3"/>
      <c r="J63" s="3"/>
      <c r="K63" s="3"/>
      <c r="L63" s="4"/>
      <c r="W63" s="130"/>
      <c r="X63" s="10"/>
      <c r="Y63" s="10"/>
      <c r="Z63" s="10"/>
      <c r="AA63" s="10"/>
      <c r="AB63" s="93"/>
      <c r="AC63" s="10"/>
      <c r="AD63" s="2"/>
      <c r="AE63" s="134"/>
    </row>
    <row r="64" spans="1:31" x14ac:dyDescent="0.25">
      <c r="A64" s="4"/>
      <c r="B64" s="4"/>
      <c r="C64" s="4"/>
      <c r="D64" s="3"/>
      <c r="E64" s="3"/>
      <c r="F64" s="3"/>
      <c r="G64" s="4"/>
      <c r="H64" s="4"/>
      <c r="I64" s="3"/>
      <c r="J64" s="3"/>
      <c r="K64" s="3"/>
      <c r="L64" s="4"/>
      <c r="W64" s="130"/>
      <c r="X64" s="10"/>
      <c r="Y64" s="10"/>
      <c r="Z64" s="10"/>
      <c r="AA64" s="10"/>
      <c r="AB64" s="93"/>
      <c r="AC64" s="10"/>
      <c r="AD64" s="2"/>
      <c r="AE64" s="134"/>
    </row>
    <row r="65" spans="1:31" x14ac:dyDescent="0.25">
      <c r="A65" s="4"/>
      <c r="B65" s="4"/>
      <c r="C65" s="4"/>
      <c r="D65" s="3"/>
      <c r="E65" s="3"/>
      <c r="F65" s="3"/>
      <c r="G65" s="4"/>
      <c r="H65" s="4"/>
      <c r="I65" s="3"/>
      <c r="J65" s="3"/>
      <c r="K65" s="3"/>
      <c r="L65" s="4"/>
      <c r="W65" s="130"/>
      <c r="X65" s="10"/>
      <c r="Y65" s="10"/>
      <c r="Z65" s="10"/>
      <c r="AA65" s="10"/>
      <c r="AB65" s="93"/>
      <c r="AC65" s="10"/>
      <c r="AD65" s="2"/>
      <c r="AE65" s="134"/>
    </row>
    <row r="66" spans="1:31" x14ac:dyDescent="0.25">
      <c r="A66" s="4"/>
      <c r="B66" s="4"/>
      <c r="C66" s="4"/>
      <c r="D66" s="3"/>
      <c r="E66" s="3"/>
      <c r="F66" s="3"/>
      <c r="G66" s="4"/>
      <c r="H66" s="4"/>
      <c r="I66" s="3"/>
      <c r="J66" s="3"/>
      <c r="K66" s="3"/>
      <c r="L66" s="4" t="s">
        <v>65</v>
      </c>
      <c r="M66" s="2">
        <f>M84+K84-F84</f>
        <v>559.89000000000033</v>
      </c>
      <c r="W66" s="130"/>
      <c r="X66" s="10"/>
      <c r="Y66" s="10"/>
      <c r="Z66" s="10"/>
      <c r="AA66" s="10"/>
      <c r="AB66" s="93"/>
      <c r="AC66" s="10"/>
      <c r="AD66" s="2"/>
      <c r="AE66" s="134"/>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0"/>
      <c r="X67" s="10"/>
      <c r="Y67" s="10"/>
      <c r="Z67" s="10"/>
      <c r="AA67" s="10"/>
      <c r="AB67" s="93"/>
      <c r="AC67" s="10"/>
      <c r="AD67" s="2"/>
      <c r="AE67" s="134"/>
    </row>
    <row r="68" spans="1:31" x14ac:dyDescent="0.25">
      <c r="A68" s="442" t="s">
        <v>710</v>
      </c>
      <c r="B68" s="72">
        <v>42997</v>
      </c>
      <c r="C68" s="4">
        <v>8</v>
      </c>
      <c r="D68" s="3">
        <v>538</v>
      </c>
      <c r="E68" s="3">
        <v>0</v>
      </c>
      <c r="F68" s="3">
        <f>C68*D68+E68</f>
        <v>4304</v>
      </c>
      <c r="G68" s="72">
        <v>43042</v>
      </c>
      <c r="H68" s="4">
        <v>8</v>
      </c>
      <c r="I68" s="3">
        <v>608</v>
      </c>
      <c r="J68" s="3">
        <v>0.11</v>
      </c>
      <c r="K68" s="3">
        <f>H68*I68-J68</f>
        <v>4863.8900000000003</v>
      </c>
      <c r="L68" s="72"/>
      <c r="M68" s="429"/>
      <c r="W68" s="130"/>
      <c r="X68" s="10"/>
      <c r="Y68" s="10"/>
      <c r="Z68" s="10"/>
      <c r="AA68" s="10"/>
      <c r="AB68" s="93"/>
      <c r="AC68" s="10"/>
      <c r="AD68" s="2"/>
      <c r="AE68" s="134"/>
    </row>
    <row r="69" spans="1:31" x14ac:dyDescent="0.25">
      <c r="A69" s="444" t="s">
        <v>71</v>
      </c>
      <c r="B69" s="426"/>
      <c r="C69" s="427"/>
      <c r="D69" s="429"/>
      <c r="E69" s="429"/>
      <c r="F69" s="429"/>
      <c r="G69" s="426"/>
      <c r="H69" s="443"/>
      <c r="I69" s="429"/>
      <c r="J69" s="429"/>
      <c r="K69" s="429"/>
      <c r="L69" s="427"/>
      <c r="M69" s="427"/>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8</v>
      </c>
      <c r="D84" s="447"/>
      <c r="E84" s="447"/>
      <c r="F84" s="447">
        <f>SUM(F68:F72)</f>
        <v>4304</v>
      </c>
      <c r="G84" s="446"/>
      <c r="H84" s="468">
        <f>SUM(H68:H71)</f>
        <v>8</v>
      </c>
      <c r="I84" s="447"/>
      <c r="J84" s="447"/>
      <c r="K84" s="447">
        <f>SUM(K68:K71)</f>
        <v>4863.8900000000003</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1520" priority="21">
      <formula>F47&gt;0</formula>
    </cfRule>
    <cfRule type="expression" dxfId="1519" priority="22">
      <formula>F47&lt;0</formula>
    </cfRule>
  </conditionalFormatting>
  <conditionalFormatting sqref="Q7">
    <cfRule type="expression" dxfId="1518" priority="19">
      <formula>Q7&gt;0</formula>
    </cfRule>
    <cfRule type="expression" dxfId="1517" priority="20">
      <formula>Q7&lt;0</formula>
    </cfRule>
  </conditionalFormatting>
  <conditionalFormatting sqref="Q8">
    <cfRule type="expression" dxfId="1516" priority="17">
      <formula>Q8&gt;0</formula>
    </cfRule>
    <cfRule type="expression" dxfId="1515" priority="18">
      <formula>Q8&lt;0</formula>
    </cfRule>
  </conditionalFormatting>
  <conditionalFormatting sqref="F25:F46">
    <cfRule type="expression" dxfId="1514" priority="15">
      <formula>F25&gt;0</formula>
    </cfRule>
    <cfRule type="expression" dxfId="1513" priority="16">
      <formula>F25&lt;0</formula>
    </cfRule>
  </conditionalFormatting>
  <conditionalFormatting sqref="H25:H46">
    <cfRule type="expression" dxfId="1512" priority="13">
      <formula>H25&gt;0</formula>
    </cfRule>
    <cfRule type="expression" dxfId="1511" priority="14">
      <formula>H25&lt;0</formula>
    </cfRule>
  </conditionalFormatting>
  <conditionalFormatting sqref="F89:F110">
    <cfRule type="expression" dxfId="1510" priority="11">
      <formula>F89&gt;0</formula>
    </cfRule>
    <cfRule type="expression" dxfId="1509" priority="12">
      <formula>F89&lt;0</formula>
    </cfRule>
  </conditionalFormatting>
  <conditionalFormatting sqref="H89:H110">
    <cfRule type="expression" dxfId="1508" priority="9">
      <formula>H89&gt;0</formula>
    </cfRule>
    <cfRule type="expression" dxfId="1507" priority="10">
      <formula>H89&lt;0</formula>
    </cfRule>
  </conditionalFormatting>
  <conditionalFormatting sqref="Q10">
    <cfRule type="expression" dxfId="1506" priority="7">
      <formula>Q10&gt;0</formula>
    </cfRule>
    <cfRule type="expression" dxfId="1505" priority="8">
      <formula>Q10&lt;0</formula>
    </cfRule>
  </conditionalFormatting>
  <conditionalFormatting sqref="J25:J38">
    <cfRule type="expression" dxfId="1504" priority="5">
      <formula>J25&gt;0</formula>
    </cfRule>
    <cfRule type="expression" dxfId="1503" priority="6">
      <formula>J25&lt;0</formula>
    </cfRule>
  </conditionalFormatting>
  <conditionalFormatting sqref="K25:K38">
    <cfRule type="expression" dxfId="1502" priority="3">
      <formula>K25&gt;0</formula>
    </cfRule>
    <cfRule type="expression" dxfId="1501" priority="4">
      <formula>K25&lt;0</formula>
    </cfRule>
  </conditionalFormatting>
  <conditionalFormatting sqref="L25:L38">
    <cfRule type="expression" dxfId="1500" priority="1">
      <formula>L25&gt;0</formula>
    </cfRule>
    <cfRule type="expression" dxfId="1499"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41"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920</v>
      </c>
      <c r="B2" s="368">
        <v>43161</v>
      </c>
      <c r="C2" s="7">
        <v>50</v>
      </c>
      <c r="D2" s="43">
        <v>38.78</v>
      </c>
      <c r="E2" s="43">
        <v>0</v>
      </c>
      <c r="F2" s="43">
        <f t="shared" ref="F2:F8" si="0">C2*D2+E2</f>
        <v>1939</v>
      </c>
      <c r="G2" s="368">
        <v>43217</v>
      </c>
      <c r="H2" s="7">
        <v>50</v>
      </c>
      <c r="I2" s="43">
        <v>44.38</v>
      </c>
      <c r="J2" s="43">
        <v>0.05</v>
      </c>
      <c r="K2" s="43">
        <f t="shared" ref="K2:K8" si="1">H2*I2-J2</f>
        <v>2218.9499999999998</v>
      </c>
      <c r="L2" s="72">
        <v>43225</v>
      </c>
      <c r="M2" s="43">
        <v>69</v>
      </c>
      <c r="O2" s="11" t="s">
        <v>57</v>
      </c>
      <c r="Q2">
        <f>C18-H18</f>
        <v>0</v>
      </c>
      <c r="T2" s="1"/>
    </row>
    <row r="3" spans="1:21" x14ac:dyDescent="0.25">
      <c r="A3" s="22" t="s">
        <v>71</v>
      </c>
      <c r="B3" s="498">
        <v>43161</v>
      </c>
      <c r="C3" s="7">
        <v>150</v>
      </c>
      <c r="D3" s="43">
        <v>38.78</v>
      </c>
      <c r="E3" s="43">
        <v>0</v>
      </c>
      <c r="F3" s="43">
        <f t="shared" si="0"/>
        <v>5817</v>
      </c>
      <c r="G3" s="368">
        <v>43243</v>
      </c>
      <c r="H3" s="80">
        <v>100</v>
      </c>
      <c r="I3" s="43">
        <v>44.88</v>
      </c>
      <c r="J3" s="43">
        <v>0.06</v>
      </c>
      <c r="K3" s="43">
        <f t="shared" si="1"/>
        <v>4487.9399999999996</v>
      </c>
      <c r="L3" s="4"/>
      <c r="M3" s="4"/>
      <c r="O3" s="11" t="s">
        <v>58</v>
      </c>
      <c r="Q3" s="178">
        <f>IF(Q2=0, Q4, (F18-K18-M18)/Q2)</f>
        <v>56.68</v>
      </c>
      <c r="T3" s="1">
        <v>43161</v>
      </c>
      <c r="U3" t="s">
        <v>963</v>
      </c>
    </row>
    <row r="4" spans="1:21" x14ac:dyDescent="0.25">
      <c r="B4" s="368">
        <v>43221</v>
      </c>
      <c r="C4" s="7">
        <v>50</v>
      </c>
      <c r="D4" s="43">
        <v>42</v>
      </c>
      <c r="E4" s="43">
        <v>0</v>
      </c>
      <c r="F4" s="43">
        <f t="shared" si="0"/>
        <v>2100</v>
      </c>
      <c r="G4" s="368">
        <v>43244</v>
      </c>
      <c r="H4" s="80">
        <v>50</v>
      </c>
      <c r="I4" s="43">
        <v>46.58</v>
      </c>
      <c r="J4" s="43">
        <v>0.03</v>
      </c>
      <c r="K4" s="43">
        <f t="shared" si="1"/>
        <v>2328.9699999999998</v>
      </c>
      <c r="L4" s="4"/>
      <c r="M4" s="4"/>
      <c r="O4" s="11" t="s">
        <v>66</v>
      </c>
      <c r="Q4" s="54">
        <v>56.68</v>
      </c>
      <c r="R4" s="425">
        <v>1.7600000000000001E-2</v>
      </c>
      <c r="T4" s="693"/>
      <c r="U4" s="30" t="s">
        <v>964</v>
      </c>
    </row>
    <row r="5" spans="1:21" x14ac:dyDescent="0.25">
      <c r="B5" s="368">
        <v>43304</v>
      </c>
      <c r="C5" s="7">
        <v>50</v>
      </c>
      <c r="D5" s="43">
        <v>51.6</v>
      </c>
      <c r="E5" s="43">
        <v>0</v>
      </c>
      <c r="F5" s="43">
        <f t="shared" si="0"/>
        <v>2580</v>
      </c>
      <c r="G5" s="368">
        <v>43287</v>
      </c>
      <c r="H5" s="80">
        <v>50</v>
      </c>
      <c r="I5" s="43">
        <v>53.08</v>
      </c>
      <c r="J5" s="43">
        <v>0.03</v>
      </c>
      <c r="K5" s="43">
        <f t="shared" si="1"/>
        <v>2653.97</v>
      </c>
      <c r="L5" s="4"/>
      <c r="M5" s="4"/>
      <c r="O5" s="11" t="s">
        <v>67</v>
      </c>
      <c r="Q5" s="3">
        <f>Q4*Q2</f>
        <v>0</v>
      </c>
    </row>
    <row r="6" spans="1:21" x14ac:dyDescent="0.25">
      <c r="A6" t="s">
        <v>758</v>
      </c>
      <c r="B6" s="368">
        <v>43335</v>
      </c>
      <c r="C6" s="7">
        <v>50</v>
      </c>
      <c r="D6" s="43">
        <v>52.63</v>
      </c>
      <c r="E6" s="43">
        <v>0</v>
      </c>
      <c r="F6" s="43">
        <f t="shared" si="0"/>
        <v>2631.5</v>
      </c>
      <c r="G6" s="368">
        <v>43335</v>
      </c>
      <c r="H6" s="80">
        <v>50</v>
      </c>
      <c r="I6" s="43">
        <v>53.42</v>
      </c>
      <c r="J6" s="43">
        <v>0.03</v>
      </c>
      <c r="K6" s="43">
        <f t="shared" si="1"/>
        <v>2670.97</v>
      </c>
      <c r="L6" s="4"/>
      <c r="M6" s="4"/>
      <c r="O6" s="11" t="s">
        <v>64</v>
      </c>
      <c r="Q6" s="2">
        <f>Q3*Q2</f>
        <v>0</v>
      </c>
    </row>
    <row r="7" spans="1:21" x14ac:dyDescent="0.25">
      <c r="B7" s="368">
        <v>43336</v>
      </c>
      <c r="C7" s="7">
        <v>50</v>
      </c>
      <c r="D7" s="43">
        <v>47.85</v>
      </c>
      <c r="E7" s="43">
        <v>0</v>
      </c>
      <c r="F7" s="43">
        <f t="shared" si="0"/>
        <v>2392.5</v>
      </c>
      <c r="G7" s="368">
        <v>43339</v>
      </c>
      <c r="H7" s="80">
        <v>50</v>
      </c>
      <c r="I7" s="43">
        <v>48.52</v>
      </c>
      <c r="J7" s="43">
        <v>0.03</v>
      </c>
      <c r="K7" s="43">
        <f t="shared" si="1"/>
        <v>2425.9699999999998</v>
      </c>
      <c r="L7" s="4"/>
      <c r="M7" s="4"/>
      <c r="O7" s="11" t="s">
        <v>177</v>
      </c>
      <c r="Q7" s="2">
        <f>Q10+Q8</f>
        <v>2227.6699999999946</v>
      </c>
      <c r="R7">
        <v>0</v>
      </c>
      <c r="T7" s="1">
        <v>43244</v>
      </c>
      <c r="U7" t="s">
        <v>1070</v>
      </c>
    </row>
    <row r="8" spans="1:21" x14ac:dyDescent="0.25">
      <c r="B8" s="368">
        <v>43336</v>
      </c>
      <c r="C8" s="7">
        <v>100</v>
      </c>
      <c r="D8" s="43">
        <v>46.65</v>
      </c>
      <c r="E8" s="43">
        <v>0</v>
      </c>
      <c r="F8" s="43">
        <f t="shared" si="0"/>
        <v>4665</v>
      </c>
      <c r="G8" s="368">
        <v>43369</v>
      </c>
      <c r="H8" s="80">
        <v>150</v>
      </c>
      <c r="I8" s="43">
        <v>49.98</v>
      </c>
      <c r="J8" s="43">
        <v>0.1</v>
      </c>
      <c r="K8" s="43">
        <f t="shared" si="1"/>
        <v>7496.8999999999987</v>
      </c>
      <c r="L8" s="4"/>
      <c r="M8" s="4"/>
      <c r="O8" s="11" t="s">
        <v>179</v>
      </c>
      <c r="P8" s="33"/>
      <c r="Q8" s="2">
        <f>K18+M18-F18+Q2*Q4</f>
        <v>2227.6699999999946</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v>43328</v>
      </c>
      <c r="U10" t="s">
        <v>1239</v>
      </c>
    </row>
    <row r="11" spans="1:21" x14ac:dyDescent="0.25">
      <c r="B11" s="4"/>
      <c r="C11" s="4"/>
      <c r="D11" s="3"/>
      <c r="E11" s="3"/>
      <c r="F11" s="3"/>
      <c r="G11" s="4"/>
      <c r="H11" s="161"/>
      <c r="I11" s="3"/>
      <c r="J11" s="3"/>
      <c r="K11" s="3"/>
      <c r="L11" s="4"/>
      <c r="M11" s="4"/>
      <c r="O11" s="11" t="s">
        <v>175</v>
      </c>
      <c r="P11" s="33"/>
      <c r="Q11" s="134">
        <f>R11*4/Q4</f>
        <v>2.4347212420606914E-2</v>
      </c>
      <c r="R11">
        <f>0.345</f>
        <v>0.34499999999999997</v>
      </c>
      <c r="U11" t="s">
        <v>1240</v>
      </c>
    </row>
    <row r="12" spans="1:21" x14ac:dyDescent="0.25">
      <c r="H12" s="70"/>
      <c r="O12" s="11" t="s">
        <v>921</v>
      </c>
      <c r="Q12" s="1" t="s">
        <v>1252</v>
      </c>
    </row>
    <row r="13" spans="1:21" x14ac:dyDescent="0.25">
      <c r="H13" s="70"/>
      <c r="O13" s="11" t="s">
        <v>947</v>
      </c>
      <c r="Q13" s="2">
        <f>Q4/4.4</f>
        <v>12.881818181818181</v>
      </c>
      <c r="T13" s="1">
        <v>43338</v>
      </c>
      <c r="U13" t="s">
        <v>1253</v>
      </c>
    </row>
    <row r="14" spans="1:21" x14ac:dyDescent="0.25">
      <c r="H14" s="70"/>
      <c r="O14" s="11" t="s">
        <v>1034</v>
      </c>
      <c r="Q14" s="1">
        <v>43314</v>
      </c>
    </row>
    <row r="15" spans="1:21" x14ac:dyDescent="0.25">
      <c r="H15" s="70"/>
    </row>
    <row r="16" spans="1:21" ht="20.25" thickBot="1" x14ac:dyDescent="0.35">
      <c r="H16" s="70"/>
      <c r="O16" s="884" t="s">
        <v>78</v>
      </c>
      <c r="P16" s="884"/>
    </row>
    <row r="17" spans="1:16" ht="15.75" thickTop="1" x14ac:dyDescent="0.25">
      <c r="O17" s="81">
        <v>1.1000000000000001</v>
      </c>
      <c r="P17" s="81">
        <f>O17*$Q$4</f>
        <v>62.348000000000006</v>
      </c>
    </row>
    <row r="18" spans="1:16" x14ac:dyDescent="0.25">
      <c r="A18" s="31" t="s">
        <v>81</v>
      </c>
      <c r="B18" s="14"/>
      <c r="C18" s="14">
        <f>SUM(C2:C9)</f>
        <v>500</v>
      </c>
      <c r="D18" s="18"/>
      <c r="E18" s="18"/>
      <c r="F18" s="18">
        <f>SUM(F2:F9)</f>
        <v>22125</v>
      </c>
      <c r="G18" s="14"/>
      <c r="H18" s="71">
        <f>SUM(H2:H8)</f>
        <v>500</v>
      </c>
      <c r="I18" s="18"/>
      <c r="J18" s="18"/>
      <c r="K18" s="18">
        <f>SUM(K2:K8)</f>
        <v>24283.669999999995</v>
      </c>
      <c r="L18" s="14"/>
      <c r="M18" s="18">
        <f>SUM(M2:M10)</f>
        <v>69</v>
      </c>
      <c r="O18" s="81">
        <v>1.0900000000000001</v>
      </c>
      <c r="P18" s="81">
        <f t="shared" ref="P18:P37" si="2">O18*$Q$4</f>
        <v>61.781200000000005</v>
      </c>
    </row>
    <row r="19" spans="1:16" ht="15.75" thickBot="1" x14ac:dyDescent="0.3">
      <c r="A19" s="277" t="s">
        <v>191</v>
      </c>
      <c r="B19" s="278"/>
      <c r="C19" s="279">
        <f>SumByColor($A$19,C2:C17)</f>
        <v>500</v>
      </c>
      <c r="D19" s="279"/>
      <c r="E19" s="279"/>
      <c r="F19" s="280">
        <f>SumByColor($A$19,F2:F17)</f>
        <v>22125</v>
      </c>
      <c r="G19" s="279"/>
      <c r="H19" s="279">
        <f>SumByColor($A$19,H2:H17)</f>
        <v>500</v>
      </c>
      <c r="I19" s="279"/>
      <c r="J19" s="279"/>
      <c r="K19" s="280">
        <f>SumByColor($A$19,K2:K17)</f>
        <v>24284</v>
      </c>
      <c r="L19" s="279"/>
      <c r="M19" s="280">
        <f>SumByColor($A$19,M2:M17)</f>
        <v>69</v>
      </c>
      <c r="O19" s="81">
        <v>1.08</v>
      </c>
      <c r="P19" s="81">
        <f t="shared" si="2"/>
        <v>61.214400000000005</v>
      </c>
    </row>
    <row r="20" spans="1:16" x14ac:dyDescent="0.25">
      <c r="O20" s="81">
        <v>1.07</v>
      </c>
      <c r="P20" s="81">
        <f t="shared" si="2"/>
        <v>60.647600000000004</v>
      </c>
    </row>
    <row r="21" spans="1:16" x14ac:dyDescent="0.25">
      <c r="O21" s="81">
        <v>1.06</v>
      </c>
      <c r="P21" s="81">
        <f t="shared" si="2"/>
        <v>60.080800000000004</v>
      </c>
    </row>
    <row r="22" spans="1:16" x14ac:dyDescent="0.25">
      <c r="O22" s="81">
        <v>1.05</v>
      </c>
      <c r="P22" s="81">
        <f t="shared" si="2"/>
        <v>59.514000000000003</v>
      </c>
    </row>
    <row r="23" spans="1:16" x14ac:dyDescent="0.25">
      <c r="O23" s="81">
        <v>1.04</v>
      </c>
      <c r="P23" s="81">
        <f t="shared" si="2"/>
        <v>58.947200000000002</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2"/>
        <v>58.380400000000002</v>
      </c>
    </row>
    <row r="25" spans="1:16" x14ac:dyDescent="0.25">
      <c r="B25" s="164">
        <v>43165</v>
      </c>
      <c r="C25" s="10">
        <v>200</v>
      </c>
      <c r="D25" s="39">
        <v>38.78</v>
      </c>
      <c r="E25" s="39">
        <v>42.1</v>
      </c>
      <c r="F25" s="39">
        <f>C25*(E25-D25)</f>
        <v>664</v>
      </c>
      <c r="G25" s="39">
        <f>D25*C25</f>
        <v>7756</v>
      </c>
      <c r="H25" s="179">
        <f>(E25-D25)/D25</f>
        <v>8.5611139762764313E-2</v>
      </c>
      <c r="I25" s="39"/>
      <c r="J25" s="39">
        <v>664</v>
      </c>
      <c r="K25" s="39"/>
      <c r="L25" s="39"/>
      <c r="O25" s="81">
        <v>1.02</v>
      </c>
      <c r="P25" s="81">
        <f t="shared" si="2"/>
        <v>57.813600000000001</v>
      </c>
    </row>
    <row r="26" spans="1:16" x14ac:dyDescent="0.25">
      <c r="B26" s="164">
        <v>43172</v>
      </c>
      <c r="C26" s="7">
        <v>200</v>
      </c>
      <c r="D26" s="43">
        <v>38.78</v>
      </c>
      <c r="E26" s="39">
        <v>43.86</v>
      </c>
      <c r="F26" s="39">
        <f>C26*(E26-D26)</f>
        <v>1015.9999999999997</v>
      </c>
      <c r="G26" s="39">
        <f>D26*C26</f>
        <v>7756</v>
      </c>
      <c r="H26" s="179">
        <f>(E26-D26)/D26</f>
        <v>0.13099535843218149</v>
      </c>
      <c r="I26" s="39"/>
      <c r="J26" s="39">
        <v>1015.9999999999997</v>
      </c>
      <c r="K26" s="39"/>
      <c r="L26" s="39"/>
      <c r="O26" s="81">
        <v>1.01</v>
      </c>
      <c r="P26" s="81">
        <f t="shared" si="2"/>
        <v>57.2468</v>
      </c>
    </row>
    <row r="27" spans="1:16" x14ac:dyDescent="0.25">
      <c r="B27" s="164">
        <v>43184</v>
      </c>
      <c r="C27" s="10">
        <v>200</v>
      </c>
      <c r="D27" s="39">
        <v>38.78</v>
      </c>
      <c r="E27" s="39">
        <v>43.74</v>
      </c>
      <c r="F27" s="39">
        <f>C27*(E27-D27)</f>
        <v>992.00000000000023</v>
      </c>
      <c r="G27" s="39">
        <f>D27*C27</f>
        <v>7756</v>
      </c>
      <c r="H27" s="179">
        <f>(E27-D27)/D27</f>
        <v>0.12790097988653948</v>
      </c>
      <c r="I27" s="39"/>
      <c r="J27" s="39">
        <v>992.00000000000023</v>
      </c>
      <c r="K27" s="39"/>
      <c r="L27" s="39"/>
      <c r="O27" s="81">
        <v>1</v>
      </c>
      <c r="P27" s="81">
        <f t="shared" si="2"/>
        <v>56.68</v>
      </c>
    </row>
    <row r="28" spans="1:16" x14ac:dyDescent="0.25">
      <c r="A28">
        <v>0</v>
      </c>
      <c r="B28" s="164">
        <v>43185</v>
      </c>
      <c r="C28" s="10">
        <v>200</v>
      </c>
      <c r="D28" s="39">
        <v>38.78</v>
      </c>
      <c r="E28" s="39">
        <v>45.26</v>
      </c>
      <c r="F28" s="39">
        <f>C28*(E28-D28)</f>
        <v>1295.9999999999993</v>
      </c>
      <c r="G28" s="39">
        <f>D28*C28</f>
        <v>7756</v>
      </c>
      <c r="H28" s="179">
        <f>(E28-D28)/D28</f>
        <v>0.16709644146467242</v>
      </c>
      <c r="I28" s="39"/>
      <c r="J28" s="39">
        <v>1295.9999999999993</v>
      </c>
      <c r="K28" s="39"/>
      <c r="L28" s="39">
        <v>10.56</v>
      </c>
      <c r="O28" s="81">
        <v>0.99</v>
      </c>
      <c r="P28" s="81">
        <f t="shared" si="2"/>
        <v>56.113199999999999</v>
      </c>
    </row>
    <row r="29" spans="1:16" x14ac:dyDescent="0.25">
      <c r="A29">
        <v>200</v>
      </c>
      <c r="B29" s="164">
        <v>43206</v>
      </c>
      <c r="C29" s="10">
        <v>200</v>
      </c>
      <c r="D29" s="39">
        <v>38.78</v>
      </c>
      <c r="E29" s="39">
        <v>43.35</v>
      </c>
      <c r="F29" s="39">
        <f>C29*(E29-D29)</f>
        <v>914</v>
      </c>
      <c r="G29" s="39">
        <f>D29*C29</f>
        <v>7756</v>
      </c>
      <c r="H29" s="179">
        <f>(E29-D29)/D29</f>
        <v>0.11784424961320268</v>
      </c>
      <c r="I29" s="39"/>
      <c r="J29" s="39">
        <v>914</v>
      </c>
      <c r="K29" s="39"/>
      <c r="L29" s="39">
        <v>9.85</v>
      </c>
      <c r="O29" s="81">
        <v>0.98</v>
      </c>
      <c r="P29" s="81">
        <f t="shared" si="2"/>
        <v>55.546399999999998</v>
      </c>
    </row>
    <row r="30" spans="1:16" x14ac:dyDescent="0.25">
      <c r="A30">
        <v>150</v>
      </c>
      <c r="B30" s="164">
        <v>43217</v>
      </c>
      <c r="C30" s="10">
        <v>150</v>
      </c>
      <c r="D30" s="39">
        <v>36.913699999999999</v>
      </c>
      <c r="E30" s="39">
        <v>44.38</v>
      </c>
      <c r="F30" s="39">
        <f t="shared" ref="F30:F35" si="3">C30*(E30-D30)</f>
        <v>1119.9450000000006</v>
      </c>
      <c r="G30" s="39">
        <f t="shared" ref="G30:G35" si="4">D30*C30</f>
        <v>5537.0549999999994</v>
      </c>
      <c r="H30" s="179">
        <f t="shared" ref="H30:H35" si="5">(E30-D30)/D30</f>
        <v>0.20226365820819925</v>
      </c>
      <c r="I30" s="39"/>
      <c r="J30" s="39">
        <v>1119.9450000000006</v>
      </c>
      <c r="K30" s="39"/>
      <c r="L30" s="39">
        <v>10.09</v>
      </c>
      <c r="O30" s="81">
        <v>0.97</v>
      </c>
      <c r="P30" s="81">
        <f t="shared" si="2"/>
        <v>54.979599999999998</v>
      </c>
    </row>
    <row r="31" spans="1:16" x14ac:dyDescent="0.25">
      <c r="A31">
        <v>150</v>
      </c>
      <c r="B31" s="164">
        <v>43221</v>
      </c>
      <c r="C31" s="10">
        <v>200</v>
      </c>
      <c r="D31" s="39">
        <v>38.185299999999998</v>
      </c>
      <c r="E31" s="39">
        <v>42.61</v>
      </c>
      <c r="F31" s="39">
        <f t="shared" si="3"/>
        <v>884.94000000000028</v>
      </c>
      <c r="G31" s="39">
        <f t="shared" si="4"/>
        <v>7637.0599999999995</v>
      </c>
      <c r="H31" s="179">
        <f t="shared" si="5"/>
        <v>0.11587443335524408</v>
      </c>
      <c r="I31" s="39"/>
      <c r="J31" s="39">
        <v>884.94000000000028</v>
      </c>
      <c r="K31" s="39"/>
      <c r="L31" s="39">
        <v>9.6839999999999993</v>
      </c>
      <c r="O31" s="81">
        <v>0.96</v>
      </c>
      <c r="P31" s="81">
        <f t="shared" si="2"/>
        <v>54.412799999999997</v>
      </c>
    </row>
    <row r="32" spans="1:16" x14ac:dyDescent="0.25">
      <c r="A32">
        <v>150</v>
      </c>
      <c r="B32" s="164">
        <v>43225</v>
      </c>
      <c r="C32" s="7">
        <v>200</v>
      </c>
      <c r="D32" s="43">
        <v>37.840299999999999</v>
      </c>
      <c r="E32" s="39">
        <v>41.67</v>
      </c>
      <c r="F32" s="39">
        <f t="shared" si="3"/>
        <v>765.94000000000051</v>
      </c>
      <c r="G32" s="39">
        <f t="shared" si="4"/>
        <v>7568.0599999999995</v>
      </c>
      <c r="H32" s="179">
        <f t="shared" si="5"/>
        <v>0.10120691432150386</v>
      </c>
      <c r="I32" s="39"/>
      <c r="J32" s="39">
        <v>765.94000000000051</v>
      </c>
      <c r="K32" s="39" t="s">
        <v>184</v>
      </c>
      <c r="L32" s="39">
        <v>9.4700000000000006</v>
      </c>
      <c r="O32" s="81">
        <v>0.95</v>
      </c>
      <c r="P32" s="81">
        <f t="shared" si="2"/>
        <v>53.845999999999997</v>
      </c>
    </row>
    <row r="33" spans="1:17" x14ac:dyDescent="0.25">
      <c r="A33">
        <v>50</v>
      </c>
      <c r="B33" s="164">
        <v>43243</v>
      </c>
      <c r="C33" s="185">
        <v>100</v>
      </c>
      <c r="D33" s="186">
        <v>30.800999999999998</v>
      </c>
      <c r="E33" s="39">
        <v>45.03</v>
      </c>
      <c r="F33" s="39">
        <f t="shared" si="3"/>
        <v>1422.9000000000003</v>
      </c>
      <c r="G33" s="39">
        <f t="shared" si="4"/>
        <v>3080.1</v>
      </c>
      <c r="H33" s="179">
        <f t="shared" si="5"/>
        <v>0.46196552059998064</v>
      </c>
      <c r="I33" s="39"/>
      <c r="J33" s="39">
        <v>1422.9000000000003</v>
      </c>
      <c r="K33" s="39"/>
      <c r="L33" s="39">
        <v>10.23</v>
      </c>
      <c r="O33" s="81">
        <v>0.94</v>
      </c>
      <c r="P33" s="81">
        <f t="shared" si="2"/>
        <v>53.279199999999996</v>
      </c>
    </row>
    <row r="34" spans="1:17" x14ac:dyDescent="0.25">
      <c r="B34" s="164">
        <v>43244</v>
      </c>
      <c r="C34" s="10">
        <v>50</v>
      </c>
      <c r="D34" s="39">
        <v>15.0228</v>
      </c>
      <c r="E34" s="39">
        <v>46.39</v>
      </c>
      <c r="F34" s="39">
        <f t="shared" si="3"/>
        <v>1568.3600000000001</v>
      </c>
      <c r="G34" s="39">
        <f t="shared" si="4"/>
        <v>751.14</v>
      </c>
      <c r="H34" s="179">
        <f t="shared" si="5"/>
        <v>2.087972947786032</v>
      </c>
      <c r="I34" s="39"/>
      <c r="J34" s="39">
        <v>1568.3600000000001</v>
      </c>
      <c r="K34" s="39"/>
      <c r="L34" s="39">
        <v>10.54</v>
      </c>
      <c r="O34" s="81">
        <v>0.93</v>
      </c>
      <c r="P34" s="81">
        <f t="shared" si="2"/>
        <v>52.712400000000002</v>
      </c>
    </row>
    <row r="35" spans="1:17" x14ac:dyDescent="0.25">
      <c r="B35" s="164">
        <v>43283</v>
      </c>
      <c r="C35" s="10">
        <v>50</v>
      </c>
      <c r="D35" s="39">
        <v>15.0228</v>
      </c>
      <c r="E35" s="39">
        <v>52.04</v>
      </c>
      <c r="F35" s="39">
        <f t="shared" si="3"/>
        <v>1850.8600000000001</v>
      </c>
      <c r="G35" s="39">
        <f t="shared" si="4"/>
        <v>751.14</v>
      </c>
      <c r="H35" s="179">
        <f t="shared" si="5"/>
        <v>2.4640679500492588</v>
      </c>
      <c r="I35" s="39"/>
      <c r="J35" s="39">
        <v>1850.8600000000001</v>
      </c>
      <c r="K35" s="39"/>
      <c r="L35" s="39">
        <v>11.83</v>
      </c>
      <c r="O35" s="81">
        <v>0.92</v>
      </c>
      <c r="P35" s="81">
        <f t="shared" si="2"/>
        <v>52.145600000000002</v>
      </c>
    </row>
    <row r="36" spans="1:17" x14ac:dyDescent="0.25">
      <c r="B36" s="164">
        <v>43287</v>
      </c>
      <c r="C36" s="10"/>
      <c r="D36" s="39"/>
      <c r="E36" s="39"/>
      <c r="F36" s="39">
        <v>1902.83</v>
      </c>
      <c r="G36" s="39"/>
      <c r="H36" s="179"/>
      <c r="I36" s="39"/>
      <c r="J36" s="39">
        <v>1902.83</v>
      </c>
      <c r="K36" s="39"/>
      <c r="L36" s="39"/>
      <c r="O36" s="81">
        <v>0.91</v>
      </c>
      <c r="P36" s="81">
        <f t="shared" si="2"/>
        <v>51.578800000000001</v>
      </c>
    </row>
    <row r="37" spans="1:17" x14ac:dyDescent="0.25">
      <c r="A37">
        <v>0</v>
      </c>
      <c r="B37" s="164">
        <v>43304</v>
      </c>
      <c r="C37" s="10">
        <v>50</v>
      </c>
      <c r="D37" s="39">
        <v>13.5434</v>
      </c>
      <c r="E37" s="39">
        <v>51.6</v>
      </c>
      <c r="F37" s="39">
        <f>C37*(E37-D37)</f>
        <v>1902.8300000000002</v>
      </c>
      <c r="G37" s="39">
        <f t="shared" ref="G37:G44" si="6">D37*C37</f>
        <v>677.17</v>
      </c>
      <c r="H37" s="179">
        <f t="shared" ref="H37:H44" si="7">(E37-D37)/D37</f>
        <v>2.8099738618072272</v>
      </c>
      <c r="I37" s="39"/>
      <c r="J37" s="39">
        <v>1902.8300000000002</v>
      </c>
      <c r="K37" s="39"/>
      <c r="L37" s="39">
        <v>12.05</v>
      </c>
      <c r="O37" s="81">
        <v>0.9</v>
      </c>
      <c r="P37" s="81">
        <f t="shared" si="2"/>
        <v>51.012</v>
      </c>
    </row>
    <row r="38" spans="1:17" x14ac:dyDescent="0.25">
      <c r="A38">
        <v>0</v>
      </c>
      <c r="B38" s="164">
        <v>43316</v>
      </c>
      <c r="C38" s="10">
        <v>50</v>
      </c>
      <c r="D38" s="39">
        <v>13.54</v>
      </c>
      <c r="E38" s="39">
        <v>47.16</v>
      </c>
      <c r="F38" s="39">
        <f>C38*(E38-D38)</f>
        <v>1680.9999999999998</v>
      </c>
      <c r="G38" s="39">
        <f t="shared" si="6"/>
        <v>677</v>
      </c>
      <c r="H38" s="179">
        <f t="shared" si="7"/>
        <v>2.4830132939438698</v>
      </c>
      <c r="I38" s="39"/>
      <c r="J38" s="39">
        <v>1680.9999999999998</v>
      </c>
      <c r="K38" s="39"/>
      <c r="L38" s="39">
        <v>10.72</v>
      </c>
    </row>
    <row r="39" spans="1:17" x14ac:dyDescent="0.25">
      <c r="A39">
        <v>0</v>
      </c>
      <c r="B39" s="164">
        <v>43332</v>
      </c>
      <c r="C39" s="10">
        <v>50</v>
      </c>
      <c r="D39" s="39">
        <v>13.54</v>
      </c>
      <c r="E39" s="39">
        <v>51.76</v>
      </c>
      <c r="F39" s="39">
        <f>C39*(E39-D39)</f>
        <v>1911</v>
      </c>
      <c r="G39" s="39">
        <f t="shared" si="6"/>
        <v>677</v>
      </c>
      <c r="H39" s="179">
        <f t="shared" si="7"/>
        <v>2.8227474150664698</v>
      </c>
      <c r="I39" s="39"/>
      <c r="J39" s="39">
        <v>1911</v>
      </c>
      <c r="K39" s="39"/>
      <c r="L39" s="39">
        <v>11.76</v>
      </c>
    </row>
    <row r="40" spans="1:17" x14ac:dyDescent="0.25">
      <c r="B40" s="164">
        <v>43335</v>
      </c>
      <c r="C40" s="10">
        <v>0</v>
      </c>
      <c r="D40" s="39">
        <v>13.54</v>
      </c>
      <c r="E40" s="39">
        <v>53.42</v>
      </c>
      <c r="F40" s="39">
        <v>1994</v>
      </c>
      <c r="G40" s="39">
        <f t="shared" si="6"/>
        <v>0</v>
      </c>
      <c r="H40" s="179">
        <f t="shared" si="7"/>
        <v>2.9453471196454952</v>
      </c>
      <c r="I40" s="39"/>
      <c r="J40" s="39">
        <v>1994</v>
      </c>
      <c r="K40" s="39"/>
      <c r="L40" s="39">
        <v>11.85</v>
      </c>
    </row>
    <row r="41" spans="1:17" x14ac:dyDescent="0.25">
      <c r="A41">
        <v>0</v>
      </c>
      <c r="B41" s="164">
        <v>43335</v>
      </c>
      <c r="C41" s="10">
        <v>50</v>
      </c>
      <c r="D41" s="39">
        <v>12.754</v>
      </c>
      <c r="E41" s="39">
        <v>52.63</v>
      </c>
      <c r="F41" s="39">
        <f t="shared" ref="F41:F49" si="8">C41*(E41-D41)</f>
        <v>1993.8000000000002</v>
      </c>
      <c r="G41" s="39">
        <f t="shared" si="6"/>
        <v>637.69999999999993</v>
      </c>
      <c r="H41" s="179">
        <f t="shared" si="7"/>
        <v>3.1265485337933203</v>
      </c>
      <c r="I41" s="39"/>
      <c r="J41" s="39">
        <v>1993.8000000000002</v>
      </c>
      <c r="K41" s="39"/>
      <c r="L41" s="39">
        <v>12.09</v>
      </c>
      <c r="Q41" s="2"/>
    </row>
    <row r="42" spans="1:17" x14ac:dyDescent="0.25">
      <c r="B42" s="164">
        <v>43336</v>
      </c>
      <c r="C42" s="185">
        <v>100</v>
      </c>
      <c r="D42" s="186">
        <v>30.3</v>
      </c>
      <c r="E42" s="39">
        <v>48.32</v>
      </c>
      <c r="F42" s="39">
        <f t="shared" si="8"/>
        <v>1802</v>
      </c>
      <c r="G42" s="39">
        <f t="shared" si="6"/>
        <v>3030</v>
      </c>
      <c r="H42" s="179">
        <f t="shared" si="7"/>
        <v>0.59471947194719466</v>
      </c>
      <c r="I42" s="39"/>
      <c r="J42" s="39">
        <v>1802</v>
      </c>
      <c r="K42" s="39"/>
      <c r="L42" s="39"/>
      <c r="Q42" s="2"/>
    </row>
    <row r="43" spans="1:17" x14ac:dyDescent="0.25">
      <c r="A43">
        <v>0</v>
      </c>
      <c r="B43" s="164">
        <v>43336</v>
      </c>
      <c r="C43" s="7">
        <v>200</v>
      </c>
      <c r="D43" s="43">
        <v>38.475999999999999</v>
      </c>
      <c r="E43" s="39">
        <v>48.32</v>
      </c>
      <c r="F43" s="39">
        <f t="shared" si="8"/>
        <v>1968.8000000000002</v>
      </c>
      <c r="G43" s="39">
        <f t="shared" si="6"/>
        <v>7695.2</v>
      </c>
      <c r="H43" s="179">
        <f t="shared" si="7"/>
        <v>0.25584780122673878</v>
      </c>
      <c r="I43" s="39" t="s">
        <v>1251</v>
      </c>
      <c r="J43" s="39">
        <v>1968.8000000000002</v>
      </c>
      <c r="K43" s="39"/>
      <c r="L43" s="39">
        <v>10.98</v>
      </c>
      <c r="Q43" s="2"/>
    </row>
    <row r="44" spans="1:17" x14ac:dyDescent="0.25">
      <c r="A44">
        <v>0</v>
      </c>
      <c r="B44" s="164">
        <v>43339</v>
      </c>
      <c r="C44" s="10">
        <v>150</v>
      </c>
      <c r="D44" s="39">
        <v>35.1282</v>
      </c>
      <c r="E44" s="39">
        <v>48.52</v>
      </c>
      <c r="F44" s="39">
        <f t="shared" si="8"/>
        <v>2008.7700000000004</v>
      </c>
      <c r="G44" s="39">
        <f t="shared" si="6"/>
        <v>5269.23</v>
      </c>
      <c r="H44" s="179">
        <f t="shared" si="7"/>
        <v>0.38122647901116491</v>
      </c>
      <c r="I44" s="39"/>
      <c r="J44" s="39">
        <v>2008.7700000000004</v>
      </c>
      <c r="K44" s="39"/>
      <c r="L44" s="39">
        <v>11.03</v>
      </c>
      <c r="Q44" s="2"/>
    </row>
    <row r="45" spans="1:17" x14ac:dyDescent="0.25">
      <c r="B45" s="164">
        <v>43341</v>
      </c>
      <c r="C45" s="10">
        <v>150</v>
      </c>
      <c r="D45" s="39">
        <v>35.1282</v>
      </c>
      <c r="E45" s="39">
        <v>49.81</v>
      </c>
      <c r="F45" s="778">
        <f t="shared" si="8"/>
        <v>2202.2700000000004</v>
      </c>
      <c r="G45" s="39">
        <f>D45*C45</f>
        <v>5269.23</v>
      </c>
      <c r="H45" s="179">
        <f>(E45-D45)/D45</f>
        <v>0.41794911210935953</v>
      </c>
      <c r="I45" s="39"/>
      <c r="J45" s="39">
        <v>2202.2700000000004</v>
      </c>
      <c r="K45" s="39"/>
      <c r="L45" s="39">
        <v>11.32</v>
      </c>
      <c r="Q45" s="2"/>
    </row>
    <row r="46" spans="1:17" x14ac:dyDescent="0.25">
      <c r="A46">
        <v>0</v>
      </c>
      <c r="B46" s="164">
        <v>43348</v>
      </c>
      <c r="C46" s="10">
        <v>150</v>
      </c>
      <c r="D46" s="39">
        <v>35.130000000000003</v>
      </c>
      <c r="E46" s="39">
        <v>49.16</v>
      </c>
      <c r="F46" s="39">
        <f t="shared" si="8"/>
        <v>2104.4999999999991</v>
      </c>
      <c r="G46" s="39">
        <f>D46*C46</f>
        <v>5269.5</v>
      </c>
      <c r="H46" s="179">
        <f>(E46-D46)/D46</f>
        <v>0.39937375462567587</v>
      </c>
      <c r="I46" s="39"/>
      <c r="J46" s="39">
        <v>2104.4999999999991</v>
      </c>
      <c r="K46" s="39"/>
      <c r="L46" s="39">
        <v>11.17</v>
      </c>
      <c r="Q46" s="2"/>
    </row>
    <row r="47" spans="1:17" x14ac:dyDescent="0.25">
      <c r="B47" s="164">
        <v>43349</v>
      </c>
      <c r="C47" s="10">
        <v>150</v>
      </c>
      <c r="D47" s="39">
        <v>35.130000000000003</v>
      </c>
      <c r="E47" s="39">
        <v>47.04</v>
      </c>
      <c r="F47" s="39">
        <f t="shared" si="8"/>
        <v>1786.4999999999995</v>
      </c>
      <c r="G47" s="39">
        <f>D47*C47</f>
        <v>5269.5</v>
      </c>
      <c r="H47" s="179">
        <f>(E47-D47)/D47</f>
        <v>0.33902647309991446</v>
      </c>
      <c r="I47" s="39"/>
      <c r="J47" s="39">
        <v>1786.4999999999995</v>
      </c>
      <c r="K47" s="39"/>
      <c r="L47" s="39">
        <v>10.69</v>
      </c>
      <c r="Q47" s="2"/>
    </row>
    <row r="48" spans="1:17" x14ac:dyDescent="0.25">
      <c r="B48" s="164">
        <v>43364</v>
      </c>
      <c r="C48" s="10">
        <v>150</v>
      </c>
      <c r="D48" s="39">
        <v>35.130000000000003</v>
      </c>
      <c r="E48" s="39">
        <v>48.29</v>
      </c>
      <c r="F48" s="39">
        <f t="shared" si="8"/>
        <v>1973.9999999999995</v>
      </c>
      <c r="G48" s="39">
        <f>D48*C48</f>
        <v>5269.5</v>
      </c>
      <c r="H48" s="179">
        <f>(E48-D48)/D48</f>
        <v>0.3746085966410474</v>
      </c>
      <c r="I48" s="39"/>
      <c r="J48" s="39">
        <v>1973.9999999999995</v>
      </c>
      <c r="K48" s="39"/>
      <c r="L48" s="39">
        <v>10.98</v>
      </c>
      <c r="Q48" s="2"/>
    </row>
    <row r="49" spans="1:17" x14ac:dyDescent="0.25">
      <c r="B49" s="164">
        <v>43369</v>
      </c>
      <c r="C49" s="10">
        <v>0</v>
      </c>
      <c r="D49" s="39">
        <v>35.130000000000003</v>
      </c>
      <c r="E49" s="39">
        <v>50.12</v>
      </c>
      <c r="F49" s="39">
        <f t="shared" si="8"/>
        <v>0</v>
      </c>
      <c r="G49" s="39">
        <f>D49*C49</f>
        <v>0</v>
      </c>
      <c r="H49" s="179">
        <f>(E49-D49)/D49</f>
        <v>0.426700825505266</v>
      </c>
      <c r="I49" s="39"/>
      <c r="J49" s="778">
        <v>2227.67</v>
      </c>
      <c r="K49" s="39"/>
      <c r="L49" s="39">
        <v>11.39</v>
      </c>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920</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498" priority="43">
      <formula>F54&gt;0</formula>
    </cfRule>
    <cfRule type="expression" dxfId="1497" priority="44">
      <formula>F54&lt;0</formula>
    </cfRule>
  </conditionalFormatting>
  <conditionalFormatting sqref="Q7">
    <cfRule type="expression" dxfId="1496" priority="41">
      <formula>Q7&gt;0</formula>
    </cfRule>
    <cfRule type="expression" dxfId="1495" priority="42">
      <formula>Q7&lt;0</formula>
    </cfRule>
  </conditionalFormatting>
  <conditionalFormatting sqref="Q8">
    <cfRule type="expression" dxfId="1494" priority="39">
      <formula>Q8&gt;0</formula>
    </cfRule>
    <cfRule type="expression" dxfId="1493" priority="40">
      <formula>Q8&lt;0</formula>
    </cfRule>
  </conditionalFormatting>
  <conditionalFormatting sqref="F33:F36 F38:F53">
    <cfRule type="expression" dxfId="1492" priority="37">
      <formula>F33&gt;0</formula>
    </cfRule>
    <cfRule type="expression" dxfId="1491" priority="38">
      <formula>F33&lt;0</formula>
    </cfRule>
  </conditionalFormatting>
  <conditionalFormatting sqref="H33:H36 H38:H53">
    <cfRule type="expression" dxfId="1490" priority="35">
      <formula>H33&gt;0</formula>
    </cfRule>
    <cfRule type="expression" dxfId="1489" priority="36">
      <formula>H33&lt;0</formula>
    </cfRule>
  </conditionalFormatting>
  <conditionalFormatting sqref="Q10">
    <cfRule type="expression" dxfId="1488" priority="33">
      <formula>Q10&gt;0</formula>
    </cfRule>
    <cfRule type="expression" dxfId="1487" priority="34">
      <formula>Q10&lt;0</formula>
    </cfRule>
  </conditionalFormatting>
  <conditionalFormatting sqref="J25:J37">
    <cfRule type="expression" dxfId="1486" priority="31">
      <formula>J25&gt;0</formula>
    </cfRule>
    <cfRule type="expression" dxfId="1485" priority="32">
      <formula>J25&lt;0</formula>
    </cfRule>
  </conditionalFormatting>
  <conditionalFormatting sqref="K25:K38">
    <cfRule type="expression" dxfId="1484" priority="29">
      <formula>K25&gt;0</formula>
    </cfRule>
    <cfRule type="expression" dxfId="1483" priority="30">
      <formula>K25&lt;0</formula>
    </cfRule>
  </conditionalFormatting>
  <conditionalFormatting sqref="L25">
    <cfRule type="expression" dxfId="1482" priority="27">
      <formula>L25&gt;0</formula>
    </cfRule>
    <cfRule type="expression" dxfId="1481" priority="28">
      <formula>L25&lt;0</formula>
    </cfRule>
  </conditionalFormatting>
  <conditionalFormatting sqref="F89:F110">
    <cfRule type="expression" dxfId="1480" priority="25">
      <formula>F89&gt;0</formula>
    </cfRule>
    <cfRule type="expression" dxfId="1479" priority="26">
      <formula>F89&lt;0</formula>
    </cfRule>
  </conditionalFormatting>
  <conditionalFormatting sqref="H89:H110">
    <cfRule type="expression" dxfId="1478" priority="23">
      <formula>H89&gt;0</formula>
    </cfRule>
    <cfRule type="expression" dxfId="1477" priority="24">
      <formula>H89&lt;0</formula>
    </cfRule>
  </conditionalFormatting>
  <conditionalFormatting sqref="J89:J102">
    <cfRule type="expression" dxfId="1476" priority="21">
      <formula>J89&gt;0</formula>
    </cfRule>
    <cfRule type="expression" dxfId="1475" priority="22">
      <formula>J89&lt;0</formula>
    </cfRule>
  </conditionalFormatting>
  <conditionalFormatting sqref="K89:K102">
    <cfRule type="expression" dxfId="1474" priority="19">
      <formula>K89&gt;0</formula>
    </cfRule>
    <cfRule type="expression" dxfId="1473" priority="20">
      <formula>K89&lt;0</formula>
    </cfRule>
  </conditionalFormatting>
  <conditionalFormatting sqref="L89:L102">
    <cfRule type="expression" dxfId="1472" priority="17">
      <formula>L89&gt;0</formula>
    </cfRule>
    <cfRule type="expression" dxfId="1471" priority="18">
      <formula>L89&lt;0</formula>
    </cfRule>
  </conditionalFormatting>
  <conditionalFormatting sqref="F29:F32">
    <cfRule type="expression" dxfId="1470" priority="15">
      <formula>F29&gt;0</formula>
    </cfRule>
    <cfRule type="expression" dxfId="1469" priority="16">
      <formula>F29&lt;0</formula>
    </cfRule>
  </conditionalFormatting>
  <conditionalFormatting sqref="H29:H32">
    <cfRule type="expression" dxfId="1468" priority="13">
      <formula>H29&gt;0</formula>
    </cfRule>
    <cfRule type="expression" dxfId="1467" priority="14">
      <formula>H29&lt;0</formula>
    </cfRule>
  </conditionalFormatting>
  <conditionalFormatting sqref="F25:F28">
    <cfRule type="expression" dxfId="1466" priority="11">
      <formula>F25&gt;0</formula>
    </cfRule>
    <cfRule type="expression" dxfId="1465" priority="12">
      <formula>F25&lt;0</formula>
    </cfRule>
  </conditionalFormatting>
  <conditionalFormatting sqref="H25:H28">
    <cfRule type="expression" dxfId="1464" priority="9">
      <formula>H25&gt;0</formula>
    </cfRule>
    <cfRule type="expression" dxfId="1463" priority="10">
      <formula>H25&lt;0</formula>
    </cfRule>
  </conditionalFormatting>
  <conditionalFormatting sqref="F37">
    <cfRule type="expression" dxfId="1462" priority="7">
      <formula>F37&gt;0</formula>
    </cfRule>
    <cfRule type="expression" dxfId="1461" priority="8">
      <formula>F37&lt;0</formula>
    </cfRule>
  </conditionalFormatting>
  <conditionalFormatting sqref="H37">
    <cfRule type="expression" dxfId="1460" priority="5">
      <formula>H37&gt;0</formula>
    </cfRule>
    <cfRule type="expression" dxfId="1459" priority="6">
      <formula>H37&lt;0</formula>
    </cfRule>
  </conditionalFormatting>
  <conditionalFormatting sqref="J49">
    <cfRule type="expression" dxfId="1458" priority="3">
      <formula>J49&gt;0</formula>
    </cfRule>
    <cfRule type="expression" dxfId="1457" priority="4">
      <formula>J49&lt;0</formula>
    </cfRule>
  </conditionalFormatting>
  <conditionalFormatting sqref="J38:J48">
    <cfRule type="expression" dxfId="1456" priority="1">
      <formula>J38&gt;0</formula>
    </cfRule>
    <cfRule type="expression" dxfId="1455" priority="2">
      <formula>J38&lt;0</formula>
    </cfRule>
  </conditionalFormatting>
  <hyperlinks>
    <hyperlink ref="A3" location="ACTIVE!A1" display="Back"/>
  </hyperlinks>
  <pageMargins left="0.7" right="0.7" top="0.75" bottom="0.75" header="0.3" footer="0.3"/>
  <pageSetup orientation="portrait" r:id="rId1"/>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14" activePane="bottomLeft" state="frozen"/>
      <selection activeCell="A2" sqref="A2"/>
      <selection pane="bottomLeft" activeCell="L49" sqref="L49"/>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919</v>
      </c>
      <c r="B2" s="406">
        <v>43161</v>
      </c>
      <c r="C2" s="7">
        <v>20</v>
      </c>
      <c r="D2" s="43">
        <v>198</v>
      </c>
      <c r="E2" s="43">
        <v>0</v>
      </c>
      <c r="F2" s="43">
        <f t="shared" ref="F2:F7" si="0">C2*D2+E2</f>
        <v>3960</v>
      </c>
      <c r="G2" s="406">
        <v>43227</v>
      </c>
      <c r="H2" s="7">
        <v>20</v>
      </c>
      <c r="I2" s="43">
        <v>204.88</v>
      </c>
      <c r="J2" s="43">
        <v>0.09</v>
      </c>
      <c r="K2" s="43">
        <f t="shared" ref="K2:K7" si="1">H2*I2-J2</f>
        <v>4097.51</v>
      </c>
      <c r="L2" s="72">
        <v>43465</v>
      </c>
      <c r="M2" s="43">
        <v>14.4</v>
      </c>
      <c r="O2" s="11" t="s">
        <v>57</v>
      </c>
      <c r="Q2">
        <f>C18-H18</f>
        <v>0</v>
      </c>
      <c r="T2" s="1" t="s">
        <v>937</v>
      </c>
      <c r="U2" t="s">
        <v>1269</v>
      </c>
    </row>
    <row r="3" spans="1:21" x14ac:dyDescent="0.25">
      <c r="A3" s="22" t="s">
        <v>71</v>
      </c>
      <c r="B3" s="406">
        <v>43343</v>
      </c>
      <c r="C3" s="7">
        <v>30</v>
      </c>
      <c r="D3" s="43">
        <v>198.6</v>
      </c>
      <c r="E3" s="43">
        <v>0</v>
      </c>
      <c r="F3" s="43">
        <f t="shared" si="0"/>
        <v>5958</v>
      </c>
      <c r="G3" s="406">
        <v>43388</v>
      </c>
      <c r="H3" s="80">
        <v>30</v>
      </c>
      <c r="I3" s="43">
        <v>169.38</v>
      </c>
      <c r="J3" s="43">
        <v>7.0000000000000007E-2</v>
      </c>
      <c r="K3" s="43">
        <f t="shared" si="1"/>
        <v>5081.33</v>
      </c>
      <c r="L3" s="72">
        <v>43555</v>
      </c>
      <c r="M3" s="43">
        <v>14.4</v>
      </c>
      <c r="O3" s="11" t="s">
        <v>58</v>
      </c>
      <c r="Q3" s="178">
        <f>IF(Q2=0, Q4, (F18-K18-M18)/Q2)</f>
        <v>198.63</v>
      </c>
      <c r="T3" s="1"/>
    </row>
    <row r="4" spans="1:21" x14ac:dyDescent="0.25">
      <c r="B4" s="406">
        <v>43353</v>
      </c>
      <c r="C4" s="7">
        <v>30</v>
      </c>
      <c r="D4" s="43">
        <v>189.28</v>
      </c>
      <c r="E4" s="43">
        <v>0</v>
      </c>
      <c r="F4" s="43">
        <f t="shared" si="0"/>
        <v>5678.4</v>
      </c>
      <c r="G4" s="406">
        <v>43411</v>
      </c>
      <c r="H4" s="80">
        <v>30</v>
      </c>
      <c r="I4" s="43">
        <v>193</v>
      </c>
      <c r="J4" s="43">
        <v>0.08</v>
      </c>
      <c r="K4" s="43">
        <f t="shared" si="1"/>
        <v>5789.92</v>
      </c>
      <c r="L4" s="4"/>
      <c r="M4" s="4"/>
      <c r="O4" s="11" t="s">
        <v>66</v>
      </c>
      <c r="Q4" s="54">
        <v>198.63</v>
      </c>
      <c r="R4" s="425">
        <v>1.12E-2</v>
      </c>
      <c r="T4" s="693"/>
      <c r="U4" s="30"/>
    </row>
    <row r="5" spans="1:21" x14ac:dyDescent="0.25">
      <c r="B5" s="406">
        <v>43388</v>
      </c>
      <c r="C5" s="7">
        <v>30</v>
      </c>
      <c r="D5" s="43">
        <v>167.88</v>
      </c>
      <c r="E5" s="43">
        <v>0</v>
      </c>
      <c r="F5" s="43">
        <f t="shared" si="0"/>
        <v>5036.3999999999996</v>
      </c>
      <c r="G5" s="406">
        <v>43432</v>
      </c>
      <c r="H5" s="80">
        <v>30</v>
      </c>
      <c r="I5" s="43">
        <v>193</v>
      </c>
      <c r="J5" s="43">
        <v>0.08</v>
      </c>
      <c r="K5" s="43">
        <f t="shared" si="1"/>
        <v>5789.92</v>
      </c>
      <c r="L5" s="4"/>
      <c r="M5" s="4"/>
      <c r="O5" s="11" t="s">
        <v>67</v>
      </c>
      <c r="Q5" s="3">
        <f>Q4*Q2</f>
        <v>0</v>
      </c>
    </row>
    <row r="6" spans="1:21" x14ac:dyDescent="0.25">
      <c r="B6" s="406">
        <v>43413</v>
      </c>
      <c r="C6" s="7">
        <v>30</v>
      </c>
      <c r="D6" s="43">
        <v>182.47</v>
      </c>
      <c r="E6" s="43">
        <v>0</v>
      </c>
      <c r="F6" s="43">
        <f t="shared" si="0"/>
        <v>5474.1</v>
      </c>
      <c r="G6" s="406">
        <v>43516</v>
      </c>
      <c r="H6" s="80">
        <v>30</v>
      </c>
      <c r="I6" s="43">
        <v>193.58</v>
      </c>
      <c r="J6" s="43">
        <v>0.08</v>
      </c>
      <c r="K6" s="43">
        <f t="shared" si="1"/>
        <v>5807.3200000000006</v>
      </c>
      <c r="L6" s="4"/>
      <c r="M6" s="4"/>
      <c r="O6" s="11" t="s">
        <v>64</v>
      </c>
      <c r="Q6" s="2">
        <f>Q3*Q2</f>
        <v>0</v>
      </c>
    </row>
    <row r="7" spans="1:21" x14ac:dyDescent="0.25">
      <c r="B7" s="406">
        <v>43434</v>
      </c>
      <c r="C7" s="7">
        <v>30</v>
      </c>
      <c r="D7" s="43">
        <v>191.08</v>
      </c>
      <c r="E7" s="43">
        <v>0</v>
      </c>
      <c r="F7" s="43">
        <f t="shared" si="0"/>
        <v>5732.4000000000005</v>
      </c>
      <c r="G7" s="406">
        <v>43535</v>
      </c>
      <c r="H7" s="80">
        <v>30</v>
      </c>
      <c r="I7" s="43">
        <v>199</v>
      </c>
      <c r="J7" s="43">
        <v>0.08</v>
      </c>
      <c r="K7" s="43">
        <f t="shared" si="1"/>
        <v>5969.92</v>
      </c>
      <c r="L7" s="4"/>
      <c r="M7" s="4"/>
      <c r="O7" s="11" t="s">
        <v>177</v>
      </c>
      <c r="Q7" s="2">
        <f>Q10+Q8</f>
        <v>725.41999999999462</v>
      </c>
      <c r="R7">
        <v>0</v>
      </c>
    </row>
    <row r="8" spans="1:21" x14ac:dyDescent="0.25">
      <c r="B8" s="407"/>
      <c r="C8" s="4"/>
      <c r="D8" s="3"/>
      <c r="E8" s="3"/>
      <c r="F8" s="3"/>
      <c r="G8" s="407"/>
      <c r="H8" s="161"/>
      <c r="I8" s="3"/>
      <c r="J8" s="3"/>
      <c r="K8" s="3"/>
      <c r="L8" s="4"/>
      <c r="M8" s="4"/>
      <c r="O8" s="11" t="s">
        <v>179</v>
      </c>
      <c r="P8" s="33"/>
      <c r="Q8" s="2">
        <f>K18+M18-F18+Q2*Q4</f>
        <v>725.41999999999462</v>
      </c>
    </row>
    <row r="9" spans="1:21" x14ac:dyDescent="0.25">
      <c r="B9" s="407"/>
      <c r="C9" s="4"/>
      <c r="D9" s="3"/>
      <c r="E9" s="3"/>
      <c r="F9" s="3"/>
      <c r="G9" s="407"/>
      <c r="H9" s="161"/>
      <c r="I9" s="3"/>
      <c r="J9" s="3"/>
      <c r="K9" s="3"/>
      <c r="L9" s="4"/>
      <c r="M9" s="4"/>
      <c r="O9" s="11" t="s">
        <v>204</v>
      </c>
      <c r="Q9" s="134">
        <f>IF(Q2=0, 0, Q8/Q6)</f>
        <v>0</v>
      </c>
      <c r="T9" s="156"/>
    </row>
    <row r="10" spans="1:21" x14ac:dyDescent="0.25">
      <c r="B10" s="407"/>
      <c r="C10" s="4"/>
      <c r="D10" s="3"/>
      <c r="E10" s="3"/>
      <c r="F10" s="3"/>
      <c r="G10" s="407"/>
      <c r="H10" s="161"/>
      <c r="I10" s="3"/>
      <c r="J10" s="3"/>
      <c r="K10" s="3"/>
      <c r="L10" s="4"/>
      <c r="M10" s="4"/>
      <c r="O10" s="11" t="s">
        <v>203</v>
      </c>
      <c r="P10" s="33"/>
      <c r="Q10" s="2">
        <f>M66</f>
        <v>0</v>
      </c>
    </row>
    <row r="11" spans="1:21" x14ac:dyDescent="0.25">
      <c r="B11" s="407"/>
      <c r="C11" s="4"/>
      <c r="D11" s="3"/>
      <c r="E11" s="3"/>
      <c r="F11" s="3"/>
      <c r="G11" s="407"/>
      <c r="H11" s="161"/>
      <c r="I11" s="3"/>
      <c r="J11" s="3"/>
      <c r="K11" s="3"/>
      <c r="L11" s="4"/>
      <c r="M11" s="4"/>
      <c r="O11" s="11" t="s">
        <v>175</v>
      </c>
      <c r="P11" s="33"/>
      <c r="Q11" s="134">
        <f>R11/Q4 *4</f>
        <v>9.6662135629059058E-3</v>
      </c>
      <c r="R11">
        <v>0.48</v>
      </c>
    </row>
    <row r="12" spans="1:21" x14ac:dyDescent="0.25">
      <c r="B12" s="29"/>
      <c r="G12" s="29"/>
      <c r="H12" s="70"/>
      <c r="O12" s="11" t="s">
        <v>969</v>
      </c>
      <c r="Q12" s="29" t="s">
        <v>1376</v>
      </c>
    </row>
    <row r="13" spans="1:21" x14ac:dyDescent="0.25">
      <c r="B13" s="29"/>
      <c r="G13" s="29"/>
      <c r="H13" s="70"/>
      <c r="O13" s="11" t="s">
        <v>947</v>
      </c>
      <c r="Q13" s="2">
        <f>Q4/8.62</f>
        <v>23.042923433874712</v>
      </c>
    </row>
    <row r="14" spans="1:21" x14ac:dyDescent="0.25">
      <c r="B14" s="29"/>
      <c r="G14" s="29"/>
      <c r="H14" s="70"/>
      <c r="O14" s="11" t="s">
        <v>1034</v>
      </c>
      <c r="Q14" s="29">
        <v>43426</v>
      </c>
    </row>
    <row r="15" spans="1:21" x14ac:dyDescent="0.25">
      <c r="B15" s="29"/>
      <c r="G15" s="29"/>
      <c r="H15" s="70"/>
    </row>
    <row r="16" spans="1:21" x14ac:dyDescent="0.25">
      <c r="B16" s="29"/>
      <c r="G16" s="29"/>
      <c r="H16" s="70"/>
    </row>
    <row r="17" spans="1:16" x14ac:dyDescent="0.25">
      <c r="B17" s="29"/>
      <c r="G17" s="29"/>
    </row>
    <row r="18" spans="1:16" x14ac:dyDescent="0.25">
      <c r="A18" s="31" t="s">
        <v>81</v>
      </c>
      <c r="B18" s="14"/>
      <c r="C18" s="14">
        <f>SUM(C2:C8)</f>
        <v>170</v>
      </c>
      <c r="D18" s="18"/>
      <c r="E18" s="18"/>
      <c r="F18" s="18">
        <f>SUM(F2:F8)</f>
        <v>31839.300000000003</v>
      </c>
      <c r="G18" s="14"/>
      <c r="H18" s="71">
        <f>SUM(H2:H7)</f>
        <v>170</v>
      </c>
      <c r="I18" s="18"/>
      <c r="J18" s="18"/>
      <c r="K18" s="18">
        <f>SUM(K2:K7)</f>
        <v>32535.919999999998</v>
      </c>
      <c r="L18" s="14"/>
      <c r="M18" s="18">
        <f>SUM(M2:M10)</f>
        <v>28.8</v>
      </c>
    </row>
    <row r="19" spans="1:16" ht="15.75" thickBot="1" x14ac:dyDescent="0.3">
      <c r="A19" s="277" t="s">
        <v>191</v>
      </c>
      <c r="B19" s="278"/>
      <c r="C19" s="279">
        <f>SumByColor($A$19,C2:C17)</f>
        <v>170</v>
      </c>
      <c r="D19" s="279"/>
      <c r="E19" s="279"/>
      <c r="F19" s="280">
        <f>SumByColor($A$19,F2:F17)</f>
        <v>31838</v>
      </c>
      <c r="G19" s="279"/>
      <c r="H19" s="279">
        <f>SumByColor($A$19,H2:H17)</f>
        <v>170</v>
      </c>
      <c r="I19" s="279"/>
      <c r="J19" s="279"/>
      <c r="K19" s="280">
        <f>SumByColor($A$19,K2:K17)</f>
        <v>32536</v>
      </c>
      <c r="L19" s="279"/>
      <c r="M19" s="280">
        <f>SumByColor($A$19,M2:M17)</f>
        <v>28</v>
      </c>
    </row>
    <row r="21" spans="1:16" ht="20.25" thickBot="1" x14ac:dyDescent="0.35">
      <c r="O21" s="786" t="s">
        <v>78</v>
      </c>
      <c r="P21" s="786"/>
    </row>
    <row r="22" spans="1:16" ht="15.75" thickTop="1" x14ac:dyDescent="0.25">
      <c r="O22" s="81">
        <v>1.1000000000000001</v>
      </c>
      <c r="P22" s="81">
        <f>O22*$Q$4</f>
        <v>218.49300000000002</v>
      </c>
    </row>
    <row r="23" spans="1:16" x14ac:dyDescent="0.25">
      <c r="O23" s="81">
        <v>1.0900000000000001</v>
      </c>
      <c r="P23" s="81">
        <f t="shared" ref="P23:P42" si="2">O23*$Q$4</f>
        <v>216.50670000000002</v>
      </c>
    </row>
    <row r="24" spans="1:16" x14ac:dyDescent="0.25">
      <c r="B24" s="162" t="s">
        <v>113</v>
      </c>
      <c r="C24" s="162" t="s">
        <v>145</v>
      </c>
      <c r="D24" s="163" t="s">
        <v>144</v>
      </c>
      <c r="E24" s="165" t="s">
        <v>146</v>
      </c>
      <c r="F24" s="165" t="s">
        <v>65</v>
      </c>
      <c r="G24" s="177" t="s">
        <v>150</v>
      </c>
      <c r="H24" s="177" t="s">
        <v>88</v>
      </c>
      <c r="I24" s="177" t="s">
        <v>153</v>
      </c>
      <c r="J24" s="177" t="s">
        <v>149</v>
      </c>
      <c r="K24" s="177" t="s">
        <v>487</v>
      </c>
      <c r="L24" s="177" t="s">
        <v>1338</v>
      </c>
      <c r="O24" s="81">
        <v>1.08</v>
      </c>
      <c r="P24" s="81">
        <f t="shared" si="2"/>
        <v>214.5204</v>
      </c>
    </row>
    <row r="25" spans="1:16" x14ac:dyDescent="0.25">
      <c r="B25" s="164">
        <v>43161</v>
      </c>
      <c r="C25" s="10">
        <v>20</v>
      </c>
      <c r="D25" s="39">
        <v>198</v>
      </c>
      <c r="E25" s="39"/>
      <c r="F25" s="39"/>
      <c r="G25" s="39"/>
      <c r="H25" s="179"/>
      <c r="I25" s="39"/>
      <c r="J25" s="39"/>
      <c r="K25" s="39"/>
      <c r="L25" s="39"/>
      <c r="O25" s="81">
        <v>1.07</v>
      </c>
      <c r="P25" s="81">
        <f t="shared" si="2"/>
        <v>212.5341</v>
      </c>
    </row>
    <row r="26" spans="1:16" x14ac:dyDescent="0.25">
      <c r="A26" s="1">
        <v>43192</v>
      </c>
      <c r="B26" s="164">
        <v>43172</v>
      </c>
      <c r="C26" s="10">
        <v>20</v>
      </c>
      <c r="D26" s="39">
        <v>198</v>
      </c>
      <c r="E26" s="39">
        <v>210.32</v>
      </c>
      <c r="F26" s="39">
        <f>(E26-D26)*C26</f>
        <v>246.39999999999986</v>
      </c>
      <c r="G26" s="39"/>
      <c r="H26" s="179"/>
      <c r="I26" s="39"/>
      <c r="J26" s="39">
        <v>246.39999999999986</v>
      </c>
      <c r="K26" s="39"/>
      <c r="L26" s="39"/>
      <c r="O26" s="81">
        <v>1.06</v>
      </c>
      <c r="P26" s="81">
        <f t="shared" si="2"/>
        <v>210.5478</v>
      </c>
    </row>
    <row r="27" spans="1:16" x14ac:dyDescent="0.25">
      <c r="B27" s="164">
        <v>43227</v>
      </c>
      <c r="C27" s="10">
        <v>0</v>
      </c>
      <c r="D27" s="39"/>
      <c r="E27" s="39"/>
      <c r="F27" s="39">
        <v>137.51</v>
      </c>
      <c r="G27" s="39"/>
      <c r="H27" s="179"/>
      <c r="I27" s="39"/>
      <c r="J27" s="39">
        <v>137.51</v>
      </c>
      <c r="K27" s="39"/>
      <c r="L27" s="155"/>
      <c r="O27" s="81">
        <v>1.05</v>
      </c>
      <c r="P27" s="81">
        <f t="shared" si="2"/>
        <v>208.5615</v>
      </c>
    </row>
    <row r="28" spans="1:16" x14ac:dyDescent="0.25">
      <c r="B28" s="164">
        <v>43343</v>
      </c>
      <c r="C28" s="185">
        <v>30</v>
      </c>
      <c r="D28" s="186">
        <v>194.0163</v>
      </c>
      <c r="E28" s="39">
        <v>198.72</v>
      </c>
      <c r="F28" s="39">
        <f t="shared" ref="F28:F35" si="3">C28*(E28-D28)</f>
        <v>141.11099999999993</v>
      </c>
      <c r="G28" s="39">
        <f t="shared" ref="G28:G35" si="4">D28*C28</f>
        <v>5820.4889999999996</v>
      </c>
      <c r="H28" s="179">
        <f t="shared" ref="H28:H48" si="5">(E28-D28)/D28</f>
        <v>2.424383930628508E-2</v>
      </c>
      <c r="I28" s="39"/>
      <c r="J28" s="39">
        <v>141.11099999999993</v>
      </c>
      <c r="K28" s="39"/>
      <c r="L28" s="155"/>
      <c r="O28" s="81">
        <v>1.04</v>
      </c>
      <c r="P28" s="81">
        <f t="shared" si="2"/>
        <v>206.5752</v>
      </c>
    </row>
    <row r="29" spans="1:16" x14ac:dyDescent="0.25">
      <c r="A29" s="1">
        <v>43374</v>
      </c>
      <c r="B29" s="164">
        <v>43353</v>
      </c>
      <c r="C29" s="10">
        <v>60</v>
      </c>
      <c r="D29" s="39">
        <v>191.6482</v>
      </c>
      <c r="E29" s="39">
        <v>190.54</v>
      </c>
      <c r="F29" s="39">
        <f t="shared" si="3"/>
        <v>-66.492000000000644</v>
      </c>
      <c r="G29" s="39">
        <f t="shared" si="4"/>
        <v>11498.892</v>
      </c>
      <c r="H29" s="179">
        <f t="shared" si="5"/>
        <v>-5.7824701719087932E-3</v>
      </c>
      <c r="I29" s="39"/>
      <c r="J29" s="39">
        <v>-66.492000000000644</v>
      </c>
      <c r="K29" s="39"/>
      <c r="L29" s="155"/>
      <c r="O29" s="81">
        <v>1.03</v>
      </c>
      <c r="P29" s="81">
        <f t="shared" si="2"/>
        <v>204.5889</v>
      </c>
    </row>
    <row r="30" spans="1:16" x14ac:dyDescent="0.25">
      <c r="B30" s="164">
        <v>43354</v>
      </c>
      <c r="C30" s="10">
        <v>60</v>
      </c>
      <c r="D30" s="39">
        <v>191.6482</v>
      </c>
      <c r="E30" s="39">
        <v>192.5</v>
      </c>
      <c r="F30" s="39">
        <f t="shared" si="3"/>
        <v>51.107999999999834</v>
      </c>
      <c r="G30" s="39">
        <f t="shared" si="4"/>
        <v>11498.892</v>
      </c>
      <c r="H30" s="179">
        <f t="shared" si="5"/>
        <v>4.4446021407975513E-3</v>
      </c>
      <c r="I30" s="39"/>
      <c r="J30" s="39">
        <v>51.107999999999834</v>
      </c>
      <c r="K30" s="39">
        <v>35.840000000000003</v>
      </c>
      <c r="L30" s="155"/>
      <c r="O30" s="81">
        <v>1.02</v>
      </c>
      <c r="P30" s="81">
        <f t="shared" si="2"/>
        <v>202.6026</v>
      </c>
    </row>
    <row r="31" spans="1:16" x14ac:dyDescent="0.25">
      <c r="B31" s="164">
        <v>43358</v>
      </c>
      <c r="C31" s="10">
        <v>60</v>
      </c>
      <c r="D31" s="39">
        <v>191.6482</v>
      </c>
      <c r="E31" s="39">
        <v>194</v>
      </c>
      <c r="F31" s="39">
        <f t="shared" si="3"/>
        <v>141.10799999999983</v>
      </c>
      <c r="G31" s="39">
        <f t="shared" si="4"/>
        <v>11498.892</v>
      </c>
      <c r="H31" s="179">
        <f t="shared" si="5"/>
        <v>1.227144319644013E-2</v>
      </c>
      <c r="I31" s="39"/>
      <c r="J31" s="39">
        <v>141.10799999999983</v>
      </c>
      <c r="K31" s="39"/>
      <c r="L31" s="155"/>
      <c r="O31" s="81">
        <v>1.01</v>
      </c>
      <c r="P31" s="81">
        <f t="shared" si="2"/>
        <v>200.6163</v>
      </c>
    </row>
    <row r="32" spans="1:16" x14ac:dyDescent="0.25">
      <c r="B32" s="164">
        <v>43362</v>
      </c>
      <c r="C32" s="10">
        <v>60</v>
      </c>
      <c r="D32" s="39">
        <v>191.6482</v>
      </c>
      <c r="E32" s="39">
        <v>196.1</v>
      </c>
      <c r="F32" s="778">
        <f t="shared" si="3"/>
        <v>267.10799999999949</v>
      </c>
      <c r="G32" s="39">
        <f t="shared" si="4"/>
        <v>11498.892</v>
      </c>
      <c r="H32" s="179">
        <f t="shared" si="5"/>
        <v>2.3229020674339709E-2</v>
      </c>
      <c r="I32" s="39"/>
      <c r="J32" s="778">
        <v>267.10799999999949</v>
      </c>
      <c r="K32" s="39"/>
      <c r="L32" s="155"/>
      <c r="O32" s="81">
        <v>1</v>
      </c>
      <c r="P32" s="81">
        <f t="shared" si="2"/>
        <v>198.63</v>
      </c>
    </row>
    <row r="33" spans="1:17" x14ac:dyDescent="0.25">
      <c r="B33" s="164">
        <v>43364</v>
      </c>
      <c r="C33" s="10">
        <v>60</v>
      </c>
      <c r="D33" s="39">
        <v>191.6482</v>
      </c>
      <c r="E33" s="39">
        <v>192.18</v>
      </c>
      <c r="F33" s="101">
        <f t="shared" si="3"/>
        <v>31.908000000000243</v>
      </c>
      <c r="G33" s="39">
        <f t="shared" si="4"/>
        <v>11498.892</v>
      </c>
      <c r="H33" s="179">
        <f t="shared" si="5"/>
        <v>2.7748760489271699E-3</v>
      </c>
      <c r="I33" s="39"/>
      <c r="J33" s="101">
        <v>31.908000000000243</v>
      </c>
      <c r="K33" s="39"/>
      <c r="L33" s="155"/>
      <c r="O33" s="81">
        <v>0.99</v>
      </c>
      <c r="P33" s="81">
        <f t="shared" si="2"/>
        <v>196.6437</v>
      </c>
    </row>
    <row r="34" spans="1:17" x14ac:dyDescent="0.25">
      <c r="B34" s="164">
        <v>43383</v>
      </c>
      <c r="C34" s="10">
        <v>60</v>
      </c>
      <c r="D34" s="39">
        <v>191.65</v>
      </c>
      <c r="E34" s="39">
        <v>176</v>
      </c>
      <c r="F34" s="778">
        <f t="shared" si="3"/>
        <v>-939.00000000000034</v>
      </c>
      <c r="G34" s="39">
        <f t="shared" si="4"/>
        <v>11499</v>
      </c>
      <c r="H34" s="179">
        <f t="shared" si="5"/>
        <v>-8.1659274719540861E-2</v>
      </c>
      <c r="I34" s="39"/>
      <c r="J34" s="778">
        <v>-939.00000000000034</v>
      </c>
      <c r="K34" s="39"/>
      <c r="L34" s="155"/>
      <c r="O34" s="81">
        <v>0.98</v>
      </c>
      <c r="P34" s="81">
        <f t="shared" si="2"/>
        <v>194.6574</v>
      </c>
    </row>
    <row r="35" spans="1:17" x14ac:dyDescent="0.25">
      <c r="B35" s="164">
        <v>43385</v>
      </c>
      <c r="C35" s="7">
        <v>60</v>
      </c>
      <c r="D35" s="43">
        <v>191.6482</v>
      </c>
      <c r="E35" s="39">
        <v>169.58</v>
      </c>
      <c r="F35" s="778">
        <f t="shared" si="3"/>
        <v>-1324.0919999999994</v>
      </c>
      <c r="G35" s="39">
        <f t="shared" si="4"/>
        <v>11498.892</v>
      </c>
      <c r="H35" s="179">
        <f t="shared" si="5"/>
        <v>-0.11514952918942098</v>
      </c>
      <c r="I35" s="39"/>
      <c r="J35" s="778">
        <v>-1324.0919999999994</v>
      </c>
      <c r="K35" s="39"/>
      <c r="L35" s="155"/>
      <c r="O35" s="81">
        <v>0.97</v>
      </c>
      <c r="P35" s="81">
        <f t="shared" si="2"/>
        <v>192.6711</v>
      </c>
    </row>
    <row r="36" spans="1:17" x14ac:dyDescent="0.25">
      <c r="B36" s="164">
        <v>43388</v>
      </c>
      <c r="C36" s="10">
        <v>90</v>
      </c>
      <c r="D36" s="39">
        <v>183.72540000000001</v>
      </c>
      <c r="E36" s="39">
        <v>167.88</v>
      </c>
      <c r="F36" s="778">
        <f t="shared" ref="F36:F48" si="6">C36*(E36-D36)</f>
        <v>-1426.0860000000011</v>
      </c>
      <c r="G36" s="39">
        <f t="shared" ref="G36:G47" si="7">D36*C36</f>
        <v>16535.286</v>
      </c>
      <c r="H36" s="179">
        <f t="shared" si="5"/>
        <v>-8.6245015659239338E-2</v>
      </c>
      <c r="I36" s="39"/>
      <c r="J36" s="778">
        <v>-1426.0860000000011</v>
      </c>
      <c r="K36" s="39"/>
      <c r="L36" s="39"/>
      <c r="O36" s="81">
        <v>0.96</v>
      </c>
      <c r="P36" s="81">
        <f t="shared" si="2"/>
        <v>190.6848</v>
      </c>
    </row>
    <row r="37" spans="1:17" x14ac:dyDescent="0.25">
      <c r="B37" s="164">
        <v>43388</v>
      </c>
      <c r="C37" s="7">
        <v>60</v>
      </c>
      <c r="D37" s="43">
        <v>190.89930000000001</v>
      </c>
      <c r="E37" s="39">
        <v>169.38</v>
      </c>
      <c r="F37" s="39">
        <f t="shared" si="6"/>
        <v>-1291.1580000000008</v>
      </c>
      <c r="G37" s="39">
        <f t="shared" si="7"/>
        <v>11453.958000000001</v>
      </c>
      <c r="H37" s="179">
        <f t="shared" si="5"/>
        <v>-0.11272592408667824</v>
      </c>
      <c r="I37" s="39"/>
      <c r="J37" s="39">
        <v>-1291.1580000000008</v>
      </c>
      <c r="K37" s="39"/>
      <c r="L37" s="39"/>
      <c r="O37" s="81">
        <v>0.95</v>
      </c>
      <c r="P37" s="81">
        <f t="shared" si="2"/>
        <v>188.6985</v>
      </c>
    </row>
    <row r="38" spans="1:17" x14ac:dyDescent="0.25">
      <c r="B38" s="164">
        <v>43410</v>
      </c>
      <c r="C38" s="10">
        <v>60</v>
      </c>
      <c r="D38" s="39">
        <v>190.9</v>
      </c>
      <c r="E38" s="39">
        <v>189.55</v>
      </c>
      <c r="F38" s="39">
        <f t="shared" si="6"/>
        <v>-80.999999999999659</v>
      </c>
      <c r="G38" s="39">
        <f t="shared" si="7"/>
        <v>11454</v>
      </c>
      <c r="H38" s="179">
        <f t="shared" si="5"/>
        <v>-7.071765322158168E-3</v>
      </c>
      <c r="I38" s="39"/>
      <c r="J38" s="39">
        <v>-80.999999999999659</v>
      </c>
      <c r="K38" s="39"/>
      <c r="L38" s="39"/>
      <c r="O38" s="81">
        <v>0.94</v>
      </c>
      <c r="P38" s="81">
        <f t="shared" si="2"/>
        <v>186.7122</v>
      </c>
    </row>
    <row r="39" spans="1:17" x14ac:dyDescent="0.25">
      <c r="A39">
        <v>0</v>
      </c>
      <c r="B39" s="164">
        <v>43411</v>
      </c>
      <c r="C39" s="185">
        <v>30</v>
      </c>
      <c r="D39" s="186">
        <v>188.8013</v>
      </c>
      <c r="E39" s="39">
        <v>189.76</v>
      </c>
      <c r="F39" s="39">
        <f t="shared" si="6"/>
        <v>28.760999999999797</v>
      </c>
      <c r="G39" s="39">
        <f t="shared" si="7"/>
        <v>5664.0389999999998</v>
      </c>
      <c r="H39" s="179">
        <f t="shared" si="5"/>
        <v>5.0778252056526791E-3</v>
      </c>
      <c r="I39" s="39"/>
      <c r="J39" s="39">
        <v>28.760999999999797</v>
      </c>
      <c r="K39" s="39"/>
      <c r="L39" s="39"/>
      <c r="O39" s="81">
        <v>0.93</v>
      </c>
      <c r="P39" s="81">
        <f t="shared" si="2"/>
        <v>184.7259</v>
      </c>
    </row>
    <row r="40" spans="1:17" x14ac:dyDescent="0.25">
      <c r="A40">
        <v>0</v>
      </c>
      <c r="B40" s="164">
        <v>43415</v>
      </c>
      <c r="C40" s="7">
        <v>60</v>
      </c>
      <c r="D40" s="43">
        <v>185.63570000000001</v>
      </c>
      <c r="E40" s="39">
        <v>184.29</v>
      </c>
      <c r="F40" s="39">
        <f t="shared" si="6"/>
        <v>-80.742000000001326</v>
      </c>
      <c r="G40" s="39">
        <f t="shared" si="7"/>
        <v>11138.142000000002</v>
      </c>
      <c r="H40" s="179">
        <f t="shared" si="5"/>
        <v>-7.2491444264224068E-3</v>
      </c>
      <c r="I40" s="39"/>
      <c r="J40" s="39">
        <v>-80.742000000001326</v>
      </c>
      <c r="K40" s="39"/>
      <c r="L40" s="39"/>
      <c r="O40" s="81">
        <v>0.92</v>
      </c>
      <c r="P40" s="81">
        <f t="shared" si="2"/>
        <v>182.7396</v>
      </c>
    </row>
    <row r="41" spans="1:17" x14ac:dyDescent="0.25">
      <c r="A41">
        <v>30</v>
      </c>
      <c r="B41" s="164">
        <v>43430</v>
      </c>
      <c r="C41" s="10">
        <v>60</v>
      </c>
      <c r="D41" s="39">
        <v>185.64</v>
      </c>
      <c r="E41" s="39">
        <v>191.74</v>
      </c>
      <c r="F41" s="39">
        <f t="shared" si="6"/>
        <v>366.00000000000136</v>
      </c>
      <c r="G41" s="39">
        <f t="shared" si="7"/>
        <v>11138.4</v>
      </c>
      <c r="H41" s="179">
        <f t="shared" si="5"/>
        <v>3.2859297565180044E-2</v>
      </c>
      <c r="I41" s="39"/>
      <c r="J41" s="39">
        <v>366.00000000000136</v>
      </c>
      <c r="K41" s="39"/>
      <c r="L41" s="39"/>
      <c r="O41" s="81">
        <v>0.91</v>
      </c>
      <c r="P41" s="81">
        <f t="shared" si="2"/>
        <v>180.7533</v>
      </c>
      <c r="Q41" s="2"/>
    </row>
    <row r="42" spans="1:17" x14ac:dyDescent="0.25">
      <c r="A42">
        <v>0</v>
      </c>
      <c r="B42" s="164">
        <v>43432</v>
      </c>
      <c r="C42" s="185">
        <v>30</v>
      </c>
      <c r="D42" s="186">
        <v>178.274</v>
      </c>
      <c r="E42" s="39">
        <v>198.26</v>
      </c>
      <c r="F42" s="778">
        <f t="shared" si="6"/>
        <v>599.5799999999997</v>
      </c>
      <c r="G42" s="39">
        <f t="shared" si="7"/>
        <v>5348.22</v>
      </c>
      <c r="H42" s="179">
        <f t="shared" si="5"/>
        <v>0.11210832763050131</v>
      </c>
      <c r="I42" s="39"/>
      <c r="J42" s="778">
        <v>599.5799999999997</v>
      </c>
      <c r="K42" s="39"/>
      <c r="L42" s="39"/>
      <c r="O42" s="81">
        <v>0.9</v>
      </c>
      <c r="P42" s="81">
        <f t="shared" si="2"/>
        <v>178.767</v>
      </c>
      <c r="Q42" s="2"/>
    </row>
    <row r="43" spans="1:17" x14ac:dyDescent="0.25">
      <c r="B43" s="164">
        <v>43434</v>
      </c>
      <c r="C43" s="7">
        <v>60</v>
      </c>
      <c r="D43" s="43">
        <v>184.67699999999999</v>
      </c>
      <c r="E43" s="39">
        <v>190.69</v>
      </c>
      <c r="F43" s="39">
        <f t="shared" si="6"/>
        <v>360.78000000000031</v>
      </c>
      <c r="G43" s="39">
        <f t="shared" si="7"/>
        <v>11080.619999999999</v>
      </c>
      <c r="H43" s="179">
        <f t="shared" si="5"/>
        <v>3.2559549916881939E-2</v>
      </c>
      <c r="I43" s="39"/>
      <c r="J43" s="39">
        <v>360.78000000000031</v>
      </c>
      <c r="K43" s="39"/>
      <c r="L43" s="39"/>
      <c r="Q43" s="2"/>
    </row>
    <row r="44" spans="1:17" x14ac:dyDescent="0.25">
      <c r="A44">
        <v>0</v>
      </c>
      <c r="B44" s="164">
        <v>43442</v>
      </c>
      <c r="C44" s="10">
        <v>60</v>
      </c>
      <c r="D44" s="39">
        <v>184.68</v>
      </c>
      <c r="E44" s="39">
        <v>181.48</v>
      </c>
      <c r="F44" s="39">
        <f t="shared" si="6"/>
        <v>-192.00000000000102</v>
      </c>
      <c r="G44" s="39">
        <f t="shared" si="7"/>
        <v>11080.800000000001</v>
      </c>
      <c r="H44" s="179">
        <f t="shared" si="5"/>
        <v>-1.7327268789257184E-2</v>
      </c>
      <c r="I44" s="39"/>
      <c r="J44" s="39">
        <v>-192.00000000000102</v>
      </c>
      <c r="K44" s="39"/>
      <c r="L44" s="39"/>
      <c r="Q44" s="2"/>
    </row>
    <row r="45" spans="1:17" x14ac:dyDescent="0.25">
      <c r="A45">
        <v>60</v>
      </c>
      <c r="B45" s="164">
        <v>43465</v>
      </c>
      <c r="C45" s="7">
        <v>60</v>
      </c>
      <c r="D45" s="43">
        <v>184.43700000000001</v>
      </c>
      <c r="E45" s="39">
        <v>171.87</v>
      </c>
      <c r="F45" s="39">
        <f t="shared" si="6"/>
        <v>-754.02000000000044</v>
      </c>
      <c r="G45" s="39">
        <f t="shared" si="7"/>
        <v>11066.220000000001</v>
      </c>
      <c r="H45" s="179">
        <f t="shared" si="5"/>
        <v>-6.8137087460758999E-2</v>
      </c>
      <c r="I45" s="39"/>
      <c r="J45" s="39">
        <v>-754.02000000000044</v>
      </c>
      <c r="K45" s="39"/>
      <c r="L45" s="39">
        <v>19.940000000000001</v>
      </c>
      <c r="Q45" s="2"/>
    </row>
    <row r="46" spans="1:17" x14ac:dyDescent="0.25">
      <c r="B46" s="164">
        <v>43513</v>
      </c>
      <c r="C46" s="10">
        <v>60</v>
      </c>
      <c r="D46" s="39">
        <v>184.44</v>
      </c>
      <c r="E46" s="39">
        <v>190.06</v>
      </c>
      <c r="F46" s="39">
        <f t="shared" si="6"/>
        <v>337.20000000000027</v>
      </c>
      <c r="G46" s="39">
        <f t="shared" si="7"/>
        <v>11066.4</v>
      </c>
      <c r="H46" s="179">
        <f t="shared" si="5"/>
        <v>3.0470613749728936E-2</v>
      </c>
      <c r="I46" s="39"/>
      <c r="J46" s="39">
        <v>337.20000000000027</v>
      </c>
      <c r="K46" s="39"/>
      <c r="L46" s="39"/>
      <c r="Q46" s="2"/>
    </row>
    <row r="47" spans="1:17" x14ac:dyDescent="0.25">
      <c r="A47">
        <v>30</v>
      </c>
      <c r="B47" s="164">
        <v>43516</v>
      </c>
      <c r="C47" s="185">
        <v>30</v>
      </c>
      <c r="D47" s="186">
        <v>175.3</v>
      </c>
      <c r="E47" s="39">
        <v>193.58</v>
      </c>
      <c r="F47" s="39">
        <f t="shared" si="6"/>
        <v>548.40000000000009</v>
      </c>
      <c r="G47" s="39">
        <f t="shared" si="7"/>
        <v>5259</v>
      </c>
      <c r="H47" s="179">
        <f t="shared" si="5"/>
        <v>0.1042783799201369</v>
      </c>
      <c r="I47" s="39"/>
      <c r="J47" s="39">
        <v>548.40000000000009</v>
      </c>
      <c r="K47" s="39"/>
      <c r="L47" s="39"/>
      <c r="Q47" s="2"/>
    </row>
    <row r="48" spans="1:17" x14ac:dyDescent="0.25">
      <c r="B48" s="164">
        <v>43535</v>
      </c>
      <c r="C48" s="10">
        <v>0</v>
      </c>
      <c r="D48" s="39">
        <v>175.3</v>
      </c>
      <c r="E48" s="39">
        <v>198.63</v>
      </c>
      <c r="F48" s="39">
        <f t="shared" si="6"/>
        <v>0</v>
      </c>
      <c r="G48" s="39"/>
      <c r="H48" s="179">
        <f t="shared" si="5"/>
        <v>0.13308613804905867</v>
      </c>
      <c r="I48" s="39"/>
      <c r="J48" s="778">
        <v>711.02</v>
      </c>
      <c r="K48" s="39"/>
      <c r="L48" s="39"/>
      <c r="Q48" s="2"/>
    </row>
    <row r="49" spans="1:17" x14ac:dyDescent="0.25">
      <c r="B49" s="164">
        <v>43555</v>
      </c>
      <c r="C49" s="10">
        <v>0</v>
      </c>
      <c r="D49" s="39"/>
      <c r="E49" s="39"/>
      <c r="F49" s="39"/>
      <c r="G49" s="39"/>
      <c r="H49" s="179"/>
      <c r="I49" s="39"/>
      <c r="J49" s="778">
        <v>725.42</v>
      </c>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919</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1454" priority="49">
      <formula>F52&gt;0</formula>
    </cfRule>
    <cfRule type="expression" dxfId="1453" priority="50">
      <formula>F52&lt;0</formula>
    </cfRule>
  </conditionalFormatting>
  <conditionalFormatting sqref="Q7">
    <cfRule type="expression" dxfId="1452" priority="47">
      <formula>Q7&gt;0</formula>
    </cfRule>
    <cfRule type="expression" dxfId="1451" priority="48">
      <formula>Q7&lt;0</formula>
    </cfRule>
  </conditionalFormatting>
  <conditionalFormatting sqref="Q8">
    <cfRule type="expression" dxfId="1450" priority="45">
      <formula>Q8&gt;0</formula>
    </cfRule>
    <cfRule type="expression" dxfId="1449" priority="46">
      <formula>Q8&lt;0</formula>
    </cfRule>
  </conditionalFormatting>
  <conditionalFormatting sqref="F34:F41 F43:F51">
    <cfRule type="expression" dxfId="1448" priority="43">
      <formula>F34&gt;0</formula>
    </cfRule>
    <cfRule type="expression" dxfId="1447" priority="44">
      <formula>F34&lt;0</formula>
    </cfRule>
  </conditionalFormatting>
  <conditionalFormatting sqref="H34:H51">
    <cfRule type="expression" dxfId="1446" priority="41">
      <formula>H34&gt;0</formula>
    </cfRule>
    <cfRule type="expression" dxfId="1445" priority="42">
      <formula>H34&lt;0</formula>
    </cfRule>
  </conditionalFormatting>
  <conditionalFormatting sqref="Q10">
    <cfRule type="expression" dxfId="1444" priority="39">
      <formula>Q10&gt;0</formula>
    </cfRule>
    <cfRule type="expression" dxfId="1443" priority="40">
      <formula>Q10&lt;0</formula>
    </cfRule>
  </conditionalFormatting>
  <conditionalFormatting sqref="J25">
    <cfRule type="expression" dxfId="1442" priority="37">
      <formula>J25&gt;0</formula>
    </cfRule>
    <cfRule type="expression" dxfId="1441" priority="38">
      <formula>J25&lt;0</formula>
    </cfRule>
  </conditionalFormatting>
  <conditionalFormatting sqref="K25:K29 K31:K38">
    <cfRule type="expression" dxfId="1440" priority="35">
      <formula>K25&gt;0</formula>
    </cfRule>
    <cfRule type="expression" dxfId="1439" priority="36">
      <formula>K25&lt;0</formula>
    </cfRule>
  </conditionalFormatting>
  <conditionalFormatting sqref="L25:L38">
    <cfRule type="expression" dxfId="1438" priority="33">
      <formula>L25&gt;0</formula>
    </cfRule>
    <cfRule type="expression" dxfId="1437" priority="34">
      <formula>L25&lt;0</formula>
    </cfRule>
  </conditionalFormatting>
  <conditionalFormatting sqref="F89:F110">
    <cfRule type="expression" dxfId="1436" priority="31">
      <formula>F89&gt;0</formula>
    </cfRule>
    <cfRule type="expression" dxfId="1435" priority="32">
      <formula>F89&lt;0</formula>
    </cfRule>
  </conditionalFormatting>
  <conditionalFormatting sqref="H89:H110">
    <cfRule type="expression" dxfId="1434" priority="29">
      <formula>H89&gt;0</formula>
    </cfRule>
    <cfRule type="expression" dxfId="1433" priority="30">
      <formula>H89&lt;0</formula>
    </cfRule>
  </conditionalFormatting>
  <conditionalFormatting sqref="J89:J102">
    <cfRule type="expression" dxfId="1432" priority="27">
      <formula>J89&gt;0</formula>
    </cfRule>
    <cfRule type="expression" dxfId="1431" priority="28">
      <formula>J89&lt;0</formula>
    </cfRule>
  </conditionalFormatting>
  <conditionalFormatting sqref="K89:K102">
    <cfRule type="expression" dxfId="1430" priority="25">
      <formula>K89&gt;0</formula>
    </cfRule>
    <cfRule type="expression" dxfId="1429" priority="26">
      <formula>K89&lt;0</formula>
    </cfRule>
  </conditionalFormatting>
  <conditionalFormatting sqref="L89:L102">
    <cfRule type="expression" dxfId="1428" priority="23">
      <formula>L89&gt;0</formula>
    </cfRule>
    <cfRule type="expression" dxfId="1427" priority="24">
      <formula>L89&lt;0</formula>
    </cfRule>
  </conditionalFormatting>
  <conditionalFormatting sqref="F25:F27">
    <cfRule type="expression" dxfId="1426" priority="21">
      <formula>F25&gt;0</formula>
    </cfRule>
    <cfRule type="expression" dxfId="1425" priority="22">
      <formula>F25&lt;0</formula>
    </cfRule>
  </conditionalFormatting>
  <conditionalFormatting sqref="H25:H27">
    <cfRule type="expression" dxfId="1424" priority="19">
      <formula>H25&gt;0</formula>
    </cfRule>
    <cfRule type="expression" dxfId="1423" priority="20">
      <formula>H25&lt;0</formula>
    </cfRule>
  </conditionalFormatting>
  <conditionalFormatting sqref="F28:F33">
    <cfRule type="expression" dxfId="1422" priority="17">
      <formula>F28&gt;0</formula>
    </cfRule>
    <cfRule type="expression" dxfId="1421" priority="18">
      <formula>F28&lt;0</formula>
    </cfRule>
  </conditionalFormatting>
  <conditionalFormatting sqref="H28:H33">
    <cfRule type="expression" dxfId="1420" priority="15">
      <formula>H28&gt;0</formula>
    </cfRule>
    <cfRule type="expression" dxfId="1419" priority="16">
      <formula>H28&lt;0</formula>
    </cfRule>
  </conditionalFormatting>
  <conditionalFormatting sqref="F42">
    <cfRule type="expression" dxfId="1418" priority="13">
      <formula>F42&gt;0</formula>
    </cfRule>
    <cfRule type="expression" dxfId="1417" priority="14">
      <formula>F42&lt;0</formula>
    </cfRule>
  </conditionalFormatting>
  <conditionalFormatting sqref="J48">
    <cfRule type="expression" dxfId="1416" priority="11">
      <formula>J48&gt;0</formula>
    </cfRule>
    <cfRule type="expression" dxfId="1415" priority="12">
      <formula>J48&lt;0</formula>
    </cfRule>
  </conditionalFormatting>
  <conditionalFormatting sqref="J34:J41 J43:J47">
    <cfRule type="expression" dxfId="1414" priority="9">
      <formula>J34&gt;0</formula>
    </cfRule>
    <cfRule type="expression" dxfId="1413" priority="10">
      <formula>J34&lt;0</formula>
    </cfRule>
  </conditionalFormatting>
  <conditionalFormatting sqref="J26:J27">
    <cfRule type="expression" dxfId="1412" priority="7">
      <formula>J26&gt;0</formula>
    </cfRule>
    <cfRule type="expression" dxfId="1411" priority="8">
      <formula>J26&lt;0</formula>
    </cfRule>
  </conditionalFormatting>
  <conditionalFormatting sqref="J28:J33">
    <cfRule type="expression" dxfId="1410" priority="5">
      <formula>J28&gt;0</formula>
    </cfRule>
    <cfRule type="expression" dxfId="1409" priority="6">
      <formula>J28&lt;0</formula>
    </cfRule>
  </conditionalFormatting>
  <conditionalFormatting sqref="J42">
    <cfRule type="expression" dxfId="1408" priority="3">
      <formula>J42&gt;0</formula>
    </cfRule>
    <cfRule type="expression" dxfId="1407" priority="4">
      <formula>J42&lt;0</formula>
    </cfRule>
  </conditionalFormatting>
  <conditionalFormatting sqref="J49">
    <cfRule type="expression" dxfId="1406" priority="1">
      <formula>J49&gt;0</formula>
    </cfRule>
    <cfRule type="expression" dxfId="1405" priority="2">
      <formula>J49&lt;0</formula>
    </cfRule>
  </conditionalFormatting>
  <hyperlinks>
    <hyperlink ref="A3" location="ACTIVE!A1" display="Back"/>
  </hyperlinks>
  <pageMargins left="0.7" right="0.7" top="0.75" bottom="0.75" header="0.3" footer="0.3"/>
  <pageSetup orientation="portrait"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19"/>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30"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916</v>
      </c>
      <c r="B2" s="368">
        <v>43151</v>
      </c>
      <c r="C2" s="4">
        <v>50</v>
      </c>
      <c r="D2" s="3">
        <v>68.22</v>
      </c>
      <c r="E2" s="3">
        <v>0</v>
      </c>
      <c r="F2" s="3">
        <f t="shared" ref="F2:F10" si="0">C2*D2+E2</f>
        <v>3411</v>
      </c>
      <c r="G2" s="498">
        <v>43287</v>
      </c>
      <c r="H2" s="7">
        <v>100</v>
      </c>
      <c r="I2" s="43">
        <v>64.5</v>
      </c>
      <c r="J2" s="43">
        <v>0.08</v>
      </c>
      <c r="K2" s="43">
        <f>H2*I2-J2</f>
        <v>6449.92</v>
      </c>
      <c r="L2" s="72">
        <v>43182</v>
      </c>
      <c r="M2" s="43">
        <v>31.25</v>
      </c>
      <c r="O2" s="11" t="s">
        <v>57</v>
      </c>
      <c r="Q2">
        <f>C18-H18</f>
        <v>700</v>
      </c>
      <c r="T2" s="1" t="s">
        <v>1203</v>
      </c>
      <c r="U2" s="789">
        <v>25.8</v>
      </c>
    </row>
    <row r="3" spans="1:21" x14ac:dyDescent="0.25">
      <c r="A3" s="22" t="s">
        <v>71</v>
      </c>
      <c r="B3" s="368">
        <v>43181</v>
      </c>
      <c r="C3" s="4">
        <v>50</v>
      </c>
      <c r="D3" s="3">
        <v>61.1</v>
      </c>
      <c r="E3" s="3">
        <v>0</v>
      </c>
      <c r="F3" s="3">
        <f t="shared" si="0"/>
        <v>3055</v>
      </c>
      <c r="G3" s="368">
        <v>43307</v>
      </c>
      <c r="H3" s="80">
        <v>100</v>
      </c>
      <c r="I3" s="43">
        <v>61.48</v>
      </c>
      <c r="J3" s="43">
        <v>0.08</v>
      </c>
      <c r="K3" s="43">
        <f>H3*I3-J3</f>
        <v>6147.92</v>
      </c>
      <c r="L3" s="72">
        <v>43266</v>
      </c>
      <c r="M3" s="43">
        <v>62.5</v>
      </c>
      <c r="O3" s="11" t="s">
        <v>58</v>
      </c>
      <c r="Q3" s="178">
        <f>IF(Q2=0, Q4, (F18-K18-M18)/Q2)</f>
        <v>50.613442857142864</v>
      </c>
      <c r="T3" t="s">
        <v>1202</v>
      </c>
      <c r="U3" t="s">
        <v>1201</v>
      </c>
    </row>
    <row r="4" spans="1:21" x14ac:dyDescent="0.25">
      <c r="A4" t="s">
        <v>758</v>
      </c>
      <c r="B4" s="368">
        <v>43299</v>
      </c>
      <c r="C4" s="7">
        <v>100</v>
      </c>
      <c r="D4" s="43">
        <v>62.25</v>
      </c>
      <c r="E4" s="43">
        <v>0</v>
      </c>
      <c r="F4" s="43">
        <f t="shared" si="0"/>
        <v>6225</v>
      </c>
      <c r="G4" s="72"/>
      <c r="H4" s="161"/>
      <c r="I4" s="3"/>
      <c r="J4" s="3"/>
      <c r="K4" s="3"/>
      <c r="L4" s="72">
        <v>43357</v>
      </c>
      <c r="M4" s="43">
        <v>125</v>
      </c>
      <c r="O4" s="11" t="s">
        <v>66</v>
      </c>
      <c r="Q4" s="54">
        <v>33.17</v>
      </c>
      <c r="R4" s="425">
        <v>1.47E-2</v>
      </c>
      <c r="T4" t="s">
        <v>1112</v>
      </c>
      <c r="U4" s="11" t="s">
        <v>1293</v>
      </c>
    </row>
    <row r="5" spans="1:21" x14ac:dyDescent="0.25">
      <c r="B5" s="72">
        <v>43305</v>
      </c>
      <c r="C5" s="7">
        <v>100</v>
      </c>
      <c r="D5" s="43">
        <v>59.4</v>
      </c>
      <c r="E5" s="43">
        <v>0</v>
      </c>
      <c r="F5" s="43">
        <f t="shared" si="0"/>
        <v>5940</v>
      </c>
      <c r="G5" s="4"/>
      <c r="H5" s="161"/>
      <c r="I5" s="3"/>
      <c r="J5" s="3"/>
      <c r="K5" s="3"/>
      <c r="L5" s="72">
        <v>43448</v>
      </c>
      <c r="M5" s="43">
        <v>250</v>
      </c>
      <c r="O5" s="11" t="s">
        <v>67</v>
      </c>
      <c r="Q5" s="3">
        <f>Q4*Q2</f>
        <v>23219</v>
      </c>
    </row>
    <row r="6" spans="1:21" x14ac:dyDescent="0.25">
      <c r="B6" s="72">
        <v>43313</v>
      </c>
      <c r="C6" s="4">
        <v>100</v>
      </c>
      <c r="D6" s="3">
        <v>59.28</v>
      </c>
      <c r="E6" s="3">
        <v>0</v>
      </c>
      <c r="F6" s="3">
        <f t="shared" si="0"/>
        <v>5928</v>
      </c>
      <c r="G6" s="4"/>
      <c r="H6" s="161"/>
      <c r="I6" s="3"/>
      <c r="J6" s="3"/>
      <c r="K6" s="3"/>
      <c r="L6" s="72">
        <v>43546</v>
      </c>
      <c r="M6" s="43">
        <v>280</v>
      </c>
      <c r="O6" s="11" t="s">
        <v>64</v>
      </c>
      <c r="Q6" s="2">
        <f>Q3*Q2</f>
        <v>35429.410000000003</v>
      </c>
      <c r="T6" s="1">
        <v>43223</v>
      </c>
      <c r="U6" t="s">
        <v>1026</v>
      </c>
    </row>
    <row r="7" spans="1:21" x14ac:dyDescent="0.25">
      <c r="B7" s="72">
        <v>43347</v>
      </c>
      <c r="C7" s="4">
        <v>100</v>
      </c>
      <c r="D7" s="3">
        <v>56.98</v>
      </c>
      <c r="E7" s="3">
        <v>0</v>
      </c>
      <c r="F7" s="3">
        <f t="shared" si="0"/>
        <v>5698</v>
      </c>
      <c r="G7" s="4"/>
      <c r="H7" s="161"/>
      <c r="I7" s="3"/>
      <c r="J7" s="3"/>
      <c r="K7" s="3"/>
      <c r="L7" s="4"/>
      <c r="M7" s="4"/>
      <c r="O7" s="11" t="s">
        <v>177</v>
      </c>
      <c r="Q7" s="2">
        <f>Q10+Q8</f>
        <v>-12210.410000000003</v>
      </c>
      <c r="R7">
        <v>700</v>
      </c>
      <c r="T7" s="693"/>
      <c r="U7" s="30"/>
    </row>
    <row r="8" spans="1:21" x14ac:dyDescent="0.25">
      <c r="B8" s="72">
        <v>43367</v>
      </c>
      <c r="C8" s="4">
        <v>100</v>
      </c>
      <c r="D8" s="3">
        <v>56.28</v>
      </c>
      <c r="E8" s="3">
        <v>0</v>
      </c>
      <c r="F8" s="3">
        <f t="shared" si="0"/>
        <v>5628</v>
      </c>
      <c r="G8" s="4"/>
      <c r="H8" s="161"/>
      <c r="I8" s="3"/>
      <c r="J8" s="3"/>
      <c r="K8" s="3"/>
      <c r="L8" s="4"/>
      <c r="M8" s="4"/>
      <c r="O8" s="11" t="s">
        <v>179</v>
      </c>
      <c r="P8" s="33"/>
      <c r="Q8" s="2">
        <f>K18+M18-F18+Q2*Q4</f>
        <v>-12210.410000000003</v>
      </c>
      <c r="T8" s="1">
        <v>43248</v>
      </c>
      <c r="U8" t="s">
        <v>1084</v>
      </c>
    </row>
    <row r="9" spans="1:21" x14ac:dyDescent="0.25">
      <c r="B9" s="72">
        <v>43424</v>
      </c>
      <c r="C9" s="4">
        <v>100</v>
      </c>
      <c r="D9" s="3">
        <v>50.89</v>
      </c>
      <c r="E9" s="3">
        <v>0</v>
      </c>
      <c r="F9" s="3">
        <f t="shared" si="0"/>
        <v>5089</v>
      </c>
      <c r="G9" s="4"/>
      <c r="H9" s="161"/>
      <c r="I9" s="3"/>
      <c r="J9" s="3"/>
      <c r="K9" s="3"/>
      <c r="L9" s="4"/>
      <c r="M9" s="4"/>
      <c r="O9" s="11" t="s">
        <v>204</v>
      </c>
      <c r="Q9" s="134">
        <f>IF(Q2=0, 0, Q8/Q6)</f>
        <v>-0.34464051193626993</v>
      </c>
    </row>
    <row r="10" spans="1:21" x14ac:dyDescent="0.25">
      <c r="B10" s="72">
        <v>43517</v>
      </c>
      <c r="C10" s="4">
        <v>200</v>
      </c>
      <c r="D10" s="3">
        <v>39.01</v>
      </c>
      <c r="E10" s="3">
        <v>0</v>
      </c>
      <c r="F10" s="3">
        <f t="shared" si="0"/>
        <v>7802</v>
      </c>
      <c r="G10" s="4"/>
      <c r="H10" s="161"/>
      <c r="I10" s="3"/>
      <c r="J10" s="3"/>
      <c r="K10" s="3"/>
      <c r="L10" s="4"/>
      <c r="M10" s="4"/>
      <c r="O10" s="11" t="s">
        <v>203</v>
      </c>
      <c r="P10" s="33"/>
      <c r="Q10" s="2">
        <f>M75</f>
        <v>0</v>
      </c>
      <c r="T10" s="1">
        <v>43300</v>
      </c>
      <c r="U10" t="s">
        <v>1183</v>
      </c>
    </row>
    <row r="11" spans="1:21" x14ac:dyDescent="0.25">
      <c r="B11" s="4"/>
      <c r="C11" s="4"/>
      <c r="D11" s="3"/>
      <c r="E11" s="3"/>
      <c r="F11" s="3"/>
      <c r="G11" s="4"/>
      <c r="H11" s="161"/>
      <c r="I11" s="3"/>
      <c r="J11" s="3"/>
      <c r="K11" s="3"/>
      <c r="L11" s="4"/>
      <c r="M11" s="4"/>
      <c r="O11" s="11" t="s">
        <v>175</v>
      </c>
      <c r="P11" s="33"/>
      <c r="Q11" s="134">
        <f>R11*4/Q4</f>
        <v>7.5369309617123903E-2</v>
      </c>
      <c r="R11">
        <f>0.625</f>
        <v>0.625</v>
      </c>
    </row>
    <row r="12" spans="1:21" x14ac:dyDescent="0.25">
      <c r="H12" s="70"/>
      <c r="O12" s="11" t="s">
        <v>984</v>
      </c>
      <c r="Q12" s="19" t="s">
        <v>1390</v>
      </c>
      <c r="T12" s="693">
        <v>43315</v>
      </c>
      <c r="U12" t="s">
        <v>1200</v>
      </c>
    </row>
    <row r="13" spans="1:21" x14ac:dyDescent="0.25">
      <c r="H13" s="70"/>
      <c r="O13" s="11" t="s">
        <v>947</v>
      </c>
      <c r="Q13" s="2">
        <f>Q4/2.81</f>
        <v>11.804270462633452</v>
      </c>
    </row>
    <row r="14" spans="1:21" x14ac:dyDescent="0.25">
      <c r="H14" s="70"/>
      <c r="O14" s="11" t="s">
        <v>1034</v>
      </c>
      <c r="Q14" s="1">
        <v>43471</v>
      </c>
      <c r="T14" s="1">
        <v>43407</v>
      </c>
      <c r="U14" s="405" t="s">
        <v>1294</v>
      </c>
    </row>
    <row r="15" spans="1:21" x14ac:dyDescent="0.25">
      <c r="H15" s="70"/>
      <c r="U15" s="405" t="s">
        <v>1295</v>
      </c>
    </row>
    <row r="16" spans="1:21" x14ac:dyDescent="0.25">
      <c r="H16" s="70"/>
    </row>
    <row r="18" spans="1:16" x14ac:dyDescent="0.25">
      <c r="A18" s="31" t="s">
        <v>81</v>
      </c>
      <c r="B18" s="14"/>
      <c r="C18" s="14">
        <f>SUM(C2:C10)</f>
        <v>900</v>
      </c>
      <c r="D18" s="18"/>
      <c r="E18" s="18"/>
      <c r="F18" s="18">
        <f>SUM(F2:F10)</f>
        <v>48776</v>
      </c>
      <c r="G18" s="14"/>
      <c r="H18" s="71">
        <f>SUM(H2:H5)</f>
        <v>200</v>
      </c>
      <c r="I18" s="18"/>
      <c r="J18" s="18"/>
      <c r="K18" s="18">
        <f>SUM(K2:K5)</f>
        <v>12597.84</v>
      </c>
      <c r="L18" s="14"/>
      <c r="M18" s="18">
        <f>SUM(M2:M10)</f>
        <v>748.75</v>
      </c>
    </row>
    <row r="19" spans="1:16" ht="15.75" thickBot="1" x14ac:dyDescent="0.3">
      <c r="A19" s="277" t="s">
        <v>191</v>
      </c>
      <c r="B19" s="278"/>
      <c r="C19" s="279">
        <f>SumByColor($A$19,C2:C17)</f>
        <v>200</v>
      </c>
      <c r="D19" s="279"/>
      <c r="E19" s="279"/>
      <c r="F19" s="280">
        <f>SumByColor($A$19,F2:F17)</f>
        <v>12165</v>
      </c>
      <c r="G19" s="279"/>
      <c r="H19" s="279">
        <f>SumByColor($A$19,H2:H17)</f>
        <v>200</v>
      </c>
      <c r="I19" s="279"/>
      <c r="J19" s="279"/>
      <c r="K19" s="280">
        <f>SumByColor($A$19,K2:K17)</f>
        <v>12598</v>
      </c>
      <c r="L19" s="279"/>
      <c r="M19" s="280">
        <f>SumByColor($A$19,M2:M17)</f>
        <v>749</v>
      </c>
    </row>
    <row r="21" spans="1:16" ht="20.25" thickBot="1" x14ac:dyDescent="0.35">
      <c r="O21" s="884" t="s">
        <v>78</v>
      </c>
      <c r="P21" s="884"/>
    </row>
    <row r="22" spans="1:16" ht="15.75" thickTop="1" x14ac:dyDescent="0.25">
      <c r="O22" s="81">
        <v>1.1000000000000001</v>
      </c>
      <c r="P22" s="81">
        <f>O22*$Q$4</f>
        <v>36.487000000000002</v>
      </c>
    </row>
    <row r="23" spans="1:16" x14ac:dyDescent="0.25">
      <c r="O23" s="81">
        <v>1.0900000000000001</v>
      </c>
      <c r="P23" s="81">
        <f t="shared" ref="P23:P42" si="1">O23*$Q$4</f>
        <v>36.155300000000004</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947</v>
      </c>
      <c r="O24" s="81">
        <v>1.08</v>
      </c>
      <c r="P24" s="81">
        <f t="shared" si="1"/>
        <v>35.823600000000006</v>
      </c>
    </row>
    <row r="25" spans="1:16" x14ac:dyDescent="0.25">
      <c r="B25" s="164">
        <v>43151</v>
      </c>
      <c r="C25" s="10">
        <v>50</v>
      </c>
      <c r="D25" s="39">
        <v>68.22</v>
      </c>
      <c r="E25" s="39">
        <v>68</v>
      </c>
      <c r="F25" s="39">
        <f t="shared" ref="F25:F33" si="2">C25*(E25-D25)</f>
        <v>-10.999999999999943</v>
      </c>
      <c r="G25" s="39">
        <f t="shared" ref="G25:G33" si="3">D25*C25</f>
        <v>3411</v>
      </c>
      <c r="H25" s="179">
        <f t="shared" ref="H25:H33" si="4">(E25-D25)/D25</f>
        <v>-3.2248607446496462E-3</v>
      </c>
      <c r="I25" s="39"/>
      <c r="J25" s="39"/>
      <c r="K25" s="39"/>
      <c r="L25" s="39"/>
      <c r="O25" s="81">
        <v>1.07</v>
      </c>
      <c r="P25" s="81">
        <f t="shared" si="1"/>
        <v>35.491900000000001</v>
      </c>
    </row>
    <row r="26" spans="1:16" x14ac:dyDescent="0.25">
      <c r="B26" s="164">
        <v>43181</v>
      </c>
      <c r="C26" s="10">
        <v>100</v>
      </c>
      <c r="D26" s="39">
        <v>64.66</v>
      </c>
      <c r="E26" s="39">
        <v>61.1</v>
      </c>
      <c r="F26" s="39">
        <f t="shared" si="2"/>
        <v>-355.99999999999955</v>
      </c>
      <c r="G26" s="39">
        <f t="shared" si="3"/>
        <v>6466</v>
      </c>
      <c r="H26" s="179">
        <f t="shared" si="4"/>
        <v>-5.5057222394061169E-2</v>
      </c>
      <c r="I26" s="39"/>
      <c r="J26" s="39"/>
      <c r="K26" s="39"/>
      <c r="L26" s="39"/>
      <c r="O26" s="81">
        <v>1.06</v>
      </c>
      <c r="P26" s="81">
        <f t="shared" si="1"/>
        <v>35.160200000000003</v>
      </c>
    </row>
    <row r="27" spans="1:16" x14ac:dyDescent="0.25">
      <c r="A27">
        <v>50</v>
      </c>
      <c r="B27" s="164">
        <v>43182</v>
      </c>
      <c r="C27" s="10">
        <v>100</v>
      </c>
      <c r="D27" s="39">
        <v>64.347499999999997</v>
      </c>
      <c r="E27" s="39">
        <v>60.03</v>
      </c>
      <c r="F27" s="39">
        <f t="shared" si="2"/>
        <v>-431.74999999999955</v>
      </c>
      <c r="G27" s="39">
        <f t="shared" si="3"/>
        <v>6434.75</v>
      </c>
      <c r="H27" s="179">
        <f t="shared" si="4"/>
        <v>-6.7096623800458374E-2</v>
      </c>
      <c r="I27" s="39"/>
      <c r="J27" s="39"/>
      <c r="K27" s="39"/>
      <c r="L27" s="155"/>
      <c r="O27" s="81">
        <v>1.05</v>
      </c>
      <c r="P27" s="81">
        <f t="shared" si="1"/>
        <v>34.828500000000005</v>
      </c>
    </row>
    <row r="28" spans="1:16" x14ac:dyDescent="0.25">
      <c r="A28">
        <v>50</v>
      </c>
      <c r="B28" s="164">
        <v>43185</v>
      </c>
      <c r="C28" s="10">
        <v>100</v>
      </c>
      <c r="D28" s="39">
        <v>64.347499999999997</v>
      </c>
      <c r="E28" s="39">
        <v>61.65</v>
      </c>
      <c r="F28" s="39">
        <f t="shared" si="2"/>
        <v>-269.74999999999977</v>
      </c>
      <c r="G28" s="39">
        <f t="shared" si="3"/>
        <v>6434.75</v>
      </c>
      <c r="H28" s="179">
        <f t="shared" si="4"/>
        <v>-4.192082054469868E-2</v>
      </c>
      <c r="I28" s="39"/>
      <c r="J28" s="39"/>
      <c r="K28" s="39"/>
      <c r="L28" s="155"/>
      <c r="O28" s="81">
        <v>1.04</v>
      </c>
      <c r="P28" s="81">
        <f t="shared" si="1"/>
        <v>34.4968</v>
      </c>
    </row>
    <row r="29" spans="1:16" x14ac:dyDescent="0.25">
      <c r="A29">
        <v>50</v>
      </c>
      <c r="B29" s="164">
        <v>43186</v>
      </c>
      <c r="C29" s="10">
        <v>100</v>
      </c>
      <c r="D29" s="39">
        <v>64.347499999999997</v>
      </c>
      <c r="E29" s="39">
        <v>60.7</v>
      </c>
      <c r="F29" s="39">
        <f t="shared" si="2"/>
        <v>-364.74999999999937</v>
      </c>
      <c r="G29" s="39">
        <f t="shared" si="3"/>
        <v>6434.75</v>
      </c>
      <c r="H29" s="179">
        <f t="shared" si="4"/>
        <v>-5.6684408873693526E-2</v>
      </c>
      <c r="I29" s="39"/>
      <c r="J29" s="39"/>
      <c r="K29" s="39"/>
      <c r="L29" s="155"/>
      <c r="O29" s="81">
        <v>1.03</v>
      </c>
      <c r="P29" s="81">
        <f t="shared" si="1"/>
        <v>34.165100000000002</v>
      </c>
    </row>
    <row r="30" spans="1:16" x14ac:dyDescent="0.25">
      <c r="A30">
        <v>100</v>
      </c>
      <c r="B30" s="164">
        <v>43222</v>
      </c>
      <c r="C30" s="10">
        <v>100</v>
      </c>
      <c r="D30" s="39">
        <v>64.347499999999997</v>
      </c>
      <c r="E30" s="39">
        <v>54.2</v>
      </c>
      <c r="F30" s="39">
        <f t="shared" si="2"/>
        <v>-1014.7499999999993</v>
      </c>
      <c r="G30" s="39">
        <f t="shared" si="3"/>
        <v>6434.75</v>
      </c>
      <c r="H30" s="179">
        <f t="shared" si="4"/>
        <v>-0.15769843428260608</v>
      </c>
      <c r="I30" s="39"/>
      <c r="J30" s="39"/>
      <c r="K30" s="39"/>
      <c r="L30" s="155"/>
      <c r="O30" s="81">
        <v>1.02</v>
      </c>
      <c r="P30" s="81">
        <f t="shared" si="1"/>
        <v>33.833400000000005</v>
      </c>
    </row>
    <row r="31" spans="1:16" x14ac:dyDescent="0.25">
      <c r="B31" s="164">
        <v>43235</v>
      </c>
      <c r="C31" s="10">
        <v>100</v>
      </c>
      <c r="D31" s="39">
        <v>64.349999999999994</v>
      </c>
      <c r="E31" s="39">
        <v>59.04</v>
      </c>
      <c r="F31" s="39">
        <f t="shared" si="2"/>
        <v>-530.99999999999955</v>
      </c>
      <c r="G31" s="39">
        <f t="shared" si="3"/>
        <v>6434.9999999999991</v>
      </c>
      <c r="H31" s="179">
        <f t="shared" si="4"/>
        <v>-8.2517482517482449E-2</v>
      </c>
      <c r="I31" s="39"/>
      <c r="J31" s="39"/>
      <c r="K31" s="39"/>
      <c r="L31" s="155"/>
      <c r="O31" s="81">
        <v>1.01</v>
      </c>
      <c r="P31" s="81">
        <f t="shared" si="1"/>
        <v>33.5017</v>
      </c>
    </row>
    <row r="32" spans="1:16" x14ac:dyDescent="0.25">
      <c r="A32">
        <v>100</v>
      </c>
      <c r="B32" s="164">
        <v>43241</v>
      </c>
      <c r="C32" s="10">
        <v>100</v>
      </c>
      <c r="D32" s="39">
        <v>64.347499999999997</v>
      </c>
      <c r="E32" s="39">
        <v>56.45</v>
      </c>
      <c r="F32" s="39">
        <f t="shared" si="2"/>
        <v>-789.74999999999932</v>
      </c>
      <c r="G32" s="39">
        <f t="shared" si="3"/>
        <v>6434.75</v>
      </c>
      <c r="H32" s="179">
        <f t="shared" si="4"/>
        <v>-0.12273204087182865</v>
      </c>
      <c r="I32" s="39"/>
      <c r="J32" s="39"/>
      <c r="K32" s="39"/>
      <c r="L32" s="155"/>
      <c r="O32" s="81">
        <v>1</v>
      </c>
      <c r="P32" s="81">
        <f t="shared" si="1"/>
        <v>33.17</v>
      </c>
    </row>
    <row r="33" spans="1:21" x14ac:dyDescent="0.25">
      <c r="A33">
        <v>100</v>
      </c>
      <c r="B33" s="164">
        <v>43266</v>
      </c>
      <c r="C33" s="185">
        <v>100</v>
      </c>
      <c r="D33" s="186">
        <v>63.722499999999997</v>
      </c>
      <c r="E33" s="39">
        <v>61.61</v>
      </c>
      <c r="F33" s="39">
        <f t="shared" si="2"/>
        <v>-211.24999999999972</v>
      </c>
      <c r="G33" s="39">
        <f t="shared" si="3"/>
        <v>6372.25</v>
      </c>
      <c r="H33" s="179">
        <f t="shared" si="4"/>
        <v>-3.3151555572992229E-2</v>
      </c>
      <c r="I33" s="39"/>
      <c r="J33" s="39"/>
      <c r="K33" s="39"/>
      <c r="L33" s="39">
        <v>16.2559</v>
      </c>
      <c r="O33" s="81">
        <v>0.99</v>
      </c>
      <c r="P33" s="81">
        <f t="shared" si="1"/>
        <v>32.838300000000004</v>
      </c>
    </row>
    <row r="34" spans="1:21" x14ac:dyDescent="0.25">
      <c r="A34">
        <v>0</v>
      </c>
      <c r="B34" s="164">
        <v>43299</v>
      </c>
      <c r="C34" s="185">
        <v>100</v>
      </c>
      <c r="D34" s="186">
        <v>61.473300000000002</v>
      </c>
      <c r="E34" s="39">
        <v>62.25</v>
      </c>
      <c r="F34" s="39">
        <v>77.67</v>
      </c>
      <c r="G34" s="39"/>
      <c r="H34" s="179"/>
      <c r="I34" s="39"/>
      <c r="J34" s="39"/>
      <c r="K34" s="39"/>
      <c r="L34" s="39">
        <v>16.420000000000002</v>
      </c>
      <c r="O34" s="81">
        <v>0.98</v>
      </c>
      <c r="P34" s="81">
        <f t="shared" si="1"/>
        <v>32.506599999999999</v>
      </c>
    </row>
    <row r="35" spans="1:21" x14ac:dyDescent="0.25">
      <c r="A35">
        <v>0</v>
      </c>
      <c r="B35" s="164">
        <v>43305</v>
      </c>
      <c r="C35" s="7">
        <v>200</v>
      </c>
      <c r="D35" s="43">
        <v>60.436700000000002</v>
      </c>
      <c r="E35" s="39">
        <v>59.4</v>
      </c>
      <c r="F35" s="39">
        <f t="shared" ref="F35:F42" si="5">C35*(E35-D35)</f>
        <v>-207.34000000000066</v>
      </c>
      <c r="G35" s="39">
        <f t="shared" ref="G35:G42" si="6">D35*C35</f>
        <v>12087.34</v>
      </c>
      <c r="H35" s="179">
        <f t="shared" ref="H35:H42" si="7">(E35-D35)/D35</f>
        <v>-1.7153484554914535E-2</v>
      </c>
      <c r="I35" s="39"/>
      <c r="J35" s="39"/>
      <c r="K35" s="39"/>
      <c r="L35" s="39">
        <v>15.67</v>
      </c>
      <c r="O35" s="81">
        <v>0.97</v>
      </c>
      <c r="P35" s="81">
        <f t="shared" si="1"/>
        <v>32.174900000000001</v>
      </c>
    </row>
    <row r="36" spans="1:21" x14ac:dyDescent="0.25">
      <c r="A36">
        <v>0</v>
      </c>
      <c r="B36" s="164">
        <v>43307</v>
      </c>
      <c r="C36" s="185">
        <v>100</v>
      </c>
      <c r="D36" s="186">
        <v>59.394100000000002</v>
      </c>
      <c r="E36" s="39">
        <v>61.48</v>
      </c>
      <c r="F36" s="39">
        <f t="shared" si="5"/>
        <v>208.58999999999952</v>
      </c>
      <c r="G36" s="39">
        <f t="shared" si="6"/>
        <v>5939.41</v>
      </c>
      <c r="H36" s="179">
        <f t="shared" si="7"/>
        <v>3.5119649931558777E-2</v>
      </c>
      <c r="I36" s="39">
        <v>59</v>
      </c>
      <c r="J36" s="39"/>
      <c r="K36" s="39"/>
      <c r="L36" s="39">
        <v>15.79</v>
      </c>
      <c r="O36" s="81">
        <v>0.96</v>
      </c>
      <c r="P36" s="81">
        <f t="shared" si="1"/>
        <v>31.8432</v>
      </c>
    </row>
    <row r="37" spans="1:21" x14ac:dyDescent="0.25">
      <c r="A37">
        <v>0</v>
      </c>
      <c r="B37" s="164">
        <v>43313</v>
      </c>
      <c r="C37" s="7">
        <v>200</v>
      </c>
      <c r="D37" s="43">
        <v>59.3371</v>
      </c>
      <c r="E37" s="39">
        <v>59.28</v>
      </c>
      <c r="F37" s="39">
        <f t="shared" si="5"/>
        <v>-11.419999999999675</v>
      </c>
      <c r="G37" s="39">
        <f t="shared" si="6"/>
        <v>11867.42</v>
      </c>
      <c r="H37" s="179">
        <f t="shared" si="7"/>
        <v>-9.6229846082802114E-4</v>
      </c>
      <c r="I37" s="39"/>
      <c r="J37" s="39"/>
      <c r="K37" s="39"/>
      <c r="L37" s="39">
        <v>15.64</v>
      </c>
      <c r="O37" s="81">
        <v>0.95</v>
      </c>
      <c r="P37" s="81">
        <f t="shared" si="1"/>
        <v>31.511500000000002</v>
      </c>
    </row>
    <row r="38" spans="1:21" x14ac:dyDescent="0.25">
      <c r="B38" s="164">
        <v>43315</v>
      </c>
      <c r="C38" s="10">
        <v>200</v>
      </c>
      <c r="D38" s="39">
        <v>59.3371</v>
      </c>
      <c r="E38" s="39">
        <v>64.48</v>
      </c>
      <c r="F38" s="39">
        <f t="shared" si="5"/>
        <v>1028.5800000000008</v>
      </c>
      <c r="G38" s="39">
        <f t="shared" si="6"/>
        <v>11867.42</v>
      </c>
      <c r="H38" s="179">
        <f t="shared" si="7"/>
        <v>8.6672587639099394E-2</v>
      </c>
      <c r="I38" s="39"/>
      <c r="J38" s="39"/>
      <c r="K38" s="39"/>
      <c r="L38" s="39">
        <v>17.010000000000002</v>
      </c>
      <c r="O38" s="81">
        <v>0.94</v>
      </c>
      <c r="P38" s="81">
        <f t="shared" si="1"/>
        <v>31.1798</v>
      </c>
    </row>
    <row r="39" spans="1:21" x14ac:dyDescent="0.25">
      <c r="A39">
        <v>0</v>
      </c>
      <c r="B39" s="164">
        <v>43318</v>
      </c>
      <c r="C39" s="10">
        <v>200</v>
      </c>
      <c r="D39" s="39">
        <v>59.34</v>
      </c>
      <c r="E39" s="39">
        <v>62.3</v>
      </c>
      <c r="F39" s="39">
        <f t="shared" si="5"/>
        <v>591.99999999999875</v>
      </c>
      <c r="G39" s="39">
        <f t="shared" si="6"/>
        <v>11868</v>
      </c>
      <c r="H39" s="179">
        <f t="shared" si="7"/>
        <v>4.9882035726322778E-2</v>
      </c>
      <c r="I39" s="39"/>
      <c r="J39" s="39"/>
      <c r="K39" s="39"/>
      <c r="L39" s="39">
        <v>16.440000000000001</v>
      </c>
      <c r="O39" s="81">
        <v>0.93</v>
      </c>
      <c r="P39" s="81">
        <f t="shared" si="1"/>
        <v>30.848100000000002</v>
      </c>
    </row>
    <row r="40" spans="1:21" x14ac:dyDescent="0.25">
      <c r="B40" s="164">
        <v>43320</v>
      </c>
      <c r="C40" s="10">
        <v>200</v>
      </c>
      <c r="D40" s="39">
        <v>59.3371</v>
      </c>
      <c r="E40" s="39">
        <v>60.28</v>
      </c>
      <c r="F40" s="39">
        <f t="shared" si="5"/>
        <v>188.58000000000033</v>
      </c>
      <c r="G40" s="39">
        <f t="shared" si="6"/>
        <v>11867.42</v>
      </c>
      <c r="H40" s="179">
        <f t="shared" si="7"/>
        <v>1.5890564250696473E-2</v>
      </c>
      <c r="I40" s="39"/>
      <c r="J40" s="39"/>
      <c r="K40" s="39"/>
      <c r="L40" s="39">
        <v>15.9</v>
      </c>
      <c r="O40" s="81">
        <v>0.92</v>
      </c>
      <c r="P40" s="81">
        <f t="shared" si="1"/>
        <v>30.516400000000004</v>
      </c>
    </row>
    <row r="41" spans="1:21" x14ac:dyDescent="0.25">
      <c r="B41" s="164">
        <v>43324</v>
      </c>
      <c r="C41" s="10">
        <v>200</v>
      </c>
      <c r="D41" s="39">
        <v>59.34</v>
      </c>
      <c r="E41" s="39">
        <v>59.65</v>
      </c>
      <c r="F41" s="39">
        <f t="shared" si="5"/>
        <v>61.999999999999034</v>
      </c>
      <c r="G41" s="39">
        <f t="shared" si="6"/>
        <v>11868</v>
      </c>
      <c r="H41" s="179">
        <f t="shared" si="7"/>
        <v>5.2241321199864368E-3</v>
      </c>
      <c r="I41" s="39"/>
      <c r="J41" s="39"/>
      <c r="K41" s="39"/>
      <c r="L41" s="39">
        <v>15.74</v>
      </c>
      <c r="O41" s="81">
        <v>0.91</v>
      </c>
      <c r="P41" s="81">
        <f t="shared" si="1"/>
        <v>30.184700000000003</v>
      </c>
      <c r="Q41" s="2"/>
    </row>
    <row r="42" spans="1:21" x14ac:dyDescent="0.25">
      <c r="B42" s="164">
        <v>43325</v>
      </c>
      <c r="C42" s="10">
        <v>200</v>
      </c>
      <c r="D42" s="39">
        <v>59.3371</v>
      </c>
      <c r="E42" s="39">
        <v>59.28</v>
      </c>
      <c r="F42" s="39">
        <f t="shared" si="5"/>
        <v>-11.419999999999675</v>
      </c>
      <c r="G42" s="39">
        <f t="shared" si="6"/>
        <v>11867.42</v>
      </c>
      <c r="H42" s="179">
        <f t="shared" si="7"/>
        <v>-9.6229846082802114E-4</v>
      </c>
      <c r="I42" s="39"/>
      <c r="J42" s="39"/>
      <c r="K42" s="39"/>
      <c r="L42" s="39">
        <v>15.64</v>
      </c>
      <c r="O42" s="81">
        <v>0.9</v>
      </c>
      <c r="P42" s="81">
        <f t="shared" si="1"/>
        <v>29.853000000000002</v>
      </c>
      <c r="Q42" s="2"/>
      <c r="T42" s="1">
        <v>43421</v>
      </c>
      <c r="U42" t="s">
        <v>1307</v>
      </c>
    </row>
    <row r="43" spans="1:21" x14ac:dyDescent="0.25">
      <c r="B43" s="164">
        <v>43328</v>
      </c>
      <c r="C43" s="10">
        <v>200</v>
      </c>
      <c r="D43" s="39">
        <v>59.3371</v>
      </c>
      <c r="E43" s="39">
        <v>60.03</v>
      </c>
      <c r="F43" s="39">
        <f t="shared" ref="F43:F67" si="8">C43*(E43-D43)</f>
        <v>138.58000000000033</v>
      </c>
      <c r="G43" s="39">
        <f t="shared" ref="G43:G67" si="9">D43*C43</f>
        <v>11867.42</v>
      </c>
      <c r="H43" s="179">
        <f t="shared" ref="H43:H67" si="10">(E43-D43)/D43</f>
        <v>1.167734857281535E-2</v>
      </c>
      <c r="I43" s="39"/>
      <c r="J43" s="39"/>
      <c r="K43" s="39"/>
      <c r="L43" s="39"/>
      <c r="Q43" s="2"/>
    </row>
    <row r="44" spans="1:21" x14ac:dyDescent="0.25">
      <c r="B44" s="164">
        <v>43329</v>
      </c>
      <c r="C44" s="10">
        <v>200</v>
      </c>
      <c r="D44" s="39">
        <v>59.3371</v>
      </c>
      <c r="E44" s="39">
        <v>61.02</v>
      </c>
      <c r="F44" s="39">
        <f t="shared" si="8"/>
        <v>336.58000000000072</v>
      </c>
      <c r="G44" s="39">
        <f t="shared" si="9"/>
        <v>11867.42</v>
      </c>
      <c r="H44" s="179">
        <f t="shared" si="10"/>
        <v>2.8361682657224632E-2</v>
      </c>
      <c r="I44" s="39">
        <v>59</v>
      </c>
      <c r="J44" s="39"/>
      <c r="K44" s="39"/>
      <c r="L44" s="39"/>
      <c r="Q44" s="2"/>
      <c r="T44" s="1">
        <v>43471</v>
      </c>
      <c r="U44" t="s">
        <v>1342</v>
      </c>
    </row>
    <row r="45" spans="1:21" x14ac:dyDescent="0.25">
      <c r="B45" s="164">
        <v>43341</v>
      </c>
      <c r="C45" s="7">
        <v>200</v>
      </c>
      <c r="D45" s="43">
        <v>59.34</v>
      </c>
      <c r="E45" s="39">
        <v>59.3</v>
      </c>
      <c r="F45" s="39">
        <f t="shared" si="8"/>
        <v>-8.0000000000012506</v>
      </c>
      <c r="G45" s="39">
        <f t="shared" si="9"/>
        <v>11868</v>
      </c>
      <c r="H45" s="179">
        <f t="shared" si="10"/>
        <v>-6.7408156386933348E-4</v>
      </c>
      <c r="I45" s="39"/>
      <c r="J45" s="39"/>
      <c r="K45" s="39"/>
      <c r="L45" s="39">
        <v>15.64</v>
      </c>
      <c r="Q45" s="2"/>
    </row>
    <row r="46" spans="1:21" x14ac:dyDescent="0.25">
      <c r="A46">
        <v>100</v>
      </c>
      <c r="B46" s="164">
        <v>43342</v>
      </c>
      <c r="C46" s="10">
        <v>200</v>
      </c>
      <c r="D46" s="39">
        <v>59.34</v>
      </c>
      <c r="E46" s="39">
        <v>58.22</v>
      </c>
      <c r="F46" s="39">
        <f t="shared" si="8"/>
        <v>-224.00000000000091</v>
      </c>
      <c r="G46" s="39">
        <f t="shared" si="9"/>
        <v>11868</v>
      </c>
      <c r="H46" s="179">
        <f t="shared" si="10"/>
        <v>-1.8874283788338466E-2</v>
      </c>
      <c r="I46" s="39"/>
      <c r="J46" s="39"/>
      <c r="K46" s="39"/>
      <c r="L46" s="39">
        <v>15.36</v>
      </c>
      <c r="Q46" s="2"/>
    </row>
    <row r="47" spans="1:21" x14ac:dyDescent="0.25">
      <c r="A47">
        <v>200</v>
      </c>
      <c r="B47" s="164">
        <v>43347</v>
      </c>
      <c r="C47" s="359">
        <v>300</v>
      </c>
      <c r="D47" s="360">
        <v>58.551400000000001</v>
      </c>
      <c r="E47" s="39">
        <v>56.66</v>
      </c>
      <c r="F47" s="39">
        <f t="shared" si="8"/>
        <v>-567.42000000000132</v>
      </c>
      <c r="G47" s="39">
        <f t="shared" si="9"/>
        <v>17565.420000000002</v>
      </c>
      <c r="H47" s="179">
        <f t="shared" si="10"/>
        <v>-3.2303241254692534E-2</v>
      </c>
      <c r="I47" s="39"/>
      <c r="J47" s="39"/>
      <c r="K47" s="39"/>
      <c r="L47" s="39">
        <v>14.95</v>
      </c>
      <c r="Q47" s="2"/>
    </row>
    <row r="48" spans="1:21" x14ac:dyDescent="0.25">
      <c r="A48">
        <v>200</v>
      </c>
      <c r="B48" s="164">
        <v>43352</v>
      </c>
      <c r="C48" s="10">
        <v>300</v>
      </c>
      <c r="D48" s="39">
        <v>58.551400000000001</v>
      </c>
      <c r="E48" s="39">
        <v>56.59</v>
      </c>
      <c r="F48" s="39">
        <f t="shared" si="8"/>
        <v>-588.41999999999928</v>
      </c>
      <c r="G48" s="39">
        <f t="shared" si="9"/>
        <v>17565.420000000002</v>
      </c>
      <c r="H48" s="179">
        <f t="shared" si="10"/>
        <v>-3.3498772019114789E-2</v>
      </c>
      <c r="I48" s="39"/>
      <c r="J48" s="39"/>
      <c r="K48" s="39"/>
      <c r="L48" s="39">
        <v>14.93</v>
      </c>
      <c r="Q48" s="2"/>
    </row>
    <row r="49" spans="1:17" x14ac:dyDescent="0.25">
      <c r="B49" s="164">
        <v>43355</v>
      </c>
      <c r="C49" s="10">
        <v>300</v>
      </c>
      <c r="D49" s="39">
        <v>58.551400000000001</v>
      </c>
      <c r="E49" s="39">
        <v>59.12</v>
      </c>
      <c r="F49" s="39">
        <f t="shared" si="8"/>
        <v>170.57999999999893</v>
      </c>
      <c r="G49" s="39">
        <f t="shared" si="9"/>
        <v>17565.420000000002</v>
      </c>
      <c r="H49" s="179">
        <f t="shared" si="10"/>
        <v>9.711125609293653E-3</v>
      </c>
      <c r="I49" s="39"/>
      <c r="J49" s="39"/>
      <c r="K49" s="39"/>
      <c r="L49" s="39">
        <v>15.6</v>
      </c>
      <c r="Q49" s="2"/>
    </row>
    <row r="50" spans="1:17" x14ac:dyDescent="0.25">
      <c r="B50" s="164">
        <v>43357</v>
      </c>
      <c r="C50" s="359">
        <v>300</v>
      </c>
      <c r="D50" s="360">
        <v>58.134700000000002</v>
      </c>
      <c r="E50" s="39">
        <v>58.97</v>
      </c>
      <c r="F50" s="39">
        <f t="shared" si="8"/>
        <v>250.58999999999898</v>
      </c>
      <c r="G50" s="39">
        <f t="shared" si="9"/>
        <v>17440.41</v>
      </c>
      <c r="H50" s="179">
        <f t="shared" si="10"/>
        <v>1.436835487239113E-2</v>
      </c>
      <c r="I50" s="39"/>
      <c r="J50" s="39" t="s">
        <v>184</v>
      </c>
      <c r="K50" s="39"/>
      <c r="L50" s="39">
        <v>15.56</v>
      </c>
      <c r="Q50" s="2"/>
    </row>
    <row r="51" spans="1:17" x14ac:dyDescent="0.25">
      <c r="A51">
        <v>200</v>
      </c>
      <c r="B51" s="164">
        <v>43361</v>
      </c>
      <c r="C51" s="10">
        <v>300</v>
      </c>
      <c r="D51" s="39">
        <v>58.134700000000002</v>
      </c>
      <c r="E51" s="39">
        <v>57.1</v>
      </c>
      <c r="F51" s="39">
        <f t="shared" si="8"/>
        <v>-310.41000000000025</v>
      </c>
      <c r="G51" s="39">
        <f t="shared" si="9"/>
        <v>17440.41</v>
      </c>
      <c r="H51" s="179">
        <f t="shared" si="10"/>
        <v>-1.7798320108300219E-2</v>
      </c>
      <c r="I51" s="39"/>
      <c r="J51" s="39"/>
      <c r="K51" s="39"/>
      <c r="L51" s="39">
        <v>15.07</v>
      </c>
      <c r="Q51" s="2"/>
    </row>
    <row r="52" spans="1:17" x14ac:dyDescent="0.25">
      <c r="A52">
        <v>200</v>
      </c>
      <c r="B52" s="164">
        <v>43367</v>
      </c>
      <c r="C52" s="10">
        <v>400</v>
      </c>
      <c r="D52" s="39">
        <v>57.670999999999999</v>
      </c>
      <c r="E52" s="39">
        <v>56.52</v>
      </c>
      <c r="F52" s="39">
        <f t="shared" si="8"/>
        <v>-460.3999999999985</v>
      </c>
      <c r="G52" s="39">
        <f t="shared" si="9"/>
        <v>23068.400000000001</v>
      </c>
      <c r="H52" s="179">
        <f t="shared" si="10"/>
        <v>-1.995803783530711E-2</v>
      </c>
      <c r="I52" s="39"/>
      <c r="J52" s="39"/>
      <c r="K52" s="39"/>
      <c r="L52" s="39">
        <v>14.91</v>
      </c>
      <c r="Q52" s="2"/>
    </row>
    <row r="53" spans="1:17" x14ac:dyDescent="0.25">
      <c r="A53" s="4">
        <v>400</v>
      </c>
      <c r="B53" s="164">
        <v>43402</v>
      </c>
      <c r="C53" s="10">
        <v>400</v>
      </c>
      <c r="D53" s="39">
        <v>57.67</v>
      </c>
      <c r="E53" s="39">
        <v>55.52</v>
      </c>
      <c r="F53" s="39">
        <f t="shared" si="8"/>
        <v>-859.99999999999943</v>
      </c>
      <c r="G53" s="39">
        <f t="shared" si="9"/>
        <v>23068</v>
      </c>
      <c r="H53" s="179">
        <f t="shared" si="10"/>
        <v>-3.7281082018380415E-2</v>
      </c>
      <c r="I53" s="39"/>
      <c r="J53" s="39"/>
      <c r="K53" s="39"/>
      <c r="L53" s="39">
        <v>14.65</v>
      </c>
      <c r="Q53" s="2"/>
    </row>
    <row r="54" spans="1:17" x14ac:dyDescent="0.25">
      <c r="A54" s="4">
        <v>400</v>
      </c>
      <c r="B54" s="164">
        <v>43407</v>
      </c>
      <c r="C54" s="10">
        <v>400</v>
      </c>
      <c r="D54" s="39">
        <v>57.67</v>
      </c>
      <c r="E54" s="39">
        <v>50.73</v>
      </c>
      <c r="F54" s="39">
        <f t="shared" si="8"/>
        <v>-2776.0000000000018</v>
      </c>
      <c r="G54" s="39">
        <f t="shared" si="9"/>
        <v>23068</v>
      </c>
      <c r="H54" s="179">
        <f t="shared" si="10"/>
        <v>-0.12033986474770253</v>
      </c>
      <c r="I54" s="39"/>
      <c r="J54" s="39"/>
      <c r="K54" s="39"/>
      <c r="L54" s="39">
        <v>13.9</v>
      </c>
    </row>
    <row r="55" spans="1:17" x14ac:dyDescent="0.25">
      <c r="A55" s="4">
        <v>400</v>
      </c>
      <c r="B55" s="164">
        <v>43409</v>
      </c>
      <c r="C55" s="10">
        <v>400</v>
      </c>
      <c r="D55" s="39">
        <v>57.67</v>
      </c>
      <c r="E55" s="39">
        <v>52.39</v>
      </c>
      <c r="F55" s="39">
        <f t="shared" si="8"/>
        <v>-2112.0000000000005</v>
      </c>
      <c r="G55" s="39">
        <f t="shared" si="9"/>
        <v>23068</v>
      </c>
      <c r="H55" s="179">
        <f t="shared" si="10"/>
        <v>-9.1555401421883148E-2</v>
      </c>
      <c r="I55" s="39"/>
      <c r="J55" s="39"/>
      <c r="K55" s="39"/>
      <c r="L55" s="39"/>
    </row>
    <row r="56" spans="1:17" x14ac:dyDescent="0.25">
      <c r="A56" s="4">
        <v>400</v>
      </c>
      <c r="B56" s="164">
        <v>43417</v>
      </c>
      <c r="C56" s="10">
        <v>400</v>
      </c>
      <c r="D56" s="39">
        <v>57.67</v>
      </c>
      <c r="E56" s="39">
        <v>53.38</v>
      </c>
      <c r="F56" s="39">
        <f t="shared" si="8"/>
        <v>-1715.9999999999995</v>
      </c>
      <c r="G56" s="39">
        <f t="shared" si="9"/>
        <v>23068</v>
      </c>
      <c r="H56" s="179">
        <f t="shared" si="10"/>
        <v>-7.4388763655280021E-2</v>
      </c>
      <c r="I56" s="39"/>
      <c r="J56" s="39"/>
      <c r="K56" s="39"/>
      <c r="L56" s="39">
        <v>14.62</v>
      </c>
    </row>
    <row r="57" spans="1:17" x14ac:dyDescent="0.25">
      <c r="A57" s="4">
        <v>400</v>
      </c>
      <c r="B57" s="164">
        <v>43420</v>
      </c>
      <c r="C57" s="10">
        <v>400</v>
      </c>
      <c r="D57" s="39">
        <v>57.67</v>
      </c>
      <c r="E57" s="39">
        <v>52.07</v>
      </c>
      <c r="F57" s="39">
        <f t="shared" si="8"/>
        <v>-2240.0000000000005</v>
      </c>
      <c r="G57" s="39">
        <f t="shared" si="9"/>
        <v>23068</v>
      </c>
      <c r="H57" s="179">
        <f t="shared" si="10"/>
        <v>-9.7104213629270006E-2</v>
      </c>
      <c r="I57" s="39"/>
      <c r="J57" s="39"/>
      <c r="K57" s="39"/>
      <c r="L57" s="39">
        <v>14.27</v>
      </c>
    </row>
    <row r="58" spans="1:17" x14ac:dyDescent="0.25">
      <c r="A58" s="4">
        <v>400</v>
      </c>
      <c r="B58" s="164">
        <v>43424</v>
      </c>
      <c r="C58" s="10">
        <v>500</v>
      </c>
      <c r="D58" s="39">
        <v>56.314799999999998</v>
      </c>
      <c r="E58" s="39">
        <v>50.94</v>
      </c>
      <c r="F58" s="39">
        <f t="shared" si="8"/>
        <v>-2687.4</v>
      </c>
      <c r="G58" s="39">
        <f t="shared" si="9"/>
        <v>28157.399999999998</v>
      </c>
      <c r="H58" s="179">
        <f t="shared" si="10"/>
        <v>-9.5442050757527333E-2</v>
      </c>
      <c r="I58" s="39"/>
      <c r="J58" s="39"/>
      <c r="K58" s="39"/>
      <c r="L58" s="39">
        <v>13.96</v>
      </c>
    </row>
    <row r="59" spans="1:17" x14ac:dyDescent="0.25">
      <c r="A59" s="4">
        <v>400</v>
      </c>
      <c r="B59" s="164">
        <v>43442</v>
      </c>
      <c r="C59" s="10">
        <v>500</v>
      </c>
      <c r="D59" s="39">
        <v>56.31</v>
      </c>
      <c r="E59" s="39">
        <v>48.71</v>
      </c>
      <c r="F59" s="39">
        <f t="shared" si="8"/>
        <v>-3800.0000000000009</v>
      </c>
      <c r="G59" s="39">
        <f t="shared" si="9"/>
        <v>28155</v>
      </c>
      <c r="H59" s="179">
        <f t="shared" si="10"/>
        <v>-0.13496714615521224</v>
      </c>
      <c r="I59" s="39"/>
      <c r="J59" s="39"/>
      <c r="K59" s="39"/>
      <c r="L59" s="39">
        <v>13.35</v>
      </c>
    </row>
    <row r="60" spans="1:17" x14ac:dyDescent="0.25">
      <c r="A60" s="4"/>
      <c r="B60" s="164">
        <v>43448</v>
      </c>
      <c r="C60" s="10">
        <v>500</v>
      </c>
      <c r="D60" s="39">
        <v>55.814799999999998</v>
      </c>
      <c r="E60" s="39">
        <v>47.46</v>
      </c>
      <c r="F60" s="39">
        <f t="shared" si="8"/>
        <v>-4177.3999999999987</v>
      </c>
      <c r="G60" s="39">
        <f t="shared" si="9"/>
        <v>27907.399999999998</v>
      </c>
      <c r="H60" s="179">
        <f t="shared" si="10"/>
        <v>-0.14968789640023789</v>
      </c>
      <c r="I60" s="39"/>
      <c r="J60" s="39"/>
      <c r="K60" s="39"/>
      <c r="L60" s="39">
        <v>13.28</v>
      </c>
    </row>
    <row r="61" spans="1:17" x14ac:dyDescent="0.25">
      <c r="A61" s="4">
        <v>500</v>
      </c>
      <c r="B61" s="164">
        <v>43467</v>
      </c>
      <c r="C61" s="10">
        <v>500</v>
      </c>
      <c r="D61" s="39">
        <v>55.814799999999998</v>
      </c>
      <c r="E61" s="39">
        <v>43.34</v>
      </c>
      <c r="F61" s="39">
        <f t="shared" si="8"/>
        <v>-6237.3999999999978</v>
      </c>
      <c r="G61" s="39">
        <f t="shared" si="9"/>
        <v>27907.399999999998</v>
      </c>
      <c r="H61" s="179">
        <f t="shared" si="10"/>
        <v>-0.22350344353110635</v>
      </c>
      <c r="I61" s="39"/>
      <c r="J61" s="39"/>
      <c r="K61" s="39"/>
      <c r="L61" s="39">
        <v>11.87</v>
      </c>
    </row>
    <row r="62" spans="1:17" x14ac:dyDescent="0.25">
      <c r="A62" s="4">
        <v>500</v>
      </c>
      <c r="B62" s="164">
        <v>43470</v>
      </c>
      <c r="C62" s="10">
        <v>500</v>
      </c>
      <c r="D62" s="39">
        <v>55.81</v>
      </c>
      <c r="E62" s="39">
        <v>44.49</v>
      </c>
      <c r="F62" s="39">
        <f t="shared" si="8"/>
        <v>-5660</v>
      </c>
      <c r="G62" s="39">
        <f t="shared" si="9"/>
        <v>27905</v>
      </c>
      <c r="H62" s="179">
        <f t="shared" si="10"/>
        <v>-0.20283103386489876</v>
      </c>
      <c r="I62" s="39"/>
      <c r="J62" s="39"/>
      <c r="K62" s="39"/>
      <c r="L62" s="39">
        <v>12.19</v>
      </c>
    </row>
    <row r="63" spans="1:17" x14ac:dyDescent="0.25">
      <c r="A63" s="4"/>
      <c r="B63" s="164">
        <v>43491</v>
      </c>
      <c r="C63" s="10">
        <v>500</v>
      </c>
      <c r="D63" s="39">
        <v>55.81</v>
      </c>
      <c r="E63" s="39">
        <v>46.75</v>
      </c>
      <c r="F63" s="39">
        <f t="shared" si="8"/>
        <v>-4530.0000000000009</v>
      </c>
      <c r="G63" s="39">
        <f t="shared" si="9"/>
        <v>27905</v>
      </c>
      <c r="H63" s="179">
        <f t="shared" si="10"/>
        <v>-0.16233649883533421</v>
      </c>
      <c r="I63" s="39"/>
      <c r="J63" s="39"/>
      <c r="K63" s="39"/>
      <c r="L63" s="39"/>
    </row>
    <row r="64" spans="1:17" x14ac:dyDescent="0.25">
      <c r="A64" s="4">
        <v>500</v>
      </c>
      <c r="B64" s="164">
        <v>43510</v>
      </c>
      <c r="C64" s="10">
        <v>500</v>
      </c>
      <c r="D64" s="39">
        <v>55.81</v>
      </c>
      <c r="E64" s="39">
        <v>47.74</v>
      </c>
      <c r="F64" s="39">
        <f t="shared" si="8"/>
        <v>-4035</v>
      </c>
      <c r="G64" s="39">
        <f t="shared" si="9"/>
        <v>27905</v>
      </c>
      <c r="H64" s="179">
        <f t="shared" si="10"/>
        <v>-0.14459774234008241</v>
      </c>
      <c r="I64" s="39"/>
      <c r="J64" s="39"/>
      <c r="K64" s="39"/>
      <c r="L64" s="39">
        <v>12.97</v>
      </c>
    </row>
    <row r="65" spans="1:13" x14ac:dyDescent="0.25">
      <c r="A65" s="4">
        <v>500</v>
      </c>
      <c r="B65" s="164">
        <v>43517</v>
      </c>
      <c r="C65" s="10">
        <v>700</v>
      </c>
      <c r="D65" s="39">
        <v>51.013399999999997</v>
      </c>
      <c r="E65" s="39">
        <v>39.01</v>
      </c>
      <c r="F65" s="39">
        <f t="shared" si="8"/>
        <v>-8402.3799999999992</v>
      </c>
      <c r="G65" s="39">
        <f t="shared" si="9"/>
        <v>35709.379999999997</v>
      </c>
      <c r="H65" s="179">
        <f t="shared" si="10"/>
        <v>-0.23529896066523698</v>
      </c>
      <c r="I65" s="39"/>
      <c r="J65" s="39"/>
      <c r="K65" s="39"/>
      <c r="L65" s="39">
        <v>10.99</v>
      </c>
    </row>
    <row r="66" spans="1:13" x14ac:dyDescent="0.25">
      <c r="A66" s="4">
        <v>500</v>
      </c>
      <c r="B66" s="164">
        <v>43520</v>
      </c>
      <c r="C66" s="10">
        <v>700</v>
      </c>
      <c r="D66" s="39">
        <v>51.01</v>
      </c>
      <c r="E66" s="39">
        <v>34.950000000000003</v>
      </c>
      <c r="F66" s="39">
        <f t="shared" si="8"/>
        <v>-11241.999999999996</v>
      </c>
      <c r="G66" s="39">
        <f t="shared" si="9"/>
        <v>35707</v>
      </c>
      <c r="H66" s="179">
        <f t="shared" si="10"/>
        <v>-0.31484022740639084</v>
      </c>
      <c r="I66" s="39"/>
      <c r="J66" s="39"/>
      <c r="K66" s="39"/>
      <c r="L66" s="39">
        <v>9.85</v>
      </c>
    </row>
    <row r="67" spans="1:13" x14ac:dyDescent="0.25">
      <c r="A67" s="4">
        <v>500</v>
      </c>
      <c r="B67" s="164">
        <v>43535</v>
      </c>
      <c r="C67" s="10">
        <v>700</v>
      </c>
      <c r="D67" s="39">
        <v>51.01</v>
      </c>
      <c r="E67" s="39">
        <v>32.17</v>
      </c>
      <c r="F67" s="39">
        <f t="shared" si="8"/>
        <v>-13187.999999999998</v>
      </c>
      <c r="G67" s="39">
        <f t="shared" si="9"/>
        <v>35707</v>
      </c>
      <c r="H67" s="179">
        <f t="shared" si="10"/>
        <v>-0.36933934522642614</v>
      </c>
      <c r="I67" s="39"/>
      <c r="J67" s="39"/>
      <c r="K67" s="39"/>
      <c r="L67" s="39"/>
    </row>
    <row r="68" spans="1:13" x14ac:dyDescent="0.25">
      <c r="A68" s="4">
        <v>500</v>
      </c>
      <c r="B68" s="164">
        <v>43545</v>
      </c>
      <c r="C68" s="10">
        <v>700</v>
      </c>
      <c r="D68" s="39">
        <v>51.01</v>
      </c>
      <c r="E68" s="39">
        <v>32.75</v>
      </c>
      <c r="F68" s="39">
        <f t="shared" ref="F68" si="11">C68*(E68-D68)</f>
        <v>-12781.999999999998</v>
      </c>
      <c r="G68" s="39">
        <f t="shared" ref="G68" si="12">D68*C68</f>
        <v>35707</v>
      </c>
      <c r="H68" s="179">
        <f t="shared" ref="H68" si="13">(E68-D68)/D68</f>
        <v>-0.35796902568123895</v>
      </c>
      <c r="I68" s="39"/>
      <c r="J68" s="39"/>
      <c r="K68" s="39"/>
      <c r="L68" s="39">
        <v>11.65</v>
      </c>
    </row>
    <row r="69" spans="1:13" x14ac:dyDescent="0.25">
      <c r="A69" s="4">
        <v>500</v>
      </c>
      <c r="B69" s="164">
        <v>43546</v>
      </c>
      <c r="C69" s="10">
        <v>700</v>
      </c>
      <c r="D69" s="39">
        <v>50.613399999999999</v>
      </c>
      <c r="E69" s="39">
        <v>32.29</v>
      </c>
      <c r="F69" s="39">
        <f t="shared" ref="F69" si="14">C69*(E69-D69)</f>
        <v>-12826.38</v>
      </c>
      <c r="G69" s="39">
        <f t="shared" ref="G69" si="15">D69*C69</f>
        <v>35429.379999999997</v>
      </c>
      <c r="H69" s="179">
        <f t="shared" ref="H69" si="16">(E69-D69)/D69</f>
        <v>-0.36202665697226427</v>
      </c>
      <c r="I69" s="39"/>
      <c r="J69" s="39"/>
      <c r="K69" s="39"/>
      <c r="L69" s="39">
        <v>11.49</v>
      </c>
    </row>
    <row r="70" spans="1:13" x14ac:dyDescent="0.25">
      <c r="A70" s="4"/>
      <c r="B70" s="164"/>
      <c r="C70" s="10"/>
      <c r="D70" s="39"/>
      <c r="E70" s="39"/>
      <c r="F70" s="39"/>
      <c r="G70" s="39"/>
      <c r="H70" s="179"/>
      <c r="I70" s="39"/>
      <c r="J70" s="39"/>
      <c r="K70" s="39"/>
      <c r="L70" s="39"/>
    </row>
    <row r="71" spans="1:13" x14ac:dyDescent="0.25">
      <c r="A71" s="4"/>
      <c r="B71" s="164"/>
      <c r="C71" s="10"/>
      <c r="D71" s="39"/>
      <c r="E71" s="39"/>
      <c r="F71" s="39"/>
      <c r="G71" s="39"/>
      <c r="H71" s="179"/>
      <c r="I71" s="39"/>
      <c r="J71" s="39"/>
      <c r="K71" s="39"/>
      <c r="L71" s="39"/>
    </row>
    <row r="72" spans="1:13" x14ac:dyDescent="0.25">
      <c r="A72" s="4"/>
      <c r="B72" s="164"/>
      <c r="C72" s="10"/>
      <c r="D72" s="39"/>
      <c r="E72" s="39"/>
      <c r="F72" s="39"/>
      <c r="G72" s="39"/>
      <c r="H72" s="179"/>
      <c r="I72" s="39"/>
      <c r="J72" s="39"/>
      <c r="K72" s="39"/>
      <c r="L72" s="39"/>
    </row>
    <row r="73" spans="1:13" x14ac:dyDescent="0.25">
      <c r="A73" s="4"/>
      <c r="B73" s="4"/>
      <c r="C73" s="4"/>
      <c r="D73" s="3"/>
      <c r="E73" s="3"/>
      <c r="F73" s="3"/>
      <c r="G73" s="4"/>
      <c r="H73" s="4"/>
      <c r="I73" s="3"/>
      <c r="J73" s="3"/>
      <c r="K73" s="3"/>
      <c r="L73" s="4"/>
    </row>
    <row r="74" spans="1:13" x14ac:dyDescent="0.25">
      <c r="A74" s="4"/>
      <c r="B74" s="4"/>
      <c r="C74" s="4"/>
      <c r="D74" s="3"/>
      <c r="E74" s="3"/>
      <c r="F74" s="3"/>
      <c r="G74" s="4"/>
      <c r="H74" s="4"/>
      <c r="I74" s="3"/>
      <c r="J74" s="3"/>
      <c r="K74" s="3"/>
      <c r="L74" s="4"/>
    </row>
    <row r="75" spans="1:13" x14ac:dyDescent="0.25">
      <c r="A75" s="491"/>
      <c r="B75" s="491"/>
      <c r="C75" s="491"/>
      <c r="D75" s="492"/>
      <c r="E75" s="492"/>
      <c r="F75" s="492"/>
      <c r="G75" s="491"/>
      <c r="H75" s="491"/>
      <c r="I75" s="492"/>
      <c r="J75" s="492"/>
      <c r="K75" s="492"/>
      <c r="L75" s="491" t="s">
        <v>65</v>
      </c>
      <c r="M75" s="492">
        <f>M93+K93-F93</f>
        <v>0</v>
      </c>
    </row>
    <row r="76" spans="1:13" x14ac:dyDescent="0.25">
      <c r="A76" s="610" t="s">
        <v>1</v>
      </c>
      <c r="B76" s="610" t="s">
        <v>2</v>
      </c>
      <c r="C76" s="610" t="s">
        <v>4</v>
      </c>
      <c r="D76" s="611" t="s">
        <v>5</v>
      </c>
      <c r="E76" s="611" t="s">
        <v>94</v>
      </c>
      <c r="F76" s="611" t="s">
        <v>60</v>
      </c>
      <c r="G76" s="610" t="s">
        <v>3</v>
      </c>
      <c r="H76" s="610" t="s">
        <v>6</v>
      </c>
      <c r="I76" s="611" t="s">
        <v>7</v>
      </c>
      <c r="J76" s="611" t="s">
        <v>95</v>
      </c>
      <c r="K76" s="611" t="s">
        <v>61</v>
      </c>
      <c r="L76" s="610" t="s">
        <v>37</v>
      </c>
      <c r="M76" s="610" t="s">
        <v>38</v>
      </c>
    </row>
    <row r="77" spans="1:13" x14ac:dyDescent="0.25">
      <c r="A77" s="612" t="s">
        <v>916</v>
      </c>
      <c r="B77" s="494"/>
      <c r="C77" s="491"/>
      <c r="D77" s="492"/>
      <c r="E77" s="492"/>
      <c r="F77" s="492"/>
      <c r="G77" s="494"/>
      <c r="H77" s="491"/>
      <c r="I77" s="492"/>
      <c r="J77" s="492"/>
      <c r="K77" s="492"/>
      <c r="L77" s="494"/>
      <c r="M77" s="492"/>
    </row>
    <row r="78" spans="1:13" x14ac:dyDescent="0.25">
      <c r="A78" s="613"/>
      <c r="B78" s="494"/>
      <c r="C78" s="491"/>
      <c r="D78" s="492"/>
      <c r="E78" s="492"/>
      <c r="F78" s="492"/>
      <c r="G78" s="494"/>
      <c r="H78" s="493"/>
      <c r="I78" s="492"/>
      <c r="J78" s="492"/>
      <c r="K78" s="492"/>
      <c r="L78" s="491"/>
      <c r="M78" s="491"/>
    </row>
    <row r="79" spans="1:13" x14ac:dyDescent="0.25">
      <c r="A79" s="491"/>
      <c r="B79" s="494"/>
      <c r="C79" s="491"/>
      <c r="D79" s="492"/>
      <c r="E79" s="492"/>
      <c r="F79" s="492"/>
      <c r="G79" s="494"/>
      <c r="H79" s="493"/>
      <c r="I79" s="492"/>
      <c r="J79" s="492"/>
      <c r="K79" s="492"/>
      <c r="L79" s="491"/>
      <c r="M79" s="491"/>
    </row>
    <row r="80" spans="1:13" x14ac:dyDescent="0.25">
      <c r="A80" s="491"/>
      <c r="B80" s="494"/>
      <c r="C80" s="491"/>
      <c r="D80" s="492"/>
      <c r="E80" s="492"/>
      <c r="F80" s="492"/>
      <c r="G80" s="491"/>
      <c r="H80" s="493"/>
      <c r="I80" s="492"/>
      <c r="J80" s="492"/>
      <c r="K80" s="492"/>
      <c r="L80" s="491"/>
      <c r="M80" s="491"/>
    </row>
    <row r="81" spans="1:13" x14ac:dyDescent="0.25">
      <c r="A81" s="491"/>
      <c r="B81" s="494"/>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3"/>
      <c r="I88" s="492"/>
      <c r="J88" s="492"/>
      <c r="K88" s="492"/>
      <c r="L88" s="491"/>
      <c r="M88" s="491"/>
    </row>
    <row r="89" spans="1:13" x14ac:dyDescent="0.25">
      <c r="A89" s="491"/>
      <c r="B89" s="491"/>
      <c r="C89" s="491"/>
      <c r="D89" s="492"/>
      <c r="E89" s="492"/>
      <c r="F89" s="492"/>
      <c r="G89" s="491"/>
      <c r="H89" s="493"/>
      <c r="I89" s="492"/>
      <c r="J89" s="492"/>
      <c r="K89" s="492"/>
      <c r="L89" s="491"/>
      <c r="M89" s="491"/>
    </row>
    <row r="90" spans="1:13" x14ac:dyDescent="0.25">
      <c r="A90" s="491"/>
      <c r="B90" s="491"/>
      <c r="C90" s="491"/>
      <c r="D90" s="492"/>
      <c r="E90" s="492"/>
      <c r="F90" s="492"/>
      <c r="G90" s="491"/>
      <c r="H90" s="493"/>
      <c r="I90" s="492"/>
      <c r="J90" s="492"/>
      <c r="K90" s="492"/>
      <c r="L90" s="491"/>
      <c r="M90" s="491"/>
    </row>
    <row r="91" spans="1:13" x14ac:dyDescent="0.25">
      <c r="A91" s="491"/>
      <c r="B91" s="491"/>
      <c r="C91" s="491"/>
      <c r="D91" s="492"/>
      <c r="E91" s="492"/>
      <c r="F91" s="492"/>
      <c r="G91" s="491"/>
      <c r="H91" s="493"/>
      <c r="I91" s="492"/>
      <c r="J91" s="492"/>
      <c r="K91" s="492"/>
      <c r="L91" s="491"/>
      <c r="M91" s="491"/>
    </row>
    <row r="92" spans="1:13" x14ac:dyDescent="0.25">
      <c r="A92" s="491"/>
      <c r="B92" s="491"/>
      <c r="C92" s="491"/>
      <c r="D92" s="492"/>
      <c r="E92" s="492"/>
      <c r="F92" s="492"/>
      <c r="G92" s="491"/>
      <c r="H92" s="491"/>
      <c r="I92" s="492"/>
      <c r="J92" s="492"/>
      <c r="K92" s="492"/>
      <c r="L92" s="491"/>
      <c r="M92" s="491"/>
    </row>
    <row r="93" spans="1:13" x14ac:dyDescent="0.25">
      <c r="A93" s="614" t="s">
        <v>81</v>
      </c>
      <c r="B93" s="615"/>
      <c r="C93" s="615">
        <f>SUM(C77:C81)</f>
        <v>0</v>
      </c>
      <c r="D93" s="616"/>
      <c r="E93" s="616"/>
      <c r="F93" s="616">
        <f>SUM(F77:F81)</f>
        <v>0</v>
      </c>
      <c r="G93" s="615"/>
      <c r="H93" s="617">
        <f>SUM(H77:H80)</f>
        <v>0</v>
      </c>
      <c r="I93" s="616"/>
      <c r="J93" s="616"/>
      <c r="K93" s="616">
        <f>SUM(K77:K80)</f>
        <v>0</v>
      </c>
      <c r="L93" s="615"/>
      <c r="M93" s="616">
        <f>SUM(M77:M85)</f>
        <v>0</v>
      </c>
    </row>
    <row r="94" spans="1:13" ht="15.75" thickBot="1" x14ac:dyDescent="0.3">
      <c r="A94" s="618" t="s">
        <v>191</v>
      </c>
      <c r="B94" s="650"/>
      <c r="C94" s="619">
        <f>SumByColor($A$19,C77:C92)</f>
        <v>0</v>
      </c>
      <c r="D94" s="619"/>
      <c r="E94" s="619"/>
      <c r="F94" s="620">
        <f>SumByColor($A$19,F77:F92)</f>
        <v>0</v>
      </c>
      <c r="G94" s="619"/>
      <c r="H94" s="619">
        <f>SumByColor($A$19,H77:H92)</f>
        <v>0</v>
      </c>
      <c r="I94" s="619"/>
      <c r="J94" s="619"/>
      <c r="K94" s="620">
        <f>SumByColor($A$19,K78:K92)</f>
        <v>0</v>
      </c>
      <c r="L94" s="619"/>
      <c r="M94" s="620">
        <f>SumByColor($A$19,M77:M92)</f>
        <v>0</v>
      </c>
    </row>
    <row r="97" spans="2:12" x14ac:dyDescent="0.25">
      <c r="B97" s="162" t="s">
        <v>113</v>
      </c>
      <c r="C97" s="162" t="s">
        <v>145</v>
      </c>
      <c r="D97" s="163" t="s">
        <v>144</v>
      </c>
      <c r="E97" s="165" t="s">
        <v>146</v>
      </c>
      <c r="F97" s="165" t="s">
        <v>65</v>
      </c>
      <c r="G97" s="177" t="s">
        <v>150</v>
      </c>
      <c r="H97" s="177" t="s">
        <v>88</v>
      </c>
      <c r="I97" s="177" t="s">
        <v>153</v>
      </c>
      <c r="J97" s="177" t="s">
        <v>149</v>
      </c>
      <c r="K97" s="177" t="s">
        <v>646</v>
      </c>
      <c r="L97" s="177" t="s">
        <v>652</v>
      </c>
    </row>
    <row r="98" spans="2:12" x14ac:dyDescent="0.25">
      <c r="B98" s="164"/>
      <c r="C98" s="10"/>
      <c r="D98" s="39"/>
      <c r="E98" s="39"/>
      <c r="F98" s="39"/>
      <c r="G98" s="39"/>
      <c r="H98" s="179"/>
      <c r="I98" s="39"/>
      <c r="J98" s="39"/>
      <c r="K98" s="39"/>
      <c r="L98" s="39"/>
    </row>
    <row r="99" spans="2:12" x14ac:dyDescent="0.25">
      <c r="B99" s="164"/>
      <c r="C99" s="10"/>
      <c r="D99" s="39"/>
      <c r="E99" s="39"/>
      <c r="F99" s="39"/>
      <c r="G99" s="39"/>
      <c r="H99" s="179"/>
      <c r="I99" s="39"/>
      <c r="J99" s="39"/>
      <c r="K99" s="39"/>
      <c r="L99" s="39"/>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155"/>
    </row>
    <row r="106" spans="2:12" x14ac:dyDescent="0.25">
      <c r="B106" s="164"/>
      <c r="C106" s="10"/>
      <c r="D106" s="39"/>
      <c r="E106" s="39"/>
      <c r="F106" s="39"/>
      <c r="G106" s="39"/>
      <c r="H106" s="179"/>
      <c r="I106" s="39"/>
      <c r="J106" s="39"/>
      <c r="K106" s="39"/>
      <c r="L106" s="155"/>
    </row>
    <row r="107" spans="2:12" x14ac:dyDescent="0.25">
      <c r="B107" s="164"/>
      <c r="C107" s="10"/>
      <c r="D107" s="39"/>
      <c r="E107" s="39"/>
      <c r="F107" s="39"/>
      <c r="G107" s="39"/>
      <c r="H107" s="179"/>
      <c r="I107" s="39"/>
      <c r="J107" s="39"/>
      <c r="K107" s="39"/>
      <c r="L107" s="155"/>
    </row>
    <row r="108" spans="2:12" x14ac:dyDescent="0.25">
      <c r="B108" s="164"/>
      <c r="C108" s="10"/>
      <c r="D108" s="39"/>
      <c r="E108" s="39"/>
      <c r="F108" s="39"/>
      <c r="G108" s="39"/>
      <c r="H108" s="179"/>
      <c r="I108" s="39"/>
      <c r="J108" s="39"/>
      <c r="K108" s="39"/>
      <c r="L108" s="155"/>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row r="116" spans="2:12" x14ac:dyDescent="0.25">
      <c r="B116" s="164"/>
      <c r="C116" s="10"/>
      <c r="D116" s="39"/>
      <c r="E116" s="39"/>
      <c r="F116" s="39"/>
      <c r="G116" s="39"/>
      <c r="H116" s="179"/>
      <c r="I116" s="39"/>
      <c r="J116" s="39"/>
      <c r="K116" s="39"/>
      <c r="L116" s="39"/>
    </row>
    <row r="117" spans="2:12" x14ac:dyDescent="0.25">
      <c r="B117" s="164"/>
      <c r="C117" s="10"/>
      <c r="D117" s="39"/>
      <c r="E117" s="39"/>
      <c r="F117" s="39"/>
      <c r="G117" s="39"/>
      <c r="H117" s="179"/>
      <c r="I117" s="39"/>
      <c r="J117" s="39"/>
      <c r="K117" s="39"/>
      <c r="L117" s="39"/>
    </row>
    <row r="118" spans="2:12" x14ac:dyDescent="0.25">
      <c r="B118" s="164"/>
      <c r="C118" s="10"/>
      <c r="D118" s="39"/>
      <c r="E118" s="39"/>
      <c r="F118" s="39"/>
      <c r="G118" s="39"/>
      <c r="H118" s="179"/>
      <c r="I118" s="39"/>
      <c r="J118" s="39"/>
      <c r="K118" s="39"/>
      <c r="L118" s="39"/>
    </row>
    <row r="119" spans="2:12" x14ac:dyDescent="0.25">
      <c r="B119" s="164"/>
      <c r="C119" s="10"/>
      <c r="D119" s="39"/>
      <c r="E119" s="39"/>
      <c r="F119" s="39"/>
      <c r="G119" s="39"/>
      <c r="H119" s="179"/>
      <c r="I119" s="39"/>
      <c r="J119" s="39"/>
      <c r="K119" s="39"/>
      <c r="L119" s="39"/>
    </row>
  </sheetData>
  <mergeCells count="1">
    <mergeCell ref="O21:P21"/>
  </mergeCells>
  <conditionalFormatting sqref="O22:O42">
    <cfRule type="colorScale" priority="46">
      <colorScale>
        <cfvo type="min"/>
        <cfvo type="percentile" val="50"/>
        <cfvo type="max"/>
        <color rgb="FFF8696B"/>
        <color rgb="FFFFEB84"/>
        <color rgb="FF63BE7B"/>
      </colorScale>
    </cfRule>
  </conditionalFormatting>
  <conditionalFormatting sqref="P22:P42">
    <cfRule type="colorScale" priority="45">
      <colorScale>
        <cfvo type="min"/>
        <cfvo type="percentile" val="50"/>
        <cfvo type="max"/>
        <color rgb="FFF8696B"/>
        <color rgb="FFFFEB84"/>
        <color rgb="FF63BE7B"/>
      </colorScale>
    </cfRule>
  </conditionalFormatting>
  <conditionalFormatting sqref="F30:F34 H30:H34 J25:K37 F39:F60 H39:H60 H71:H72 F71:F72">
    <cfRule type="expression" dxfId="1404" priority="43">
      <formula>F25&gt;0</formula>
    </cfRule>
    <cfRule type="expression" dxfId="1403" priority="44">
      <formula>F25&lt;0</formula>
    </cfRule>
  </conditionalFormatting>
  <conditionalFormatting sqref="Q7">
    <cfRule type="expression" dxfId="1402" priority="41">
      <formula>Q7&gt;0</formula>
    </cfRule>
    <cfRule type="expression" dxfId="1401" priority="42">
      <formula>Q7&lt;0</formula>
    </cfRule>
  </conditionalFormatting>
  <conditionalFormatting sqref="Q8">
    <cfRule type="expression" dxfId="1400" priority="39">
      <formula>Q8&gt;0</formula>
    </cfRule>
    <cfRule type="expression" dxfId="1399" priority="40">
      <formula>Q8&lt;0</formula>
    </cfRule>
  </conditionalFormatting>
  <conditionalFormatting sqref="Q10">
    <cfRule type="expression" dxfId="1398" priority="33">
      <formula>Q10&gt;0</formula>
    </cfRule>
    <cfRule type="expression" dxfId="1397" priority="34">
      <formula>Q10&lt;0</formula>
    </cfRule>
  </conditionalFormatting>
  <conditionalFormatting sqref="L25:L32">
    <cfRule type="expression" dxfId="1396" priority="27">
      <formula>L25&gt;0</formula>
    </cfRule>
    <cfRule type="expression" dxfId="1395" priority="28">
      <formula>L25&lt;0</formula>
    </cfRule>
  </conditionalFormatting>
  <conditionalFormatting sqref="F98:F119">
    <cfRule type="expression" dxfId="1394" priority="25">
      <formula>F98&gt;0</formula>
    </cfRule>
    <cfRule type="expression" dxfId="1393" priority="26">
      <formula>F98&lt;0</formula>
    </cfRule>
  </conditionalFormatting>
  <conditionalFormatting sqref="H98:H119">
    <cfRule type="expression" dxfId="1392" priority="23">
      <formula>H98&gt;0</formula>
    </cfRule>
    <cfRule type="expression" dxfId="1391" priority="24">
      <formula>H98&lt;0</formula>
    </cfRule>
  </conditionalFormatting>
  <conditionalFormatting sqref="J98:J111">
    <cfRule type="expression" dxfId="1390" priority="21">
      <formula>J98&gt;0</formula>
    </cfRule>
    <cfRule type="expression" dxfId="1389" priority="22">
      <formula>J98&lt;0</formula>
    </cfRule>
  </conditionalFormatting>
  <conditionalFormatting sqref="K98:K111">
    <cfRule type="expression" dxfId="1388" priority="19">
      <formula>K98&gt;0</formula>
    </cfRule>
    <cfRule type="expression" dxfId="1387" priority="20">
      <formula>K98&lt;0</formula>
    </cfRule>
  </conditionalFormatting>
  <conditionalFormatting sqref="L98:L111">
    <cfRule type="expression" dxfId="1386" priority="17">
      <formula>L98&gt;0</formula>
    </cfRule>
    <cfRule type="expression" dxfId="1385" priority="18">
      <formula>L98&lt;0</formula>
    </cfRule>
  </conditionalFormatting>
  <conditionalFormatting sqref="F25:F29">
    <cfRule type="expression" dxfId="1384" priority="15">
      <formula>F25&gt;0</formula>
    </cfRule>
    <cfRule type="expression" dxfId="1383" priority="16">
      <formula>F25&lt;0</formula>
    </cfRule>
  </conditionalFormatting>
  <conditionalFormatting sqref="H25:H29">
    <cfRule type="expression" dxfId="1382" priority="13">
      <formula>H25&gt;0</formula>
    </cfRule>
    <cfRule type="expression" dxfId="1381" priority="14">
      <formula>H25&lt;0</formula>
    </cfRule>
  </conditionalFormatting>
  <conditionalFormatting sqref="F35:F38">
    <cfRule type="expression" dxfId="1380" priority="11">
      <formula>F35&gt;0</formula>
    </cfRule>
    <cfRule type="expression" dxfId="1379" priority="12">
      <formula>F35&lt;0</formula>
    </cfRule>
  </conditionalFormatting>
  <conditionalFormatting sqref="H35:H38">
    <cfRule type="expression" dxfId="1378" priority="9">
      <formula>H35&gt;0</formula>
    </cfRule>
    <cfRule type="expression" dxfId="1377" priority="10">
      <formula>H35&lt;0</formula>
    </cfRule>
  </conditionalFormatting>
  <conditionalFormatting sqref="H61:H64 F61:F64">
    <cfRule type="expression" dxfId="1376" priority="7">
      <formula>F61&gt;0</formula>
    </cfRule>
    <cfRule type="expression" dxfId="1375" priority="8">
      <formula>F61&lt;0</formula>
    </cfRule>
  </conditionalFormatting>
  <conditionalFormatting sqref="H70 F70">
    <cfRule type="expression" dxfId="1374" priority="5">
      <formula>F70&gt;0</formula>
    </cfRule>
    <cfRule type="expression" dxfId="1373" priority="6">
      <formula>F70&lt;0</formula>
    </cfRule>
  </conditionalFormatting>
  <conditionalFormatting sqref="H67:H69 F67:F69">
    <cfRule type="expression" dxfId="1372" priority="3">
      <formula>F67&gt;0</formula>
    </cfRule>
    <cfRule type="expression" dxfId="1371" priority="4">
      <formula>F67&lt;0</formula>
    </cfRule>
  </conditionalFormatting>
  <conditionalFormatting sqref="H65:H66 F65:F66">
    <cfRule type="expression" dxfId="1370" priority="1">
      <formula>F65&gt;0</formula>
    </cfRule>
    <cfRule type="expression" dxfId="1369" priority="2">
      <formula>F65&lt;0</formula>
    </cfRule>
  </conditionalFormatting>
  <hyperlinks>
    <hyperlink ref="A3" location="ACTIVE!A1" display="Back"/>
  </hyperlinks>
  <pageMargins left="0.7" right="0.7" top="0.75" bottom="0.75" header="0.3" footer="0.3"/>
  <pageSetup orientation="portrait" r:id="rId1"/>
  <drawing r:id="rId2"/>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896</v>
      </c>
      <c r="B2" s="368">
        <v>43137</v>
      </c>
      <c r="C2" s="7">
        <v>200</v>
      </c>
      <c r="D2" s="43">
        <v>30.58</v>
      </c>
      <c r="E2" s="43">
        <v>0</v>
      </c>
      <c r="F2" s="43">
        <f>C2*D2+E2</f>
        <v>6116</v>
      </c>
      <c r="G2" s="368">
        <v>43194</v>
      </c>
      <c r="H2" s="7">
        <v>200</v>
      </c>
      <c r="I2" s="43">
        <v>31.68</v>
      </c>
      <c r="J2" s="43">
        <v>0.15</v>
      </c>
      <c r="K2" s="43">
        <f>H2*I2-J2</f>
        <v>6335.85</v>
      </c>
      <c r="L2" s="72">
        <v>43159</v>
      </c>
      <c r="M2" s="43">
        <v>44.03</v>
      </c>
      <c r="O2" s="11" t="s">
        <v>57</v>
      </c>
      <c r="Q2">
        <f>C18-H18</f>
        <v>0</v>
      </c>
      <c r="T2" s="1"/>
      <c r="U2" t="s">
        <v>901</v>
      </c>
    </row>
    <row r="3" spans="1:21" x14ac:dyDescent="0.25">
      <c r="A3" s="22" t="s">
        <v>71</v>
      </c>
      <c r="B3" s="368">
        <v>43167</v>
      </c>
      <c r="C3" s="7">
        <v>100</v>
      </c>
      <c r="D3" s="43">
        <v>31.44</v>
      </c>
      <c r="E3" s="43">
        <v>-0.5</v>
      </c>
      <c r="F3" s="43">
        <f>C3*D3+E3</f>
        <v>3143.5</v>
      </c>
      <c r="G3" s="368">
        <v>43217</v>
      </c>
      <c r="H3" s="80">
        <v>100</v>
      </c>
      <c r="I3" s="43">
        <v>31.7</v>
      </c>
      <c r="J3" s="43">
        <v>7.0000000000000007E-2</v>
      </c>
      <c r="K3" s="43">
        <f>H3*I3-J3</f>
        <v>3169.93</v>
      </c>
      <c r="L3" s="72">
        <v>43188</v>
      </c>
      <c r="M3" s="7">
        <v>65.92</v>
      </c>
      <c r="O3" s="11" t="s">
        <v>58</v>
      </c>
      <c r="Q3" s="178">
        <f>IF(Q2=0, Q4, (F18-K18-M18)/Q2)</f>
        <v>31.82</v>
      </c>
      <c r="T3" s="1"/>
    </row>
    <row r="4" spans="1:21" x14ac:dyDescent="0.25">
      <c r="B4" s="368">
        <v>43178</v>
      </c>
      <c r="C4" s="7">
        <v>100</v>
      </c>
      <c r="D4" s="43">
        <v>30.85</v>
      </c>
      <c r="E4" s="43">
        <v>0</v>
      </c>
      <c r="F4" s="43">
        <f>C4*D4+E4</f>
        <v>3085</v>
      </c>
      <c r="G4" s="368">
        <v>43227</v>
      </c>
      <c r="H4" s="80">
        <v>100</v>
      </c>
      <c r="I4" s="43">
        <v>32.85</v>
      </c>
      <c r="J4" s="43">
        <v>0.08</v>
      </c>
      <c r="K4" s="43">
        <f>H4*I4-J4</f>
        <v>3284.92</v>
      </c>
      <c r="L4" s="72">
        <v>43221</v>
      </c>
      <c r="M4" s="7">
        <v>67.83</v>
      </c>
      <c r="O4" s="11" t="s">
        <v>66</v>
      </c>
      <c r="Q4" s="54">
        <v>31.82</v>
      </c>
      <c r="R4" s="425">
        <v>6.3E-3</v>
      </c>
      <c r="T4" s="693"/>
      <c r="U4" s="30"/>
    </row>
    <row r="5" spans="1:21" x14ac:dyDescent="0.25">
      <c r="B5" s="368">
        <v>43209</v>
      </c>
      <c r="C5" s="7">
        <v>100</v>
      </c>
      <c r="D5" s="43">
        <v>31.14</v>
      </c>
      <c r="E5" s="43">
        <v>0</v>
      </c>
      <c r="F5" s="43">
        <f>C5*D5+E5</f>
        <v>3114</v>
      </c>
      <c r="G5" s="368">
        <v>43243</v>
      </c>
      <c r="H5" s="80">
        <v>100</v>
      </c>
      <c r="I5" s="43">
        <v>33.18</v>
      </c>
      <c r="J5" s="43">
        <v>0.04</v>
      </c>
      <c r="K5" s="43">
        <f>H5*I5-J5</f>
        <v>3317.96</v>
      </c>
      <c r="L5" s="72">
        <v>43251</v>
      </c>
      <c r="M5" s="43">
        <v>17.84</v>
      </c>
      <c r="O5" s="11" t="s">
        <v>67</v>
      </c>
      <c r="Q5" s="3">
        <f>Q4*Q2</f>
        <v>0</v>
      </c>
    </row>
    <row r="6" spans="1:21" x14ac:dyDescent="0.25">
      <c r="B6" s="368">
        <v>43451</v>
      </c>
      <c r="C6" s="7">
        <v>100</v>
      </c>
      <c r="D6" s="43">
        <v>29.8</v>
      </c>
      <c r="E6" s="43">
        <v>0</v>
      </c>
      <c r="F6" s="43">
        <f>C6*D6+E6</f>
        <v>2980</v>
      </c>
      <c r="G6" s="368">
        <v>43495</v>
      </c>
      <c r="H6" s="80">
        <v>100</v>
      </c>
      <c r="I6" s="43">
        <v>31.84</v>
      </c>
      <c r="J6" s="43">
        <v>0.04</v>
      </c>
      <c r="K6" s="43">
        <f>H6*I6-J6</f>
        <v>3183.96</v>
      </c>
      <c r="L6" s="72">
        <v>43465</v>
      </c>
      <c r="M6" s="43">
        <v>17.399999999999999</v>
      </c>
      <c r="O6" s="11" t="s">
        <v>64</v>
      </c>
      <c r="Q6" s="2">
        <f>Q3*Q2</f>
        <v>0</v>
      </c>
    </row>
    <row r="7" spans="1:21" x14ac:dyDescent="0.25">
      <c r="B7" s="72"/>
      <c r="C7" s="4"/>
      <c r="D7" s="3"/>
      <c r="E7" s="3"/>
      <c r="F7" s="3"/>
      <c r="G7" s="4"/>
      <c r="H7" s="161"/>
      <c r="I7" s="3"/>
      <c r="J7" s="3"/>
      <c r="K7" s="3"/>
      <c r="L7" s="72">
        <v>43496</v>
      </c>
      <c r="M7" s="43">
        <v>17.12</v>
      </c>
      <c r="O7" s="11" t="s">
        <v>177</v>
      </c>
      <c r="Q7" s="2">
        <f>Q10+Q8</f>
        <v>1084.2599999999984</v>
      </c>
      <c r="R7">
        <v>0</v>
      </c>
    </row>
    <row r="8" spans="1:21" x14ac:dyDescent="0.25">
      <c r="B8" s="72"/>
      <c r="C8" s="4"/>
      <c r="D8" s="3"/>
      <c r="E8" s="3"/>
      <c r="F8" s="3"/>
      <c r="G8" s="4"/>
      <c r="H8" s="161"/>
      <c r="I8" s="3"/>
      <c r="J8" s="3"/>
      <c r="K8" s="3"/>
      <c r="L8" s="4"/>
      <c r="M8" s="4"/>
      <c r="O8" s="11" t="s">
        <v>179</v>
      </c>
      <c r="P8" s="33"/>
      <c r="Q8" s="2">
        <f>K18+M18-F18+Q2*Q4</f>
        <v>1084.2599999999984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R11*12/Q4</f>
        <v>8.2966687617850407E-2</v>
      </c>
      <c r="R11">
        <f>0.22</f>
        <v>0.22</v>
      </c>
    </row>
    <row r="12" spans="1:21" x14ac:dyDescent="0.25">
      <c r="H12" s="70"/>
    </row>
    <row r="13" spans="1:21" x14ac:dyDescent="0.25">
      <c r="H13" s="70"/>
    </row>
    <row r="14" spans="1:21" x14ac:dyDescent="0.25">
      <c r="H14" s="70"/>
    </row>
    <row r="15" spans="1:21" x14ac:dyDescent="0.25">
      <c r="H15" s="70"/>
    </row>
    <row r="16" spans="1:21" ht="20.25" thickBot="1" x14ac:dyDescent="0.35">
      <c r="H16" s="70"/>
      <c r="O16" s="884" t="s">
        <v>78</v>
      </c>
      <c r="P16" s="884"/>
    </row>
    <row r="17" spans="1:16" ht="15.75" thickTop="1" x14ac:dyDescent="0.25">
      <c r="O17" s="81">
        <v>1.1000000000000001</v>
      </c>
      <c r="P17" s="81">
        <f>O17*$Q$4</f>
        <v>35.002000000000002</v>
      </c>
    </row>
    <row r="18" spans="1:16" x14ac:dyDescent="0.25">
      <c r="A18" s="31" t="s">
        <v>81</v>
      </c>
      <c r="B18" s="14"/>
      <c r="C18" s="14">
        <f>SUM(C2:C8)</f>
        <v>600</v>
      </c>
      <c r="D18" s="18"/>
      <c r="E18" s="18"/>
      <c r="F18" s="18">
        <f>SUM(F2:F8)</f>
        <v>18438.5</v>
      </c>
      <c r="G18" s="14"/>
      <c r="H18" s="71">
        <f>SUM(H2:H6)</f>
        <v>600</v>
      </c>
      <c r="I18" s="18"/>
      <c r="J18" s="18"/>
      <c r="K18" s="18">
        <f>SUM(K2:K6)</f>
        <v>19292.62</v>
      </c>
      <c r="L18" s="14"/>
      <c r="M18" s="18">
        <f>SUM(M2:M10)</f>
        <v>230.14000000000001</v>
      </c>
      <c r="O18" s="81">
        <v>1.0900000000000001</v>
      </c>
      <c r="P18" s="81">
        <f t="shared" ref="P18:P37" si="0">O18*$Q$4</f>
        <v>34.683800000000005</v>
      </c>
    </row>
    <row r="19" spans="1:16" ht="15.75" thickBot="1" x14ac:dyDescent="0.3">
      <c r="A19" s="277" t="s">
        <v>191</v>
      </c>
      <c r="B19" s="278"/>
      <c r="C19" s="279">
        <f>SumByColor($A$19,C2:C17)</f>
        <v>600</v>
      </c>
      <c r="D19" s="279"/>
      <c r="E19" s="279"/>
      <c r="F19" s="280">
        <f>SumByColor($A$19,F2:F17)</f>
        <v>18439</v>
      </c>
      <c r="G19" s="279"/>
      <c r="H19" s="279">
        <f>SumByColor($A$19,H2:H17)</f>
        <v>600</v>
      </c>
      <c r="I19" s="279"/>
      <c r="J19" s="279"/>
      <c r="K19" s="280">
        <f>SumByColor($A$19,K2:K17)</f>
        <v>19293</v>
      </c>
      <c r="L19" s="279"/>
      <c r="M19" s="280">
        <f>SumByColor($A$19,M2:M17)</f>
        <v>230</v>
      </c>
      <c r="O19" s="81">
        <v>1.08</v>
      </c>
      <c r="P19" s="81">
        <f t="shared" si="0"/>
        <v>34.365600000000001</v>
      </c>
    </row>
    <row r="20" spans="1:16" x14ac:dyDescent="0.25">
      <c r="O20" s="81">
        <v>1.07</v>
      </c>
      <c r="P20" s="81">
        <f t="shared" si="0"/>
        <v>34.047400000000003</v>
      </c>
    </row>
    <row r="21" spans="1:16" x14ac:dyDescent="0.25">
      <c r="O21" s="81">
        <v>1.06</v>
      </c>
      <c r="P21" s="81">
        <f t="shared" si="0"/>
        <v>33.729199999999999</v>
      </c>
    </row>
    <row r="22" spans="1:16" x14ac:dyDescent="0.25">
      <c r="O22" s="81">
        <v>1.05</v>
      </c>
      <c r="P22" s="81">
        <f t="shared" si="0"/>
        <v>33.411000000000001</v>
      </c>
    </row>
    <row r="23" spans="1:16" x14ac:dyDescent="0.25">
      <c r="O23" s="81">
        <v>1.04</v>
      </c>
      <c r="P23" s="81">
        <f t="shared" si="0"/>
        <v>33.092800000000004</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652</v>
      </c>
      <c r="O24" s="81">
        <v>1.03</v>
      </c>
      <c r="P24" s="81">
        <f t="shared" si="0"/>
        <v>32.7746</v>
      </c>
    </row>
    <row r="25" spans="1:16" x14ac:dyDescent="0.25">
      <c r="B25" s="164">
        <v>43137</v>
      </c>
      <c r="C25" s="10">
        <v>200</v>
      </c>
      <c r="D25" s="39">
        <v>30.58</v>
      </c>
      <c r="E25" s="39">
        <v>31.24</v>
      </c>
      <c r="F25" s="39">
        <f t="shared" ref="F25:F30" si="1">C25*(E25-D25)</f>
        <v>132.00000000000003</v>
      </c>
      <c r="G25" s="39">
        <f t="shared" ref="G25:G30" si="2">D25*C25</f>
        <v>6116</v>
      </c>
      <c r="H25" s="179">
        <f t="shared" ref="H25:H30" si="3">(E25-D25)/D25</f>
        <v>2.1582733812949645E-2</v>
      </c>
      <c r="I25" s="39"/>
      <c r="J25" s="39">
        <f>F25</f>
        <v>132.00000000000003</v>
      </c>
      <c r="K25" s="39"/>
      <c r="L25" s="39"/>
      <c r="O25" s="81">
        <v>1.02</v>
      </c>
      <c r="P25" s="81">
        <f t="shared" si="0"/>
        <v>32.456400000000002</v>
      </c>
    </row>
    <row r="26" spans="1:16" x14ac:dyDescent="0.25">
      <c r="B26" s="164">
        <v>43160</v>
      </c>
      <c r="C26" s="10">
        <v>200</v>
      </c>
      <c r="D26" s="39">
        <v>30.3599</v>
      </c>
      <c r="E26" s="39">
        <v>30.75</v>
      </c>
      <c r="F26" s="39">
        <f t="shared" si="1"/>
        <v>78.020000000000067</v>
      </c>
      <c r="G26" s="39">
        <f t="shared" si="2"/>
        <v>6071.98</v>
      </c>
      <c r="H26" s="179">
        <f t="shared" si="3"/>
        <v>1.284918593276E-2</v>
      </c>
      <c r="I26" s="39"/>
      <c r="J26" s="39">
        <f t="shared" ref="J26:J40" si="4">F26</f>
        <v>78.020000000000067</v>
      </c>
      <c r="K26" s="39"/>
      <c r="L26" s="39"/>
      <c r="O26" s="81">
        <v>1.01</v>
      </c>
      <c r="P26" s="81">
        <f t="shared" si="0"/>
        <v>32.138199999999998</v>
      </c>
    </row>
    <row r="27" spans="1:16" x14ac:dyDescent="0.25">
      <c r="B27" s="164">
        <v>43167</v>
      </c>
      <c r="C27" s="7">
        <v>300</v>
      </c>
      <c r="D27" s="43">
        <v>30.718</v>
      </c>
      <c r="E27" s="39">
        <v>31.44</v>
      </c>
      <c r="F27" s="39">
        <f t="shared" si="1"/>
        <v>216.60000000000039</v>
      </c>
      <c r="G27" s="39">
        <f t="shared" si="2"/>
        <v>9215.4</v>
      </c>
      <c r="H27" s="179">
        <f t="shared" si="3"/>
        <v>2.3504134383748983E-2</v>
      </c>
      <c r="I27" s="39"/>
      <c r="J27" s="39">
        <f t="shared" si="4"/>
        <v>216.60000000000039</v>
      </c>
      <c r="K27" s="39"/>
      <c r="L27" s="155"/>
      <c r="O27" s="81">
        <v>1</v>
      </c>
      <c r="P27" s="81">
        <f t="shared" si="0"/>
        <v>31.82</v>
      </c>
    </row>
    <row r="28" spans="1:16" x14ac:dyDescent="0.25">
      <c r="B28" s="164">
        <v>43178</v>
      </c>
      <c r="C28" s="10">
        <v>400</v>
      </c>
      <c r="D28" s="39">
        <v>30.75</v>
      </c>
      <c r="E28" s="39">
        <v>31.04</v>
      </c>
      <c r="F28" s="39">
        <f t="shared" si="1"/>
        <v>115.99999999999966</v>
      </c>
      <c r="G28" s="39">
        <f t="shared" si="2"/>
        <v>12300</v>
      </c>
      <c r="H28" s="179">
        <f t="shared" si="3"/>
        <v>9.4308943089430625E-3</v>
      </c>
      <c r="I28" s="39"/>
      <c r="J28" s="39">
        <f t="shared" si="4"/>
        <v>115.99999999999966</v>
      </c>
      <c r="K28" s="39"/>
      <c r="L28" s="155"/>
      <c r="O28" s="81">
        <v>0.99</v>
      </c>
      <c r="P28" s="81">
        <f t="shared" si="0"/>
        <v>31.501799999999999</v>
      </c>
    </row>
    <row r="29" spans="1:16" x14ac:dyDescent="0.25">
      <c r="B29" s="164">
        <v>43184</v>
      </c>
      <c r="C29" s="10">
        <v>400</v>
      </c>
      <c r="D29" s="39">
        <v>30.75</v>
      </c>
      <c r="E29" s="39">
        <v>29.9</v>
      </c>
      <c r="F29" s="39">
        <f t="shared" si="1"/>
        <v>-340.00000000000057</v>
      </c>
      <c r="G29" s="39">
        <f t="shared" si="2"/>
        <v>12300</v>
      </c>
      <c r="H29" s="179">
        <f t="shared" si="3"/>
        <v>-2.7642276422764275E-2</v>
      </c>
      <c r="I29" s="39"/>
      <c r="J29" s="39">
        <f t="shared" si="4"/>
        <v>-340.00000000000057</v>
      </c>
      <c r="K29" s="39"/>
      <c r="L29" s="155"/>
      <c r="O29" s="81">
        <v>0.98</v>
      </c>
      <c r="P29" s="81">
        <f t="shared" si="0"/>
        <v>31.183599999999998</v>
      </c>
    </row>
    <row r="30" spans="1:16" x14ac:dyDescent="0.25">
      <c r="B30" s="164">
        <v>43185</v>
      </c>
      <c r="C30" s="10">
        <v>400</v>
      </c>
      <c r="D30" s="39">
        <v>30.75</v>
      </c>
      <c r="E30" s="39">
        <v>30.15</v>
      </c>
      <c r="F30" s="39">
        <f t="shared" si="1"/>
        <v>-240.00000000000057</v>
      </c>
      <c r="G30" s="39">
        <f t="shared" si="2"/>
        <v>12300</v>
      </c>
      <c r="H30" s="179">
        <f t="shared" si="3"/>
        <v>-1.9512195121951265E-2</v>
      </c>
      <c r="I30" s="39"/>
      <c r="J30" s="39">
        <f t="shared" si="4"/>
        <v>-240.00000000000057</v>
      </c>
      <c r="K30" s="39"/>
      <c r="L30" s="155"/>
      <c r="O30" s="81">
        <v>0.97</v>
      </c>
      <c r="P30" s="81">
        <f t="shared" si="0"/>
        <v>30.865400000000001</v>
      </c>
    </row>
    <row r="31" spans="1:16" x14ac:dyDescent="0.25">
      <c r="B31" s="164">
        <v>43191</v>
      </c>
      <c r="C31" s="10">
        <v>400</v>
      </c>
      <c r="D31" s="39">
        <v>30.586400000000001</v>
      </c>
      <c r="E31" s="39">
        <v>31.26</v>
      </c>
      <c r="F31" s="39">
        <f t="shared" ref="F31:F36" si="5">C31*(E31-D31)</f>
        <v>269.44000000000017</v>
      </c>
      <c r="G31" s="39">
        <f t="shared" ref="G31:G36" si="6">D31*C31</f>
        <v>12234.560000000001</v>
      </c>
      <c r="H31" s="179">
        <f t="shared" ref="H31:H36" si="7">(E31-D31)/D31</f>
        <v>2.2022859833128461E-2</v>
      </c>
      <c r="I31" s="39"/>
      <c r="J31" s="39">
        <f t="shared" si="4"/>
        <v>269.44000000000017</v>
      </c>
      <c r="K31" s="39"/>
      <c r="L31" s="155"/>
      <c r="O31" s="81">
        <v>0.96</v>
      </c>
      <c r="P31" s="81">
        <f t="shared" si="0"/>
        <v>30.5472</v>
      </c>
    </row>
    <row r="32" spans="1:16" x14ac:dyDescent="0.25">
      <c r="A32">
        <v>0</v>
      </c>
      <c r="B32" s="164">
        <v>43194</v>
      </c>
      <c r="C32" s="10">
        <v>200</v>
      </c>
      <c r="D32" s="39">
        <v>29.493500000000001</v>
      </c>
      <c r="E32" s="39">
        <v>31.8</v>
      </c>
      <c r="F32" s="39">
        <f t="shared" si="5"/>
        <v>461.29999999999995</v>
      </c>
      <c r="G32" s="39">
        <f t="shared" si="6"/>
        <v>5898.7</v>
      </c>
      <c r="H32" s="179">
        <f t="shared" si="7"/>
        <v>7.8203671995524429E-2</v>
      </c>
      <c r="I32" s="39"/>
      <c r="J32" s="39">
        <f t="shared" si="4"/>
        <v>461.29999999999995</v>
      </c>
      <c r="K32" s="39"/>
      <c r="L32" s="155"/>
      <c r="O32" s="81">
        <v>0.95</v>
      </c>
      <c r="P32" s="81">
        <f t="shared" si="0"/>
        <v>30.228999999999999</v>
      </c>
    </row>
    <row r="33" spans="1:17" x14ac:dyDescent="0.25">
      <c r="A33">
        <v>200</v>
      </c>
      <c r="B33" s="164">
        <v>43209</v>
      </c>
      <c r="C33" s="7">
        <v>300</v>
      </c>
      <c r="D33" s="43">
        <v>30.042300000000001</v>
      </c>
      <c r="E33" s="39">
        <v>31.3</v>
      </c>
      <c r="F33" s="39">
        <f t="shared" si="5"/>
        <v>377.30999999999995</v>
      </c>
      <c r="G33" s="39">
        <f t="shared" si="6"/>
        <v>9012.69</v>
      </c>
      <c r="H33" s="179">
        <f t="shared" si="7"/>
        <v>4.1864304663757429E-2</v>
      </c>
      <c r="I33" s="39">
        <v>29.5</v>
      </c>
      <c r="J33" s="39">
        <f t="shared" si="4"/>
        <v>377.30999999999995</v>
      </c>
      <c r="K33" s="39"/>
      <c r="L33" s="155"/>
      <c r="O33" s="81">
        <v>0.94</v>
      </c>
      <c r="P33" s="81">
        <f t="shared" si="0"/>
        <v>29.910799999999998</v>
      </c>
    </row>
    <row r="34" spans="1:17" x14ac:dyDescent="0.25">
      <c r="A34">
        <v>100</v>
      </c>
      <c r="B34" s="164">
        <v>43217</v>
      </c>
      <c r="C34" s="10">
        <v>200</v>
      </c>
      <c r="D34" s="39">
        <v>29.213899999999999</v>
      </c>
      <c r="E34" s="39">
        <v>31.7</v>
      </c>
      <c r="F34" s="39">
        <f t="shared" si="5"/>
        <v>497.22000000000008</v>
      </c>
      <c r="G34" s="39">
        <f t="shared" si="6"/>
        <v>5842.78</v>
      </c>
      <c r="H34" s="179">
        <f t="shared" si="7"/>
        <v>8.5099901074488532E-2</v>
      </c>
      <c r="I34" s="39"/>
      <c r="J34" s="39">
        <f t="shared" si="4"/>
        <v>497.22000000000008</v>
      </c>
      <c r="K34" s="39"/>
      <c r="L34" s="155"/>
      <c r="O34" s="81">
        <v>0.93</v>
      </c>
      <c r="P34" s="81">
        <f t="shared" si="0"/>
        <v>29.592600000000001</v>
      </c>
    </row>
    <row r="35" spans="1:17" x14ac:dyDescent="0.25">
      <c r="A35">
        <v>100</v>
      </c>
      <c r="B35" s="164">
        <v>43221</v>
      </c>
      <c r="C35" s="10">
        <v>200</v>
      </c>
      <c r="D35" s="39">
        <v>28.874700000000001</v>
      </c>
      <c r="E35" s="39">
        <v>31.91</v>
      </c>
      <c r="F35" s="39">
        <f t="shared" si="5"/>
        <v>607.05999999999995</v>
      </c>
      <c r="G35" s="39">
        <f t="shared" si="6"/>
        <v>5774.9400000000005</v>
      </c>
      <c r="H35" s="179">
        <f t="shared" si="7"/>
        <v>0.10511970687141337</v>
      </c>
      <c r="I35" s="39"/>
      <c r="J35" s="39">
        <f t="shared" si="4"/>
        <v>607.05999999999995</v>
      </c>
      <c r="K35" s="39"/>
      <c r="L35" s="155"/>
      <c r="O35" s="81">
        <v>0.92</v>
      </c>
      <c r="P35" s="81">
        <f t="shared" si="0"/>
        <v>29.2744</v>
      </c>
    </row>
    <row r="36" spans="1:17" x14ac:dyDescent="0.25">
      <c r="A36">
        <v>0</v>
      </c>
      <c r="B36" s="164">
        <v>43227</v>
      </c>
      <c r="C36" s="185">
        <v>100</v>
      </c>
      <c r="D36" s="186">
        <v>24.9</v>
      </c>
      <c r="E36" s="39">
        <v>32.85</v>
      </c>
      <c r="F36" s="39">
        <f t="shared" si="5"/>
        <v>795.00000000000023</v>
      </c>
      <c r="G36" s="39">
        <f t="shared" si="6"/>
        <v>2490</v>
      </c>
      <c r="H36" s="179">
        <f t="shared" si="7"/>
        <v>0.31927710843373508</v>
      </c>
      <c r="I36" s="39"/>
      <c r="J36" s="39">
        <f t="shared" si="4"/>
        <v>795.00000000000023</v>
      </c>
      <c r="K36" s="39"/>
      <c r="L36" s="39"/>
      <c r="O36" s="81">
        <v>0.91</v>
      </c>
      <c r="P36" s="81">
        <f t="shared" si="0"/>
        <v>28.956200000000003</v>
      </c>
    </row>
    <row r="37" spans="1:17" x14ac:dyDescent="0.25">
      <c r="B37" s="164">
        <v>43243</v>
      </c>
      <c r="C37" s="10"/>
      <c r="D37" s="39"/>
      <c r="E37" s="39">
        <v>33.29</v>
      </c>
      <c r="F37" s="39">
        <v>827.94</v>
      </c>
      <c r="G37" s="39"/>
      <c r="H37" s="179"/>
      <c r="I37" s="39"/>
      <c r="J37" s="39">
        <f t="shared" si="4"/>
        <v>827.94</v>
      </c>
      <c r="K37" s="39"/>
      <c r="L37" s="39"/>
      <c r="O37" s="81">
        <v>0.9</v>
      </c>
      <c r="P37" s="81">
        <f t="shared" si="0"/>
        <v>28.638000000000002</v>
      </c>
    </row>
    <row r="38" spans="1:17" x14ac:dyDescent="0.25">
      <c r="B38" s="164">
        <v>43251</v>
      </c>
      <c r="C38" s="10"/>
      <c r="D38" s="39"/>
      <c r="E38" s="39"/>
      <c r="F38" s="39">
        <v>845.78</v>
      </c>
      <c r="G38" s="39"/>
      <c r="H38" s="179"/>
      <c r="I38" s="39"/>
      <c r="J38" s="39">
        <f t="shared" si="4"/>
        <v>845.78</v>
      </c>
      <c r="K38" s="39"/>
      <c r="L38" s="39"/>
    </row>
    <row r="39" spans="1:17" x14ac:dyDescent="0.25">
      <c r="B39" s="164">
        <v>43451</v>
      </c>
      <c r="C39" s="185">
        <v>100</v>
      </c>
      <c r="D39" s="186">
        <v>21.342199999999998</v>
      </c>
      <c r="E39" s="39">
        <v>29.8</v>
      </c>
      <c r="F39" s="778">
        <f>C39*(E39-D39)</f>
        <v>845.7800000000002</v>
      </c>
      <c r="G39" s="39">
        <f>D39*C39</f>
        <v>2134.2199999999998</v>
      </c>
      <c r="H39" s="179">
        <f>(E39-D39)/D39</f>
        <v>0.39629466502984712</v>
      </c>
      <c r="I39" s="39"/>
      <c r="J39" s="39">
        <f t="shared" si="4"/>
        <v>845.7800000000002</v>
      </c>
      <c r="K39" s="39"/>
      <c r="L39" s="39"/>
    </row>
    <row r="40" spans="1:17" x14ac:dyDescent="0.25">
      <c r="B40" s="164">
        <v>43465</v>
      </c>
      <c r="C40" s="185">
        <v>100</v>
      </c>
      <c r="D40" s="186">
        <v>21.168199999999999</v>
      </c>
      <c r="E40" s="39">
        <v>26.95</v>
      </c>
      <c r="F40" s="39">
        <f>C40*(E40-D40)</f>
        <v>578.18000000000006</v>
      </c>
      <c r="G40" s="39">
        <f>D40*C40</f>
        <v>2116.8199999999997</v>
      </c>
      <c r="H40" s="179">
        <f>(E40-D40)/D40</f>
        <v>0.27313611927324954</v>
      </c>
      <c r="I40" s="39"/>
      <c r="J40" s="39">
        <f t="shared" si="4"/>
        <v>578.18000000000006</v>
      </c>
      <c r="K40" s="39"/>
      <c r="L40" s="39"/>
    </row>
    <row r="41" spans="1:17" x14ac:dyDescent="0.25">
      <c r="B41" s="164">
        <v>43496</v>
      </c>
      <c r="C41" s="10">
        <v>0</v>
      </c>
      <c r="D41" s="39">
        <v>21.17</v>
      </c>
      <c r="E41" s="39">
        <v>31.82</v>
      </c>
      <c r="F41" s="39"/>
      <c r="G41" s="39"/>
      <c r="H41" s="179"/>
      <c r="I41" s="39"/>
      <c r="J41" s="778">
        <v>1084.26</v>
      </c>
      <c r="K41" s="39" t="s">
        <v>184</v>
      </c>
      <c r="L41" s="39"/>
      <c r="Q41" s="2"/>
    </row>
    <row r="42" spans="1:17" x14ac:dyDescent="0.25">
      <c r="B42" s="164"/>
      <c r="C42" s="10"/>
      <c r="D42" s="39"/>
      <c r="E42" s="39"/>
      <c r="F42" s="39"/>
      <c r="G42" s="39"/>
      <c r="H42" s="179"/>
      <c r="I42" s="39"/>
      <c r="J42" s="39"/>
      <c r="K42" s="39"/>
      <c r="L42" s="39"/>
      <c r="Q42" s="2"/>
    </row>
    <row r="43" spans="1:17" x14ac:dyDescent="0.25">
      <c r="B43" s="164"/>
      <c r="C43" s="10"/>
      <c r="D43" s="39"/>
      <c r="E43" s="39"/>
      <c r="F43" s="39"/>
      <c r="G43" s="39"/>
      <c r="H43" s="179"/>
      <c r="I43" s="39"/>
      <c r="J43" s="39"/>
      <c r="K43" s="39"/>
      <c r="L43" s="39"/>
      <c r="Q43" s="2"/>
    </row>
    <row r="44" spans="1:17" x14ac:dyDescent="0.25">
      <c r="B44" s="164"/>
      <c r="C44" s="10"/>
      <c r="D44" s="39"/>
      <c r="E44" s="39"/>
      <c r="F44" s="39"/>
      <c r="G44" s="39"/>
      <c r="H44" s="179"/>
      <c r="I44" s="39"/>
      <c r="J44" s="39"/>
      <c r="K44" s="39"/>
      <c r="L44" s="39"/>
      <c r="Q44" s="2"/>
    </row>
    <row r="45" spans="1:17" x14ac:dyDescent="0.25">
      <c r="B45" s="164"/>
      <c r="C45" s="10"/>
      <c r="D45" s="39"/>
      <c r="E45" s="39"/>
      <c r="F45" s="39"/>
      <c r="G45" s="39"/>
      <c r="H45" s="179"/>
      <c r="I45" s="39"/>
      <c r="J45" s="39"/>
      <c r="K45" s="39"/>
      <c r="L45" s="39"/>
      <c r="Q45" s="2"/>
    </row>
    <row r="46" spans="1:17" x14ac:dyDescent="0.25">
      <c r="B46" s="164"/>
      <c r="C46" s="10"/>
      <c r="D46" s="39"/>
      <c r="E46" s="39"/>
      <c r="F46" s="39"/>
      <c r="G46" s="39"/>
      <c r="H46" s="179"/>
      <c r="I46" s="39"/>
      <c r="J46" s="39"/>
      <c r="K46" s="39"/>
      <c r="L46" s="39"/>
      <c r="Q46" s="2"/>
    </row>
    <row r="47" spans="1:17" x14ac:dyDescent="0.25">
      <c r="B47" s="72"/>
      <c r="C47" s="4"/>
      <c r="D47" s="3"/>
      <c r="E47" s="3"/>
      <c r="F47" s="3"/>
      <c r="G47" s="3"/>
      <c r="H47" s="216"/>
      <c r="I47" s="214"/>
      <c r="Q47" s="2"/>
    </row>
    <row r="48" spans="1: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368" priority="39">
      <formula>F47&gt;0</formula>
    </cfRule>
    <cfRule type="expression" dxfId="1367" priority="40">
      <formula>F47&lt;0</formula>
    </cfRule>
  </conditionalFormatting>
  <conditionalFormatting sqref="Q7">
    <cfRule type="expression" dxfId="1366" priority="37">
      <formula>Q7&gt;0</formula>
    </cfRule>
    <cfRule type="expression" dxfId="1365" priority="38">
      <formula>Q7&lt;0</formula>
    </cfRule>
  </conditionalFormatting>
  <conditionalFormatting sqref="Q8">
    <cfRule type="expression" dxfId="1364" priority="35">
      <formula>Q8&gt;0</formula>
    </cfRule>
    <cfRule type="expression" dxfId="1363" priority="36">
      <formula>Q8&lt;0</formula>
    </cfRule>
  </conditionalFormatting>
  <conditionalFormatting sqref="F32:F38 F41:F46">
    <cfRule type="expression" dxfId="1362" priority="33">
      <formula>F32&gt;0</formula>
    </cfRule>
    <cfRule type="expression" dxfId="1361" priority="34">
      <formula>F32&lt;0</formula>
    </cfRule>
  </conditionalFormatting>
  <conditionalFormatting sqref="H32:H38 H41:H46">
    <cfRule type="expression" dxfId="1360" priority="31">
      <formula>H32&gt;0</formula>
    </cfRule>
    <cfRule type="expression" dxfId="1359" priority="32">
      <formula>H32&lt;0</formula>
    </cfRule>
  </conditionalFormatting>
  <conditionalFormatting sqref="Q10">
    <cfRule type="expression" dxfId="1358" priority="29">
      <formula>Q10&gt;0</formula>
    </cfRule>
    <cfRule type="expression" dxfId="1357" priority="30">
      <formula>Q10&lt;0</formula>
    </cfRule>
  </conditionalFormatting>
  <conditionalFormatting sqref="J25:J41">
    <cfRule type="expression" dxfId="1356" priority="27">
      <formula>J25&gt;0</formula>
    </cfRule>
    <cfRule type="expression" dxfId="1355" priority="28">
      <formula>J25&lt;0</formula>
    </cfRule>
  </conditionalFormatting>
  <conditionalFormatting sqref="K25:K38">
    <cfRule type="expression" dxfId="1354" priority="25">
      <formula>K25&gt;0</formula>
    </cfRule>
    <cfRule type="expression" dxfId="1353" priority="26">
      <formula>K25&lt;0</formula>
    </cfRule>
  </conditionalFormatting>
  <conditionalFormatting sqref="L25:L38">
    <cfRule type="expression" dxfId="1352" priority="23">
      <formula>L25&gt;0</formula>
    </cfRule>
    <cfRule type="expression" dxfId="1351" priority="24">
      <formula>L25&lt;0</formula>
    </cfRule>
  </conditionalFormatting>
  <conditionalFormatting sqref="F89:F110">
    <cfRule type="expression" dxfId="1350" priority="21">
      <formula>F89&gt;0</formula>
    </cfRule>
    <cfRule type="expression" dxfId="1349" priority="22">
      <formula>F89&lt;0</formula>
    </cfRule>
  </conditionalFormatting>
  <conditionalFormatting sqref="H89:H110">
    <cfRule type="expression" dxfId="1348" priority="19">
      <formula>H89&gt;0</formula>
    </cfRule>
    <cfRule type="expression" dxfId="1347" priority="20">
      <formula>H89&lt;0</formula>
    </cfRule>
  </conditionalFormatting>
  <conditionalFormatting sqref="J89:J102">
    <cfRule type="expression" dxfId="1346" priority="17">
      <formula>J89&gt;0</formula>
    </cfRule>
    <cfRule type="expression" dxfId="1345" priority="18">
      <formula>J89&lt;0</formula>
    </cfRule>
  </conditionalFormatting>
  <conditionalFormatting sqref="K89:K102">
    <cfRule type="expression" dxfId="1344" priority="15">
      <formula>K89&gt;0</formula>
    </cfRule>
    <cfRule type="expression" dxfId="1343" priority="16">
      <formula>K89&lt;0</formula>
    </cfRule>
  </conditionalFormatting>
  <conditionalFormatting sqref="L89:L102">
    <cfRule type="expression" dxfId="1342" priority="13">
      <formula>L89&gt;0</formula>
    </cfRule>
    <cfRule type="expression" dxfId="1341" priority="14">
      <formula>L89&lt;0</formula>
    </cfRule>
  </conditionalFormatting>
  <conditionalFormatting sqref="F25:F28">
    <cfRule type="expression" dxfId="1340" priority="11">
      <formula>F25&gt;0</formula>
    </cfRule>
    <cfRule type="expression" dxfId="1339" priority="12">
      <formula>F25&lt;0</formula>
    </cfRule>
  </conditionalFormatting>
  <conditionalFormatting sqref="H25:H28">
    <cfRule type="expression" dxfId="1338" priority="9">
      <formula>H25&gt;0</formula>
    </cfRule>
    <cfRule type="expression" dxfId="1337" priority="10">
      <formula>H25&lt;0</formula>
    </cfRule>
  </conditionalFormatting>
  <conditionalFormatting sqref="F29:F31">
    <cfRule type="expression" dxfId="1336" priority="7">
      <formula>F29&gt;0</formula>
    </cfRule>
    <cfRule type="expression" dxfId="1335" priority="8">
      <formula>F29&lt;0</formula>
    </cfRule>
  </conditionalFormatting>
  <conditionalFormatting sqref="H29:H31">
    <cfRule type="expression" dxfId="1334" priority="5">
      <formula>H29&gt;0</formula>
    </cfRule>
    <cfRule type="expression" dxfId="1333" priority="6">
      <formula>H29&lt;0</formula>
    </cfRule>
  </conditionalFormatting>
  <conditionalFormatting sqref="F39:F40">
    <cfRule type="expression" dxfId="1332" priority="3">
      <formula>F39&gt;0</formula>
    </cfRule>
    <cfRule type="expression" dxfId="1331" priority="4">
      <formula>F39&lt;0</formula>
    </cfRule>
  </conditionalFormatting>
  <conditionalFormatting sqref="H39:H40">
    <cfRule type="expression" dxfId="1330" priority="1">
      <formula>H39&gt;0</formula>
    </cfRule>
    <cfRule type="expression" dxfId="1329" priority="2">
      <formula>H39&lt;0</formula>
    </cfRule>
  </conditionalFormatting>
  <hyperlinks>
    <hyperlink ref="A3" location="ACTIVE!A1" display="Back"/>
  </hyperlinks>
  <pageMargins left="0.7" right="0.7" top="0.75" bottom="0.75" header="0.3" footer="0.3"/>
  <pageSetup orientation="portrait" r:id="rId1"/>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4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893</v>
      </c>
      <c r="B2" s="368">
        <v>43133</v>
      </c>
      <c r="C2" s="7">
        <v>20</v>
      </c>
      <c r="D2" s="43">
        <v>150</v>
      </c>
      <c r="E2" s="43">
        <v>0</v>
      </c>
      <c r="F2" s="43">
        <f t="shared" ref="F2:F12" si="0">C2*D2+E2</f>
        <v>3000</v>
      </c>
      <c r="G2" s="368">
        <v>43167</v>
      </c>
      <c r="H2" s="7">
        <v>20</v>
      </c>
      <c r="I2" s="43">
        <v>151.56</v>
      </c>
      <c r="J2" s="43">
        <v>7.0000000000000007E-2</v>
      </c>
      <c r="K2" s="43">
        <f t="shared" ref="K2:K18" si="1">H2*I2-J2</f>
        <v>3031.1299999999997</v>
      </c>
      <c r="L2" s="72">
        <v>43222</v>
      </c>
      <c r="M2" s="43">
        <v>6.5</v>
      </c>
      <c r="O2" s="11" t="s">
        <v>57</v>
      </c>
      <c r="Q2">
        <f>C29-H29</f>
        <v>60</v>
      </c>
      <c r="T2" s="1" t="s">
        <v>937</v>
      </c>
      <c r="U2" t="s">
        <v>1362</v>
      </c>
    </row>
    <row r="3" spans="1:21" x14ac:dyDescent="0.25">
      <c r="A3" s="22" t="s">
        <v>71</v>
      </c>
      <c r="B3" s="368">
        <v>43166</v>
      </c>
      <c r="C3" s="7">
        <v>20</v>
      </c>
      <c r="D3" s="43">
        <v>146.28</v>
      </c>
      <c r="E3" s="43">
        <v>0</v>
      </c>
      <c r="F3" s="43">
        <f t="shared" si="0"/>
        <v>2925.6</v>
      </c>
      <c r="G3" s="368">
        <v>43284</v>
      </c>
      <c r="H3" s="80">
        <v>50</v>
      </c>
      <c r="I3" s="43">
        <v>130</v>
      </c>
      <c r="J3" s="43">
        <v>0.08</v>
      </c>
      <c r="K3" s="43">
        <f t="shared" si="1"/>
        <v>6499.92</v>
      </c>
      <c r="L3" s="72">
        <v>43313</v>
      </c>
      <c r="M3" s="43">
        <v>9.1</v>
      </c>
      <c r="O3" s="11" t="s">
        <v>58</v>
      </c>
      <c r="Q3" s="178">
        <f>IF(Q2=0, Q4, (F29-K29-M29)/Q2)</f>
        <v>94.106000000000179</v>
      </c>
      <c r="T3" s="1"/>
    </row>
    <row r="4" spans="1:21" x14ac:dyDescent="0.25">
      <c r="B4" s="368">
        <v>43181</v>
      </c>
      <c r="C4" s="7">
        <v>30</v>
      </c>
      <c r="D4" s="43">
        <v>137.88</v>
      </c>
      <c r="E4" s="43">
        <v>0</v>
      </c>
      <c r="F4" s="43">
        <f t="shared" si="0"/>
        <v>4136.3999999999996</v>
      </c>
      <c r="G4" s="368">
        <v>43284</v>
      </c>
      <c r="H4" s="80">
        <v>20</v>
      </c>
      <c r="I4" s="43">
        <v>135.94999999999999</v>
      </c>
      <c r="J4" s="43">
        <v>0.04</v>
      </c>
      <c r="K4" s="43">
        <f t="shared" si="1"/>
        <v>2718.96</v>
      </c>
      <c r="L4" s="72">
        <v>43405</v>
      </c>
      <c r="M4" s="43">
        <v>7.8</v>
      </c>
      <c r="O4" s="11" t="s">
        <v>66</v>
      </c>
      <c r="Q4" s="54">
        <v>138.99</v>
      </c>
      <c r="R4" s="425">
        <v>1.5599999999999999E-2</v>
      </c>
      <c r="T4" s="693">
        <v>43193</v>
      </c>
      <c r="U4" s="30" t="s">
        <v>944</v>
      </c>
    </row>
    <row r="5" spans="1:21" x14ac:dyDescent="0.25">
      <c r="B5" s="368">
        <v>43217</v>
      </c>
      <c r="C5" s="7">
        <v>50</v>
      </c>
      <c r="D5" s="43">
        <v>122.68</v>
      </c>
      <c r="E5" s="43">
        <v>0</v>
      </c>
      <c r="F5" s="43">
        <f t="shared" si="0"/>
        <v>6134</v>
      </c>
      <c r="G5" s="368">
        <v>43291</v>
      </c>
      <c r="H5" s="80">
        <v>30</v>
      </c>
      <c r="I5" s="43">
        <v>130.68</v>
      </c>
      <c r="J5" s="43">
        <v>0.05</v>
      </c>
      <c r="K5" s="43">
        <f t="shared" si="1"/>
        <v>3920.35</v>
      </c>
      <c r="L5" s="72">
        <v>43497</v>
      </c>
      <c r="M5" s="43">
        <v>10.4</v>
      </c>
      <c r="O5" s="11" t="s">
        <v>67</v>
      </c>
      <c r="Q5" s="3">
        <f>Q4*Q2</f>
        <v>8339.4000000000015</v>
      </c>
      <c r="U5" s="405" t="s">
        <v>975</v>
      </c>
    </row>
    <row r="6" spans="1:21" x14ac:dyDescent="0.25">
      <c r="B6" s="368">
        <v>43279</v>
      </c>
      <c r="C6" s="7">
        <v>20</v>
      </c>
      <c r="D6" s="43">
        <v>113.98</v>
      </c>
      <c r="E6" s="43">
        <v>0</v>
      </c>
      <c r="F6" s="43">
        <f t="shared" si="0"/>
        <v>2279.6</v>
      </c>
      <c r="G6" s="368">
        <v>43311</v>
      </c>
      <c r="H6" s="80">
        <v>20</v>
      </c>
      <c r="I6" s="43">
        <v>138</v>
      </c>
      <c r="J6" s="43">
        <v>0.04</v>
      </c>
      <c r="K6" s="43">
        <f t="shared" si="1"/>
        <v>2759.96</v>
      </c>
      <c r="L6" s="4"/>
      <c r="M6" s="4"/>
      <c r="O6" s="11" t="s">
        <v>64</v>
      </c>
      <c r="Q6" s="2">
        <f>Q3*Q2</f>
        <v>5646.3600000000106</v>
      </c>
    </row>
    <row r="7" spans="1:21" x14ac:dyDescent="0.25">
      <c r="B7" s="368">
        <v>43284</v>
      </c>
      <c r="C7" s="7">
        <v>20</v>
      </c>
      <c r="D7" s="43">
        <v>132.69999999999999</v>
      </c>
      <c r="E7" s="43">
        <v>0</v>
      </c>
      <c r="F7" s="43">
        <f t="shared" si="0"/>
        <v>2654</v>
      </c>
      <c r="G7" s="368">
        <v>43326</v>
      </c>
      <c r="H7" s="80">
        <v>50</v>
      </c>
      <c r="I7" s="43">
        <v>138.08000000000001</v>
      </c>
      <c r="J7" s="43">
        <v>0.09</v>
      </c>
      <c r="K7" s="43">
        <f t="shared" si="1"/>
        <v>6903.9100000000008</v>
      </c>
      <c r="L7" s="4"/>
      <c r="M7" s="4"/>
      <c r="O7" s="11" t="s">
        <v>177</v>
      </c>
      <c r="Q7" s="2">
        <f>Q10+Q8</f>
        <v>2693.0399999999936</v>
      </c>
      <c r="R7" s="29">
        <v>43574</v>
      </c>
      <c r="T7" s="1">
        <v>43221</v>
      </c>
      <c r="U7" s="741" t="s">
        <v>1013</v>
      </c>
    </row>
    <row r="8" spans="1:21" x14ac:dyDescent="0.25">
      <c r="B8" s="368">
        <v>43286</v>
      </c>
      <c r="C8" s="7">
        <v>20</v>
      </c>
      <c r="D8" s="43">
        <v>127.58</v>
      </c>
      <c r="E8" s="43">
        <v>0</v>
      </c>
      <c r="F8" s="43">
        <f t="shared" si="0"/>
        <v>2551.6</v>
      </c>
      <c r="G8" s="368">
        <v>43350</v>
      </c>
      <c r="H8" s="80">
        <v>20</v>
      </c>
      <c r="I8" s="43">
        <v>158.01</v>
      </c>
      <c r="J8" s="43">
        <v>0.04</v>
      </c>
      <c r="K8" s="43">
        <f t="shared" si="1"/>
        <v>3160.16</v>
      </c>
      <c r="L8" s="4"/>
      <c r="M8" s="4"/>
      <c r="O8" s="11" t="s">
        <v>179</v>
      </c>
      <c r="P8" s="33"/>
      <c r="Q8" s="2">
        <f>K29+M29-F29+Q2*Q4</f>
        <v>2693.0399999999936</v>
      </c>
      <c r="U8" t="s">
        <v>1014</v>
      </c>
    </row>
    <row r="9" spans="1:21" x14ac:dyDescent="0.25">
      <c r="B9" s="368">
        <v>43286</v>
      </c>
      <c r="C9" s="7">
        <v>10</v>
      </c>
      <c r="D9" s="43">
        <v>126.28</v>
      </c>
      <c r="E9" s="43">
        <v>0</v>
      </c>
      <c r="F9" s="43">
        <f t="shared" si="0"/>
        <v>1262.8</v>
      </c>
      <c r="G9" s="368">
        <v>43403</v>
      </c>
      <c r="H9" s="80">
        <v>20</v>
      </c>
      <c r="I9" s="43">
        <v>123.38</v>
      </c>
      <c r="J9" s="43">
        <v>0.03</v>
      </c>
      <c r="K9" s="43">
        <f t="shared" si="1"/>
        <v>2467.5699999999997</v>
      </c>
      <c r="L9" s="4"/>
      <c r="M9" s="4"/>
      <c r="O9" s="11" t="s">
        <v>204</v>
      </c>
      <c r="Q9" s="134">
        <f>IF(Q2=0, 0, Q8/Q6)</f>
        <v>0.47695152275093838</v>
      </c>
      <c r="T9" s="156"/>
    </row>
    <row r="10" spans="1:21" x14ac:dyDescent="0.25">
      <c r="B10" s="368">
        <v>43313</v>
      </c>
      <c r="C10" s="7">
        <v>20</v>
      </c>
      <c r="D10" s="43">
        <v>135.84</v>
      </c>
      <c r="E10" s="43">
        <v>0</v>
      </c>
      <c r="F10" s="43">
        <f t="shared" si="0"/>
        <v>2716.8</v>
      </c>
      <c r="G10" s="368">
        <v>43403</v>
      </c>
      <c r="H10" s="80">
        <v>10</v>
      </c>
      <c r="I10" s="43">
        <v>124.18</v>
      </c>
      <c r="J10" s="43">
        <v>0.02</v>
      </c>
      <c r="K10" s="43">
        <f t="shared" si="1"/>
        <v>1241.7800000000002</v>
      </c>
      <c r="L10" s="4"/>
      <c r="M10" s="4"/>
      <c r="O10" s="11" t="s">
        <v>203</v>
      </c>
      <c r="P10" s="33"/>
      <c r="Q10" s="2">
        <f>M102</f>
        <v>0</v>
      </c>
    </row>
    <row r="11" spans="1:21" x14ac:dyDescent="0.25">
      <c r="B11" s="368">
        <v>43353</v>
      </c>
      <c r="C11" s="7">
        <v>20</v>
      </c>
      <c r="D11" s="43">
        <v>153</v>
      </c>
      <c r="E11" s="43">
        <v>0</v>
      </c>
      <c r="F11" s="43">
        <f t="shared" si="0"/>
        <v>3060</v>
      </c>
      <c r="G11" s="368">
        <v>43430</v>
      </c>
      <c r="H11" s="80">
        <v>30</v>
      </c>
      <c r="I11" s="43">
        <v>126</v>
      </c>
      <c r="J11" s="43">
        <v>0.05</v>
      </c>
      <c r="K11" s="43">
        <f t="shared" si="1"/>
        <v>3779.95</v>
      </c>
      <c r="L11" s="72"/>
      <c r="M11" s="4"/>
      <c r="O11" s="11" t="s">
        <v>175</v>
      </c>
      <c r="P11" s="33"/>
      <c r="Q11" s="134">
        <f>R11*4/Q4</f>
        <v>3.7412763508166053E-3</v>
      </c>
      <c r="R11">
        <v>0.13</v>
      </c>
      <c r="T11" s="1">
        <v>43228</v>
      </c>
      <c r="U11" t="s">
        <v>1047</v>
      </c>
    </row>
    <row r="12" spans="1:21" x14ac:dyDescent="0.25">
      <c r="B12" s="368">
        <v>43378</v>
      </c>
      <c r="C12" s="7">
        <v>10</v>
      </c>
      <c r="D12" s="43">
        <v>130.5</v>
      </c>
      <c r="E12" s="43">
        <v>0</v>
      </c>
      <c r="F12" s="43">
        <f t="shared" si="0"/>
        <v>1305</v>
      </c>
      <c r="G12" s="368">
        <v>43441</v>
      </c>
      <c r="H12" s="80">
        <v>20</v>
      </c>
      <c r="I12" s="43">
        <v>122.68</v>
      </c>
      <c r="J12" s="43">
        <v>0.03</v>
      </c>
      <c r="K12" s="43">
        <f t="shared" si="1"/>
        <v>2453.5700000000002</v>
      </c>
      <c r="O12" s="11" t="s">
        <v>921</v>
      </c>
      <c r="Q12" s="1" t="s">
        <v>1392</v>
      </c>
    </row>
    <row r="13" spans="1:21" x14ac:dyDescent="0.25">
      <c r="B13" s="368">
        <v>43378</v>
      </c>
      <c r="C13" s="7">
        <v>10</v>
      </c>
      <c r="D13" s="43">
        <v>130.5</v>
      </c>
      <c r="E13" s="43">
        <v>0</v>
      </c>
      <c r="F13" s="43">
        <f t="shared" ref="F13:F24" si="2">C13*D13+E13</f>
        <v>1305</v>
      </c>
      <c r="G13" s="368">
        <v>43461</v>
      </c>
      <c r="H13" s="80">
        <v>20</v>
      </c>
      <c r="I13" s="43">
        <v>112</v>
      </c>
      <c r="J13" s="43">
        <v>0.03</v>
      </c>
      <c r="K13" s="43">
        <f t="shared" si="1"/>
        <v>2239.9699999999998</v>
      </c>
      <c r="O13" s="11" t="s">
        <v>947</v>
      </c>
      <c r="Q13" s="2">
        <f>Q4/8.62</f>
        <v>16.124129930394435</v>
      </c>
      <c r="T13" s="1">
        <v>43260</v>
      </c>
      <c r="U13" t="s">
        <v>1094</v>
      </c>
    </row>
    <row r="14" spans="1:21" x14ac:dyDescent="0.25">
      <c r="B14" s="368">
        <v>43383</v>
      </c>
      <c r="C14" s="7">
        <v>10</v>
      </c>
      <c r="D14" s="43">
        <v>123.88</v>
      </c>
      <c r="E14" s="43">
        <v>0</v>
      </c>
      <c r="F14" s="43">
        <f t="shared" si="2"/>
        <v>1238.8</v>
      </c>
      <c r="G14" s="368">
        <v>43473</v>
      </c>
      <c r="H14" s="80">
        <v>20</v>
      </c>
      <c r="I14" s="43">
        <v>120.28</v>
      </c>
      <c r="J14" s="43">
        <v>0.03</v>
      </c>
      <c r="K14" s="43">
        <f t="shared" si="1"/>
        <v>2405.5699999999997</v>
      </c>
      <c r="O14" s="11" t="s">
        <v>1034</v>
      </c>
      <c r="Q14" s="1">
        <v>43324</v>
      </c>
    </row>
    <row r="15" spans="1:21" x14ac:dyDescent="0.25">
      <c r="B15" s="368">
        <v>43383</v>
      </c>
      <c r="C15" s="7">
        <v>10</v>
      </c>
      <c r="D15" s="43">
        <v>123.88</v>
      </c>
      <c r="E15" s="43">
        <v>0</v>
      </c>
      <c r="F15" s="43">
        <f t="shared" si="2"/>
        <v>1238.8</v>
      </c>
      <c r="G15" s="368">
        <v>43496</v>
      </c>
      <c r="H15" s="80">
        <v>20</v>
      </c>
      <c r="I15" s="43">
        <v>121.28</v>
      </c>
      <c r="J15" s="43">
        <v>0.03</v>
      </c>
      <c r="K15" s="43">
        <f t="shared" si="1"/>
        <v>2425.5699999999997</v>
      </c>
      <c r="T15" s="1">
        <v>43263</v>
      </c>
      <c r="U15" t="s">
        <v>1096</v>
      </c>
    </row>
    <row r="16" spans="1:21" x14ac:dyDescent="0.25">
      <c r="B16" s="368">
        <v>43396</v>
      </c>
      <c r="C16" s="7">
        <v>20</v>
      </c>
      <c r="D16" s="43">
        <v>117.79</v>
      </c>
      <c r="E16" s="43">
        <v>0</v>
      </c>
      <c r="F16" s="43">
        <f t="shared" si="2"/>
        <v>2355.8000000000002</v>
      </c>
      <c r="G16" s="368">
        <v>43502</v>
      </c>
      <c r="H16" s="80">
        <v>30</v>
      </c>
      <c r="I16" s="43">
        <v>125.98</v>
      </c>
      <c r="J16" s="43">
        <v>0.05</v>
      </c>
      <c r="K16" s="43">
        <f t="shared" si="1"/>
        <v>3779.35</v>
      </c>
    </row>
    <row r="17" spans="1:21" x14ac:dyDescent="0.25">
      <c r="B17" s="368">
        <v>43424</v>
      </c>
      <c r="C17" s="7">
        <v>20</v>
      </c>
      <c r="D17" s="43">
        <v>120.5</v>
      </c>
      <c r="E17" s="43">
        <v>0</v>
      </c>
      <c r="F17" s="43">
        <f t="shared" si="2"/>
        <v>2410</v>
      </c>
      <c r="G17" s="368">
        <v>43508</v>
      </c>
      <c r="H17" s="80">
        <v>30</v>
      </c>
      <c r="I17" s="43">
        <v>130</v>
      </c>
      <c r="J17" s="43">
        <v>0.05</v>
      </c>
      <c r="K17" s="43">
        <f t="shared" si="1"/>
        <v>3899.95</v>
      </c>
      <c r="T17" s="1">
        <v>43264</v>
      </c>
      <c r="U17" t="s">
        <v>1099</v>
      </c>
    </row>
    <row r="18" spans="1:21" ht="20.25" thickBot="1" x14ac:dyDescent="0.35">
      <c r="B18" s="368">
        <v>43438</v>
      </c>
      <c r="C18" s="7">
        <v>30</v>
      </c>
      <c r="D18" s="43">
        <v>121.98</v>
      </c>
      <c r="E18" s="43">
        <v>0</v>
      </c>
      <c r="F18" s="43">
        <f t="shared" si="2"/>
        <v>3659.4</v>
      </c>
      <c r="G18" s="368">
        <v>43556</v>
      </c>
      <c r="H18" s="80">
        <v>20</v>
      </c>
      <c r="I18" s="43">
        <v>123.15</v>
      </c>
      <c r="J18" s="43">
        <v>0.03</v>
      </c>
      <c r="K18" s="43">
        <f t="shared" si="1"/>
        <v>2462.9699999999998</v>
      </c>
      <c r="O18" s="700" t="s">
        <v>78</v>
      </c>
      <c r="P18" s="700"/>
      <c r="U18" t="s">
        <v>1100</v>
      </c>
    </row>
    <row r="19" spans="1:21" ht="15.75" thickTop="1" x14ac:dyDescent="0.25">
      <c r="B19" s="368">
        <v>43440</v>
      </c>
      <c r="C19" s="7">
        <v>30</v>
      </c>
      <c r="D19" s="43">
        <v>114.8</v>
      </c>
      <c r="E19" s="43">
        <v>0</v>
      </c>
      <c r="F19" s="43">
        <f t="shared" si="2"/>
        <v>3444</v>
      </c>
      <c r="O19" s="81">
        <v>1.1000000000000001</v>
      </c>
      <c r="P19" s="81">
        <f>O19*$Q$4</f>
        <v>152.88900000000001</v>
      </c>
    </row>
    <row r="20" spans="1:21" x14ac:dyDescent="0.25">
      <c r="B20" s="368">
        <v>43445</v>
      </c>
      <c r="C20" s="7">
        <v>20</v>
      </c>
      <c r="D20" s="43">
        <v>115.7</v>
      </c>
      <c r="E20" s="43">
        <v>0</v>
      </c>
      <c r="F20" s="43">
        <f t="shared" si="2"/>
        <v>2314</v>
      </c>
      <c r="O20" s="81">
        <v>1.0900000000000001</v>
      </c>
      <c r="P20" s="81">
        <f t="shared" ref="P20:P39" si="3">O20*$Q$4</f>
        <v>151.49910000000003</v>
      </c>
      <c r="T20" s="1">
        <v>43279</v>
      </c>
      <c r="U20" t="s">
        <v>1116</v>
      </c>
    </row>
    <row r="21" spans="1:21" x14ac:dyDescent="0.25">
      <c r="B21" s="368">
        <v>43453</v>
      </c>
      <c r="C21" s="7">
        <v>20</v>
      </c>
      <c r="D21" s="43">
        <v>110.28</v>
      </c>
      <c r="E21" s="43">
        <v>0</v>
      </c>
      <c r="F21" s="43">
        <f t="shared" si="2"/>
        <v>2205.6</v>
      </c>
      <c r="O21" s="81">
        <v>1.08</v>
      </c>
      <c r="P21" s="81">
        <f t="shared" si="3"/>
        <v>150.10920000000002</v>
      </c>
    </row>
    <row r="22" spans="1:21" x14ac:dyDescent="0.25">
      <c r="B22" s="368">
        <v>43487</v>
      </c>
      <c r="C22" s="7">
        <v>20</v>
      </c>
      <c r="D22" s="43">
        <v>116.4</v>
      </c>
      <c r="E22" s="43">
        <v>0</v>
      </c>
      <c r="F22" s="43">
        <f t="shared" si="2"/>
        <v>2328</v>
      </c>
      <c r="O22" s="81">
        <v>1.07</v>
      </c>
      <c r="P22" s="81">
        <f t="shared" si="3"/>
        <v>148.71930000000003</v>
      </c>
    </row>
    <row r="23" spans="1:21" x14ac:dyDescent="0.25">
      <c r="B23" s="404">
        <v>43544</v>
      </c>
      <c r="C23" s="4">
        <v>30</v>
      </c>
      <c r="D23" s="3">
        <v>123.88</v>
      </c>
      <c r="E23" s="3">
        <v>0</v>
      </c>
      <c r="F23" s="3">
        <f t="shared" si="2"/>
        <v>3716.3999999999996</v>
      </c>
      <c r="O23" s="81">
        <v>1.06</v>
      </c>
      <c r="P23" s="81">
        <f t="shared" si="3"/>
        <v>147.32940000000002</v>
      </c>
    </row>
    <row r="24" spans="1:21" x14ac:dyDescent="0.25">
      <c r="B24" s="404">
        <v>43546</v>
      </c>
      <c r="C24" s="4">
        <v>30</v>
      </c>
      <c r="D24" s="3">
        <v>119.64</v>
      </c>
      <c r="E24" s="3">
        <v>0</v>
      </c>
      <c r="F24" s="3">
        <f t="shared" si="2"/>
        <v>3589.2</v>
      </c>
      <c r="O24" s="81">
        <v>1.05</v>
      </c>
      <c r="P24" s="81">
        <f t="shared" si="3"/>
        <v>145.93950000000001</v>
      </c>
    </row>
    <row r="25" spans="1:21" x14ac:dyDescent="0.25">
      <c r="O25" s="81">
        <v>1.04</v>
      </c>
      <c r="P25" s="81">
        <f t="shared" si="3"/>
        <v>144.54960000000003</v>
      </c>
      <c r="T25" s="156">
        <v>43305</v>
      </c>
      <c r="U25" t="s">
        <v>1147</v>
      </c>
    </row>
    <row r="26" spans="1:21" x14ac:dyDescent="0.25">
      <c r="O26" s="81">
        <v>1.03</v>
      </c>
      <c r="P26" s="81">
        <f t="shared" si="3"/>
        <v>143.15970000000002</v>
      </c>
      <c r="T26" s="67"/>
    </row>
    <row r="27" spans="1:21" x14ac:dyDescent="0.25">
      <c r="O27" s="81">
        <v>1.02</v>
      </c>
      <c r="P27" s="81">
        <f t="shared" si="3"/>
        <v>141.7698</v>
      </c>
      <c r="T27" s="156">
        <v>43313</v>
      </c>
      <c r="U27" t="s">
        <v>1146</v>
      </c>
    </row>
    <row r="28" spans="1:21" x14ac:dyDescent="0.25">
      <c r="O28" s="81">
        <v>1.01</v>
      </c>
      <c r="P28" s="81">
        <f t="shared" si="3"/>
        <v>140.37990000000002</v>
      </c>
      <c r="T28" s="156">
        <v>43314</v>
      </c>
      <c r="U28" t="s">
        <v>1149</v>
      </c>
    </row>
    <row r="29" spans="1:21" x14ac:dyDescent="0.25">
      <c r="A29" s="31" t="s">
        <v>81</v>
      </c>
      <c r="B29" s="14"/>
      <c r="C29" s="14">
        <f>SUM(C2:C24)</f>
        <v>490</v>
      </c>
      <c r="D29" s="18"/>
      <c r="E29" s="18"/>
      <c r="F29" s="18">
        <f>SUM(F2:F24)</f>
        <v>61830.8</v>
      </c>
      <c r="G29" s="14"/>
      <c r="H29" s="71">
        <f>SUM(H2:H18)</f>
        <v>430</v>
      </c>
      <c r="I29" s="18"/>
      <c r="J29" s="18"/>
      <c r="K29" s="18">
        <f>SUM(K2:K18)</f>
        <v>56150.639999999992</v>
      </c>
      <c r="L29" s="14"/>
      <c r="M29" s="18">
        <f>SUM(M2:M10)</f>
        <v>33.799999999999997</v>
      </c>
      <c r="O29" s="81">
        <v>1</v>
      </c>
      <c r="P29" s="81">
        <f t="shared" si="3"/>
        <v>138.99</v>
      </c>
      <c r="T29" s="156">
        <v>43326</v>
      </c>
      <c r="U29" t="s">
        <v>1148</v>
      </c>
    </row>
    <row r="30" spans="1:21" ht="15.75" thickBot="1" x14ac:dyDescent="0.3">
      <c r="A30" s="277" t="s">
        <v>191</v>
      </c>
      <c r="B30" s="278"/>
      <c r="C30" s="279">
        <f>SumByColor($A$30,C2:C28)</f>
        <v>430</v>
      </c>
      <c r="D30" s="279"/>
      <c r="E30" s="279"/>
      <c r="F30" s="280">
        <f>SumByColor($A$30,F2:F28)</f>
        <v>54527</v>
      </c>
      <c r="G30" s="279"/>
      <c r="H30" s="279">
        <f>SumByColor($A$30,H2:H28)</f>
        <v>430</v>
      </c>
      <c r="I30" s="279"/>
      <c r="J30" s="279"/>
      <c r="K30" s="280">
        <f>SumByColor($A$30,K2:K28)</f>
        <v>56152</v>
      </c>
      <c r="L30" s="279"/>
      <c r="M30" s="280">
        <f>SumByColor($A$30,M2:M28)</f>
        <v>33</v>
      </c>
      <c r="O30" s="81">
        <v>0.99</v>
      </c>
      <c r="P30" s="81">
        <f t="shared" si="3"/>
        <v>137.6001</v>
      </c>
    </row>
    <row r="31" spans="1:21" x14ac:dyDescent="0.25">
      <c r="O31" s="81">
        <v>0.98</v>
      </c>
      <c r="P31" s="81">
        <f t="shared" si="3"/>
        <v>136.21020000000001</v>
      </c>
      <c r="T31" s="1">
        <v>43474</v>
      </c>
      <c r="U31" t="s">
        <v>1351</v>
      </c>
    </row>
    <row r="32" spans="1:21" x14ac:dyDescent="0.25">
      <c r="O32" s="81">
        <v>0.97</v>
      </c>
      <c r="P32" s="81">
        <f t="shared" si="3"/>
        <v>134.8203</v>
      </c>
    </row>
    <row r="33" spans="1:17" x14ac:dyDescent="0.25">
      <c r="O33" s="81">
        <v>0.96</v>
      </c>
      <c r="P33" s="81">
        <f t="shared" si="3"/>
        <v>133.43039999999999</v>
      </c>
    </row>
    <row r="34" spans="1:17" x14ac:dyDescent="0.25">
      <c r="O34" s="81">
        <v>0.95</v>
      </c>
      <c r="P34" s="81">
        <f t="shared" si="3"/>
        <v>132.04050000000001</v>
      </c>
    </row>
    <row r="35" spans="1:17" x14ac:dyDescent="0.25">
      <c r="B35" s="162" t="s">
        <v>113</v>
      </c>
      <c r="C35" s="162" t="s">
        <v>145</v>
      </c>
      <c r="D35" s="163" t="s">
        <v>144</v>
      </c>
      <c r="E35" s="165" t="s">
        <v>146</v>
      </c>
      <c r="F35" s="165" t="s">
        <v>65</v>
      </c>
      <c r="G35" s="177" t="s">
        <v>150</v>
      </c>
      <c r="H35" s="177" t="s">
        <v>88</v>
      </c>
      <c r="I35" s="177" t="s">
        <v>153</v>
      </c>
      <c r="J35" s="177" t="s">
        <v>149</v>
      </c>
      <c r="K35" s="177" t="s">
        <v>487</v>
      </c>
      <c r="L35" s="177" t="s">
        <v>947</v>
      </c>
      <c r="O35" s="81">
        <v>0.94</v>
      </c>
      <c r="P35" s="81">
        <f t="shared" si="3"/>
        <v>130.6506</v>
      </c>
    </row>
    <row r="36" spans="1:17" x14ac:dyDescent="0.25">
      <c r="B36" s="164">
        <v>43133</v>
      </c>
      <c r="C36" s="10">
        <v>20</v>
      </c>
      <c r="D36" s="39">
        <v>150</v>
      </c>
      <c r="E36" s="39">
        <v>149.94999999999999</v>
      </c>
      <c r="F36" s="39">
        <f t="shared" ref="F36:F42" si="4">C36*(E36-D36)</f>
        <v>-1.0000000000002274</v>
      </c>
      <c r="G36" s="39">
        <f t="shared" ref="G36:G42" si="5">D36*C36</f>
        <v>3000</v>
      </c>
      <c r="H36" s="179">
        <f t="shared" ref="H36:H42" si="6">(E36-D36)/D36</f>
        <v>-3.3333333333340911E-4</v>
      </c>
      <c r="I36" s="39"/>
      <c r="J36" s="39"/>
      <c r="K36" s="39"/>
      <c r="L36" s="39"/>
      <c r="O36" s="81">
        <v>0.93</v>
      </c>
      <c r="P36" s="81">
        <f t="shared" si="3"/>
        <v>129.26070000000001</v>
      </c>
    </row>
    <row r="37" spans="1:17" x14ac:dyDescent="0.25">
      <c r="B37" s="164">
        <v>43166</v>
      </c>
      <c r="C37" s="10">
        <v>40</v>
      </c>
      <c r="D37" s="39">
        <v>148.13999999999999</v>
      </c>
      <c r="E37" s="39">
        <v>146.80000000000001</v>
      </c>
      <c r="F37" s="39">
        <f t="shared" si="4"/>
        <v>-53.599999999999</v>
      </c>
      <c r="G37" s="39">
        <f t="shared" si="5"/>
        <v>5925.5999999999995</v>
      </c>
      <c r="H37" s="179">
        <f t="shared" si="6"/>
        <v>-9.045497502362462E-3</v>
      </c>
      <c r="I37" s="39"/>
      <c r="J37" s="39"/>
      <c r="K37" s="39"/>
      <c r="L37" s="39"/>
      <c r="O37" s="81">
        <v>0.92</v>
      </c>
      <c r="P37" s="81">
        <f t="shared" si="3"/>
        <v>127.87080000000002</v>
      </c>
    </row>
    <row r="38" spans="1:17" x14ac:dyDescent="0.25">
      <c r="A38">
        <v>0</v>
      </c>
      <c r="B38" s="164">
        <v>43167</v>
      </c>
      <c r="C38" s="10">
        <v>20</v>
      </c>
      <c r="D38" s="39">
        <v>144.7235</v>
      </c>
      <c r="E38" s="39">
        <v>151.56</v>
      </c>
      <c r="F38" s="39">
        <f t="shared" si="4"/>
        <v>136.73000000000002</v>
      </c>
      <c r="G38" s="39">
        <f t="shared" si="5"/>
        <v>2894.4700000000003</v>
      </c>
      <c r="H38" s="179">
        <f t="shared" si="6"/>
        <v>4.7238354517407335E-2</v>
      </c>
      <c r="I38" s="39"/>
      <c r="J38" s="39"/>
      <c r="K38" s="39"/>
      <c r="L38" s="39"/>
      <c r="O38" s="81">
        <v>0.91</v>
      </c>
      <c r="P38" s="81">
        <f t="shared" si="3"/>
        <v>126.48090000000002</v>
      </c>
    </row>
    <row r="39" spans="1:17" x14ac:dyDescent="0.25">
      <c r="B39" s="164">
        <v>43181</v>
      </c>
      <c r="C39" s="185">
        <v>50</v>
      </c>
      <c r="D39" s="186">
        <v>140.6174</v>
      </c>
      <c r="E39" s="39">
        <v>134.66</v>
      </c>
      <c r="F39" s="39">
        <f t="shared" si="4"/>
        <v>-297.87000000000035</v>
      </c>
      <c r="G39" s="39">
        <f t="shared" si="5"/>
        <v>7030.87</v>
      </c>
      <c r="H39" s="179">
        <f t="shared" si="6"/>
        <v>-4.2366022981508739E-2</v>
      </c>
      <c r="I39" s="39"/>
      <c r="J39" s="39"/>
      <c r="K39" s="39"/>
      <c r="L39" s="39"/>
      <c r="O39" s="81">
        <v>0.9</v>
      </c>
      <c r="P39" s="81">
        <f t="shared" si="3"/>
        <v>125.09100000000001</v>
      </c>
    </row>
    <row r="40" spans="1:17" x14ac:dyDescent="0.25">
      <c r="B40" s="164">
        <v>43184</v>
      </c>
      <c r="C40" s="10">
        <v>50</v>
      </c>
      <c r="D40" s="39">
        <v>140.6174</v>
      </c>
      <c r="E40" s="39">
        <v>132.4</v>
      </c>
      <c r="F40" s="39">
        <f t="shared" si="4"/>
        <v>-410.86999999999989</v>
      </c>
      <c r="G40" s="39">
        <f t="shared" si="5"/>
        <v>7030.87</v>
      </c>
      <c r="H40" s="179">
        <f t="shared" si="6"/>
        <v>-5.8438002693834458E-2</v>
      </c>
      <c r="I40" s="39"/>
      <c r="J40" s="39"/>
      <c r="K40" s="39"/>
      <c r="L40" s="39"/>
    </row>
    <row r="41" spans="1:17" x14ac:dyDescent="0.25">
      <c r="B41" s="164">
        <v>43185</v>
      </c>
      <c r="C41" s="10">
        <v>50</v>
      </c>
      <c r="D41" s="39">
        <v>140.6174</v>
      </c>
      <c r="E41" s="39">
        <v>137.66999999999999</v>
      </c>
      <c r="F41" s="39">
        <f t="shared" si="4"/>
        <v>-147.3700000000008</v>
      </c>
      <c r="G41" s="39">
        <f t="shared" si="5"/>
        <v>7030.87</v>
      </c>
      <c r="H41" s="179">
        <f t="shared" si="6"/>
        <v>-2.0960421683234195E-2</v>
      </c>
      <c r="I41" s="39"/>
      <c r="J41" s="39"/>
      <c r="K41" s="39"/>
      <c r="L41" s="39"/>
      <c r="Q41" s="2"/>
    </row>
    <row r="42" spans="1:17" x14ac:dyDescent="0.25">
      <c r="A42">
        <v>20</v>
      </c>
      <c r="B42" s="164">
        <v>43194</v>
      </c>
      <c r="C42" s="10">
        <v>50</v>
      </c>
      <c r="D42" s="39">
        <v>140.6174</v>
      </c>
      <c r="E42" s="39">
        <v>129.47999999999999</v>
      </c>
      <c r="F42" s="39">
        <f t="shared" si="4"/>
        <v>-556.87000000000069</v>
      </c>
      <c r="G42" s="39">
        <f t="shared" si="5"/>
        <v>7030.87</v>
      </c>
      <c r="H42" s="179">
        <f t="shared" si="6"/>
        <v>-7.9203569401795321E-2</v>
      </c>
      <c r="I42" s="39"/>
      <c r="J42" s="39"/>
      <c r="K42" s="39"/>
      <c r="L42" s="39"/>
      <c r="Q42" s="2"/>
    </row>
    <row r="43" spans="1:17" x14ac:dyDescent="0.25">
      <c r="A43">
        <v>20</v>
      </c>
      <c r="B43" s="164">
        <v>43198</v>
      </c>
      <c r="C43" s="10">
        <v>50</v>
      </c>
      <c r="D43" s="39">
        <v>140.6174</v>
      </c>
      <c r="E43" s="39">
        <v>131.83000000000001</v>
      </c>
      <c r="F43" s="39">
        <f t="shared" ref="F43:F49" si="7">C43*(E43-D43)</f>
        <v>-439.36999999999955</v>
      </c>
      <c r="G43" s="39">
        <f t="shared" ref="G43:G49" si="8">D43*C43</f>
        <v>7030.87</v>
      </c>
      <c r="H43" s="179">
        <f t="shared" ref="H43:H49" si="9">(E43-D43)/D43</f>
        <v>-6.2491555099155514E-2</v>
      </c>
      <c r="I43" s="39"/>
      <c r="J43" s="39"/>
      <c r="K43" s="39"/>
      <c r="L43" s="39">
        <v>15.29</v>
      </c>
      <c r="Q43" s="2"/>
    </row>
    <row r="44" spans="1:17" x14ac:dyDescent="0.25">
      <c r="A44">
        <v>50</v>
      </c>
      <c r="B44" s="164">
        <v>43216</v>
      </c>
      <c r="C44" s="10">
        <v>50</v>
      </c>
      <c r="D44" s="39">
        <v>140.62</v>
      </c>
      <c r="E44" s="39">
        <v>124.68</v>
      </c>
      <c r="F44" s="39">
        <f t="shared" si="7"/>
        <v>-796.99999999999989</v>
      </c>
      <c r="G44" s="39">
        <f t="shared" si="8"/>
        <v>7031</v>
      </c>
      <c r="H44" s="179">
        <f t="shared" si="9"/>
        <v>-0.11335514151614277</v>
      </c>
      <c r="I44" s="39"/>
      <c r="J44" s="39"/>
      <c r="K44" s="39"/>
      <c r="L44" s="39">
        <v>14.46</v>
      </c>
      <c r="Q44" s="2"/>
    </row>
    <row r="45" spans="1:17" x14ac:dyDescent="0.25">
      <c r="A45">
        <v>50</v>
      </c>
      <c r="B45" s="164">
        <v>43217</v>
      </c>
      <c r="C45" s="7">
        <v>100</v>
      </c>
      <c r="D45" s="43">
        <v>131.64869999999999</v>
      </c>
      <c r="E45" s="39">
        <v>122.66</v>
      </c>
      <c r="F45" s="39">
        <f t="shared" si="7"/>
        <v>-898.86999999999944</v>
      </c>
      <c r="G45" s="39">
        <f t="shared" si="8"/>
        <v>13164.869999999999</v>
      </c>
      <c r="H45" s="179">
        <f t="shared" si="9"/>
        <v>-6.8277924506660495E-2</v>
      </c>
      <c r="I45" s="39"/>
      <c r="J45" s="39"/>
      <c r="K45" s="39"/>
      <c r="L45" s="39">
        <v>14.23</v>
      </c>
      <c r="Q45" s="2"/>
    </row>
    <row r="46" spans="1:17" x14ac:dyDescent="0.25">
      <c r="A46">
        <v>50</v>
      </c>
      <c r="B46" s="164">
        <v>43222</v>
      </c>
      <c r="C46" s="10">
        <v>100</v>
      </c>
      <c r="D46" s="39">
        <v>131.58369999999999</v>
      </c>
      <c r="E46" s="39">
        <v>113.02</v>
      </c>
      <c r="F46" s="39">
        <f t="shared" si="7"/>
        <v>-1856.3699999999997</v>
      </c>
      <c r="G46" s="39">
        <f t="shared" si="8"/>
        <v>13158.369999999999</v>
      </c>
      <c r="H46" s="179">
        <f t="shared" si="9"/>
        <v>-0.14107902422564494</v>
      </c>
      <c r="I46" s="39"/>
      <c r="J46" s="39"/>
      <c r="K46" s="39"/>
      <c r="L46" s="39">
        <v>13.11</v>
      </c>
      <c r="Q46" s="2"/>
    </row>
    <row r="47" spans="1:17" x14ac:dyDescent="0.25">
      <c r="B47" s="164">
        <v>43271</v>
      </c>
      <c r="C47" s="10">
        <v>100</v>
      </c>
      <c r="D47" s="39">
        <v>131.58000000000001</v>
      </c>
      <c r="E47" s="39">
        <v>121.84</v>
      </c>
      <c r="F47" s="39">
        <f t="shared" si="7"/>
        <v>-974.00000000000091</v>
      </c>
      <c r="G47" s="39">
        <f t="shared" si="8"/>
        <v>13158.000000000002</v>
      </c>
      <c r="H47" s="179">
        <f t="shared" si="9"/>
        <v>-7.4023407812737557E-2</v>
      </c>
      <c r="I47" s="39"/>
      <c r="J47" s="39"/>
      <c r="K47" s="39">
        <v>54</v>
      </c>
      <c r="L47" s="39">
        <v>14.13</v>
      </c>
      <c r="Q47" s="2"/>
    </row>
    <row r="48" spans="1:17" x14ac:dyDescent="0.25">
      <c r="A48">
        <v>100</v>
      </c>
      <c r="B48" s="164">
        <v>43278</v>
      </c>
      <c r="C48" s="10">
        <v>100</v>
      </c>
      <c r="D48" s="39">
        <v>131.58000000000001</v>
      </c>
      <c r="E48" s="39">
        <v>119.85</v>
      </c>
      <c r="F48" s="39">
        <f t="shared" si="7"/>
        <v>-1173.0000000000018</v>
      </c>
      <c r="G48" s="39">
        <f t="shared" si="8"/>
        <v>13158.000000000002</v>
      </c>
      <c r="H48" s="179">
        <f t="shared" si="9"/>
        <v>-8.9147286821705557E-2</v>
      </c>
      <c r="I48" s="39"/>
      <c r="J48" s="39"/>
      <c r="K48" s="39"/>
      <c r="L48" s="39">
        <v>13.9</v>
      </c>
      <c r="Q48" s="2"/>
    </row>
    <row r="49" spans="1:17" x14ac:dyDescent="0.25">
      <c r="A49">
        <v>100</v>
      </c>
      <c r="B49" s="164">
        <v>43279</v>
      </c>
      <c r="C49" s="10">
        <v>120</v>
      </c>
      <c r="D49" s="39">
        <v>128.6498</v>
      </c>
      <c r="E49" s="39">
        <v>115.39</v>
      </c>
      <c r="F49" s="39">
        <f t="shared" si="7"/>
        <v>-1591.1759999999999</v>
      </c>
      <c r="G49" s="39">
        <f t="shared" si="8"/>
        <v>15437.976000000001</v>
      </c>
      <c r="H49" s="179">
        <f t="shared" si="9"/>
        <v>-0.10306895152576995</v>
      </c>
      <c r="I49" s="39"/>
      <c r="J49" s="39"/>
      <c r="K49" s="39"/>
      <c r="L49" s="39">
        <v>13.39</v>
      </c>
      <c r="Q49" s="2"/>
    </row>
    <row r="50" spans="1:17" x14ac:dyDescent="0.25">
      <c r="A50">
        <v>100</v>
      </c>
      <c r="B50" s="164">
        <v>43283</v>
      </c>
      <c r="C50" s="10">
        <v>120</v>
      </c>
      <c r="D50" s="39">
        <v>128.6498</v>
      </c>
      <c r="E50" s="39">
        <v>117.12</v>
      </c>
      <c r="F50" s="39">
        <f t="shared" ref="F50:F58" si="10">C50*(E50-D50)</f>
        <v>-1383.5759999999993</v>
      </c>
      <c r="G50" s="39">
        <f t="shared" ref="G50:G58" si="11">D50*C50</f>
        <v>15437.976000000001</v>
      </c>
      <c r="H50" s="179">
        <f t="shared" ref="H50:H58" si="12">(E50-D50)/D50</f>
        <v>-8.9621592882382986E-2</v>
      </c>
      <c r="I50" s="39"/>
      <c r="J50" s="39"/>
      <c r="K50" s="39"/>
      <c r="L50" s="39"/>
      <c r="Q50" s="2"/>
    </row>
    <row r="51" spans="1:17" x14ac:dyDescent="0.25">
      <c r="A51">
        <v>30</v>
      </c>
      <c r="B51" s="164">
        <v>43284</v>
      </c>
      <c r="C51" s="10">
        <v>50</v>
      </c>
      <c r="D51" s="39">
        <v>124.38</v>
      </c>
      <c r="E51" s="39">
        <v>135</v>
      </c>
      <c r="F51" s="39">
        <f t="shared" si="10"/>
        <v>531.00000000000023</v>
      </c>
      <c r="G51" s="39">
        <f t="shared" si="11"/>
        <v>6219</v>
      </c>
      <c r="H51" s="179">
        <f t="shared" si="12"/>
        <v>8.5383502170767039E-2</v>
      </c>
      <c r="I51" s="39"/>
      <c r="J51" s="39"/>
      <c r="K51" s="39"/>
      <c r="L51" s="39">
        <v>15.66</v>
      </c>
      <c r="Q51" s="2"/>
    </row>
    <row r="52" spans="1:17" x14ac:dyDescent="0.25">
      <c r="A52">
        <v>30</v>
      </c>
      <c r="B52" s="164">
        <v>43284</v>
      </c>
      <c r="C52" s="10">
        <v>70</v>
      </c>
      <c r="D52" s="39">
        <v>126.758</v>
      </c>
      <c r="E52" s="39">
        <v>132.19999999999999</v>
      </c>
      <c r="F52" s="39">
        <f t="shared" si="10"/>
        <v>380.93999999999949</v>
      </c>
      <c r="G52" s="39">
        <f t="shared" si="11"/>
        <v>8873.06</v>
      </c>
      <c r="H52" s="179">
        <f t="shared" si="12"/>
        <v>4.2932201517852861E-2</v>
      </c>
      <c r="I52" s="39"/>
      <c r="J52" s="39"/>
      <c r="K52" s="39"/>
      <c r="L52" s="39"/>
      <c r="Q52" s="2"/>
    </row>
    <row r="53" spans="1:17" x14ac:dyDescent="0.25">
      <c r="A53">
        <v>30</v>
      </c>
      <c r="B53" s="164">
        <v>43286</v>
      </c>
      <c r="C53" s="10">
        <v>90</v>
      </c>
      <c r="D53" s="39">
        <v>126.94</v>
      </c>
      <c r="E53" s="39">
        <v>127.58</v>
      </c>
      <c r="F53" s="39">
        <f t="shared" si="10"/>
        <v>57.600000000000051</v>
      </c>
      <c r="G53" s="39">
        <f t="shared" si="11"/>
        <v>11424.6</v>
      </c>
      <c r="H53" s="179">
        <f t="shared" si="12"/>
        <v>5.0417520088230708E-3</v>
      </c>
      <c r="I53" s="39"/>
      <c r="J53" s="39"/>
      <c r="K53" s="39"/>
      <c r="L53" s="39">
        <v>14.8</v>
      </c>
      <c r="Q53" s="2"/>
    </row>
    <row r="54" spans="1:17" x14ac:dyDescent="0.25">
      <c r="A54">
        <v>30</v>
      </c>
      <c r="B54" s="164">
        <v>43286</v>
      </c>
      <c r="C54" s="7">
        <v>100</v>
      </c>
      <c r="D54" s="43">
        <v>126.875</v>
      </c>
      <c r="E54" s="39">
        <v>126.28</v>
      </c>
      <c r="F54" s="39">
        <f t="shared" si="10"/>
        <v>-59.499999999999886</v>
      </c>
      <c r="G54" s="39">
        <f t="shared" si="11"/>
        <v>12687.5</v>
      </c>
      <c r="H54" s="179">
        <f t="shared" si="12"/>
        <v>-4.6896551724137838E-3</v>
      </c>
      <c r="I54" s="39"/>
      <c r="J54" s="39"/>
      <c r="K54" s="39"/>
      <c r="L54" s="39">
        <v>14.65</v>
      </c>
    </row>
    <row r="55" spans="1:17" x14ac:dyDescent="0.25">
      <c r="A55">
        <v>0</v>
      </c>
      <c r="B55" s="164">
        <v>43291</v>
      </c>
      <c r="C55" s="10">
        <v>70</v>
      </c>
      <c r="D55" s="39">
        <v>125.2449</v>
      </c>
      <c r="E55" s="39">
        <v>130.68</v>
      </c>
      <c r="F55" s="39">
        <f t="shared" si="10"/>
        <v>380.45700000000039</v>
      </c>
      <c r="G55" s="39">
        <f t="shared" si="11"/>
        <v>8767.143</v>
      </c>
      <c r="H55" s="179">
        <f t="shared" si="12"/>
        <v>4.3395778989803221E-2</v>
      </c>
      <c r="I55" s="39"/>
      <c r="J55" s="39"/>
      <c r="K55" s="39"/>
      <c r="L55" s="39">
        <v>15.16</v>
      </c>
    </row>
    <row r="56" spans="1:17" x14ac:dyDescent="0.25">
      <c r="A56">
        <v>0</v>
      </c>
      <c r="B56" s="164">
        <v>43311</v>
      </c>
      <c r="C56" s="185">
        <v>50</v>
      </c>
      <c r="D56" s="186">
        <v>120.14360000000001</v>
      </c>
      <c r="E56" s="39">
        <v>136.09</v>
      </c>
      <c r="F56" s="39">
        <f t="shared" si="10"/>
        <v>797.31999999999982</v>
      </c>
      <c r="G56" s="39">
        <f t="shared" si="11"/>
        <v>6007.18</v>
      </c>
      <c r="H56" s="179">
        <f t="shared" si="12"/>
        <v>0.13272783568995766</v>
      </c>
      <c r="I56" s="39"/>
      <c r="J56" s="39"/>
      <c r="K56" s="39"/>
      <c r="L56" s="39">
        <v>15.79</v>
      </c>
    </row>
    <row r="57" spans="1:17" x14ac:dyDescent="0.25">
      <c r="B57" s="164">
        <v>43312</v>
      </c>
      <c r="C57" s="10">
        <v>50</v>
      </c>
      <c r="D57" s="39">
        <v>120.14</v>
      </c>
      <c r="E57" s="39">
        <v>139.03</v>
      </c>
      <c r="F57" s="39">
        <f t="shared" si="10"/>
        <v>944.5</v>
      </c>
      <c r="G57" s="39">
        <f t="shared" si="11"/>
        <v>6007</v>
      </c>
      <c r="H57" s="179">
        <f t="shared" si="12"/>
        <v>0.15723322790078242</v>
      </c>
      <c r="I57" s="39"/>
      <c r="J57" s="39"/>
      <c r="K57" s="39"/>
      <c r="L57" s="39">
        <v>16.13</v>
      </c>
    </row>
    <row r="58" spans="1:17" x14ac:dyDescent="0.25">
      <c r="A58">
        <v>0</v>
      </c>
      <c r="B58" s="164">
        <v>43313</v>
      </c>
      <c r="C58" s="10">
        <v>70</v>
      </c>
      <c r="D58" s="39">
        <v>124.4983</v>
      </c>
      <c r="E58" s="39">
        <v>135.66999999999999</v>
      </c>
      <c r="F58" s="39">
        <f t="shared" si="10"/>
        <v>782.0189999999991</v>
      </c>
      <c r="G58" s="39">
        <f t="shared" si="11"/>
        <v>8714.8809999999994</v>
      </c>
      <c r="H58" s="179">
        <f t="shared" si="12"/>
        <v>8.9733755400676046E-2</v>
      </c>
      <c r="I58" s="39"/>
      <c r="J58" s="39"/>
      <c r="K58" s="39"/>
      <c r="L58" s="39">
        <v>15.74</v>
      </c>
    </row>
    <row r="59" spans="1:17" x14ac:dyDescent="0.25">
      <c r="A59">
        <v>50</v>
      </c>
      <c r="B59" s="164">
        <v>43316</v>
      </c>
      <c r="C59" s="10">
        <v>70</v>
      </c>
      <c r="D59" s="39">
        <v>124.4983</v>
      </c>
      <c r="E59" s="39">
        <v>136.47999999999999</v>
      </c>
      <c r="F59" s="39">
        <f t="shared" ref="F59:F64" si="13">C59*(E59-D59)</f>
        <v>838.71899999999926</v>
      </c>
      <c r="G59" s="39">
        <f t="shared" ref="G59:G65" si="14">D59*C59</f>
        <v>8714.8809999999994</v>
      </c>
      <c r="H59" s="179">
        <f t="shared" ref="H59:H65" si="15">(E59-D59)/D59</f>
        <v>9.6239868335551482E-2</v>
      </c>
      <c r="I59" s="39"/>
      <c r="J59" s="39"/>
      <c r="K59" s="39"/>
      <c r="L59" s="39">
        <v>15.83</v>
      </c>
    </row>
    <row r="60" spans="1:17" x14ac:dyDescent="0.25">
      <c r="A60">
        <v>50</v>
      </c>
      <c r="B60" s="164">
        <v>43325</v>
      </c>
      <c r="C60" s="10">
        <v>70</v>
      </c>
      <c r="D60" s="39">
        <v>124.5</v>
      </c>
      <c r="E60" s="39">
        <v>135.87</v>
      </c>
      <c r="F60" s="39">
        <f t="shared" si="13"/>
        <v>795.90000000000032</v>
      </c>
      <c r="G60" s="39">
        <f t="shared" si="14"/>
        <v>8715</v>
      </c>
      <c r="H60" s="179">
        <f t="shared" si="15"/>
        <v>9.1325301204819312E-2</v>
      </c>
      <c r="I60" s="39"/>
      <c r="J60" s="39"/>
      <c r="K60" s="39"/>
      <c r="L60" s="39">
        <v>15.76</v>
      </c>
    </row>
    <row r="61" spans="1:17" x14ac:dyDescent="0.25">
      <c r="B61" s="164">
        <v>43326</v>
      </c>
      <c r="C61" s="10">
        <v>20</v>
      </c>
      <c r="D61" s="39">
        <v>90.548500000000004</v>
      </c>
      <c r="E61" s="39">
        <v>137.5</v>
      </c>
      <c r="F61" s="39">
        <f t="shared" si="13"/>
        <v>939.03</v>
      </c>
      <c r="G61" s="39">
        <f t="shared" si="14"/>
        <v>1810.97</v>
      </c>
      <c r="H61" s="179">
        <f t="shared" si="15"/>
        <v>0.51852322236149684</v>
      </c>
      <c r="I61" s="39"/>
      <c r="J61" s="39"/>
      <c r="K61" s="39"/>
      <c r="L61" s="39">
        <v>15.95</v>
      </c>
    </row>
    <row r="62" spans="1:17" x14ac:dyDescent="0.25">
      <c r="A62">
        <v>0</v>
      </c>
      <c r="B62" s="164">
        <v>43329</v>
      </c>
      <c r="C62" s="10">
        <v>20</v>
      </c>
      <c r="D62" s="39">
        <v>90.548500000000004</v>
      </c>
      <c r="E62" s="39">
        <v>143.69</v>
      </c>
      <c r="F62" s="39">
        <f t="shared" si="13"/>
        <v>1062.83</v>
      </c>
      <c r="G62" s="39">
        <f t="shared" si="14"/>
        <v>1810.97</v>
      </c>
      <c r="H62" s="179">
        <f t="shared" si="15"/>
        <v>0.58688437688089801</v>
      </c>
      <c r="I62" s="39"/>
      <c r="J62" s="39"/>
      <c r="K62" s="39"/>
      <c r="L62" s="39">
        <v>16.670000000000002</v>
      </c>
    </row>
    <row r="63" spans="1:17" x14ac:dyDescent="0.25">
      <c r="B63" s="164">
        <v>43334</v>
      </c>
      <c r="C63" s="10">
        <v>20</v>
      </c>
      <c r="D63" s="39">
        <v>90.548500000000004</v>
      </c>
      <c r="E63" s="39">
        <v>148.38999999999999</v>
      </c>
      <c r="F63" s="39">
        <f t="shared" si="13"/>
        <v>1156.8299999999997</v>
      </c>
      <c r="G63" s="39">
        <f t="shared" si="14"/>
        <v>1810.97</v>
      </c>
      <c r="H63" s="179">
        <f t="shared" si="15"/>
        <v>0.63879026157252716</v>
      </c>
      <c r="I63" s="39"/>
      <c r="J63" s="39"/>
      <c r="K63" s="39"/>
      <c r="L63" s="39">
        <v>17.21</v>
      </c>
    </row>
    <row r="64" spans="1:17" x14ac:dyDescent="0.25">
      <c r="B64" s="164">
        <v>43337</v>
      </c>
      <c r="C64" s="10">
        <v>20</v>
      </c>
      <c r="D64" s="39">
        <v>90.55</v>
      </c>
      <c r="E64" s="39">
        <v>149.03</v>
      </c>
      <c r="F64" s="39">
        <f t="shared" si="13"/>
        <v>1169.6000000000001</v>
      </c>
      <c r="G64" s="39">
        <f t="shared" si="14"/>
        <v>1811</v>
      </c>
      <c r="H64" s="179">
        <f t="shared" si="15"/>
        <v>0.6458310325786859</v>
      </c>
      <c r="I64" s="39"/>
      <c r="J64" s="39"/>
      <c r="K64" s="39"/>
      <c r="L64" s="39">
        <v>17.29</v>
      </c>
    </row>
    <row r="65" spans="1:12" x14ac:dyDescent="0.25">
      <c r="A65" s="4">
        <v>0</v>
      </c>
      <c r="B65" s="164">
        <v>43350</v>
      </c>
      <c r="C65" s="10">
        <v>0</v>
      </c>
      <c r="D65" s="39">
        <v>90.55</v>
      </c>
      <c r="E65" s="39">
        <v>156.41</v>
      </c>
      <c r="F65" s="39">
        <v>1349.19</v>
      </c>
      <c r="G65" s="39">
        <f t="shared" si="14"/>
        <v>0</v>
      </c>
      <c r="H65" s="179">
        <f t="shared" si="15"/>
        <v>0.72733296521258972</v>
      </c>
      <c r="I65" s="39"/>
      <c r="J65" s="778">
        <v>1349.19</v>
      </c>
      <c r="K65" s="39"/>
      <c r="L65" s="39">
        <v>18.149999999999999</v>
      </c>
    </row>
    <row r="66" spans="1:12" x14ac:dyDescent="0.25">
      <c r="A66" s="4">
        <v>0</v>
      </c>
      <c r="B66" s="164">
        <v>43353</v>
      </c>
      <c r="C66" s="10">
        <v>20</v>
      </c>
      <c r="D66" s="39">
        <v>85.540499999999994</v>
      </c>
      <c r="E66" s="39">
        <v>154.94999999999999</v>
      </c>
      <c r="F66" s="778">
        <f t="shared" ref="F66:F80" si="16">C66*(E66-D66)</f>
        <v>1388.1899999999998</v>
      </c>
      <c r="G66" s="39">
        <f t="shared" ref="G66:G80" si="17">D66*C66</f>
        <v>1710.81</v>
      </c>
      <c r="H66" s="179">
        <f t="shared" ref="H66:H80" si="18">(E66-D66)/D66</f>
        <v>0.81142265944201863</v>
      </c>
      <c r="I66" s="39"/>
      <c r="J66" s="39"/>
      <c r="K66" s="39"/>
      <c r="L66" s="39">
        <v>17.98</v>
      </c>
    </row>
    <row r="67" spans="1:12" x14ac:dyDescent="0.25">
      <c r="A67" s="4">
        <v>0</v>
      </c>
      <c r="B67" s="164">
        <v>43358</v>
      </c>
      <c r="C67" s="10">
        <v>20</v>
      </c>
      <c r="D67" s="39">
        <v>85.540499999999994</v>
      </c>
      <c r="E67" s="39">
        <v>159.1</v>
      </c>
      <c r="F67" s="778">
        <f t="shared" si="16"/>
        <v>1471.19</v>
      </c>
      <c r="G67" s="39">
        <f t="shared" si="17"/>
        <v>1710.81</v>
      </c>
      <c r="H67" s="179">
        <f t="shared" si="18"/>
        <v>0.85993769033381851</v>
      </c>
      <c r="I67" s="39"/>
      <c r="J67" s="39"/>
      <c r="K67" s="39"/>
      <c r="L67" s="39">
        <v>18.46</v>
      </c>
    </row>
    <row r="68" spans="1:12" x14ac:dyDescent="0.25">
      <c r="A68" s="4"/>
      <c r="B68" s="164">
        <v>43364</v>
      </c>
      <c r="C68" s="10">
        <v>20</v>
      </c>
      <c r="D68" s="39">
        <v>85.540499999999994</v>
      </c>
      <c r="E68" s="39">
        <v>165.06</v>
      </c>
      <c r="F68" s="778">
        <f t="shared" si="16"/>
        <v>1590.39</v>
      </c>
      <c r="G68" s="39">
        <f t="shared" si="17"/>
        <v>1710.81</v>
      </c>
      <c r="H68" s="179">
        <f t="shared" si="18"/>
        <v>0.92961228891577685</v>
      </c>
      <c r="I68" s="39"/>
      <c r="J68" s="39"/>
      <c r="K68" s="39"/>
      <c r="L68" s="39"/>
    </row>
    <row r="69" spans="1:12" x14ac:dyDescent="0.25">
      <c r="A69" s="4"/>
      <c r="B69" s="164">
        <v>43377</v>
      </c>
      <c r="C69" s="10">
        <v>20</v>
      </c>
      <c r="D69" s="39">
        <v>85.54</v>
      </c>
      <c r="E69" s="39">
        <v>135.01</v>
      </c>
      <c r="F69" s="39">
        <f t="shared" si="16"/>
        <v>989.39999999999964</v>
      </c>
      <c r="G69" s="39">
        <f t="shared" si="17"/>
        <v>1710.8000000000002</v>
      </c>
      <c r="H69" s="179">
        <f t="shared" si="18"/>
        <v>0.57832592938975891</v>
      </c>
      <c r="I69" s="39"/>
      <c r="J69" s="39"/>
      <c r="K69" s="39"/>
      <c r="L69" s="39">
        <v>15.66</v>
      </c>
    </row>
    <row r="70" spans="1:12" x14ac:dyDescent="0.25">
      <c r="A70" s="4">
        <v>0</v>
      </c>
      <c r="B70" s="164">
        <v>43378</v>
      </c>
      <c r="C70" s="10">
        <v>40</v>
      </c>
      <c r="D70" s="39">
        <v>108.02</v>
      </c>
      <c r="E70" s="39">
        <v>130.99</v>
      </c>
      <c r="F70" s="39">
        <f t="shared" si="16"/>
        <v>918.80000000000052</v>
      </c>
      <c r="G70" s="39">
        <f t="shared" si="17"/>
        <v>4320.8</v>
      </c>
      <c r="H70" s="179">
        <f t="shared" si="18"/>
        <v>0.21264580633216085</v>
      </c>
      <c r="I70" s="39"/>
      <c r="J70" s="39"/>
      <c r="K70" s="39"/>
      <c r="L70" s="39">
        <v>15.71</v>
      </c>
    </row>
    <row r="71" spans="1:12" x14ac:dyDescent="0.25">
      <c r="A71" s="4">
        <v>20</v>
      </c>
      <c r="B71" s="164">
        <v>43383</v>
      </c>
      <c r="C71" s="10">
        <v>60</v>
      </c>
      <c r="D71" s="39">
        <v>113.3068</v>
      </c>
      <c r="E71" s="39">
        <v>121.26</v>
      </c>
      <c r="F71" s="39">
        <f t="shared" si="16"/>
        <v>477.19200000000058</v>
      </c>
      <c r="G71" s="39">
        <f t="shared" si="17"/>
        <v>6798.4079999999994</v>
      </c>
      <c r="H71" s="179">
        <f t="shared" si="18"/>
        <v>7.0191727239671486E-2</v>
      </c>
      <c r="I71" s="39"/>
      <c r="J71" s="39"/>
      <c r="K71" s="39"/>
      <c r="L71" s="39">
        <v>14.07</v>
      </c>
    </row>
    <row r="72" spans="1:12" x14ac:dyDescent="0.25">
      <c r="A72" s="4">
        <v>20</v>
      </c>
      <c r="B72" s="164">
        <v>43396</v>
      </c>
      <c r="C72" s="10">
        <v>80</v>
      </c>
      <c r="D72" s="39">
        <v>114.4276</v>
      </c>
      <c r="E72" s="39">
        <v>121.01</v>
      </c>
      <c r="F72" s="39">
        <f t="shared" si="16"/>
        <v>526.59200000000055</v>
      </c>
      <c r="G72" s="39">
        <f t="shared" si="17"/>
        <v>9154.2080000000005</v>
      </c>
      <c r="H72" s="179">
        <f t="shared" si="18"/>
        <v>5.7524583229920115E-2</v>
      </c>
      <c r="I72" s="39"/>
      <c r="J72" s="39"/>
      <c r="K72" s="39"/>
      <c r="L72" s="39">
        <v>14.04</v>
      </c>
    </row>
    <row r="73" spans="1:12" x14ac:dyDescent="0.25">
      <c r="A73" s="4">
        <v>0</v>
      </c>
      <c r="B73" s="164">
        <v>43403</v>
      </c>
      <c r="C73" s="10">
        <v>60</v>
      </c>
      <c r="D73" s="39">
        <v>111.444</v>
      </c>
      <c r="E73" s="39">
        <v>123.38</v>
      </c>
      <c r="F73" s="39">
        <f t="shared" si="16"/>
        <v>716.15999999999963</v>
      </c>
      <c r="G73" s="39">
        <f t="shared" si="17"/>
        <v>6686.64</v>
      </c>
      <c r="H73" s="179">
        <f t="shared" si="18"/>
        <v>0.10710311905531023</v>
      </c>
      <c r="I73" s="39"/>
      <c r="J73" s="39"/>
      <c r="K73" s="39"/>
      <c r="L73" s="39">
        <v>14.31</v>
      </c>
    </row>
    <row r="74" spans="1:12" x14ac:dyDescent="0.25">
      <c r="A74" s="4">
        <v>0</v>
      </c>
      <c r="B74" s="164">
        <v>43403</v>
      </c>
      <c r="C74" s="185">
        <v>50</v>
      </c>
      <c r="D74" s="186">
        <v>108.9</v>
      </c>
      <c r="E74" s="39">
        <v>124.18</v>
      </c>
      <c r="F74" s="39">
        <f t="shared" si="16"/>
        <v>764</v>
      </c>
      <c r="G74" s="39">
        <f t="shared" si="17"/>
        <v>5445</v>
      </c>
      <c r="H74" s="179">
        <f t="shared" si="18"/>
        <v>0.14031221303948577</v>
      </c>
      <c r="I74" s="39"/>
      <c r="J74" s="39"/>
      <c r="K74" s="39"/>
      <c r="L74" s="39">
        <v>14.41</v>
      </c>
    </row>
    <row r="75" spans="1:12" x14ac:dyDescent="0.25">
      <c r="A75" s="4">
        <v>0</v>
      </c>
      <c r="B75" s="164">
        <v>43405</v>
      </c>
      <c r="C75" s="10">
        <v>50</v>
      </c>
      <c r="D75" s="39">
        <v>108.74120000000001</v>
      </c>
      <c r="E75" s="39">
        <v>131.51</v>
      </c>
      <c r="F75" s="39">
        <f t="shared" si="16"/>
        <v>1138.4399999999991</v>
      </c>
      <c r="G75" s="39">
        <f t="shared" si="17"/>
        <v>5437.06</v>
      </c>
      <c r="H75" s="179">
        <f t="shared" si="18"/>
        <v>0.20938521921773884</v>
      </c>
      <c r="I75" s="39"/>
      <c r="J75" s="39"/>
      <c r="K75" s="39"/>
      <c r="L75" s="39">
        <v>15.26</v>
      </c>
    </row>
    <row r="76" spans="1:12" x14ac:dyDescent="0.25">
      <c r="A76" s="4">
        <v>30</v>
      </c>
      <c r="B76" s="164">
        <v>43424</v>
      </c>
      <c r="C76" s="10">
        <v>70</v>
      </c>
      <c r="D76" s="39">
        <v>112.1009</v>
      </c>
      <c r="E76" s="39">
        <v>121.12</v>
      </c>
      <c r="F76" s="39">
        <f t="shared" si="16"/>
        <v>631.33700000000067</v>
      </c>
      <c r="G76" s="39">
        <f t="shared" si="17"/>
        <v>7847.0630000000001</v>
      </c>
      <c r="H76" s="179">
        <f t="shared" si="18"/>
        <v>8.045519705907811E-2</v>
      </c>
      <c r="I76" s="39"/>
      <c r="J76" s="39"/>
      <c r="K76" s="39"/>
      <c r="L76" s="39">
        <v>14.05</v>
      </c>
    </row>
    <row r="77" spans="1:12" x14ac:dyDescent="0.25">
      <c r="A77" s="4">
        <v>20</v>
      </c>
      <c r="B77" s="164">
        <v>43430</v>
      </c>
      <c r="C77" s="10">
        <v>40</v>
      </c>
      <c r="D77" s="39">
        <v>101.68</v>
      </c>
      <c r="E77" s="39">
        <v>126.82</v>
      </c>
      <c r="F77" s="39">
        <f t="shared" si="16"/>
        <v>1005.5999999999995</v>
      </c>
      <c r="G77" s="39">
        <f t="shared" si="17"/>
        <v>4067.2000000000003</v>
      </c>
      <c r="H77" s="179">
        <f t="shared" si="18"/>
        <v>0.24724626278520834</v>
      </c>
      <c r="I77" s="39"/>
      <c r="J77" s="39"/>
      <c r="K77" s="39"/>
      <c r="L77" s="39">
        <v>14.71</v>
      </c>
    </row>
    <row r="78" spans="1:12" x14ac:dyDescent="0.25">
      <c r="A78" s="4">
        <v>20</v>
      </c>
      <c r="B78" s="164">
        <v>43438</v>
      </c>
      <c r="C78" s="10">
        <v>70</v>
      </c>
      <c r="D78" s="39">
        <v>110.37869999999999</v>
      </c>
      <c r="E78" s="39">
        <v>120</v>
      </c>
      <c r="F78" s="39">
        <f t="shared" si="16"/>
        <v>673.49100000000033</v>
      </c>
      <c r="G78" s="39">
        <f t="shared" si="17"/>
        <v>7726.509</v>
      </c>
      <c r="H78" s="179">
        <f t="shared" si="18"/>
        <v>8.7166273927850257E-2</v>
      </c>
      <c r="I78" s="39"/>
      <c r="J78" s="39"/>
      <c r="K78" s="39"/>
      <c r="L78" s="39">
        <v>13.92</v>
      </c>
    </row>
    <row r="79" spans="1:12" x14ac:dyDescent="0.25">
      <c r="A79" s="4">
        <v>20</v>
      </c>
      <c r="B79" s="164">
        <v>43440</v>
      </c>
      <c r="C79" s="7">
        <v>100</v>
      </c>
      <c r="D79" s="43">
        <v>111.7051</v>
      </c>
      <c r="E79" s="39">
        <v>120.44</v>
      </c>
      <c r="F79" s="39">
        <f t="shared" si="16"/>
        <v>873.48999999999955</v>
      </c>
      <c r="G79" s="39">
        <f t="shared" si="17"/>
        <v>11170.51</v>
      </c>
      <c r="H79" s="179">
        <f t="shared" si="18"/>
        <v>7.8196071620722743E-2</v>
      </c>
      <c r="I79" s="39"/>
      <c r="J79" s="39"/>
      <c r="K79" s="39"/>
      <c r="L79" s="39">
        <v>13.97</v>
      </c>
    </row>
    <row r="80" spans="1:12" x14ac:dyDescent="0.25">
      <c r="A80" s="4">
        <v>0</v>
      </c>
      <c r="B80" s="164">
        <v>43441</v>
      </c>
      <c r="C80" s="10">
        <v>80</v>
      </c>
      <c r="D80" s="39">
        <v>108.9618</v>
      </c>
      <c r="E80" s="39">
        <v>117.9</v>
      </c>
      <c r="F80" s="39">
        <f t="shared" si="16"/>
        <v>715.05600000000072</v>
      </c>
      <c r="G80" s="39">
        <f t="shared" si="17"/>
        <v>8716.9439999999995</v>
      </c>
      <c r="H80" s="179">
        <f t="shared" si="18"/>
        <v>8.2030583195211615E-2</v>
      </c>
      <c r="I80" s="39"/>
      <c r="J80" s="39"/>
      <c r="K80" s="39"/>
      <c r="L80" s="39">
        <v>13.68</v>
      </c>
    </row>
    <row r="81" spans="1:12" x14ac:dyDescent="0.25">
      <c r="A81" s="4">
        <v>0</v>
      </c>
      <c r="B81" s="164">
        <v>43445</v>
      </c>
      <c r="C81" s="7">
        <v>100</v>
      </c>
      <c r="D81" s="43">
        <v>110.309</v>
      </c>
      <c r="E81" s="39">
        <v>115.71</v>
      </c>
      <c r="F81" s="39">
        <f t="shared" ref="F81:F92" si="19">C81*(E81-D81)</f>
        <v>540.09999999999968</v>
      </c>
      <c r="G81" s="39">
        <f t="shared" ref="G81:G92" si="20">D81*C81</f>
        <v>11030.9</v>
      </c>
      <c r="H81" s="179">
        <f t="shared" ref="H81:H92" si="21">(E81-D81)/D81</f>
        <v>4.8962459998730806E-2</v>
      </c>
      <c r="I81" s="39"/>
      <c r="J81" s="39"/>
      <c r="K81" s="39"/>
      <c r="L81" s="39">
        <v>13.42</v>
      </c>
    </row>
    <row r="82" spans="1:12" x14ac:dyDescent="0.25">
      <c r="A82" s="4">
        <v>0</v>
      </c>
      <c r="B82" s="164">
        <v>43453</v>
      </c>
      <c r="C82" s="10">
        <v>120</v>
      </c>
      <c r="D82" s="39">
        <v>110.3045</v>
      </c>
      <c r="E82" s="39">
        <v>110.89</v>
      </c>
      <c r="F82" s="39">
        <f t="shared" si="19"/>
        <v>70.259999999999536</v>
      </c>
      <c r="G82" s="39">
        <f t="shared" si="20"/>
        <v>13236.54</v>
      </c>
      <c r="H82" s="179">
        <f t="shared" si="21"/>
        <v>5.3080336704304553E-3</v>
      </c>
      <c r="I82" s="39"/>
      <c r="J82" s="39"/>
      <c r="K82" s="39"/>
      <c r="L82" s="39">
        <v>13.57</v>
      </c>
    </row>
    <row r="83" spans="1:12" x14ac:dyDescent="0.25">
      <c r="A83" s="4">
        <v>0</v>
      </c>
      <c r="B83" s="164">
        <v>43461</v>
      </c>
      <c r="C83" s="7">
        <v>100</v>
      </c>
      <c r="D83" s="43">
        <v>109.96599999999999</v>
      </c>
      <c r="E83" s="39">
        <v>112</v>
      </c>
      <c r="F83" s="39">
        <f t="shared" si="19"/>
        <v>203.4000000000006</v>
      </c>
      <c r="G83" s="39">
        <f t="shared" si="20"/>
        <v>10996.599999999999</v>
      </c>
      <c r="H83" s="179">
        <f t="shared" si="21"/>
        <v>1.8496626229925671E-2</v>
      </c>
      <c r="I83" s="39"/>
      <c r="J83" s="39"/>
      <c r="K83" s="39"/>
      <c r="L83" s="39">
        <v>12.99</v>
      </c>
    </row>
    <row r="84" spans="1:12" x14ac:dyDescent="0.25">
      <c r="A84" s="4">
        <v>60</v>
      </c>
      <c r="B84" s="164">
        <v>43472</v>
      </c>
      <c r="C84" s="10">
        <v>100</v>
      </c>
      <c r="D84" s="39">
        <v>109.97</v>
      </c>
      <c r="E84" s="39">
        <v>118.41</v>
      </c>
      <c r="F84" s="39">
        <f t="shared" si="19"/>
        <v>843.99999999999977</v>
      </c>
      <c r="G84" s="39">
        <f t="shared" si="20"/>
        <v>10997</v>
      </c>
      <c r="H84" s="179">
        <f t="shared" si="21"/>
        <v>7.6748204055651525E-2</v>
      </c>
      <c r="I84" s="39"/>
      <c r="J84" s="39"/>
      <c r="K84" s="39"/>
      <c r="L84" s="39">
        <v>13.74</v>
      </c>
    </row>
    <row r="85" spans="1:12" x14ac:dyDescent="0.25">
      <c r="A85" s="4">
        <v>40</v>
      </c>
      <c r="B85" s="164">
        <v>43473</v>
      </c>
      <c r="C85" s="10">
        <v>80</v>
      </c>
      <c r="D85" s="39">
        <v>107.3875</v>
      </c>
      <c r="E85" s="39">
        <v>120.54</v>
      </c>
      <c r="F85" s="39">
        <f t="shared" si="19"/>
        <v>1052.2000000000003</v>
      </c>
      <c r="G85" s="39">
        <f t="shared" si="20"/>
        <v>8591</v>
      </c>
      <c r="H85" s="179">
        <f t="shared" si="21"/>
        <v>0.1224770108252823</v>
      </c>
      <c r="I85" s="39"/>
      <c r="J85" s="39"/>
      <c r="K85" s="39"/>
      <c r="L85" s="39">
        <v>13.98</v>
      </c>
    </row>
    <row r="86" spans="1:12" x14ac:dyDescent="0.25">
      <c r="A86" s="4">
        <v>80</v>
      </c>
      <c r="B86" s="164">
        <v>43487</v>
      </c>
      <c r="C86" s="7">
        <v>100</v>
      </c>
      <c r="D86" s="43">
        <v>109.19</v>
      </c>
      <c r="E86" s="39">
        <v>116.14</v>
      </c>
      <c r="F86" s="39">
        <f t="shared" si="19"/>
        <v>695.00000000000023</v>
      </c>
      <c r="G86" s="39">
        <f t="shared" si="20"/>
        <v>10919</v>
      </c>
      <c r="H86" s="179">
        <f t="shared" si="21"/>
        <v>6.3650517446652649E-2</v>
      </c>
      <c r="I86" s="39"/>
      <c r="J86" s="39"/>
      <c r="K86" s="39"/>
      <c r="L86" s="39">
        <v>13.47</v>
      </c>
    </row>
    <row r="87" spans="1:12" x14ac:dyDescent="0.25">
      <c r="A87" s="4">
        <v>60</v>
      </c>
      <c r="B87" s="164">
        <v>43496</v>
      </c>
      <c r="C87" s="10">
        <v>80</v>
      </c>
      <c r="D87" s="39">
        <v>106.17</v>
      </c>
      <c r="E87" s="39">
        <v>121.28</v>
      </c>
      <c r="F87" s="39">
        <f t="shared" si="19"/>
        <v>1208.8</v>
      </c>
      <c r="G87" s="39">
        <f t="shared" si="20"/>
        <v>8493.6</v>
      </c>
      <c r="H87" s="179">
        <f t="shared" si="21"/>
        <v>0.14231892248281058</v>
      </c>
      <c r="I87" s="39"/>
      <c r="J87" s="39"/>
      <c r="K87" s="39"/>
      <c r="L87" s="39">
        <v>14.07</v>
      </c>
    </row>
    <row r="88" spans="1:12" x14ac:dyDescent="0.25">
      <c r="A88" s="4">
        <v>60</v>
      </c>
      <c r="B88" s="164">
        <v>43498</v>
      </c>
      <c r="C88" s="10">
        <v>80</v>
      </c>
      <c r="D88" s="39">
        <v>106.038</v>
      </c>
      <c r="E88" s="39">
        <v>121.95</v>
      </c>
      <c r="F88" s="39">
        <f t="shared" si="19"/>
        <v>1272.9600000000005</v>
      </c>
      <c r="G88" s="39">
        <f t="shared" si="20"/>
        <v>8483.0399999999991</v>
      </c>
      <c r="H88" s="179">
        <f t="shared" si="21"/>
        <v>0.15005941266338488</v>
      </c>
      <c r="I88" s="39"/>
      <c r="J88" s="39"/>
      <c r="K88" s="39"/>
      <c r="L88" s="39">
        <v>14.15</v>
      </c>
    </row>
    <row r="89" spans="1:12" x14ac:dyDescent="0.25">
      <c r="A89" s="4">
        <v>30</v>
      </c>
      <c r="B89" s="164">
        <v>43502</v>
      </c>
      <c r="C89" s="185">
        <v>50</v>
      </c>
      <c r="D89" s="186">
        <v>94.073599999999999</v>
      </c>
      <c r="E89" s="39">
        <v>126.81</v>
      </c>
      <c r="F89" s="778">
        <f t="shared" si="19"/>
        <v>1636.8200000000002</v>
      </c>
      <c r="G89" s="39">
        <f t="shared" si="20"/>
        <v>4703.68</v>
      </c>
      <c r="H89" s="179">
        <f t="shared" si="21"/>
        <v>0.34798710796652838</v>
      </c>
      <c r="I89" s="39"/>
      <c r="J89" s="39"/>
      <c r="K89" s="39"/>
      <c r="L89" s="39">
        <v>14.71</v>
      </c>
    </row>
    <row r="90" spans="1:12" x14ac:dyDescent="0.25">
      <c r="A90" s="4">
        <v>0</v>
      </c>
      <c r="B90" s="164">
        <v>43508</v>
      </c>
      <c r="C90" s="10">
        <v>20</v>
      </c>
      <c r="D90" s="39">
        <v>40.186500000000002</v>
      </c>
      <c r="E90" s="39">
        <v>133.79</v>
      </c>
      <c r="F90" s="778">
        <f t="shared" si="19"/>
        <v>1872.07</v>
      </c>
      <c r="G90" s="39">
        <f t="shared" si="20"/>
        <v>803.73</v>
      </c>
      <c r="H90" s="179">
        <f t="shared" si="21"/>
        <v>2.3292274768890047</v>
      </c>
      <c r="I90" s="39"/>
      <c r="J90" s="39"/>
      <c r="K90" s="39"/>
      <c r="L90" s="39">
        <v>15.52</v>
      </c>
    </row>
    <row r="91" spans="1:12" x14ac:dyDescent="0.25">
      <c r="A91" s="4">
        <v>20</v>
      </c>
      <c r="B91" s="164">
        <v>43535</v>
      </c>
      <c r="C91" s="10">
        <v>20</v>
      </c>
      <c r="D91" s="39">
        <v>40.19</v>
      </c>
      <c r="E91" s="39">
        <v>130.44999999999999</v>
      </c>
      <c r="F91" s="101">
        <f t="shared" si="19"/>
        <v>1805.1999999999998</v>
      </c>
      <c r="G91" s="39">
        <f t="shared" si="20"/>
        <v>803.8</v>
      </c>
      <c r="H91" s="179">
        <f t="shared" si="21"/>
        <v>2.2458322965911917</v>
      </c>
      <c r="I91" s="39"/>
      <c r="J91" s="39"/>
      <c r="K91" s="39"/>
      <c r="L91" s="39">
        <v>15.13</v>
      </c>
    </row>
    <row r="92" spans="1:12" x14ac:dyDescent="0.25">
      <c r="A92" s="4">
        <v>20</v>
      </c>
      <c r="B92" s="164">
        <v>43544</v>
      </c>
      <c r="C92" s="185">
        <v>50</v>
      </c>
      <c r="D92" s="186">
        <v>90.2</v>
      </c>
      <c r="E92" s="39">
        <v>123.88</v>
      </c>
      <c r="F92" s="39">
        <f t="shared" si="19"/>
        <v>1683.9999999999995</v>
      </c>
      <c r="G92" s="39">
        <f t="shared" si="20"/>
        <v>4510</v>
      </c>
      <c r="H92" s="179">
        <f t="shared" si="21"/>
        <v>0.37339246119733915</v>
      </c>
      <c r="I92" s="39"/>
      <c r="J92" s="39"/>
      <c r="K92" s="39"/>
      <c r="L92" s="39">
        <v>14.37</v>
      </c>
    </row>
    <row r="93" spans="1:12" x14ac:dyDescent="0.25">
      <c r="A93" s="4">
        <v>20</v>
      </c>
      <c r="B93" s="164">
        <v>43546</v>
      </c>
      <c r="C93" s="10">
        <v>80</v>
      </c>
      <c r="D93" s="39">
        <v>101.36660000000001</v>
      </c>
      <c r="E93" s="39">
        <v>118.95</v>
      </c>
      <c r="F93" s="39">
        <f t="shared" ref="F93" si="22">C93*(E93-D93)</f>
        <v>1406.6719999999998</v>
      </c>
      <c r="G93" s="39">
        <f t="shared" ref="G93" si="23">D93*C93</f>
        <v>8109.3280000000004</v>
      </c>
      <c r="H93" s="179">
        <f t="shared" ref="H93" si="24">(E93-D93)/D93</f>
        <v>0.17346344851262641</v>
      </c>
      <c r="I93" s="39"/>
      <c r="J93" s="39"/>
      <c r="K93" s="39"/>
      <c r="L93" s="39">
        <v>13.8</v>
      </c>
    </row>
    <row r="94" spans="1:12" x14ac:dyDescent="0.25">
      <c r="A94" s="4">
        <v>0</v>
      </c>
      <c r="B94" s="164">
        <v>43556</v>
      </c>
      <c r="C94" s="10">
        <v>60</v>
      </c>
      <c r="D94" s="39">
        <v>94.105999999999995</v>
      </c>
      <c r="E94" s="39">
        <v>123.66</v>
      </c>
      <c r="F94" s="39">
        <f t="shared" ref="F94" si="25">C94*(E94-D94)</f>
        <v>1773.2400000000002</v>
      </c>
      <c r="G94" s="39">
        <f t="shared" ref="G94" si="26">D94*C94</f>
        <v>5646.36</v>
      </c>
      <c r="H94" s="179">
        <f t="shared" ref="H94" si="27">(E94-D94)/D94</f>
        <v>0.3140501137015706</v>
      </c>
      <c r="I94" s="39"/>
      <c r="J94" s="39"/>
      <c r="K94" s="39"/>
      <c r="L94" s="39">
        <v>14.35</v>
      </c>
    </row>
    <row r="95" spans="1:12" x14ac:dyDescent="0.25">
      <c r="A95" s="4"/>
      <c r="B95" s="164"/>
      <c r="C95" s="10"/>
      <c r="D95" s="39"/>
      <c r="E95" s="39"/>
      <c r="F95" s="39"/>
      <c r="G95" s="39"/>
      <c r="H95" s="179"/>
      <c r="I95" s="39"/>
      <c r="J95" s="39"/>
      <c r="K95" s="39"/>
      <c r="L95" s="39"/>
    </row>
    <row r="96" spans="1:12" x14ac:dyDescent="0.25">
      <c r="A96" s="4"/>
      <c r="B96" s="164"/>
      <c r="C96" s="10"/>
      <c r="D96" s="39"/>
      <c r="E96" s="39"/>
      <c r="F96" s="39"/>
      <c r="G96" s="39"/>
      <c r="H96" s="179"/>
      <c r="I96" s="39"/>
      <c r="J96" s="39"/>
      <c r="K96" s="39"/>
      <c r="L96" s="39"/>
    </row>
    <row r="97" spans="1:13" x14ac:dyDescent="0.25">
      <c r="A97" s="4"/>
      <c r="B97" s="164"/>
      <c r="C97" s="10"/>
      <c r="D97" s="39"/>
      <c r="E97" s="39"/>
      <c r="F97" s="39"/>
      <c r="G97" s="39"/>
      <c r="H97" s="179"/>
      <c r="I97" s="39"/>
      <c r="J97" s="39"/>
      <c r="K97" s="39"/>
      <c r="L97" s="39"/>
    </row>
    <row r="98" spans="1:13" x14ac:dyDescent="0.25">
      <c r="A98" s="4"/>
      <c r="B98" s="164"/>
      <c r="C98" s="10"/>
      <c r="D98" s="39"/>
      <c r="E98" s="39"/>
      <c r="F98" s="39"/>
      <c r="G98" s="39"/>
      <c r="H98" s="179"/>
      <c r="I98" s="39"/>
      <c r="J98" s="39"/>
      <c r="K98" s="39"/>
      <c r="L98" s="39"/>
    </row>
    <row r="99" spans="1:13" x14ac:dyDescent="0.25">
      <c r="A99" s="4"/>
      <c r="B99" s="164"/>
      <c r="C99" s="10"/>
      <c r="D99" s="39"/>
      <c r="E99" s="39"/>
      <c r="F99" s="39"/>
      <c r="G99" s="39"/>
      <c r="H99" s="179"/>
      <c r="I99" s="39"/>
      <c r="J99" s="39"/>
      <c r="K99" s="39"/>
      <c r="L99" s="39"/>
    </row>
    <row r="100" spans="1:13" x14ac:dyDescent="0.25">
      <c r="A100" s="4"/>
      <c r="B100" s="4"/>
      <c r="C100" s="4"/>
      <c r="D100" s="3"/>
      <c r="E100" s="3"/>
      <c r="F100" s="3"/>
      <c r="G100" s="4"/>
      <c r="H100" s="4"/>
      <c r="I100" s="3"/>
      <c r="J100" s="3"/>
      <c r="K100" s="3"/>
      <c r="L100" s="4"/>
    </row>
    <row r="101" spans="1:13" x14ac:dyDescent="0.25">
      <c r="A101" s="4"/>
      <c r="B101" s="4"/>
      <c r="C101" s="4"/>
      <c r="D101" s="3"/>
      <c r="E101" s="3"/>
      <c r="F101" s="3"/>
      <c r="G101" s="4"/>
      <c r="H101" s="4"/>
      <c r="I101" s="3"/>
      <c r="J101" s="3"/>
      <c r="K101" s="3"/>
      <c r="L101" s="4"/>
    </row>
    <row r="102" spans="1:13" x14ac:dyDescent="0.25">
      <c r="A102" s="491"/>
      <c r="B102" s="491"/>
      <c r="C102" s="491"/>
      <c r="D102" s="492"/>
      <c r="E102" s="492"/>
      <c r="F102" s="492"/>
      <c r="G102" s="491"/>
      <c r="H102" s="491"/>
      <c r="I102" s="492"/>
      <c r="J102" s="492"/>
      <c r="K102" s="492"/>
      <c r="L102" s="491" t="s">
        <v>65</v>
      </c>
      <c r="M102" s="492">
        <f>M120+K120-F120</f>
        <v>0</v>
      </c>
    </row>
    <row r="103" spans="1:13" x14ac:dyDescent="0.25">
      <c r="A103" s="610" t="s">
        <v>1</v>
      </c>
      <c r="B103" s="610" t="s">
        <v>2</v>
      </c>
      <c r="C103" s="610" t="s">
        <v>4</v>
      </c>
      <c r="D103" s="611" t="s">
        <v>5</v>
      </c>
      <c r="E103" s="611" t="s">
        <v>94</v>
      </c>
      <c r="F103" s="611" t="s">
        <v>60</v>
      </c>
      <c r="G103" s="610" t="s">
        <v>3</v>
      </c>
      <c r="H103" s="610" t="s">
        <v>6</v>
      </c>
      <c r="I103" s="611" t="s">
        <v>7</v>
      </c>
      <c r="J103" s="611" t="s">
        <v>95</v>
      </c>
      <c r="K103" s="611" t="s">
        <v>61</v>
      </c>
      <c r="L103" s="610" t="s">
        <v>37</v>
      </c>
      <c r="M103" s="610" t="s">
        <v>38</v>
      </c>
    </row>
    <row r="104" spans="1:13" x14ac:dyDescent="0.25">
      <c r="A104" s="612" t="s">
        <v>893</v>
      </c>
      <c r="B104" s="494"/>
      <c r="C104" s="491"/>
      <c r="D104" s="492"/>
      <c r="E104" s="492"/>
      <c r="F104" s="492"/>
      <c r="G104" s="494"/>
      <c r="H104" s="491"/>
      <c r="I104" s="492"/>
      <c r="J104" s="492"/>
      <c r="K104" s="492"/>
      <c r="L104" s="494"/>
      <c r="M104" s="492"/>
    </row>
    <row r="105" spans="1:13" x14ac:dyDescent="0.25">
      <c r="A105" s="613"/>
      <c r="B105" s="494"/>
      <c r="C105" s="491"/>
      <c r="D105" s="492"/>
      <c r="E105" s="492"/>
      <c r="F105" s="492"/>
      <c r="G105" s="494"/>
      <c r="H105" s="493"/>
      <c r="I105" s="492"/>
      <c r="J105" s="492"/>
      <c r="K105" s="492"/>
      <c r="L105" s="491"/>
      <c r="M105" s="491"/>
    </row>
    <row r="106" spans="1:13" x14ac:dyDescent="0.25">
      <c r="A106" s="491"/>
      <c r="B106" s="494"/>
      <c r="C106" s="491"/>
      <c r="D106" s="492"/>
      <c r="E106" s="492"/>
      <c r="F106" s="492"/>
      <c r="G106" s="494"/>
      <c r="H106" s="493"/>
      <c r="I106" s="492"/>
      <c r="J106" s="492"/>
      <c r="K106" s="492"/>
      <c r="L106" s="491"/>
      <c r="M106" s="491"/>
    </row>
    <row r="107" spans="1:13" x14ac:dyDescent="0.25">
      <c r="A107" s="491"/>
      <c r="B107" s="494"/>
      <c r="C107" s="491"/>
      <c r="D107" s="492"/>
      <c r="E107" s="492"/>
      <c r="F107" s="492"/>
      <c r="G107" s="491"/>
      <c r="H107" s="493"/>
      <c r="I107" s="492"/>
      <c r="J107" s="492"/>
      <c r="K107" s="492"/>
      <c r="L107" s="491"/>
      <c r="M107" s="491"/>
    </row>
    <row r="108" spans="1:13" x14ac:dyDescent="0.25">
      <c r="A108" s="491"/>
      <c r="B108" s="494"/>
      <c r="C108" s="491"/>
      <c r="D108" s="492"/>
      <c r="E108" s="492"/>
      <c r="F108" s="492"/>
      <c r="G108" s="491"/>
      <c r="H108" s="493"/>
      <c r="I108" s="492"/>
      <c r="J108" s="492"/>
      <c r="K108" s="492"/>
      <c r="L108" s="491"/>
      <c r="M108" s="491"/>
    </row>
    <row r="109" spans="1:13" x14ac:dyDescent="0.25">
      <c r="A109" s="491"/>
      <c r="B109" s="491"/>
      <c r="C109" s="491"/>
      <c r="D109" s="492"/>
      <c r="E109" s="492"/>
      <c r="F109" s="492"/>
      <c r="G109" s="491"/>
      <c r="H109" s="493"/>
      <c r="I109" s="492"/>
      <c r="J109" s="492"/>
      <c r="K109" s="492"/>
      <c r="L109" s="491"/>
      <c r="M109" s="491"/>
    </row>
    <row r="110" spans="1:13" x14ac:dyDescent="0.25">
      <c r="A110" s="491"/>
      <c r="B110" s="491"/>
      <c r="C110" s="491"/>
      <c r="D110" s="492"/>
      <c r="E110" s="492"/>
      <c r="F110" s="492"/>
      <c r="G110" s="491"/>
      <c r="H110" s="493"/>
      <c r="I110" s="492"/>
      <c r="J110" s="492"/>
      <c r="K110" s="492"/>
      <c r="L110" s="491"/>
      <c r="M110" s="491"/>
    </row>
    <row r="111" spans="1:13" x14ac:dyDescent="0.25">
      <c r="A111" s="491"/>
      <c r="B111" s="491"/>
      <c r="C111" s="491"/>
      <c r="D111" s="492"/>
      <c r="E111" s="492"/>
      <c r="F111" s="492"/>
      <c r="G111" s="491"/>
      <c r="H111" s="493"/>
      <c r="I111" s="492"/>
      <c r="J111" s="492"/>
      <c r="K111" s="492"/>
      <c r="L111" s="491"/>
      <c r="M111" s="491"/>
    </row>
    <row r="112" spans="1:13" x14ac:dyDescent="0.25">
      <c r="A112" s="491"/>
      <c r="B112" s="491"/>
      <c r="C112" s="491"/>
      <c r="D112" s="492"/>
      <c r="E112" s="492"/>
      <c r="F112" s="492"/>
      <c r="G112" s="491"/>
      <c r="H112" s="493"/>
      <c r="I112" s="492"/>
      <c r="J112" s="492"/>
      <c r="K112" s="492"/>
      <c r="L112" s="491"/>
      <c r="M112" s="491"/>
    </row>
    <row r="113" spans="1:13" x14ac:dyDescent="0.25">
      <c r="A113" s="491"/>
      <c r="B113" s="491"/>
      <c r="C113" s="491"/>
      <c r="D113" s="492"/>
      <c r="E113" s="492"/>
      <c r="F113" s="492"/>
      <c r="G113" s="491"/>
      <c r="H113" s="493"/>
      <c r="I113" s="492"/>
      <c r="J113" s="492"/>
      <c r="K113" s="492"/>
      <c r="L113" s="491"/>
      <c r="M113" s="491"/>
    </row>
    <row r="114" spans="1:13" x14ac:dyDescent="0.25">
      <c r="A114" s="491"/>
      <c r="B114" s="491"/>
      <c r="C114" s="491"/>
      <c r="D114" s="492"/>
      <c r="E114" s="492"/>
      <c r="F114" s="492"/>
      <c r="G114" s="491"/>
      <c r="H114" s="493"/>
      <c r="I114" s="492"/>
      <c r="J114" s="492"/>
      <c r="K114" s="492"/>
      <c r="L114" s="491"/>
      <c r="M114" s="491"/>
    </row>
    <row r="115" spans="1:13" x14ac:dyDescent="0.25">
      <c r="A115" s="491"/>
      <c r="B115" s="491"/>
      <c r="C115" s="491"/>
      <c r="D115" s="492"/>
      <c r="E115" s="492"/>
      <c r="F115" s="492"/>
      <c r="G115" s="491"/>
      <c r="H115" s="493"/>
      <c r="I115" s="492"/>
      <c r="J115" s="492"/>
      <c r="K115" s="492"/>
      <c r="L115" s="491"/>
      <c r="M115" s="491"/>
    </row>
    <row r="116" spans="1:13" x14ac:dyDescent="0.25">
      <c r="A116" s="491"/>
      <c r="B116" s="491"/>
      <c r="C116" s="491"/>
      <c r="D116" s="492"/>
      <c r="E116" s="492"/>
      <c r="F116" s="492"/>
      <c r="G116" s="491"/>
      <c r="H116" s="493"/>
      <c r="I116" s="492"/>
      <c r="J116" s="492"/>
      <c r="K116" s="492"/>
      <c r="L116" s="491"/>
      <c r="M116" s="491"/>
    </row>
    <row r="117" spans="1:13" x14ac:dyDescent="0.25">
      <c r="A117" s="491"/>
      <c r="B117" s="491"/>
      <c r="C117" s="491"/>
      <c r="D117" s="492"/>
      <c r="E117" s="492"/>
      <c r="F117" s="492"/>
      <c r="G117" s="491"/>
      <c r="H117" s="493"/>
      <c r="I117" s="492"/>
      <c r="J117" s="492"/>
      <c r="K117" s="492"/>
      <c r="L117" s="491"/>
      <c r="M117" s="491"/>
    </row>
    <row r="118" spans="1:13" x14ac:dyDescent="0.25">
      <c r="A118" s="491"/>
      <c r="B118" s="491"/>
      <c r="C118" s="491"/>
      <c r="D118" s="492"/>
      <c r="E118" s="492"/>
      <c r="F118" s="492"/>
      <c r="G118" s="491"/>
      <c r="H118" s="493"/>
      <c r="I118" s="492"/>
      <c r="J118" s="492"/>
      <c r="K118" s="492"/>
      <c r="L118" s="491"/>
      <c r="M118" s="491"/>
    </row>
    <row r="119" spans="1:13" x14ac:dyDescent="0.25">
      <c r="A119" s="491"/>
      <c r="B119" s="491"/>
      <c r="C119" s="491"/>
      <c r="D119" s="492"/>
      <c r="E119" s="492"/>
      <c r="F119" s="492"/>
      <c r="G119" s="491"/>
      <c r="H119" s="491"/>
      <c r="I119" s="492"/>
      <c r="J119" s="492"/>
      <c r="K119" s="492"/>
      <c r="L119" s="491"/>
      <c r="M119" s="491"/>
    </row>
    <row r="120" spans="1:13" x14ac:dyDescent="0.25">
      <c r="A120" s="614" t="s">
        <v>81</v>
      </c>
      <c r="B120" s="615"/>
      <c r="C120" s="615">
        <f>SUM(C104:C108)</f>
        <v>0</v>
      </c>
      <c r="D120" s="616"/>
      <c r="E120" s="616"/>
      <c r="F120" s="616">
        <f>SUM(F104:F108)</f>
        <v>0</v>
      </c>
      <c r="G120" s="615"/>
      <c r="H120" s="617">
        <f>SUM(H104:H107)</f>
        <v>0</v>
      </c>
      <c r="I120" s="616"/>
      <c r="J120" s="616"/>
      <c r="K120" s="616">
        <f>SUM(K104:K107)</f>
        <v>0</v>
      </c>
      <c r="L120" s="615"/>
      <c r="M120" s="616">
        <f>SUM(M104:M112)</f>
        <v>0</v>
      </c>
    </row>
    <row r="121" spans="1:13" ht="15.75" thickBot="1" x14ac:dyDescent="0.3">
      <c r="A121" s="618" t="s">
        <v>191</v>
      </c>
      <c r="B121" s="650"/>
      <c r="C121" s="619">
        <f>SumByColor($A$30,C104:C119)</f>
        <v>0</v>
      </c>
      <c r="D121" s="619"/>
      <c r="E121" s="619"/>
      <c r="F121" s="620">
        <f>SumByColor($A$30,F104:F119)</f>
        <v>0</v>
      </c>
      <c r="G121" s="619"/>
      <c r="H121" s="619">
        <f>SumByColor($A$30,H104:H119)</f>
        <v>0</v>
      </c>
      <c r="I121" s="619"/>
      <c r="J121" s="619"/>
      <c r="K121" s="620">
        <f>SumByColor($A$30,K105:K119)</f>
        <v>0</v>
      </c>
      <c r="L121" s="619"/>
      <c r="M121" s="620">
        <f>SumByColor($A$30,M104:M119)</f>
        <v>0</v>
      </c>
    </row>
    <row r="124" spans="1:13" x14ac:dyDescent="0.25">
      <c r="B124" s="162" t="s">
        <v>113</v>
      </c>
      <c r="C124" s="162" t="s">
        <v>145</v>
      </c>
      <c r="D124" s="163" t="s">
        <v>144</v>
      </c>
      <c r="E124" s="165" t="s">
        <v>146</v>
      </c>
      <c r="F124" s="165" t="s">
        <v>65</v>
      </c>
      <c r="G124" s="177" t="s">
        <v>150</v>
      </c>
      <c r="H124" s="177" t="s">
        <v>88</v>
      </c>
      <c r="I124" s="177" t="s">
        <v>153</v>
      </c>
      <c r="J124" s="177" t="s">
        <v>149</v>
      </c>
      <c r="K124" s="177" t="s">
        <v>646</v>
      </c>
      <c r="L124" s="177" t="s">
        <v>652</v>
      </c>
    </row>
    <row r="125" spans="1:13" x14ac:dyDescent="0.25">
      <c r="B125" s="164"/>
      <c r="C125" s="10"/>
      <c r="D125" s="39"/>
      <c r="E125" s="39"/>
      <c r="F125" s="39"/>
      <c r="G125" s="39"/>
      <c r="H125" s="179"/>
      <c r="I125" s="39"/>
      <c r="J125" s="39"/>
      <c r="K125" s="39"/>
      <c r="L125" s="39"/>
    </row>
    <row r="126" spans="1:13" x14ac:dyDescent="0.25">
      <c r="B126" s="164"/>
      <c r="C126" s="10"/>
      <c r="D126" s="39"/>
      <c r="E126" s="39"/>
      <c r="F126" s="39"/>
      <c r="G126" s="39"/>
      <c r="H126" s="179"/>
      <c r="I126" s="39"/>
      <c r="J126" s="39"/>
      <c r="K126" s="39"/>
      <c r="L126" s="39"/>
    </row>
    <row r="127" spans="1:13" x14ac:dyDescent="0.25">
      <c r="B127" s="164"/>
      <c r="C127" s="10"/>
      <c r="D127" s="39"/>
      <c r="E127" s="39"/>
      <c r="F127" s="39"/>
      <c r="G127" s="39"/>
      <c r="H127" s="179"/>
      <c r="I127" s="39"/>
      <c r="J127" s="39"/>
      <c r="K127" s="39"/>
      <c r="L127" s="155"/>
    </row>
    <row r="128" spans="1:13" x14ac:dyDescent="0.25">
      <c r="B128" s="164"/>
      <c r="C128" s="10"/>
      <c r="D128" s="39"/>
      <c r="E128" s="39"/>
      <c r="F128" s="39"/>
      <c r="G128" s="39"/>
      <c r="H128" s="179"/>
      <c r="I128" s="39"/>
      <c r="J128" s="39"/>
      <c r="K128" s="39"/>
      <c r="L128" s="155"/>
    </row>
    <row r="129" spans="2:12" x14ac:dyDescent="0.25">
      <c r="B129" s="164"/>
      <c r="C129" s="10"/>
      <c r="D129" s="39"/>
      <c r="E129" s="39"/>
      <c r="F129" s="39"/>
      <c r="G129" s="39"/>
      <c r="H129" s="179"/>
      <c r="I129" s="39"/>
      <c r="J129" s="39"/>
      <c r="K129" s="39"/>
      <c r="L129" s="155"/>
    </row>
    <row r="130" spans="2:12" x14ac:dyDescent="0.25">
      <c r="B130" s="164"/>
      <c r="C130" s="10"/>
      <c r="D130" s="39"/>
      <c r="E130" s="39"/>
      <c r="F130" s="39"/>
      <c r="G130" s="39"/>
      <c r="H130" s="179"/>
      <c r="I130" s="39"/>
      <c r="J130" s="39"/>
      <c r="K130" s="39"/>
      <c r="L130" s="155"/>
    </row>
    <row r="131" spans="2:12" x14ac:dyDescent="0.25">
      <c r="B131" s="164"/>
      <c r="C131" s="10"/>
      <c r="D131" s="39"/>
      <c r="E131" s="39"/>
      <c r="F131" s="39"/>
      <c r="G131" s="39"/>
      <c r="H131" s="179"/>
      <c r="I131" s="39"/>
      <c r="J131" s="39"/>
      <c r="K131" s="39"/>
      <c r="L131" s="155"/>
    </row>
    <row r="132" spans="2:12" x14ac:dyDescent="0.25">
      <c r="B132" s="164"/>
      <c r="C132" s="10"/>
      <c r="D132" s="39"/>
      <c r="E132" s="39"/>
      <c r="F132" s="39"/>
      <c r="G132" s="39"/>
      <c r="H132" s="179"/>
      <c r="I132" s="39"/>
      <c r="J132" s="39"/>
      <c r="K132" s="39"/>
      <c r="L132" s="155"/>
    </row>
    <row r="133" spans="2:12" x14ac:dyDescent="0.25">
      <c r="B133" s="164"/>
      <c r="C133" s="10"/>
      <c r="D133" s="39"/>
      <c r="E133" s="39"/>
      <c r="F133" s="39"/>
      <c r="G133" s="39"/>
      <c r="H133" s="179"/>
      <c r="I133" s="39"/>
      <c r="J133" s="39"/>
      <c r="K133" s="39"/>
      <c r="L133" s="155"/>
    </row>
    <row r="134" spans="2:12" x14ac:dyDescent="0.25">
      <c r="B134" s="164"/>
      <c r="C134" s="10"/>
      <c r="D134" s="39"/>
      <c r="E134" s="39"/>
      <c r="F134" s="39"/>
      <c r="G134" s="39"/>
      <c r="H134" s="179"/>
      <c r="I134" s="39"/>
      <c r="J134" s="39"/>
      <c r="K134" s="39"/>
      <c r="L134" s="155"/>
    </row>
    <row r="135" spans="2:12" x14ac:dyDescent="0.25">
      <c r="B135" s="164"/>
      <c r="C135" s="10"/>
      <c r="D135" s="39"/>
      <c r="E135" s="39"/>
      <c r="F135" s="39"/>
      <c r="G135" s="39"/>
      <c r="H135" s="179"/>
      <c r="I135" s="39"/>
      <c r="J135" s="39"/>
      <c r="K135" s="39"/>
      <c r="L135" s="155"/>
    </row>
    <row r="136" spans="2:12" x14ac:dyDescent="0.25">
      <c r="B136" s="164"/>
      <c r="C136" s="10"/>
      <c r="D136" s="39"/>
      <c r="E136" s="39"/>
      <c r="F136" s="39"/>
      <c r="G136" s="39"/>
      <c r="H136" s="179"/>
      <c r="I136" s="39"/>
      <c r="J136" s="39"/>
      <c r="K136" s="39"/>
      <c r="L136" s="39"/>
    </row>
    <row r="137" spans="2:12" x14ac:dyDescent="0.25">
      <c r="B137" s="164"/>
      <c r="C137" s="10"/>
      <c r="D137" s="39"/>
      <c r="E137" s="39"/>
      <c r="F137" s="39"/>
      <c r="G137" s="39"/>
      <c r="H137" s="179"/>
      <c r="I137" s="39"/>
      <c r="J137" s="39"/>
      <c r="K137" s="39"/>
      <c r="L137" s="39"/>
    </row>
    <row r="138" spans="2:12" x14ac:dyDescent="0.25">
      <c r="B138" s="164"/>
      <c r="C138" s="10"/>
      <c r="D138" s="39"/>
      <c r="E138" s="39"/>
      <c r="F138" s="39"/>
      <c r="G138" s="39"/>
      <c r="H138" s="179"/>
      <c r="I138" s="39"/>
      <c r="J138" s="39"/>
      <c r="K138" s="39"/>
      <c r="L138" s="39"/>
    </row>
    <row r="139" spans="2:12" x14ac:dyDescent="0.25">
      <c r="B139" s="164"/>
      <c r="C139" s="10"/>
      <c r="D139" s="39"/>
      <c r="E139" s="39"/>
      <c r="F139" s="39"/>
      <c r="G139" s="39"/>
      <c r="H139" s="179"/>
      <c r="I139" s="39"/>
      <c r="J139" s="39"/>
      <c r="K139" s="39"/>
      <c r="L139" s="39"/>
    </row>
    <row r="140" spans="2:12" x14ac:dyDescent="0.25">
      <c r="B140" s="164"/>
      <c r="C140" s="10"/>
      <c r="D140" s="39"/>
      <c r="E140" s="39"/>
      <c r="F140" s="39"/>
      <c r="G140" s="39"/>
      <c r="H140" s="179"/>
      <c r="I140" s="39"/>
      <c r="J140" s="39"/>
      <c r="K140" s="39"/>
      <c r="L140" s="39"/>
    </row>
    <row r="141" spans="2:12" x14ac:dyDescent="0.25">
      <c r="B141" s="164"/>
      <c r="C141" s="10"/>
      <c r="D141" s="39"/>
      <c r="E141" s="39"/>
      <c r="F141" s="39"/>
      <c r="G141" s="39"/>
      <c r="H141" s="179"/>
      <c r="I141" s="39"/>
      <c r="J141" s="39"/>
      <c r="K141" s="39"/>
      <c r="L141" s="39"/>
    </row>
    <row r="142" spans="2:12" x14ac:dyDescent="0.25">
      <c r="B142" s="164"/>
      <c r="C142" s="10"/>
      <c r="D142" s="39"/>
      <c r="E142" s="39"/>
      <c r="F142" s="39"/>
      <c r="G142" s="39"/>
      <c r="H142" s="179"/>
      <c r="I142" s="39"/>
      <c r="J142" s="39"/>
      <c r="K142" s="39"/>
      <c r="L142" s="39"/>
    </row>
    <row r="143" spans="2:12" x14ac:dyDescent="0.25">
      <c r="B143" s="164"/>
      <c r="C143" s="10"/>
      <c r="D143" s="39"/>
      <c r="E143" s="39"/>
      <c r="F143" s="39"/>
      <c r="G143" s="39"/>
      <c r="H143" s="179"/>
      <c r="I143" s="39"/>
      <c r="J143" s="39"/>
      <c r="K143" s="39"/>
      <c r="L143" s="39"/>
    </row>
    <row r="144" spans="2:12" x14ac:dyDescent="0.25">
      <c r="B144" s="164"/>
      <c r="C144" s="10"/>
      <c r="D144" s="39"/>
      <c r="E144" s="39"/>
      <c r="F144" s="39"/>
      <c r="G144" s="39"/>
      <c r="H144" s="179"/>
      <c r="I144" s="39"/>
      <c r="J144" s="39"/>
      <c r="K144" s="39"/>
      <c r="L144" s="39"/>
    </row>
    <row r="145" spans="2:12" x14ac:dyDescent="0.25">
      <c r="B145" s="164"/>
      <c r="C145" s="10"/>
      <c r="D145" s="39"/>
      <c r="E145" s="39"/>
      <c r="F145" s="39"/>
      <c r="G145" s="39"/>
      <c r="H145" s="179"/>
      <c r="I145" s="39"/>
      <c r="J145" s="39"/>
      <c r="K145" s="39"/>
      <c r="L145" s="39"/>
    </row>
    <row r="146" spans="2:12" x14ac:dyDescent="0.25">
      <c r="B146" s="164"/>
      <c r="C146" s="10"/>
      <c r="D146" s="39"/>
      <c r="E146" s="39"/>
      <c r="F146" s="39"/>
      <c r="G146" s="39"/>
      <c r="H146" s="179"/>
      <c r="I146" s="39"/>
      <c r="J146" s="39"/>
      <c r="K146" s="39"/>
      <c r="L146" s="39"/>
    </row>
  </sheetData>
  <conditionalFormatting sqref="O19:O39">
    <cfRule type="colorScale" priority="66">
      <colorScale>
        <cfvo type="min"/>
        <cfvo type="percentile" val="50"/>
        <cfvo type="max"/>
        <color rgb="FFF8696B"/>
        <color rgb="FFFFEB84"/>
        <color rgb="FF63BE7B"/>
      </colorScale>
    </cfRule>
  </conditionalFormatting>
  <conditionalFormatting sqref="P19:P39">
    <cfRule type="colorScale" priority="65">
      <colorScale>
        <cfvo type="min"/>
        <cfvo type="percentile" val="50"/>
        <cfvo type="max"/>
        <color rgb="FFF8696B"/>
        <color rgb="FFFFEB84"/>
        <color rgb="FF63BE7B"/>
      </colorScale>
    </cfRule>
  </conditionalFormatting>
  <conditionalFormatting sqref="Q7 F69:F71 H69:H71 H78 F78 F98:F99 H98:H99">
    <cfRule type="expression" dxfId="1328" priority="61">
      <formula>F7&gt;0</formula>
    </cfRule>
    <cfRule type="expression" dxfId="1327" priority="62">
      <formula>F7&lt;0</formula>
    </cfRule>
  </conditionalFormatting>
  <conditionalFormatting sqref="Q8">
    <cfRule type="expression" dxfId="1326" priority="59">
      <formula>Q8&gt;0</formula>
    </cfRule>
    <cfRule type="expression" dxfId="1325" priority="60">
      <formula>Q8&lt;0</formula>
    </cfRule>
  </conditionalFormatting>
  <conditionalFormatting sqref="F45:F65">
    <cfRule type="expression" dxfId="1324" priority="57">
      <formula>F45&gt;0</formula>
    </cfRule>
    <cfRule type="expression" dxfId="1323" priority="58">
      <formula>F45&lt;0</formula>
    </cfRule>
  </conditionalFormatting>
  <conditionalFormatting sqref="H45:H65">
    <cfRule type="expression" dxfId="1322" priority="55">
      <formula>H45&gt;0</formula>
    </cfRule>
    <cfRule type="expression" dxfId="1321" priority="56">
      <formula>H45&lt;0</formula>
    </cfRule>
  </conditionalFormatting>
  <conditionalFormatting sqref="Q10">
    <cfRule type="expression" dxfId="1320" priority="53">
      <formula>Q10&gt;0</formula>
    </cfRule>
    <cfRule type="expression" dxfId="1319" priority="54">
      <formula>Q10&lt;0</formula>
    </cfRule>
  </conditionalFormatting>
  <conditionalFormatting sqref="J36:J49">
    <cfRule type="expression" dxfId="1318" priority="51">
      <formula>J36&gt;0</formula>
    </cfRule>
    <cfRule type="expression" dxfId="1317" priority="52">
      <formula>J36&lt;0</formula>
    </cfRule>
  </conditionalFormatting>
  <conditionalFormatting sqref="K36:K46 K48:K49">
    <cfRule type="expression" dxfId="1316" priority="49">
      <formula>K36&gt;0</formula>
    </cfRule>
    <cfRule type="expression" dxfId="1315" priority="50">
      <formula>K36&lt;0</formula>
    </cfRule>
  </conditionalFormatting>
  <conditionalFormatting sqref="L36">
    <cfRule type="expression" dxfId="1314" priority="47">
      <formula>L36&gt;0</formula>
    </cfRule>
    <cfRule type="expression" dxfId="1313" priority="48">
      <formula>L36&lt;0</formula>
    </cfRule>
  </conditionalFormatting>
  <conditionalFormatting sqref="F125:F146">
    <cfRule type="expression" dxfId="1312" priority="45">
      <formula>F125&gt;0</formula>
    </cfRule>
    <cfRule type="expression" dxfId="1311" priority="46">
      <formula>F125&lt;0</formula>
    </cfRule>
  </conditionalFormatting>
  <conditionalFormatting sqref="H125:H146">
    <cfRule type="expression" dxfId="1310" priority="43">
      <formula>H125&gt;0</formula>
    </cfRule>
    <cfRule type="expression" dxfId="1309" priority="44">
      <formula>H125&lt;0</formula>
    </cfRule>
  </conditionalFormatting>
  <conditionalFormatting sqref="J125:J138">
    <cfRule type="expression" dxfId="1308" priority="41">
      <formula>J125&gt;0</formula>
    </cfRule>
    <cfRule type="expression" dxfId="1307" priority="42">
      <formula>J125&lt;0</formula>
    </cfRule>
  </conditionalFormatting>
  <conditionalFormatting sqref="K125:K138">
    <cfRule type="expression" dxfId="1306" priority="39">
      <formula>K125&gt;0</formula>
    </cfRule>
    <cfRule type="expression" dxfId="1305" priority="40">
      <formula>K125&lt;0</formula>
    </cfRule>
  </conditionalFormatting>
  <conditionalFormatting sqref="L125:L138">
    <cfRule type="expression" dxfId="1304" priority="37">
      <formula>L125&gt;0</formula>
    </cfRule>
    <cfRule type="expression" dxfId="1303" priority="38">
      <formula>L125&lt;0</formula>
    </cfRule>
  </conditionalFormatting>
  <conditionalFormatting sqref="F36:F44">
    <cfRule type="expression" dxfId="1302" priority="35">
      <formula>F36&gt;0</formula>
    </cfRule>
    <cfRule type="expression" dxfId="1301" priority="36">
      <formula>F36&lt;0</formula>
    </cfRule>
  </conditionalFormatting>
  <conditionalFormatting sqref="H36:H44">
    <cfRule type="expression" dxfId="1300" priority="33">
      <formula>H36&gt;0</formula>
    </cfRule>
    <cfRule type="expression" dxfId="1299" priority="34">
      <formula>H36&lt;0</formula>
    </cfRule>
  </conditionalFormatting>
  <conditionalFormatting sqref="J65">
    <cfRule type="expression" dxfId="1298" priority="31">
      <formula>J65&gt;0</formula>
    </cfRule>
    <cfRule type="expression" dxfId="1297" priority="32">
      <formula>J65&lt;0</formula>
    </cfRule>
  </conditionalFormatting>
  <conditionalFormatting sqref="F66:F68">
    <cfRule type="expression" dxfId="1296" priority="29">
      <formula>F66&gt;0</formula>
    </cfRule>
    <cfRule type="expression" dxfId="1295" priority="30">
      <formula>F66&lt;0</formula>
    </cfRule>
  </conditionalFormatting>
  <conditionalFormatting sqref="H66:H68">
    <cfRule type="expression" dxfId="1294" priority="27">
      <formula>H66&gt;0</formula>
    </cfRule>
    <cfRule type="expression" dxfId="1293" priority="28">
      <formula>H66&lt;0</formula>
    </cfRule>
  </conditionalFormatting>
  <conditionalFormatting sqref="H72:H74 F72:F74">
    <cfRule type="expression" dxfId="1292" priority="25">
      <formula>F72&gt;0</formula>
    </cfRule>
    <cfRule type="expression" dxfId="1291" priority="26">
      <formula>F72&lt;0</formula>
    </cfRule>
  </conditionalFormatting>
  <conditionalFormatting sqref="H75:H77 F75:F77">
    <cfRule type="expression" dxfId="1290" priority="23">
      <formula>F75&gt;0</formula>
    </cfRule>
    <cfRule type="expression" dxfId="1289" priority="24">
      <formula>F75&lt;0</formula>
    </cfRule>
  </conditionalFormatting>
  <conditionalFormatting sqref="F83:F85 H83:H85">
    <cfRule type="expression" dxfId="1288" priority="21">
      <formula>F83&gt;0</formula>
    </cfRule>
    <cfRule type="expression" dxfId="1287" priority="22">
      <formula>F83&lt;0</formula>
    </cfRule>
  </conditionalFormatting>
  <conditionalFormatting sqref="F82 H82">
    <cfRule type="expression" dxfId="1286" priority="19">
      <formula>F82&gt;0</formula>
    </cfRule>
    <cfRule type="expression" dxfId="1285" priority="20">
      <formula>F82&lt;0</formula>
    </cfRule>
  </conditionalFormatting>
  <conditionalFormatting sqref="F79:F81 H79:H81">
    <cfRule type="expression" dxfId="1284" priority="17">
      <formula>F79&gt;0</formula>
    </cfRule>
    <cfRule type="expression" dxfId="1283" priority="18">
      <formula>F79&lt;0</formula>
    </cfRule>
  </conditionalFormatting>
  <conditionalFormatting sqref="F92:F94 H92:H94">
    <cfRule type="expression" dxfId="1282" priority="15">
      <formula>F92&gt;0</formula>
    </cfRule>
    <cfRule type="expression" dxfId="1281" priority="16">
      <formula>F92&lt;0</formula>
    </cfRule>
  </conditionalFormatting>
  <conditionalFormatting sqref="H87:H89 F87:F91">
    <cfRule type="expression" dxfId="1280" priority="13">
      <formula>F87&gt;0</formula>
    </cfRule>
    <cfRule type="expression" dxfId="1279" priority="14">
      <formula>F87&lt;0</formula>
    </cfRule>
  </conditionalFormatting>
  <conditionalFormatting sqref="F86 H86">
    <cfRule type="expression" dxfId="1278" priority="11">
      <formula>F86&gt;0</formula>
    </cfRule>
    <cfRule type="expression" dxfId="1277" priority="12">
      <formula>F86&lt;0</formula>
    </cfRule>
  </conditionalFormatting>
  <conditionalFormatting sqref="H90:H91">
    <cfRule type="expression" dxfId="1276" priority="9">
      <formula>H90&gt;0</formula>
    </cfRule>
    <cfRule type="expression" dxfId="1275" priority="10">
      <formula>H90&lt;0</formula>
    </cfRule>
  </conditionalFormatting>
  <conditionalFormatting sqref="F97 H97">
    <cfRule type="expression" dxfId="1274" priority="5">
      <formula>F97&gt;0</formula>
    </cfRule>
    <cfRule type="expression" dxfId="1273" priority="6">
      <formula>F97&lt;0</formula>
    </cfRule>
  </conditionalFormatting>
  <conditionalFormatting sqref="F95:F96 H95:H96">
    <cfRule type="expression" dxfId="1272" priority="3">
      <formula>F95&gt;0</formula>
    </cfRule>
    <cfRule type="expression" dxfId="1271" priority="4">
      <formula>F95&lt;0</formula>
    </cfRule>
  </conditionalFormatting>
  <hyperlinks>
    <hyperlink ref="A3" location="ACTIVE!A1" display="Back"/>
  </hyperlinks>
  <pageMargins left="0.7" right="0.7" top="0.75" bottom="0.75" header="0.3" footer="0.3"/>
  <pageSetup orientation="portrait" r:id="rId1"/>
  <drawing r:id="rId2"/>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406">
        <v>43133</v>
      </c>
      <c r="C2" s="7">
        <v>10</v>
      </c>
      <c r="D2" s="43">
        <v>255.28</v>
      </c>
      <c r="E2" s="43">
        <v>0</v>
      </c>
      <c r="F2" s="43">
        <f t="shared" ref="F2:F8" si="0">C2*D2+E2</f>
        <v>2552.8000000000002</v>
      </c>
      <c r="G2" s="406">
        <v>43133</v>
      </c>
      <c r="H2" s="7">
        <v>15</v>
      </c>
      <c r="I2" s="43">
        <v>241.88</v>
      </c>
      <c r="J2" s="43">
        <v>0.08</v>
      </c>
      <c r="K2" s="43">
        <f t="shared" ref="K2:K7" si="1">H2*I2-J2</f>
        <v>3628.12</v>
      </c>
      <c r="L2" s="72">
        <v>43171</v>
      </c>
      <c r="M2" s="43">
        <v>29.01</v>
      </c>
      <c r="O2" s="11" t="s">
        <v>57</v>
      </c>
      <c r="Q2">
        <f>C18-H18</f>
        <v>0</v>
      </c>
      <c r="T2" s="1"/>
    </row>
    <row r="3" spans="1:21" x14ac:dyDescent="0.25">
      <c r="A3" s="22" t="s">
        <v>71</v>
      </c>
      <c r="B3" s="406">
        <v>43133</v>
      </c>
      <c r="C3" s="7">
        <v>5</v>
      </c>
      <c r="D3" s="43">
        <v>255.28</v>
      </c>
      <c r="E3" s="43">
        <v>0</v>
      </c>
      <c r="F3" s="43">
        <f t="shared" si="0"/>
        <v>1276.4000000000001</v>
      </c>
      <c r="G3" s="406">
        <v>43194</v>
      </c>
      <c r="H3" s="80">
        <v>10</v>
      </c>
      <c r="I3" s="43">
        <v>242.97</v>
      </c>
      <c r="J3" s="43">
        <v>0.06</v>
      </c>
      <c r="K3" s="43">
        <f t="shared" si="1"/>
        <v>2429.64</v>
      </c>
      <c r="L3" s="72">
        <v>43207</v>
      </c>
      <c r="M3" s="43">
        <v>20.43</v>
      </c>
      <c r="O3" s="11" t="s">
        <v>58</v>
      </c>
      <c r="Q3" s="178">
        <f>IF(Q2=0, Q4, (F18-K18-M18)/Q2)</f>
        <v>250.18</v>
      </c>
      <c r="T3" s="1"/>
    </row>
    <row r="4" spans="1:21" x14ac:dyDescent="0.25">
      <c r="B4" s="406">
        <v>43136</v>
      </c>
      <c r="C4" s="7">
        <v>15</v>
      </c>
      <c r="D4" s="43">
        <v>240.11</v>
      </c>
      <c r="E4" s="43">
        <v>0</v>
      </c>
      <c r="F4" s="43">
        <f t="shared" si="0"/>
        <v>3601.65</v>
      </c>
      <c r="G4" s="406">
        <v>43199</v>
      </c>
      <c r="H4" s="80">
        <v>15</v>
      </c>
      <c r="I4" s="43">
        <v>243.28</v>
      </c>
      <c r="J4" s="43">
        <v>0.08</v>
      </c>
      <c r="K4" s="43">
        <f t="shared" si="1"/>
        <v>3649.12</v>
      </c>
      <c r="L4" s="72">
        <v>43235</v>
      </c>
      <c r="M4" s="43">
        <v>3.96</v>
      </c>
      <c r="O4" s="11" t="s">
        <v>66</v>
      </c>
      <c r="Q4" s="54">
        <v>250.18</v>
      </c>
      <c r="R4" s="425">
        <v>1.18E-2</v>
      </c>
      <c r="T4" s="693"/>
      <c r="U4" s="30"/>
    </row>
    <row r="5" spans="1:21" x14ac:dyDescent="0.25">
      <c r="B5" s="406">
        <v>43140</v>
      </c>
      <c r="C5" s="7">
        <v>30</v>
      </c>
      <c r="D5" s="43">
        <v>234.88</v>
      </c>
      <c r="E5" s="43">
        <v>0</v>
      </c>
      <c r="F5" s="43">
        <f t="shared" si="0"/>
        <v>7046.4</v>
      </c>
      <c r="G5" s="406">
        <v>43206</v>
      </c>
      <c r="H5" s="80">
        <v>15</v>
      </c>
      <c r="I5" s="43">
        <v>245.9</v>
      </c>
      <c r="J5" s="43">
        <v>0.09</v>
      </c>
      <c r="K5" s="43">
        <f t="shared" si="1"/>
        <v>3688.41</v>
      </c>
      <c r="L5" s="72">
        <v>43262</v>
      </c>
      <c r="M5" s="43">
        <v>20.92</v>
      </c>
      <c r="O5" s="11" t="s">
        <v>67</v>
      </c>
      <c r="Q5" s="3">
        <f>Q4*Q2</f>
        <v>0</v>
      </c>
    </row>
    <row r="6" spans="1:21" x14ac:dyDescent="0.25">
      <c r="B6" s="406">
        <v>43181</v>
      </c>
      <c r="C6" s="7">
        <v>10</v>
      </c>
      <c r="D6" s="43">
        <v>238</v>
      </c>
      <c r="E6" s="43">
        <v>0</v>
      </c>
      <c r="F6" s="43">
        <f t="shared" si="0"/>
        <v>2380</v>
      </c>
      <c r="G6" s="406">
        <v>43230</v>
      </c>
      <c r="H6" s="80">
        <v>10</v>
      </c>
      <c r="I6" s="43">
        <v>247.88</v>
      </c>
      <c r="J6" s="43">
        <v>0.06</v>
      </c>
      <c r="K6" s="43">
        <f t="shared" si="1"/>
        <v>2478.7400000000002</v>
      </c>
      <c r="L6" s="72">
        <v>43297</v>
      </c>
      <c r="M6" s="43">
        <v>11.29</v>
      </c>
      <c r="O6" s="11" t="s">
        <v>64</v>
      </c>
      <c r="Q6" s="2">
        <f>Q3*Q2</f>
        <v>0</v>
      </c>
    </row>
    <row r="7" spans="1:21" x14ac:dyDescent="0.25">
      <c r="B7" s="406">
        <v>43196</v>
      </c>
      <c r="C7" s="7">
        <v>15</v>
      </c>
      <c r="D7" s="43">
        <v>239.5</v>
      </c>
      <c r="E7" s="43">
        <v>0</v>
      </c>
      <c r="F7" s="43">
        <f t="shared" si="0"/>
        <v>3592.5</v>
      </c>
      <c r="G7" s="406">
        <v>43286</v>
      </c>
      <c r="H7" s="80">
        <v>30</v>
      </c>
      <c r="I7" s="43">
        <v>243.2</v>
      </c>
      <c r="J7" s="43">
        <v>0.09</v>
      </c>
      <c r="K7" s="43">
        <f t="shared" si="1"/>
        <v>7295.91</v>
      </c>
      <c r="L7" s="4"/>
      <c r="M7" s="4"/>
      <c r="O7" s="11" t="s">
        <v>177</v>
      </c>
      <c r="Q7" s="2">
        <f>Q10+Q8</f>
        <v>423.00000000000364</v>
      </c>
      <c r="R7">
        <v>0</v>
      </c>
    </row>
    <row r="8" spans="1:21" x14ac:dyDescent="0.25">
      <c r="B8" s="406">
        <v>43214</v>
      </c>
      <c r="C8" s="7">
        <v>10</v>
      </c>
      <c r="D8" s="43">
        <v>238.28</v>
      </c>
      <c r="E8" s="43">
        <v>0</v>
      </c>
      <c r="F8" s="43">
        <f t="shared" si="0"/>
        <v>2382.8000000000002</v>
      </c>
      <c r="G8" s="407"/>
      <c r="H8" s="161"/>
      <c r="I8" s="3"/>
      <c r="J8" s="3"/>
      <c r="K8" s="3"/>
      <c r="L8" s="4"/>
      <c r="M8" s="4"/>
      <c r="O8" s="11" t="s">
        <v>179</v>
      </c>
      <c r="P8" s="33"/>
      <c r="Q8" s="2">
        <f>K18+M18-F18+Q2*Q4</f>
        <v>423.00000000000364</v>
      </c>
    </row>
    <row r="9" spans="1:21" x14ac:dyDescent="0.25">
      <c r="B9" s="407"/>
      <c r="C9" s="4"/>
      <c r="D9" s="3"/>
      <c r="E9" s="3"/>
      <c r="F9" s="3"/>
      <c r="G9" s="407"/>
      <c r="H9" s="161"/>
      <c r="I9" s="3"/>
      <c r="J9" s="3"/>
      <c r="K9" s="3"/>
      <c r="L9" s="4"/>
      <c r="M9" s="4"/>
      <c r="O9" s="11" t="s">
        <v>204</v>
      </c>
      <c r="Q9" s="134">
        <f>IF(Q2=0, 0, Q8/Q6)</f>
        <v>0</v>
      </c>
      <c r="T9" s="156"/>
    </row>
    <row r="10" spans="1:21" x14ac:dyDescent="0.25">
      <c r="B10" s="407"/>
      <c r="C10" s="4"/>
      <c r="D10" s="3"/>
      <c r="E10" s="3"/>
      <c r="F10" s="3"/>
      <c r="G10" s="407"/>
      <c r="H10" s="161"/>
      <c r="I10" s="3"/>
      <c r="J10" s="3"/>
      <c r="K10" s="3"/>
      <c r="L10" s="4"/>
      <c r="M10" s="4"/>
      <c r="O10" s="11" t="s">
        <v>203</v>
      </c>
      <c r="P10" s="33"/>
      <c r="Q10" s="2">
        <f>M66</f>
        <v>0</v>
      </c>
    </row>
    <row r="11" spans="1:21" x14ac:dyDescent="0.25">
      <c r="B11" s="407"/>
      <c r="C11" s="4"/>
      <c r="D11" s="3"/>
      <c r="E11" s="3"/>
      <c r="F11" s="3"/>
      <c r="G11" s="407"/>
      <c r="H11" s="161"/>
      <c r="I11" s="3"/>
      <c r="J11" s="3"/>
      <c r="K11" s="3"/>
      <c r="L11" s="4"/>
      <c r="M11" s="4"/>
      <c r="O11" s="11" t="s">
        <v>175</v>
      </c>
      <c r="P11" s="33"/>
      <c r="Q11" s="134">
        <v>1.9900000000000001E-2</v>
      </c>
      <c r="R11">
        <v>0.14369999999999999</v>
      </c>
    </row>
    <row r="12" spans="1:21" x14ac:dyDescent="0.25">
      <c r="B12" s="29"/>
      <c r="G12" s="29"/>
      <c r="H12" s="70"/>
    </row>
    <row r="13" spans="1:21" x14ac:dyDescent="0.25">
      <c r="B13" s="29"/>
      <c r="G13" s="29"/>
      <c r="H13" s="70"/>
      <c r="O13" s="11" t="s">
        <v>947</v>
      </c>
      <c r="Q13">
        <v>16.34</v>
      </c>
      <c r="S13" s="22" t="s">
        <v>952</v>
      </c>
    </row>
    <row r="14" spans="1:21" x14ac:dyDescent="0.25">
      <c r="B14" s="29"/>
      <c r="G14" s="29"/>
      <c r="H14" s="70"/>
    </row>
    <row r="15" spans="1:21" x14ac:dyDescent="0.25">
      <c r="B15" s="29"/>
      <c r="G15" s="29"/>
      <c r="H15" s="70"/>
    </row>
    <row r="16" spans="1:21" x14ac:dyDescent="0.25">
      <c r="B16" s="29"/>
      <c r="G16" s="29"/>
      <c r="H16" s="70"/>
    </row>
    <row r="17" spans="1:17" x14ac:dyDescent="0.25">
      <c r="B17" s="29"/>
      <c r="G17" s="29"/>
    </row>
    <row r="18" spans="1:17" x14ac:dyDescent="0.25">
      <c r="A18" s="31" t="s">
        <v>81</v>
      </c>
      <c r="B18" s="14"/>
      <c r="C18" s="14">
        <f>SUM(C2:C9)</f>
        <v>95</v>
      </c>
      <c r="D18" s="18"/>
      <c r="E18" s="18"/>
      <c r="F18" s="18">
        <f>SUM(F2:F9)</f>
        <v>22832.55</v>
      </c>
      <c r="G18" s="14"/>
      <c r="H18" s="71">
        <f>SUM(H2:H7)</f>
        <v>95</v>
      </c>
      <c r="I18" s="18"/>
      <c r="J18" s="18"/>
      <c r="K18" s="18">
        <f>SUM(K2:K7)</f>
        <v>23169.940000000002</v>
      </c>
      <c r="L18" s="14"/>
      <c r="M18" s="18">
        <f>SUM(M2:M10)</f>
        <v>85.609999999999985</v>
      </c>
    </row>
    <row r="19" spans="1:17" ht="15.75" thickBot="1" x14ac:dyDescent="0.3">
      <c r="A19" s="277" t="s">
        <v>191</v>
      </c>
      <c r="B19" s="278"/>
      <c r="C19" s="279">
        <f>SumByColor($A$19,C2:C17)</f>
        <v>95</v>
      </c>
      <c r="D19" s="279"/>
      <c r="E19" s="279"/>
      <c r="F19" s="280">
        <f>SumByColor($A$19,F2:F17)</f>
        <v>22833</v>
      </c>
      <c r="G19" s="279"/>
      <c r="H19" s="279">
        <f>SumByColor($A$19,H2:H17)</f>
        <v>95</v>
      </c>
      <c r="I19" s="279"/>
      <c r="J19" s="279"/>
      <c r="K19" s="280">
        <f>SumByColor($A$19,K2:K17)</f>
        <v>23170</v>
      </c>
      <c r="L19" s="279"/>
      <c r="M19" s="280">
        <f>SumByColor($A$19,M2:M17)</f>
        <v>85</v>
      </c>
    </row>
    <row r="22" spans="1:17" ht="20.25" thickBot="1" x14ac:dyDescent="0.35">
      <c r="O22" s="700" t="s">
        <v>78</v>
      </c>
      <c r="P22" s="700"/>
    </row>
    <row r="23" spans="1:17" ht="15.75" thickTop="1" x14ac:dyDescent="0.25">
      <c r="O23" s="81">
        <v>1.1000000000000001</v>
      </c>
      <c r="P23" s="81">
        <f>O23*$Q$4</f>
        <v>275.19800000000004</v>
      </c>
      <c r="Q23" s="2"/>
    </row>
    <row r="24" spans="1:17" x14ac:dyDescent="0.25">
      <c r="B24" s="162" t="s">
        <v>113</v>
      </c>
      <c r="C24" s="162" t="s">
        <v>145</v>
      </c>
      <c r="D24" s="163" t="s">
        <v>144</v>
      </c>
      <c r="E24" s="165" t="s">
        <v>146</v>
      </c>
      <c r="F24" s="165" t="s">
        <v>65</v>
      </c>
      <c r="G24" s="177" t="s">
        <v>150</v>
      </c>
      <c r="H24" s="177" t="s">
        <v>88</v>
      </c>
      <c r="I24" s="177" t="s">
        <v>153</v>
      </c>
      <c r="J24" s="177" t="s">
        <v>149</v>
      </c>
      <c r="K24" s="177"/>
      <c r="L24" s="177"/>
      <c r="O24" s="81">
        <v>1.0900000000000001</v>
      </c>
      <c r="P24" s="81">
        <f t="shared" ref="P24:P43" si="2">O24*$Q$4</f>
        <v>272.69620000000003</v>
      </c>
      <c r="Q24" s="2"/>
    </row>
    <row r="25" spans="1:17" x14ac:dyDescent="0.25">
      <c r="B25" s="164">
        <v>43133</v>
      </c>
      <c r="C25" s="10">
        <v>15</v>
      </c>
      <c r="D25" s="39">
        <v>255.28</v>
      </c>
      <c r="E25" s="39">
        <v>254.93</v>
      </c>
      <c r="F25" s="39">
        <f>C25*(E25-D25)</f>
        <v>-5.2499999999999147</v>
      </c>
      <c r="G25" s="39">
        <f>D25*C25</f>
        <v>3829.2</v>
      </c>
      <c r="H25" s="179">
        <f>(E25-D25)/D25</f>
        <v>-1.3710435600125129E-3</v>
      </c>
      <c r="I25" s="39"/>
      <c r="J25" s="39"/>
      <c r="K25" s="39"/>
      <c r="L25" s="39"/>
      <c r="O25" s="81">
        <v>1.08</v>
      </c>
      <c r="P25" s="81">
        <f t="shared" si="2"/>
        <v>270.19440000000003</v>
      </c>
      <c r="Q25" s="2"/>
    </row>
    <row r="26" spans="1:17" x14ac:dyDescent="0.25">
      <c r="B26" s="164">
        <v>43136</v>
      </c>
      <c r="C26" s="185">
        <v>30</v>
      </c>
      <c r="D26" s="186">
        <v>247.69499999999999</v>
      </c>
      <c r="E26" s="39">
        <v>243.27</v>
      </c>
      <c r="F26" s="39">
        <f>C26*(E26-D26)</f>
        <v>-132.74999999999949</v>
      </c>
      <c r="G26" s="39">
        <f>D26*C26</f>
        <v>7430.8499999999995</v>
      </c>
      <c r="H26" s="179">
        <f>(E26-D26)/D26</f>
        <v>-1.7864712650638822E-2</v>
      </c>
      <c r="I26" s="39"/>
      <c r="J26" s="39"/>
      <c r="K26" s="39"/>
      <c r="L26" s="39"/>
      <c r="O26" s="81">
        <v>1.07</v>
      </c>
      <c r="P26" s="81">
        <f t="shared" si="2"/>
        <v>267.69260000000003</v>
      </c>
      <c r="Q26" s="2"/>
    </row>
    <row r="27" spans="1:17" x14ac:dyDescent="0.25">
      <c r="B27" s="164">
        <v>43140</v>
      </c>
      <c r="C27" s="7">
        <v>60</v>
      </c>
      <c r="D27" s="43">
        <v>241.29</v>
      </c>
      <c r="E27" s="39">
        <v>242.03</v>
      </c>
      <c r="F27" s="39">
        <f>C27*(E27-D27)</f>
        <v>44.400000000000546</v>
      </c>
      <c r="G27" s="39">
        <f>D27*C27</f>
        <v>14477.4</v>
      </c>
      <c r="H27" s="179">
        <f>(E27-D27)/D27</f>
        <v>3.0668490198516685E-3</v>
      </c>
      <c r="I27" s="39"/>
      <c r="J27" s="39"/>
      <c r="K27" s="39"/>
      <c r="L27" s="155"/>
      <c r="O27" s="81">
        <v>1.06</v>
      </c>
      <c r="P27" s="81">
        <f t="shared" si="2"/>
        <v>265.19080000000002</v>
      </c>
      <c r="Q27" s="2"/>
    </row>
    <row r="28" spans="1:17" x14ac:dyDescent="0.25">
      <c r="B28" s="164">
        <v>43140</v>
      </c>
      <c r="C28" s="10">
        <v>45</v>
      </c>
      <c r="D28" s="39">
        <v>241.09180000000001</v>
      </c>
      <c r="E28" s="39">
        <v>242.03</v>
      </c>
      <c r="F28" s="39">
        <f>C28*(E28-D28)</f>
        <v>42.218999999999767</v>
      </c>
      <c r="G28" s="39">
        <f>D28*C28</f>
        <v>10849.130999999999</v>
      </c>
      <c r="H28" s="179">
        <f>(E28-D28)/D28</f>
        <v>3.89146374949291E-3</v>
      </c>
      <c r="I28" s="39"/>
      <c r="J28" s="39"/>
      <c r="K28" s="39"/>
      <c r="L28" s="155"/>
      <c r="O28" s="81">
        <v>1.05</v>
      </c>
      <c r="P28" s="81">
        <f t="shared" si="2"/>
        <v>262.68900000000002</v>
      </c>
      <c r="Q28" s="2"/>
    </row>
    <row r="29" spans="1:17" x14ac:dyDescent="0.25">
      <c r="B29" s="164">
        <v>43172</v>
      </c>
      <c r="C29" s="10">
        <v>45</v>
      </c>
      <c r="D29" s="39">
        <v>240.44710000000001</v>
      </c>
      <c r="E29" s="39"/>
      <c r="F29" s="39"/>
      <c r="G29" s="39"/>
      <c r="H29" s="179"/>
      <c r="I29" s="39"/>
      <c r="J29" s="39"/>
      <c r="K29" s="39"/>
      <c r="L29" s="155" t="s">
        <v>184</v>
      </c>
      <c r="O29" s="81">
        <v>1.04</v>
      </c>
      <c r="P29" s="81">
        <f t="shared" si="2"/>
        <v>260.18720000000002</v>
      </c>
      <c r="Q29" s="2"/>
    </row>
    <row r="30" spans="1:17" x14ac:dyDescent="0.25">
      <c r="B30" s="164">
        <v>43181</v>
      </c>
      <c r="C30" s="10">
        <v>55</v>
      </c>
      <c r="D30" s="39">
        <v>240.00219999999999</v>
      </c>
      <c r="E30" s="39">
        <v>239.36</v>
      </c>
      <c r="F30" s="39">
        <f>C30*(E30-D30)</f>
        <v>-35.320999999998577</v>
      </c>
      <c r="G30" s="39">
        <f>D30*C30</f>
        <v>13200.120999999999</v>
      </c>
      <c r="H30" s="179">
        <f>(E30-D30)/D30</f>
        <v>-2.6758088050858457E-3</v>
      </c>
      <c r="I30" s="39"/>
      <c r="J30" s="39"/>
      <c r="K30" s="39"/>
      <c r="L30" s="155"/>
      <c r="O30" s="81">
        <v>1.03</v>
      </c>
      <c r="P30" s="81">
        <f t="shared" si="2"/>
        <v>257.68540000000002</v>
      </c>
      <c r="Q30" s="2"/>
    </row>
    <row r="31" spans="1:17" x14ac:dyDescent="0.25">
      <c r="B31" s="164">
        <v>43184</v>
      </c>
      <c r="C31" s="10">
        <v>55</v>
      </c>
      <c r="D31" s="39">
        <v>240.00219999999999</v>
      </c>
      <c r="E31" s="39">
        <v>235.13</v>
      </c>
      <c r="F31" s="39">
        <f t="shared" ref="F31:F40" si="3">C31*(E31-D31)</f>
        <v>-267.97099999999955</v>
      </c>
      <c r="G31" s="39">
        <f t="shared" ref="G31:G40" si="4">D31*C31</f>
        <v>13200.120999999999</v>
      </c>
      <c r="H31" s="179">
        <f t="shared" ref="H31:H40" si="5">(E31-D31)/D31</f>
        <v>-2.0300647244066897E-2</v>
      </c>
      <c r="I31" s="39"/>
      <c r="J31" s="39"/>
      <c r="K31" s="39"/>
      <c r="L31" s="155"/>
      <c r="O31" s="81">
        <v>1.02</v>
      </c>
      <c r="P31" s="81">
        <f t="shared" si="2"/>
        <v>255.18360000000001</v>
      </c>
      <c r="Q31" s="2"/>
    </row>
    <row r="32" spans="1:17" x14ac:dyDescent="0.25">
      <c r="B32" s="164">
        <v>43185</v>
      </c>
      <c r="C32" s="10">
        <v>55</v>
      </c>
      <c r="D32" s="39">
        <v>240</v>
      </c>
      <c r="E32" s="39">
        <v>241.82</v>
      </c>
      <c r="F32" s="39">
        <f t="shared" si="3"/>
        <v>100.09999999999962</v>
      </c>
      <c r="G32" s="39">
        <f t="shared" si="4"/>
        <v>13200</v>
      </c>
      <c r="H32" s="179">
        <f t="shared" si="5"/>
        <v>7.5833333333333048E-3</v>
      </c>
      <c r="I32" s="39"/>
      <c r="J32" s="39"/>
      <c r="K32" s="39"/>
      <c r="L32" s="155"/>
      <c r="O32" s="81">
        <v>1.01</v>
      </c>
      <c r="P32" s="81">
        <f t="shared" si="2"/>
        <v>252.68180000000001</v>
      </c>
      <c r="Q32" s="2"/>
    </row>
    <row r="33" spans="1:17" x14ac:dyDescent="0.25">
      <c r="A33">
        <v>35</v>
      </c>
      <c r="B33" s="164">
        <v>43194</v>
      </c>
      <c r="C33" s="10">
        <v>45</v>
      </c>
      <c r="D33" s="39">
        <v>239.34</v>
      </c>
      <c r="E33" s="39">
        <v>242.46</v>
      </c>
      <c r="F33" s="39">
        <f t="shared" si="3"/>
        <v>140.4000000000002</v>
      </c>
      <c r="G33" s="39">
        <f t="shared" si="4"/>
        <v>10770.3</v>
      </c>
      <c r="H33" s="179">
        <f t="shared" si="5"/>
        <v>1.3035848583604933E-2</v>
      </c>
      <c r="I33" s="39">
        <v>238</v>
      </c>
      <c r="J33" s="39"/>
      <c r="K33" s="39"/>
      <c r="L33" s="155"/>
      <c r="O33" s="81">
        <v>1</v>
      </c>
      <c r="P33" s="81">
        <f t="shared" si="2"/>
        <v>250.18</v>
      </c>
      <c r="Q33" s="2"/>
    </row>
    <row r="34" spans="1:17" x14ac:dyDescent="0.25">
      <c r="A34">
        <v>35</v>
      </c>
      <c r="B34" s="164">
        <v>43196</v>
      </c>
      <c r="C34" s="7">
        <v>60</v>
      </c>
      <c r="D34" s="43">
        <v>239.38300000000001</v>
      </c>
      <c r="E34" s="39">
        <v>239.5</v>
      </c>
      <c r="F34" s="39">
        <f t="shared" si="3"/>
        <v>7.0199999999994134</v>
      </c>
      <c r="G34" s="39">
        <f t="shared" si="4"/>
        <v>14362.980000000001</v>
      </c>
      <c r="H34" s="179">
        <f t="shared" si="5"/>
        <v>4.8875651153168866E-4</v>
      </c>
      <c r="I34" s="39">
        <v>238</v>
      </c>
      <c r="J34" s="39"/>
      <c r="K34" s="39"/>
      <c r="L34" s="155"/>
      <c r="O34" s="81">
        <v>0.99</v>
      </c>
      <c r="P34" s="81">
        <f t="shared" si="2"/>
        <v>247.6782</v>
      </c>
      <c r="Q34" s="2"/>
    </row>
    <row r="35" spans="1:17" x14ac:dyDescent="0.25">
      <c r="A35">
        <v>20</v>
      </c>
      <c r="B35" s="164">
        <v>43199</v>
      </c>
      <c r="C35" s="10">
        <v>45</v>
      </c>
      <c r="D35" s="39">
        <v>238.09</v>
      </c>
      <c r="E35" s="39">
        <v>239.73</v>
      </c>
      <c r="F35" s="39">
        <f t="shared" si="3"/>
        <v>73.799999999999386</v>
      </c>
      <c r="G35" s="39">
        <f t="shared" si="4"/>
        <v>10714.05</v>
      </c>
      <c r="H35" s="179">
        <f t="shared" si="5"/>
        <v>6.888151539333808E-3</v>
      </c>
      <c r="I35" s="39">
        <v>237</v>
      </c>
      <c r="J35" s="39"/>
      <c r="K35" s="39"/>
      <c r="L35" s="155"/>
      <c r="O35" s="81">
        <v>0.98</v>
      </c>
      <c r="P35" s="81">
        <f t="shared" si="2"/>
        <v>245.1764</v>
      </c>
      <c r="Q35" s="2"/>
    </row>
    <row r="36" spans="1:17" x14ac:dyDescent="0.25">
      <c r="A36">
        <v>5</v>
      </c>
      <c r="B36" s="164">
        <v>43206</v>
      </c>
      <c r="C36" s="185">
        <v>30</v>
      </c>
      <c r="D36" s="186">
        <v>234.18170000000001</v>
      </c>
      <c r="E36" s="39">
        <v>245.62</v>
      </c>
      <c r="F36" s="39">
        <f t="shared" si="3"/>
        <v>343.14899999999994</v>
      </c>
      <c r="G36" s="39">
        <f t="shared" si="4"/>
        <v>7025.451</v>
      </c>
      <c r="H36" s="179">
        <f t="shared" si="5"/>
        <v>4.8843697009629691E-2</v>
      </c>
      <c r="I36" s="39">
        <v>230</v>
      </c>
      <c r="J36" s="39"/>
      <c r="K36" s="39"/>
      <c r="L36" s="39"/>
      <c r="O36" s="81">
        <v>0.97</v>
      </c>
      <c r="P36" s="81">
        <f t="shared" si="2"/>
        <v>242.6746</v>
      </c>
    </row>
    <row r="37" spans="1:17" x14ac:dyDescent="0.25">
      <c r="A37">
        <v>5</v>
      </c>
      <c r="B37" s="164">
        <v>43207</v>
      </c>
      <c r="C37" s="185">
        <v>30</v>
      </c>
      <c r="D37" s="186">
        <v>233.5</v>
      </c>
      <c r="E37" s="39">
        <v>247.8</v>
      </c>
      <c r="F37" s="39">
        <f t="shared" si="3"/>
        <v>429.00000000000034</v>
      </c>
      <c r="G37" s="39">
        <f t="shared" si="4"/>
        <v>7005</v>
      </c>
      <c r="H37" s="179">
        <f t="shared" si="5"/>
        <v>6.1241970021413322E-2</v>
      </c>
      <c r="I37" s="39"/>
      <c r="J37" s="39"/>
      <c r="K37" s="39"/>
      <c r="L37" s="39"/>
      <c r="O37" s="81">
        <v>0.96</v>
      </c>
      <c r="P37" s="81">
        <f t="shared" si="2"/>
        <v>240.1728</v>
      </c>
    </row>
    <row r="38" spans="1:17" x14ac:dyDescent="0.25">
      <c r="A38">
        <v>15</v>
      </c>
      <c r="B38" s="164">
        <v>43214</v>
      </c>
      <c r="C38" s="10">
        <v>40</v>
      </c>
      <c r="D38" s="39">
        <v>234.69550000000001</v>
      </c>
      <c r="E38" s="39">
        <v>240.09</v>
      </c>
      <c r="F38" s="39">
        <f t="shared" si="3"/>
        <v>215.77999999999975</v>
      </c>
      <c r="G38" s="39">
        <f t="shared" si="4"/>
        <v>9387.82</v>
      </c>
      <c r="H38" s="179">
        <f t="shared" si="5"/>
        <v>2.2985101972555901E-2</v>
      </c>
      <c r="I38" s="39"/>
      <c r="J38" s="39"/>
      <c r="K38" s="39"/>
      <c r="L38" s="39"/>
      <c r="O38" s="81">
        <v>0.95</v>
      </c>
      <c r="P38" s="81">
        <f t="shared" si="2"/>
        <v>237.67099999999999</v>
      </c>
    </row>
    <row r="39" spans="1:17" x14ac:dyDescent="0.25">
      <c r="A39">
        <v>20</v>
      </c>
      <c r="B39" s="164">
        <v>43230</v>
      </c>
      <c r="C39" s="185">
        <v>30</v>
      </c>
      <c r="D39" s="186">
        <v>230.30269999999999</v>
      </c>
      <c r="E39" s="39">
        <v>247.46</v>
      </c>
      <c r="F39" s="39">
        <f t="shared" si="3"/>
        <v>514.71900000000062</v>
      </c>
      <c r="G39" s="39">
        <f t="shared" si="4"/>
        <v>6909.0809999999992</v>
      </c>
      <c r="H39" s="179">
        <f t="shared" si="5"/>
        <v>7.4498909478699221E-2</v>
      </c>
      <c r="I39" s="39">
        <v>230</v>
      </c>
      <c r="J39" s="39"/>
      <c r="K39" s="39"/>
      <c r="L39" s="39"/>
      <c r="O39" s="81">
        <v>0.94</v>
      </c>
      <c r="P39" s="81">
        <f t="shared" si="2"/>
        <v>235.16919999999999</v>
      </c>
    </row>
    <row r="40" spans="1:17" x14ac:dyDescent="0.25">
      <c r="A40">
        <v>30</v>
      </c>
      <c r="B40" s="164">
        <v>43262</v>
      </c>
      <c r="C40" s="185">
        <v>30</v>
      </c>
      <c r="D40" s="186">
        <v>229.47329999999999</v>
      </c>
      <c r="E40" s="39">
        <v>253.39</v>
      </c>
      <c r="F40" s="39">
        <f t="shared" si="3"/>
        <v>717.50099999999975</v>
      </c>
      <c r="G40" s="39">
        <f t="shared" si="4"/>
        <v>6884.1989999999996</v>
      </c>
      <c r="H40" s="179">
        <f t="shared" si="5"/>
        <v>0.10422432588017862</v>
      </c>
      <c r="I40" s="186">
        <v>225</v>
      </c>
      <c r="J40" s="39"/>
      <c r="K40" s="39"/>
      <c r="L40" s="39"/>
      <c r="O40" s="81">
        <v>0.93</v>
      </c>
      <c r="P40" s="81">
        <f t="shared" si="2"/>
        <v>232.66740000000001</v>
      </c>
    </row>
    <row r="41" spans="1:17" x14ac:dyDescent="0.25">
      <c r="B41" s="164">
        <v>43286</v>
      </c>
      <c r="C41" s="10">
        <v>0</v>
      </c>
      <c r="D41" s="39"/>
      <c r="E41" s="39"/>
      <c r="F41" s="39">
        <v>411.71</v>
      </c>
      <c r="G41" s="39"/>
      <c r="H41" s="179"/>
      <c r="I41" s="39"/>
      <c r="J41" s="39"/>
      <c r="K41" s="39"/>
      <c r="L41" s="39"/>
      <c r="O41" s="81">
        <v>0.92</v>
      </c>
      <c r="P41" s="81">
        <f t="shared" si="2"/>
        <v>230.16560000000001</v>
      </c>
    </row>
    <row r="42" spans="1:17" x14ac:dyDescent="0.25">
      <c r="B42" s="164">
        <v>43297</v>
      </c>
      <c r="C42" s="10">
        <v>0</v>
      </c>
      <c r="D42" s="39"/>
      <c r="E42" s="39"/>
      <c r="F42" s="39">
        <v>423</v>
      </c>
      <c r="G42" s="39"/>
      <c r="H42" s="179"/>
      <c r="I42" s="39"/>
      <c r="J42" s="39"/>
      <c r="K42" s="39"/>
      <c r="L42" s="39" t="s">
        <v>184</v>
      </c>
      <c r="O42" s="81">
        <v>0.91</v>
      </c>
      <c r="P42" s="81">
        <f t="shared" si="2"/>
        <v>227.66380000000001</v>
      </c>
    </row>
    <row r="43" spans="1:17" x14ac:dyDescent="0.25">
      <c r="B43" s="164"/>
      <c r="C43" s="10"/>
      <c r="D43" s="39"/>
      <c r="E43" s="39"/>
      <c r="F43" s="39"/>
      <c r="G43" s="39"/>
      <c r="H43" s="179"/>
      <c r="I43" s="39"/>
      <c r="J43" s="39"/>
      <c r="K43" s="39"/>
      <c r="L43" s="39"/>
      <c r="O43" s="81">
        <v>0.9</v>
      </c>
      <c r="P43" s="81">
        <f t="shared" si="2"/>
        <v>225.16200000000001</v>
      </c>
    </row>
    <row r="44" spans="1:17" x14ac:dyDescent="0.25">
      <c r="B44" s="164"/>
      <c r="C44" s="10"/>
      <c r="D44" s="39"/>
      <c r="E44" s="39"/>
      <c r="F44" s="39"/>
      <c r="G44" s="39"/>
      <c r="H44" s="179"/>
      <c r="I44" s="39"/>
      <c r="J44" s="39"/>
      <c r="K44" s="39"/>
      <c r="L44" s="39"/>
    </row>
    <row r="45" spans="1:17" x14ac:dyDescent="0.25">
      <c r="B45" s="164"/>
      <c r="C45" s="10"/>
      <c r="D45" s="39"/>
      <c r="E45" s="39"/>
      <c r="F45" s="39"/>
      <c r="G45" s="39"/>
      <c r="H45" s="179"/>
      <c r="I45" s="39"/>
      <c r="J45" s="39"/>
      <c r="K45" s="39"/>
      <c r="L45" s="39"/>
    </row>
    <row r="46" spans="1:17" x14ac:dyDescent="0.25">
      <c r="B46" s="164"/>
      <c r="C46" s="10"/>
      <c r="D46" s="39"/>
      <c r="E46" s="39"/>
      <c r="F46" s="39"/>
      <c r="G46" s="39"/>
      <c r="H46" s="179"/>
      <c r="I46" s="39"/>
      <c r="J46" s="39"/>
      <c r="K46" s="39"/>
      <c r="L46" s="39"/>
    </row>
    <row r="47" spans="1:17" x14ac:dyDescent="0.25">
      <c r="B47" s="164"/>
      <c r="C47" s="10"/>
      <c r="D47" s="39"/>
      <c r="E47" s="39"/>
      <c r="F47" s="39"/>
      <c r="G47" s="39"/>
      <c r="H47" s="179"/>
      <c r="I47" s="39"/>
      <c r="J47" s="39"/>
      <c r="K47" s="39"/>
      <c r="L47" s="39"/>
    </row>
    <row r="48" spans="1:17" x14ac:dyDescent="0.25">
      <c r="B48" s="164"/>
      <c r="C48" s="10"/>
      <c r="D48" s="39"/>
      <c r="E48" s="39"/>
      <c r="F48" s="39"/>
      <c r="G48" s="39"/>
      <c r="H48" s="179"/>
      <c r="I48" s="39"/>
      <c r="J48" s="39"/>
      <c r="K48" s="39"/>
      <c r="L48" s="39"/>
    </row>
    <row r="49" spans="1:12" x14ac:dyDescent="0.25">
      <c r="B49" s="164"/>
      <c r="C49" s="10"/>
      <c r="D49" s="39"/>
      <c r="E49" s="39"/>
      <c r="F49" s="39"/>
      <c r="G49" s="39"/>
      <c r="H49" s="179"/>
      <c r="I49" s="39"/>
      <c r="J49" s="39"/>
      <c r="K49" s="39"/>
      <c r="L49" s="39"/>
    </row>
    <row r="50" spans="1:12" x14ac:dyDescent="0.25">
      <c r="B50" s="164"/>
      <c r="C50" s="10"/>
      <c r="D50" s="39"/>
      <c r="E50" s="39"/>
      <c r="F50" s="39"/>
      <c r="G50" s="39"/>
      <c r="H50" s="179"/>
      <c r="I50" s="39"/>
      <c r="J50" s="39"/>
      <c r="K50" s="39"/>
      <c r="L50" s="39"/>
    </row>
    <row r="51" spans="1:12" x14ac:dyDescent="0.25">
      <c r="B51" s="164"/>
      <c r="C51" s="10"/>
      <c r="D51" s="39"/>
      <c r="E51" s="39"/>
      <c r="F51" s="39"/>
      <c r="G51" s="39"/>
      <c r="H51" s="179"/>
      <c r="I51" s="39"/>
      <c r="J51" s="39"/>
      <c r="K51" s="39"/>
      <c r="L51" s="39"/>
    </row>
    <row r="52" spans="1:12" x14ac:dyDescent="0.25">
      <c r="B52" s="164"/>
      <c r="C52" s="10"/>
      <c r="D52" s="39"/>
      <c r="E52" s="39"/>
      <c r="F52" s="39"/>
      <c r="G52" s="39"/>
      <c r="H52" s="179"/>
      <c r="I52" s="39"/>
      <c r="J52" s="39"/>
      <c r="K52" s="39"/>
      <c r="L52" s="39"/>
    </row>
    <row r="53" spans="1:12" x14ac:dyDescent="0.25">
      <c r="B53" s="164"/>
      <c r="C53" s="10"/>
      <c r="D53" s="39"/>
      <c r="E53" s="39"/>
      <c r="F53" s="39"/>
      <c r="G53" s="39"/>
      <c r="H53" s="179"/>
      <c r="I53" s="39"/>
      <c r="J53" s="39"/>
      <c r="K53" s="39"/>
      <c r="L53" s="39"/>
    </row>
    <row r="54" spans="1:12" x14ac:dyDescent="0.25">
      <c r="A54" s="4"/>
      <c r="B54" s="164"/>
      <c r="C54" s="10"/>
      <c r="D54" s="39"/>
      <c r="E54" s="39"/>
      <c r="F54" s="39"/>
      <c r="G54" s="39"/>
      <c r="H54" s="179"/>
      <c r="I54" s="39"/>
      <c r="J54" s="39"/>
      <c r="K54" s="39"/>
      <c r="L54" s="39"/>
    </row>
    <row r="55" spans="1:12" x14ac:dyDescent="0.25">
      <c r="A55" s="4"/>
      <c r="B55" s="164"/>
      <c r="C55" s="10"/>
      <c r="D55" s="39"/>
      <c r="E55" s="39"/>
      <c r="F55" s="39"/>
      <c r="G55" s="39"/>
      <c r="H55" s="179"/>
      <c r="I55" s="39"/>
      <c r="J55" s="39"/>
      <c r="K55" s="39"/>
      <c r="L55" s="39"/>
    </row>
    <row r="56" spans="1:12" x14ac:dyDescent="0.25">
      <c r="A56" s="4"/>
      <c r="B56" s="164"/>
      <c r="C56" s="10"/>
      <c r="D56" s="39"/>
      <c r="E56" s="39"/>
      <c r="F56" s="39"/>
      <c r="G56" s="39"/>
      <c r="H56" s="179"/>
      <c r="I56" s="39"/>
      <c r="J56" s="39"/>
      <c r="K56" s="39"/>
      <c r="L56" s="39"/>
    </row>
    <row r="57" spans="1:12" x14ac:dyDescent="0.25">
      <c r="A57" s="4"/>
      <c r="B57" s="164"/>
      <c r="C57" s="10"/>
      <c r="D57" s="39"/>
      <c r="E57" s="39"/>
      <c r="F57" s="39"/>
      <c r="G57" s="39"/>
      <c r="H57" s="179"/>
      <c r="I57" s="39"/>
      <c r="J57" s="39"/>
      <c r="K57" s="39"/>
      <c r="L57" s="39"/>
    </row>
    <row r="58" spans="1:12" x14ac:dyDescent="0.25">
      <c r="A58" s="4"/>
      <c r="B58" s="164"/>
      <c r="C58" s="10"/>
      <c r="D58" s="39"/>
      <c r="E58" s="39"/>
      <c r="F58" s="39"/>
      <c r="G58" s="39"/>
      <c r="H58" s="179"/>
      <c r="I58" s="39"/>
      <c r="J58" s="39"/>
      <c r="K58" s="39"/>
      <c r="L58" s="39"/>
    </row>
    <row r="59" spans="1:12" x14ac:dyDescent="0.25">
      <c r="A59" s="4"/>
      <c r="B59" s="164"/>
      <c r="C59" s="10"/>
      <c r="D59" s="39"/>
      <c r="E59" s="39"/>
      <c r="F59" s="39"/>
      <c r="G59" s="39"/>
      <c r="H59" s="179"/>
      <c r="I59" s="39"/>
      <c r="J59" s="39"/>
      <c r="K59" s="39"/>
      <c r="L59" s="39"/>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892</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1270" priority="31">
      <formula>F60&gt;0</formula>
    </cfRule>
    <cfRule type="expression" dxfId="1269" priority="32">
      <formula>F60&lt;0</formula>
    </cfRule>
  </conditionalFormatting>
  <conditionalFormatting sqref="Q7">
    <cfRule type="expression" dxfId="1268" priority="29">
      <formula>Q7&gt;0</formula>
    </cfRule>
    <cfRule type="expression" dxfId="1267" priority="30">
      <formula>Q7&lt;0</formula>
    </cfRule>
  </conditionalFormatting>
  <conditionalFormatting sqref="Q8">
    <cfRule type="expression" dxfId="1266" priority="27">
      <formula>Q8&gt;0</formula>
    </cfRule>
    <cfRule type="expression" dxfId="1265" priority="28">
      <formula>Q8&lt;0</formula>
    </cfRule>
  </conditionalFormatting>
  <conditionalFormatting sqref="F32:F59">
    <cfRule type="expression" dxfId="1264" priority="25">
      <formula>F32&gt;0</formula>
    </cfRule>
    <cfRule type="expression" dxfId="1263" priority="26">
      <formula>F32&lt;0</formula>
    </cfRule>
  </conditionalFormatting>
  <conditionalFormatting sqref="H32:H59">
    <cfRule type="expression" dxfId="1262" priority="23">
      <formula>H32&gt;0</formula>
    </cfRule>
    <cfRule type="expression" dxfId="1261" priority="24">
      <formula>H32&lt;0</formula>
    </cfRule>
  </conditionalFormatting>
  <conditionalFormatting sqref="Q10">
    <cfRule type="expression" dxfId="1260" priority="21">
      <formula>Q10&gt;0</formula>
    </cfRule>
    <cfRule type="expression" dxfId="1259" priority="22">
      <formula>Q10&lt;0</formula>
    </cfRule>
  </conditionalFormatting>
  <conditionalFormatting sqref="J25:J38">
    <cfRule type="expression" dxfId="1258" priority="19">
      <formula>J25&gt;0</formula>
    </cfRule>
    <cfRule type="expression" dxfId="1257" priority="20">
      <formula>J25&lt;0</formula>
    </cfRule>
  </conditionalFormatting>
  <conditionalFormatting sqref="K25:K38">
    <cfRule type="expression" dxfId="1256" priority="17">
      <formula>K25&gt;0</formula>
    </cfRule>
    <cfRule type="expression" dxfId="1255" priority="18">
      <formula>K25&lt;0</formula>
    </cfRule>
  </conditionalFormatting>
  <conditionalFormatting sqref="L25:L38">
    <cfRule type="expression" dxfId="1254" priority="15">
      <formula>L25&gt;0</formula>
    </cfRule>
    <cfRule type="expression" dxfId="1253" priority="16">
      <formula>L25&lt;0</formula>
    </cfRule>
  </conditionalFormatting>
  <conditionalFormatting sqref="F89:F110">
    <cfRule type="expression" dxfId="1252" priority="13">
      <formula>F89&gt;0</formula>
    </cfRule>
    <cfRule type="expression" dxfId="1251" priority="14">
      <formula>F89&lt;0</formula>
    </cfRule>
  </conditionalFormatting>
  <conditionalFormatting sqref="H89:H110">
    <cfRule type="expression" dxfId="1250" priority="11">
      <formula>H89&gt;0</formula>
    </cfRule>
    <cfRule type="expression" dxfId="1249" priority="12">
      <formula>H89&lt;0</formula>
    </cfRule>
  </conditionalFormatting>
  <conditionalFormatting sqref="J89:J102">
    <cfRule type="expression" dxfId="1248" priority="9">
      <formula>J89&gt;0</formula>
    </cfRule>
    <cfRule type="expression" dxfId="1247" priority="10">
      <formula>J89&lt;0</formula>
    </cfRule>
  </conditionalFormatting>
  <conditionalFormatting sqref="K89:K102">
    <cfRule type="expression" dxfId="1246" priority="7">
      <formula>K89&gt;0</formula>
    </cfRule>
    <cfRule type="expression" dxfId="1245" priority="8">
      <formula>K89&lt;0</formula>
    </cfRule>
  </conditionalFormatting>
  <conditionalFormatting sqref="L89:L102">
    <cfRule type="expression" dxfId="1244" priority="5">
      <formula>L89&gt;0</formula>
    </cfRule>
    <cfRule type="expression" dxfId="1243" priority="6">
      <formula>L89&lt;0</formula>
    </cfRule>
  </conditionalFormatting>
  <conditionalFormatting sqref="F25:F31">
    <cfRule type="expression" dxfId="1242" priority="3">
      <formula>F25&gt;0</formula>
    </cfRule>
    <cfRule type="expression" dxfId="1241" priority="4">
      <formula>F25&lt;0</formula>
    </cfRule>
  </conditionalFormatting>
  <conditionalFormatting sqref="H25:H31">
    <cfRule type="expression" dxfId="1240" priority="1">
      <formula>H25&gt;0</formula>
    </cfRule>
    <cfRule type="expression" dxfId="1239"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897</v>
      </c>
      <c r="B2" s="368">
        <v>43139</v>
      </c>
      <c r="C2" s="7">
        <v>40</v>
      </c>
      <c r="D2" s="43">
        <v>67.58</v>
      </c>
      <c r="E2" s="43">
        <v>0</v>
      </c>
      <c r="F2" s="43">
        <f>C2*D2+E2</f>
        <v>2703.2</v>
      </c>
      <c r="G2" s="368">
        <v>43256</v>
      </c>
      <c r="H2" s="7">
        <v>40</v>
      </c>
      <c r="I2" s="43">
        <v>72.989999999999995</v>
      </c>
      <c r="J2" s="43">
        <v>0.04</v>
      </c>
      <c r="K2" s="43">
        <f>H2*I2-J2</f>
        <v>2919.56</v>
      </c>
      <c r="L2" s="72">
        <v>43191</v>
      </c>
      <c r="M2" s="43">
        <v>9.6</v>
      </c>
      <c r="O2" s="11" t="s">
        <v>57</v>
      </c>
      <c r="Q2">
        <f>C18-H18</f>
        <v>0</v>
      </c>
      <c r="T2" s="1">
        <v>43080</v>
      </c>
      <c r="U2" t="s">
        <v>792</v>
      </c>
    </row>
    <row r="3" spans="1:21" x14ac:dyDescent="0.25">
      <c r="A3" s="22" t="s">
        <v>71</v>
      </c>
      <c r="B3" s="368">
        <v>43249</v>
      </c>
      <c r="C3" s="7">
        <v>60</v>
      </c>
      <c r="D3" s="43">
        <v>69.599999999999994</v>
      </c>
      <c r="E3" s="43">
        <v>0</v>
      </c>
      <c r="F3" s="43">
        <f>C3*D3+E3</f>
        <v>4176</v>
      </c>
      <c r="G3" s="368">
        <v>43299</v>
      </c>
      <c r="H3" s="80">
        <v>60</v>
      </c>
      <c r="I3" s="43">
        <v>76.28</v>
      </c>
      <c r="J3" s="43">
        <v>0.06</v>
      </c>
      <c r="K3" s="43">
        <f>H3*I3-J3</f>
        <v>4576.74</v>
      </c>
      <c r="L3" s="72">
        <v>43281</v>
      </c>
      <c r="M3" s="43">
        <v>14.4</v>
      </c>
      <c r="O3" s="11" t="s">
        <v>58</v>
      </c>
      <c r="Q3" s="178">
        <f>IF(Q2=0, Q4, (F18-K18-M18)/Q2)</f>
        <v>76.22</v>
      </c>
      <c r="T3" s="1"/>
    </row>
    <row r="4" spans="1:21" x14ac:dyDescent="0.25">
      <c r="B4" s="368">
        <v>43300</v>
      </c>
      <c r="C4" s="7">
        <v>60</v>
      </c>
      <c r="D4" s="43">
        <v>75.7</v>
      </c>
      <c r="E4" s="43">
        <v>0</v>
      </c>
      <c r="F4" s="43">
        <f>C4*D4+E4</f>
        <v>4542</v>
      </c>
      <c r="G4" s="368">
        <v>43412</v>
      </c>
      <c r="H4" s="80">
        <v>60</v>
      </c>
      <c r="I4" s="43">
        <v>79.28</v>
      </c>
      <c r="J4" s="43">
        <v>0.06</v>
      </c>
      <c r="K4" s="43">
        <f>H4*I4-J4</f>
        <v>4756.74</v>
      </c>
      <c r="L4" s="72">
        <v>43371</v>
      </c>
      <c r="M4" s="43">
        <v>14.4</v>
      </c>
      <c r="O4" s="11" t="s">
        <v>66</v>
      </c>
      <c r="Q4" s="54">
        <v>76.22</v>
      </c>
      <c r="R4" s="425">
        <v>1.18E-2</v>
      </c>
      <c r="T4" s="693">
        <v>43103</v>
      </c>
      <c r="U4" s="30" t="s">
        <v>815</v>
      </c>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870.23999999999796</v>
      </c>
      <c r="R7">
        <v>0</v>
      </c>
      <c r="T7" s="1">
        <v>43223</v>
      </c>
      <c r="U7" t="s">
        <v>82</v>
      </c>
    </row>
    <row r="8" spans="1:21" x14ac:dyDescent="0.25">
      <c r="B8" s="72"/>
      <c r="C8" s="4"/>
      <c r="D8" s="3"/>
      <c r="E8" s="3"/>
      <c r="F8" s="3"/>
      <c r="G8" s="4"/>
      <c r="H8" s="161"/>
      <c r="I8" s="3"/>
      <c r="J8" s="3"/>
      <c r="K8" s="3"/>
      <c r="L8" s="4"/>
      <c r="M8" s="4"/>
      <c r="O8" s="11" t="s">
        <v>179</v>
      </c>
      <c r="P8" s="33"/>
      <c r="Q8" s="2">
        <f>K18+M18-F18+Q2*Q4</f>
        <v>870.23999999999796</v>
      </c>
    </row>
    <row r="9" spans="1:21" x14ac:dyDescent="0.25">
      <c r="B9" s="4"/>
      <c r="C9" s="4"/>
      <c r="D9" s="3"/>
      <c r="E9" s="3"/>
      <c r="F9" s="3"/>
      <c r="G9" s="4"/>
      <c r="H9" s="161"/>
      <c r="I9" s="3"/>
      <c r="J9" s="3"/>
      <c r="K9" s="3"/>
      <c r="L9" s="4"/>
      <c r="M9" s="4"/>
      <c r="O9" s="11" t="s">
        <v>204</v>
      </c>
      <c r="Q9" s="134">
        <f>IF(Q2=0, 0, Q8/Q6)</f>
        <v>0</v>
      </c>
      <c r="T9" s="693">
        <v>43249</v>
      </c>
      <c r="U9" t="s">
        <v>1087</v>
      </c>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1.2595119391235896E-2</v>
      </c>
      <c r="R11">
        <v>0.24</v>
      </c>
    </row>
    <row r="12" spans="1:21" x14ac:dyDescent="0.25">
      <c r="H12" s="70"/>
      <c r="O12" s="11" t="s">
        <v>921</v>
      </c>
      <c r="Q12" s="1"/>
    </row>
    <row r="13" spans="1:21" x14ac:dyDescent="0.25">
      <c r="H13" s="70"/>
      <c r="O13" s="11" t="s">
        <v>947</v>
      </c>
      <c r="Q13" s="2">
        <f>Q4/3.55</f>
        <v>21.47042253521127</v>
      </c>
    </row>
    <row r="14" spans="1:21" x14ac:dyDescent="0.25">
      <c r="H14" s="70"/>
      <c r="O14" s="11" t="s">
        <v>1034</v>
      </c>
    </row>
    <row r="15" spans="1:21" x14ac:dyDescent="0.25">
      <c r="H15" s="70"/>
    </row>
    <row r="16" spans="1:21" x14ac:dyDescent="0.25">
      <c r="H16" s="70"/>
    </row>
    <row r="18" spans="1:17" x14ac:dyDescent="0.25">
      <c r="A18" s="31" t="s">
        <v>81</v>
      </c>
      <c r="B18" s="14"/>
      <c r="C18" s="14">
        <f>SUM(C2:C8)</f>
        <v>160</v>
      </c>
      <c r="D18" s="18"/>
      <c r="E18" s="18"/>
      <c r="F18" s="18">
        <f>SUM(F2:F8)</f>
        <v>11421.2</v>
      </c>
      <c r="G18" s="14"/>
      <c r="H18" s="71">
        <f>SUM(H2:H5)</f>
        <v>160</v>
      </c>
      <c r="I18" s="18"/>
      <c r="J18" s="18"/>
      <c r="K18" s="18">
        <f>SUM(K2:K5)</f>
        <v>12253.039999999999</v>
      </c>
      <c r="L18" s="14"/>
      <c r="M18" s="18">
        <f>SUM(M2:M10)</f>
        <v>38.4</v>
      </c>
    </row>
    <row r="19" spans="1:17" ht="15.75" thickBot="1" x14ac:dyDescent="0.3">
      <c r="A19" s="277" t="s">
        <v>191</v>
      </c>
      <c r="B19" s="278"/>
      <c r="C19" s="279">
        <f>SumByColor($A$19,C2:C17)</f>
        <v>160</v>
      </c>
      <c r="D19" s="279"/>
      <c r="E19" s="279"/>
      <c r="F19" s="280">
        <f>SumByColor($A$19,F2:F17)</f>
        <v>11421</v>
      </c>
      <c r="G19" s="279"/>
      <c r="H19" s="279">
        <f>SumByColor($A$19,H2:H17)</f>
        <v>160</v>
      </c>
      <c r="I19" s="279"/>
      <c r="J19" s="279"/>
      <c r="K19" s="280">
        <f>SumByColor($A$19,K2:K17)</f>
        <v>12254</v>
      </c>
      <c r="L19" s="279"/>
      <c r="M19" s="280">
        <f>SumByColor($A$19,M2:M17)</f>
        <v>38</v>
      </c>
    </row>
    <row r="22" spans="1:17" ht="20.25" thickBot="1" x14ac:dyDescent="0.35">
      <c r="O22" s="701" t="s">
        <v>78</v>
      </c>
      <c r="P22" s="701"/>
    </row>
    <row r="23" spans="1:17" ht="15.75" thickTop="1" x14ac:dyDescent="0.25">
      <c r="O23" s="81">
        <v>1.1000000000000001</v>
      </c>
      <c r="P23" s="81">
        <f>O23*$Q$4</f>
        <v>83.841999999999999</v>
      </c>
      <c r="Q23" s="2"/>
    </row>
    <row r="24" spans="1:17" x14ac:dyDescent="0.25">
      <c r="B24" s="162" t="s">
        <v>113</v>
      </c>
      <c r="C24" s="162" t="s">
        <v>145</v>
      </c>
      <c r="D24" s="163" t="s">
        <v>144</v>
      </c>
      <c r="E24" s="165" t="s">
        <v>146</v>
      </c>
      <c r="F24" s="165" t="s">
        <v>65</v>
      </c>
      <c r="G24" s="177" t="s">
        <v>150</v>
      </c>
      <c r="H24" s="177" t="s">
        <v>88</v>
      </c>
      <c r="I24" s="177" t="s">
        <v>153</v>
      </c>
      <c r="J24" s="177" t="s">
        <v>149</v>
      </c>
      <c r="K24" s="177" t="s">
        <v>646</v>
      </c>
      <c r="L24" s="177" t="s">
        <v>652</v>
      </c>
      <c r="O24" s="81">
        <v>1.0900000000000001</v>
      </c>
      <c r="P24" s="81">
        <f t="shared" ref="P24:P43" si="0">O24*$Q$4</f>
        <v>83.079800000000006</v>
      </c>
      <c r="Q24" s="2"/>
    </row>
    <row r="25" spans="1:17" x14ac:dyDescent="0.25">
      <c r="B25" s="164">
        <v>43133</v>
      </c>
      <c r="C25" s="10">
        <v>40</v>
      </c>
      <c r="D25" s="39">
        <v>67.58</v>
      </c>
      <c r="E25" s="39">
        <v>67</v>
      </c>
      <c r="F25" s="39">
        <f t="shared" ref="F25:F32" si="1">C25*(E25-D25)</f>
        <v>-23.199999999999932</v>
      </c>
      <c r="G25" s="39">
        <f t="shared" ref="G25:G32" si="2">D25*C25</f>
        <v>2703.2</v>
      </c>
      <c r="H25" s="179">
        <f t="shared" ref="H25:H32" si="3">(E25-D25)/D25</f>
        <v>-8.5824208345664146E-3</v>
      </c>
      <c r="I25" s="39"/>
      <c r="J25" s="101">
        <v>-23.199999999999932</v>
      </c>
      <c r="K25" s="39"/>
      <c r="L25" s="39"/>
      <c r="O25" s="81">
        <v>1.08</v>
      </c>
      <c r="P25" s="81">
        <f t="shared" si="0"/>
        <v>82.317599999999999</v>
      </c>
      <c r="Q25" s="2"/>
    </row>
    <row r="26" spans="1:17" x14ac:dyDescent="0.25">
      <c r="B26" s="164">
        <v>43151</v>
      </c>
      <c r="C26" s="10">
        <v>40</v>
      </c>
      <c r="D26" s="39">
        <v>67.58</v>
      </c>
      <c r="E26" s="39">
        <v>72.86</v>
      </c>
      <c r="F26" s="39">
        <f t="shared" si="1"/>
        <v>211.20000000000005</v>
      </c>
      <c r="G26" s="39">
        <f t="shared" si="2"/>
        <v>2703.2</v>
      </c>
      <c r="H26" s="179">
        <f t="shared" si="3"/>
        <v>7.8129624149156571E-2</v>
      </c>
      <c r="I26" s="39"/>
      <c r="J26" s="101">
        <v>211.20000000000005</v>
      </c>
      <c r="K26" s="39"/>
      <c r="L26" s="39"/>
      <c r="O26" s="81">
        <v>1.07</v>
      </c>
      <c r="P26" s="81">
        <f t="shared" si="0"/>
        <v>81.555400000000006</v>
      </c>
      <c r="Q26" s="2"/>
    </row>
    <row r="27" spans="1:17" x14ac:dyDescent="0.25">
      <c r="B27" s="164">
        <v>43191</v>
      </c>
      <c r="C27" s="10">
        <v>40</v>
      </c>
      <c r="D27" s="39">
        <v>67.34</v>
      </c>
      <c r="E27" s="39">
        <v>72.52</v>
      </c>
      <c r="F27" s="39">
        <f t="shared" si="1"/>
        <v>207.1999999999997</v>
      </c>
      <c r="G27" s="39">
        <f t="shared" si="2"/>
        <v>2693.6000000000004</v>
      </c>
      <c r="H27" s="179">
        <f t="shared" si="3"/>
        <v>7.6923076923076816E-2</v>
      </c>
      <c r="I27" s="39"/>
      <c r="J27" s="101">
        <v>207.1999999999997</v>
      </c>
      <c r="K27" s="39"/>
      <c r="L27" s="155"/>
      <c r="O27" s="81">
        <v>1.06</v>
      </c>
      <c r="P27" s="81">
        <f t="shared" si="0"/>
        <v>80.793199999999999</v>
      </c>
      <c r="Q27" s="2"/>
    </row>
    <row r="28" spans="1:17" x14ac:dyDescent="0.25">
      <c r="B28" s="164">
        <v>43240</v>
      </c>
      <c r="C28" s="10">
        <v>40</v>
      </c>
      <c r="D28" s="39">
        <v>67.34</v>
      </c>
      <c r="E28" s="39">
        <v>71.55</v>
      </c>
      <c r="F28" s="39">
        <f t="shared" si="1"/>
        <v>168.39999999999975</v>
      </c>
      <c r="G28" s="39">
        <f t="shared" si="2"/>
        <v>2693.6000000000004</v>
      </c>
      <c r="H28" s="179">
        <f t="shared" si="3"/>
        <v>6.2518562518562429E-2</v>
      </c>
      <c r="I28" s="39"/>
      <c r="J28" s="101">
        <v>168.39999999999975</v>
      </c>
      <c r="K28" s="39"/>
      <c r="L28" s="155"/>
      <c r="O28" s="81">
        <v>1.05</v>
      </c>
      <c r="P28" s="81">
        <f t="shared" si="0"/>
        <v>80.031000000000006</v>
      </c>
      <c r="Q28" s="2"/>
    </row>
    <row r="29" spans="1:17" x14ac:dyDescent="0.25">
      <c r="A29">
        <v>40</v>
      </c>
      <c r="B29" s="164">
        <v>43249</v>
      </c>
      <c r="C29" s="10">
        <v>100</v>
      </c>
      <c r="D29" s="39">
        <v>68.695999999999998</v>
      </c>
      <c r="E29" s="39">
        <v>69.819999999999993</v>
      </c>
      <c r="F29" s="39">
        <f t="shared" si="1"/>
        <v>112.39999999999952</v>
      </c>
      <c r="G29" s="39">
        <f t="shared" si="2"/>
        <v>6869.5999999999995</v>
      </c>
      <c r="H29" s="179">
        <f t="shared" si="3"/>
        <v>1.6361942471177292E-2</v>
      </c>
      <c r="I29" s="39"/>
      <c r="J29" s="101">
        <v>112.39999999999952</v>
      </c>
      <c r="K29" s="39"/>
      <c r="L29" s="155"/>
      <c r="O29" s="81">
        <v>1.04</v>
      </c>
      <c r="P29" s="81">
        <f t="shared" si="0"/>
        <v>79.268799999999999</v>
      </c>
      <c r="Q29" s="2"/>
    </row>
    <row r="30" spans="1:17" x14ac:dyDescent="0.25">
      <c r="A30">
        <v>0</v>
      </c>
      <c r="B30" s="164">
        <v>43256</v>
      </c>
      <c r="C30" s="185">
        <v>60</v>
      </c>
      <c r="D30" s="186">
        <v>65.834000000000003</v>
      </c>
      <c r="E30" s="39">
        <v>73.78</v>
      </c>
      <c r="F30" s="39">
        <f t="shared" si="1"/>
        <v>476.75999999999988</v>
      </c>
      <c r="G30" s="39">
        <f t="shared" si="2"/>
        <v>3950.04</v>
      </c>
      <c r="H30" s="179">
        <f t="shared" si="3"/>
        <v>0.12069751192392984</v>
      </c>
      <c r="I30" s="39"/>
      <c r="J30" s="101">
        <v>476.75999999999988</v>
      </c>
      <c r="K30" s="39"/>
      <c r="L30" s="155"/>
      <c r="O30" s="81">
        <v>1.03</v>
      </c>
      <c r="P30" s="81">
        <f t="shared" si="0"/>
        <v>78.506600000000006</v>
      </c>
      <c r="Q30" s="2"/>
    </row>
    <row r="31" spans="1:17" x14ac:dyDescent="0.25">
      <c r="B31" s="164">
        <v>43262</v>
      </c>
      <c r="C31" s="10">
        <v>60</v>
      </c>
      <c r="D31" s="39">
        <v>65.834000000000003</v>
      </c>
      <c r="E31" s="39">
        <v>75.33</v>
      </c>
      <c r="F31" s="39">
        <f t="shared" si="1"/>
        <v>569.75999999999976</v>
      </c>
      <c r="G31" s="39">
        <f t="shared" si="2"/>
        <v>3950.04</v>
      </c>
      <c r="H31" s="179">
        <f t="shared" si="3"/>
        <v>0.14424157730048295</v>
      </c>
      <c r="I31" s="39"/>
      <c r="J31" s="101">
        <v>569.75999999999976</v>
      </c>
      <c r="K31" s="39"/>
      <c r="L31" s="155"/>
      <c r="O31" s="81">
        <v>1.02</v>
      </c>
      <c r="P31" s="81">
        <f t="shared" si="0"/>
        <v>77.744399999999999</v>
      </c>
      <c r="Q31" s="2"/>
    </row>
    <row r="32" spans="1:17" x14ac:dyDescent="0.25">
      <c r="A32">
        <v>60</v>
      </c>
      <c r="B32" s="164">
        <v>43281</v>
      </c>
      <c r="C32" s="10">
        <v>60</v>
      </c>
      <c r="D32" s="39">
        <v>65.593999999999994</v>
      </c>
      <c r="E32" s="39">
        <v>73.55</v>
      </c>
      <c r="F32" s="39">
        <f t="shared" si="1"/>
        <v>477.36000000000018</v>
      </c>
      <c r="G32" s="39">
        <f t="shared" si="2"/>
        <v>3935.6399999999994</v>
      </c>
      <c r="H32" s="179">
        <f t="shared" si="3"/>
        <v>0.12129158154709278</v>
      </c>
      <c r="I32" s="39"/>
      <c r="J32" s="101">
        <v>477.36000000000018</v>
      </c>
      <c r="K32" s="39"/>
      <c r="L32" s="155"/>
      <c r="O32" s="81">
        <v>1.01</v>
      </c>
      <c r="P32" s="81">
        <f t="shared" si="0"/>
        <v>76.982200000000006</v>
      </c>
      <c r="Q32" s="2"/>
    </row>
    <row r="33" spans="1:17" x14ac:dyDescent="0.25">
      <c r="B33" s="164">
        <v>43299</v>
      </c>
      <c r="C33" s="10">
        <v>0</v>
      </c>
      <c r="D33" s="39"/>
      <c r="E33" s="39">
        <v>76.28</v>
      </c>
      <c r="F33" s="39">
        <v>641.1</v>
      </c>
      <c r="G33" s="39"/>
      <c r="H33" s="179"/>
      <c r="I33" s="39"/>
      <c r="J33" s="101">
        <v>641.1</v>
      </c>
      <c r="K33" s="39"/>
      <c r="L33" s="155"/>
      <c r="O33" s="81">
        <v>1</v>
      </c>
      <c r="P33" s="81">
        <f t="shared" si="0"/>
        <v>76.22</v>
      </c>
      <c r="Q33" s="2"/>
    </row>
    <row r="34" spans="1:17" x14ac:dyDescent="0.25">
      <c r="B34" s="164">
        <v>43300</v>
      </c>
      <c r="C34" s="185">
        <v>60</v>
      </c>
      <c r="D34" s="186">
        <v>65.015000000000001</v>
      </c>
      <c r="E34" s="39">
        <v>75.760000000000005</v>
      </c>
      <c r="F34" s="39">
        <f t="shared" ref="F34:F39" si="4">C34*(E34-D34)</f>
        <v>644.70000000000027</v>
      </c>
      <c r="G34" s="39">
        <f t="shared" ref="G34:G39" si="5">D34*C34</f>
        <v>3900.9</v>
      </c>
      <c r="H34" s="179">
        <f t="shared" ref="H34:H39" si="6">(E34-D34)/D34</f>
        <v>0.16526955318003544</v>
      </c>
      <c r="I34" s="39"/>
      <c r="J34" s="101">
        <v>644.70000000000027</v>
      </c>
      <c r="K34" s="39"/>
      <c r="L34" s="155"/>
      <c r="O34" s="81">
        <v>0.99</v>
      </c>
      <c r="P34" s="81">
        <f t="shared" si="0"/>
        <v>75.457799999999992</v>
      </c>
      <c r="Q34" s="2"/>
    </row>
    <row r="35" spans="1:17" x14ac:dyDescent="0.25">
      <c r="A35">
        <v>0</v>
      </c>
      <c r="B35" s="164">
        <v>43301</v>
      </c>
      <c r="C35" s="10">
        <v>60</v>
      </c>
      <c r="D35" s="39">
        <v>65.015000000000001</v>
      </c>
      <c r="E35" s="39">
        <v>72.81</v>
      </c>
      <c r="F35" s="39">
        <f t="shared" si="4"/>
        <v>467.7000000000001</v>
      </c>
      <c r="G35" s="39">
        <f t="shared" si="5"/>
        <v>3900.9</v>
      </c>
      <c r="H35" s="179">
        <f t="shared" si="6"/>
        <v>0.11989540875182653</v>
      </c>
      <c r="I35" s="39"/>
      <c r="J35" s="101">
        <v>467.7000000000001</v>
      </c>
      <c r="K35" s="39"/>
      <c r="L35" s="155"/>
      <c r="O35" s="81">
        <v>0.98</v>
      </c>
      <c r="P35" s="81">
        <f t="shared" si="0"/>
        <v>74.695599999999999</v>
      </c>
      <c r="Q35" s="2"/>
    </row>
    <row r="36" spans="1:17" x14ac:dyDescent="0.25">
      <c r="B36" s="164">
        <v>43365</v>
      </c>
      <c r="C36" s="10">
        <v>60</v>
      </c>
      <c r="D36" s="39">
        <v>65.015000000000001</v>
      </c>
      <c r="E36" s="39">
        <v>77.819999999999993</v>
      </c>
      <c r="F36" s="778">
        <f t="shared" si="4"/>
        <v>768.2999999999995</v>
      </c>
      <c r="G36" s="39">
        <f t="shared" si="5"/>
        <v>3900.9</v>
      </c>
      <c r="H36" s="179">
        <f t="shared" si="6"/>
        <v>0.19695454895024214</v>
      </c>
      <c r="I36" s="39"/>
      <c r="J36" s="101">
        <v>768.2999999999995</v>
      </c>
      <c r="K36" s="39"/>
      <c r="L36" s="39"/>
      <c r="O36" s="81">
        <v>0.97</v>
      </c>
      <c r="P36" s="81">
        <f t="shared" si="0"/>
        <v>73.933399999999992</v>
      </c>
    </row>
    <row r="37" spans="1:17" x14ac:dyDescent="0.25">
      <c r="A37">
        <v>60</v>
      </c>
      <c r="B37" s="164">
        <v>43371</v>
      </c>
      <c r="C37" s="185">
        <v>60</v>
      </c>
      <c r="D37" s="186">
        <v>64.775000000000006</v>
      </c>
      <c r="E37" s="39">
        <v>74.89</v>
      </c>
      <c r="F37" s="101">
        <f t="shared" si="4"/>
        <v>606.89999999999964</v>
      </c>
      <c r="G37" s="39">
        <f t="shared" si="5"/>
        <v>3886.5000000000005</v>
      </c>
      <c r="H37" s="179">
        <f t="shared" si="6"/>
        <v>0.15615592435353137</v>
      </c>
      <c r="I37" s="39"/>
      <c r="J37" s="101">
        <v>606.89999999999964</v>
      </c>
      <c r="K37" s="39"/>
      <c r="L37" s="39"/>
      <c r="O37" s="81">
        <v>0.96</v>
      </c>
      <c r="P37" s="81">
        <f t="shared" si="0"/>
        <v>73.171199999999999</v>
      </c>
    </row>
    <row r="38" spans="1:17" x14ac:dyDescent="0.25">
      <c r="B38" s="164">
        <v>43407</v>
      </c>
      <c r="C38" s="10">
        <v>60</v>
      </c>
      <c r="D38" s="39">
        <v>64.78</v>
      </c>
      <c r="E38" s="39">
        <v>76.91</v>
      </c>
      <c r="F38" s="39">
        <f t="shared" si="4"/>
        <v>727.79999999999973</v>
      </c>
      <c r="G38" s="39">
        <f t="shared" si="5"/>
        <v>3886.8</v>
      </c>
      <c r="H38" s="179">
        <f t="shared" si="6"/>
        <v>0.18724915097252232</v>
      </c>
      <c r="I38" s="39"/>
      <c r="J38" s="101">
        <v>727.79999999999973</v>
      </c>
      <c r="K38" s="39"/>
      <c r="L38" s="39"/>
      <c r="O38" s="81">
        <v>0.95</v>
      </c>
      <c r="P38" s="81">
        <f t="shared" si="0"/>
        <v>72.408999999999992</v>
      </c>
    </row>
    <row r="39" spans="1:17" x14ac:dyDescent="0.25">
      <c r="B39" s="164">
        <v>43412</v>
      </c>
      <c r="C39" s="10">
        <v>0</v>
      </c>
      <c r="D39" s="39">
        <v>64.78</v>
      </c>
      <c r="E39" s="39">
        <v>79.08</v>
      </c>
      <c r="F39" s="39">
        <f t="shared" si="4"/>
        <v>0</v>
      </c>
      <c r="G39" s="39">
        <f t="shared" si="5"/>
        <v>0</v>
      </c>
      <c r="H39" s="179">
        <f t="shared" si="6"/>
        <v>0.2207471441803025</v>
      </c>
      <c r="I39" s="39"/>
      <c r="J39" s="778">
        <v>870.24</v>
      </c>
      <c r="K39" s="39"/>
      <c r="L39" s="39"/>
      <c r="O39" s="81">
        <v>0.94</v>
      </c>
      <c r="P39" s="81">
        <f t="shared" si="0"/>
        <v>71.646799999999999</v>
      </c>
    </row>
    <row r="40" spans="1:17" x14ac:dyDescent="0.25">
      <c r="B40" s="164"/>
      <c r="C40" s="10"/>
      <c r="D40" s="39"/>
      <c r="E40" s="39"/>
      <c r="F40" s="39"/>
      <c r="G40" s="39"/>
      <c r="H40" s="179"/>
      <c r="I40" s="39"/>
      <c r="J40" s="39"/>
      <c r="K40" s="39"/>
      <c r="L40" s="39"/>
      <c r="O40" s="81">
        <v>0.93</v>
      </c>
      <c r="P40" s="81">
        <f t="shared" si="0"/>
        <v>70.884600000000006</v>
      </c>
    </row>
    <row r="41" spans="1:17" x14ac:dyDescent="0.25">
      <c r="B41" s="164"/>
      <c r="C41" s="10"/>
      <c r="D41" s="39"/>
      <c r="E41" s="39"/>
      <c r="F41" s="39"/>
      <c r="G41" s="39"/>
      <c r="H41" s="179"/>
      <c r="I41" s="39"/>
      <c r="J41" s="39"/>
      <c r="K41" s="39"/>
      <c r="L41" s="39"/>
      <c r="O41" s="81">
        <v>0.92</v>
      </c>
      <c r="P41" s="81">
        <f t="shared" si="0"/>
        <v>70.122399999999999</v>
      </c>
    </row>
    <row r="42" spans="1:17" x14ac:dyDescent="0.25">
      <c r="B42" s="164"/>
      <c r="C42" s="10"/>
      <c r="D42" s="39"/>
      <c r="E42" s="39"/>
      <c r="F42" s="39"/>
      <c r="G42" s="39"/>
      <c r="H42" s="179"/>
      <c r="I42" s="39"/>
      <c r="J42" s="39"/>
      <c r="K42" s="39"/>
      <c r="L42" s="39"/>
      <c r="O42" s="81">
        <v>0.91</v>
      </c>
      <c r="P42" s="81">
        <f t="shared" si="0"/>
        <v>69.360200000000006</v>
      </c>
    </row>
    <row r="43" spans="1:17" x14ac:dyDescent="0.25">
      <c r="B43" s="164"/>
      <c r="C43" s="10"/>
      <c r="D43" s="39"/>
      <c r="E43" s="39"/>
      <c r="F43" s="39"/>
      <c r="G43" s="39"/>
      <c r="H43" s="179"/>
      <c r="I43" s="39"/>
      <c r="J43" s="39"/>
      <c r="K43" s="39"/>
      <c r="L43" s="39"/>
      <c r="O43" s="81">
        <v>0.9</v>
      </c>
      <c r="P43" s="81">
        <f t="shared" si="0"/>
        <v>68.597999999999999</v>
      </c>
    </row>
    <row r="44" spans="1:17" x14ac:dyDescent="0.25">
      <c r="B44" s="164"/>
      <c r="C44" s="10"/>
      <c r="D44" s="39"/>
      <c r="E44" s="39"/>
      <c r="F44" s="39"/>
      <c r="G44" s="39"/>
      <c r="H44" s="179"/>
      <c r="I44" s="39"/>
      <c r="J44" s="39"/>
      <c r="K44" s="39"/>
      <c r="L44" s="39"/>
    </row>
    <row r="45" spans="1:17" x14ac:dyDescent="0.25">
      <c r="B45" s="164"/>
      <c r="C45" s="10"/>
      <c r="D45" s="39"/>
      <c r="E45" s="39"/>
      <c r="F45" s="39"/>
      <c r="G45" s="39"/>
      <c r="H45" s="179"/>
      <c r="I45" s="39"/>
      <c r="J45" s="39"/>
      <c r="K45" s="39"/>
      <c r="L45" s="39"/>
    </row>
    <row r="46" spans="1:17" x14ac:dyDescent="0.25">
      <c r="B46" s="164"/>
      <c r="C46" s="10"/>
      <c r="D46" s="39"/>
      <c r="E46" s="39"/>
      <c r="F46" s="39"/>
      <c r="G46" s="39"/>
      <c r="H46" s="179"/>
      <c r="I46" s="39"/>
      <c r="J46" s="39"/>
      <c r="K46" s="39"/>
      <c r="L46" s="39"/>
    </row>
    <row r="47" spans="1:17" x14ac:dyDescent="0.25">
      <c r="B47" s="72"/>
      <c r="C47" s="4"/>
      <c r="D47" s="3"/>
      <c r="E47" s="3"/>
      <c r="F47" s="3"/>
      <c r="G47" s="3"/>
      <c r="H47" s="216"/>
      <c r="I47" s="214"/>
    </row>
    <row r="48" spans="1:17" x14ac:dyDescent="0.25">
      <c r="B48" s="72"/>
      <c r="C48" s="4"/>
      <c r="D48" s="3"/>
      <c r="E48" s="3"/>
      <c r="F48" s="3"/>
      <c r="G48" s="3"/>
      <c r="H48" s="216"/>
      <c r="I48" s="3"/>
    </row>
    <row r="49" spans="1:12" x14ac:dyDescent="0.25">
      <c r="B49" s="72"/>
      <c r="C49" s="4"/>
      <c r="D49" s="3"/>
      <c r="E49" s="3"/>
      <c r="F49" s="3"/>
      <c r="G49" s="3"/>
      <c r="H49" s="216"/>
      <c r="I49" s="3"/>
    </row>
    <row r="50" spans="1:12" x14ac:dyDescent="0.25">
      <c r="B50" s="72"/>
      <c r="C50" s="4"/>
      <c r="D50" s="3"/>
      <c r="E50" s="3"/>
      <c r="F50" s="3"/>
      <c r="G50" s="3"/>
      <c r="H50" s="216"/>
      <c r="I50" s="3"/>
    </row>
    <row r="51" spans="1:12" x14ac:dyDescent="0.25">
      <c r="B51" s="72"/>
      <c r="C51" s="4"/>
      <c r="D51" s="3"/>
      <c r="E51" s="3"/>
      <c r="F51" s="3"/>
      <c r="G51" s="3"/>
      <c r="H51" s="216"/>
      <c r="I51" s="3"/>
    </row>
    <row r="52" spans="1:12" x14ac:dyDescent="0.25">
      <c r="B52" s="72"/>
      <c r="C52" s="4"/>
      <c r="D52" s="3"/>
      <c r="E52" s="3"/>
      <c r="F52" s="3"/>
      <c r="G52" s="3"/>
      <c r="H52" s="216"/>
      <c r="I52" s="3"/>
    </row>
    <row r="53" spans="1:12" x14ac:dyDescent="0.25">
      <c r="B53" s="72"/>
      <c r="C53" s="4"/>
      <c r="D53" s="3"/>
      <c r="E53" s="3"/>
      <c r="F53" s="3"/>
      <c r="G53" s="3"/>
      <c r="H53" s="216"/>
      <c r="I53" s="3"/>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897</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238" priority="39">
      <formula>F47&gt;0</formula>
    </cfRule>
    <cfRule type="expression" dxfId="1237" priority="40">
      <formula>F47&lt;0</formula>
    </cfRule>
  </conditionalFormatting>
  <conditionalFormatting sqref="Q7">
    <cfRule type="expression" dxfId="1236" priority="37">
      <formula>Q7&gt;0</formula>
    </cfRule>
    <cfRule type="expression" dxfId="1235" priority="38">
      <formula>Q7&lt;0</formula>
    </cfRule>
  </conditionalFormatting>
  <conditionalFormatting sqref="Q8">
    <cfRule type="expression" dxfId="1234" priority="35">
      <formula>Q8&gt;0</formula>
    </cfRule>
    <cfRule type="expression" dxfId="1233" priority="36">
      <formula>Q8&lt;0</formula>
    </cfRule>
  </conditionalFormatting>
  <conditionalFormatting sqref="F30:F33 F38:F46">
    <cfRule type="expression" dxfId="1232" priority="33">
      <formula>F30&gt;0</formula>
    </cfRule>
    <cfRule type="expression" dxfId="1231" priority="34">
      <formula>F30&lt;0</formula>
    </cfRule>
  </conditionalFormatting>
  <conditionalFormatting sqref="H30:H33 H37:H46">
    <cfRule type="expression" dxfId="1230" priority="31">
      <formula>H30&gt;0</formula>
    </cfRule>
    <cfRule type="expression" dxfId="1229" priority="32">
      <formula>H30&lt;0</formula>
    </cfRule>
  </conditionalFormatting>
  <conditionalFormatting sqref="Q10">
    <cfRule type="expression" dxfId="1228" priority="29">
      <formula>Q10&gt;0</formula>
    </cfRule>
    <cfRule type="expression" dxfId="1227" priority="30">
      <formula>Q10&lt;0</formula>
    </cfRule>
  </conditionalFormatting>
  <conditionalFormatting sqref="K25:K38">
    <cfRule type="expression" dxfId="1226" priority="25">
      <formula>K25&gt;0</formula>
    </cfRule>
    <cfRule type="expression" dxfId="1225" priority="26">
      <formula>K25&lt;0</formula>
    </cfRule>
  </conditionalFormatting>
  <conditionalFormatting sqref="L25:L38">
    <cfRule type="expression" dxfId="1224" priority="23">
      <formula>L25&gt;0</formula>
    </cfRule>
    <cfRule type="expression" dxfId="1223" priority="24">
      <formula>L25&lt;0</formula>
    </cfRule>
  </conditionalFormatting>
  <conditionalFormatting sqref="F89:F110">
    <cfRule type="expression" dxfId="1222" priority="21">
      <formula>F89&gt;0</formula>
    </cfRule>
    <cfRule type="expression" dxfId="1221" priority="22">
      <formula>F89&lt;0</formula>
    </cfRule>
  </conditionalFormatting>
  <conditionalFormatting sqref="H89:H110">
    <cfRule type="expression" dxfId="1220" priority="19">
      <formula>H89&gt;0</formula>
    </cfRule>
    <cfRule type="expression" dxfId="1219" priority="20">
      <formula>H89&lt;0</formula>
    </cfRule>
  </conditionalFormatting>
  <conditionalFormatting sqref="J89:J102">
    <cfRule type="expression" dxfId="1218" priority="17">
      <formula>J89&gt;0</formula>
    </cfRule>
    <cfRule type="expression" dxfId="1217" priority="18">
      <formula>J89&lt;0</formula>
    </cfRule>
  </conditionalFormatting>
  <conditionalFormatting sqref="K89:K102">
    <cfRule type="expression" dxfId="1216" priority="15">
      <formula>K89&gt;0</formula>
    </cfRule>
    <cfRule type="expression" dxfId="1215" priority="16">
      <formula>K89&lt;0</formula>
    </cfRule>
  </conditionalFormatting>
  <conditionalFormatting sqref="L89:L102">
    <cfRule type="expression" dxfId="1214" priority="13">
      <formula>L89&gt;0</formula>
    </cfRule>
    <cfRule type="expression" dxfId="1213" priority="14">
      <formula>L89&lt;0</formula>
    </cfRule>
  </conditionalFormatting>
  <conditionalFormatting sqref="F25:F29">
    <cfRule type="expression" dxfId="1212" priority="11">
      <formula>F25&gt;0</formula>
    </cfRule>
    <cfRule type="expression" dxfId="1211" priority="12">
      <formula>F25&lt;0</formula>
    </cfRule>
  </conditionalFormatting>
  <conditionalFormatting sqref="H25:H29">
    <cfRule type="expression" dxfId="1210" priority="9">
      <formula>H25&gt;0</formula>
    </cfRule>
    <cfRule type="expression" dxfId="1209" priority="10">
      <formula>H25&lt;0</formula>
    </cfRule>
  </conditionalFormatting>
  <conditionalFormatting sqref="F34:F37">
    <cfRule type="expression" dxfId="1208" priority="7">
      <formula>F34&gt;0</formula>
    </cfRule>
    <cfRule type="expression" dxfId="1207" priority="8">
      <formula>F34&lt;0</formula>
    </cfRule>
  </conditionalFormatting>
  <conditionalFormatting sqref="H34:H36">
    <cfRule type="expression" dxfId="1206" priority="5">
      <formula>H34&gt;0</formula>
    </cfRule>
    <cfRule type="expression" dxfId="1205" priority="6">
      <formula>H34&lt;0</formula>
    </cfRule>
  </conditionalFormatting>
  <conditionalFormatting sqref="J39">
    <cfRule type="expression" dxfId="1204" priority="3">
      <formula>J39&gt;0</formula>
    </cfRule>
    <cfRule type="expression" dxfId="1203" priority="4">
      <formula>J39&lt;0</formula>
    </cfRule>
  </conditionalFormatting>
  <conditionalFormatting sqref="J25:J38">
    <cfRule type="expression" dxfId="1202" priority="1">
      <formula>J25&gt;0</formula>
    </cfRule>
    <cfRule type="expression" dxfId="1201" priority="2">
      <formula>J25&lt;0</formula>
    </cfRule>
  </conditionalFormatting>
  <hyperlinks>
    <hyperlink ref="A3" location="ACTIVE!A1" display="Back"/>
  </hyperlinks>
  <pageMargins left="0.7" right="0.7" top="0.75" bottom="0.75" header="0.3" footer="0.3"/>
  <pageSetup orientation="portrait" r:id="rId1"/>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4"/>
      <c r="W1" s="129" t="s">
        <v>113</v>
      </c>
      <c r="X1" s="129" t="s">
        <v>114</v>
      </c>
      <c r="Y1" s="129" t="s">
        <v>115</v>
      </c>
      <c r="Z1" s="129" t="s">
        <v>116</v>
      </c>
      <c r="AA1" s="129" t="s">
        <v>117</v>
      </c>
      <c r="AB1" s="129" t="s">
        <v>118</v>
      </c>
      <c r="AC1" s="129" t="s">
        <v>119</v>
      </c>
      <c r="AD1" s="16" t="s">
        <v>125</v>
      </c>
      <c r="AE1" s="16" t="s">
        <v>127</v>
      </c>
    </row>
    <row r="2" spans="1:42" x14ac:dyDescent="0.25">
      <c r="A2" s="6" t="s">
        <v>192</v>
      </c>
      <c r="B2" s="72"/>
      <c r="C2" s="4"/>
      <c r="D2" s="3"/>
      <c r="E2" s="3"/>
      <c r="F2" s="3"/>
      <c r="G2" s="72"/>
      <c r="H2" s="4"/>
      <c r="I2" s="3"/>
      <c r="J2" s="3"/>
      <c r="K2" s="3"/>
      <c r="L2" s="72"/>
      <c r="M2" s="3"/>
      <c r="O2" s="11" t="s">
        <v>57</v>
      </c>
      <c r="Q2">
        <f>C18-H18</f>
        <v>0</v>
      </c>
      <c r="T2" s="16"/>
      <c r="U2" s="124"/>
      <c r="V2" s="16"/>
      <c r="W2" s="137">
        <v>42830</v>
      </c>
      <c r="X2" s="138">
        <v>54.97</v>
      </c>
      <c r="Y2" s="138">
        <v>55.8</v>
      </c>
      <c r="Z2" s="10">
        <v>54.5</v>
      </c>
      <c r="AA2" s="10">
        <v>54.98</v>
      </c>
      <c r="AB2" s="93">
        <v>7658500</v>
      </c>
      <c r="AC2" s="10">
        <v>54.98</v>
      </c>
      <c r="AE2" s="134"/>
    </row>
    <row r="3" spans="1:42" x14ac:dyDescent="0.25">
      <c r="A3" s="22" t="s">
        <v>71</v>
      </c>
      <c r="B3" s="72"/>
      <c r="C3" s="4"/>
      <c r="D3" s="3"/>
      <c r="E3" s="3"/>
      <c r="F3" s="3"/>
      <c r="G3" s="72"/>
      <c r="H3" s="161"/>
      <c r="I3" s="3"/>
      <c r="J3" s="3"/>
      <c r="K3" s="3"/>
      <c r="L3" s="4"/>
      <c r="M3" s="4"/>
      <c r="O3" s="11" t="s">
        <v>58</v>
      </c>
      <c r="Q3" s="178">
        <f>IF(Q2=0, Q4, (F18-K18-M18)/Q2)</f>
        <v>81.28</v>
      </c>
      <c r="W3" s="130">
        <v>42829</v>
      </c>
      <c r="X3" s="10">
        <v>55.15</v>
      </c>
      <c r="Y3" s="10">
        <v>55.3</v>
      </c>
      <c r="Z3" s="10">
        <v>54.83</v>
      </c>
      <c r="AA3" s="10">
        <v>55.04</v>
      </c>
      <c r="AB3" s="93">
        <v>8829800</v>
      </c>
      <c r="AC3" s="10">
        <v>55.04</v>
      </c>
      <c r="AE3" s="134"/>
      <c r="AL3" s="182"/>
      <c r="AO3" s="182"/>
    </row>
    <row r="4" spans="1:42" x14ac:dyDescent="0.25">
      <c r="B4" s="4"/>
      <c r="C4" s="4"/>
      <c r="D4" s="4"/>
      <c r="E4" s="4"/>
      <c r="F4" s="4"/>
      <c r="G4" s="72"/>
      <c r="H4" s="161"/>
      <c r="I4" s="3"/>
      <c r="J4" s="3"/>
      <c r="K4" s="3"/>
      <c r="L4" s="4"/>
      <c r="M4" s="4"/>
      <c r="O4" s="11" t="s">
        <v>66</v>
      </c>
      <c r="Q4" s="172">
        <v>81.28</v>
      </c>
      <c r="R4" s="405">
        <v>1.12E-2</v>
      </c>
      <c r="T4" s="1"/>
      <c r="W4" s="130">
        <v>42828</v>
      </c>
      <c r="X4" s="10">
        <v>55.74</v>
      </c>
      <c r="Y4" s="10">
        <v>55.8</v>
      </c>
      <c r="Z4" s="10">
        <v>55.15</v>
      </c>
      <c r="AA4" s="10">
        <v>55.56</v>
      </c>
      <c r="AB4" s="93">
        <v>7078000</v>
      </c>
      <c r="AC4" s="10">
        <v>55.56</v>
      </c>
      <c r="AE4" s="134"/>
      <c r="AL4" s="182"/>
      <c r="AO4" s="182"/>
    </row>
    <row r="5" spans="1:42" x14ac:dyDescent="0.25">
      <c r="B5" s="72"/>
      <c r="C5" s="4"/>
      <c r="D5" s="3"/>
      <c r="E5" s="3"/>
      <c r="F5" s="3"/>
      <c r="G5" s="72"/>
      <c r="H5" s="161"/>
      <c r="I5" s="3"/>
      <c r="J5" s="3"/>
      <c r="K5" s="3"/>
      <c r="L5" s="4"/>
      <c r="M5" s="4"/>
      <c r="O5" s="11" t="s">
        <v>67</v>
      </c>
      <c r="Q5" s="3">
        <f>Q4*Q2</f>
        <v>0</v>
      </c>
      <c r="W5" s="130">
        <v>42825</v>
      </c>
      <c r="X5" s="10">
        <v>56</v>
      </c>
      <c r="Y5" s="10">
        <v>56.03</v>
      </c>
      <c r="Z5" s="10">
        <v>55.65</v>
      </c>
      <c r="AA5" s="10">
        <v>55.73</v>
      </c>
      <c r="AB5" s="93">
        <v>5903600</v>
      </c>
      <c r="AC5" s="10">
        <v>55.73</v>
      </c>
      <c r="AE5" s="134"/>
      <c r="AL5" s="182"/>
      <c r="AO5" s="182"/>
    </row>
    <row r="6" spans="1:42" x14ac:dyDescent="0.25">
      <c r="B6" s="72"/>
      <c r="C6" s="4"/>
      <c r="D6" s="3"/>
      <c r="E6" s="3"/>
      <c r="F6" s="3"/>
      <c r="G6" s="72"/>
      <c r="H6" s="161"/>
      <c r="I6" s="3"/>
      <c r="J6" s="3"/>
      <c r="K6" s="3"/>
      <c r="L6" s="4"/>
      <c r="M6" s="4"/>
      <c r="O6" s="11" t="s">
        <v>64</v>
      </c>
      <c r="Q6" s="2">
        <f>Q3*Q2</f>
        <v>0</v>
      </c>
      <c r="W6" s="130">
        <v>42824</v>
      </c>
      <c r="X6" s="10">
        <v>56.48</v>
      </c>
      <c r="Y6" s="10">
        <v>56.6</v>
      </c>
      <c r="Z6" s="10">
        <v>55.81</v>
      </c>
      <c r="AA6" s="10">
        <v>56.04</v>
      </c>
      <c r="AB6" s="93">
        <v>7193300</v>
      </c>
      <c r="AC6" s="10">
        <v>56.04</v>
      </c>
      <c r="AE6" s="134"/>
      <c r="AL6" s="182"/>
      <c r="AO6" s="182"/>
    </row>
    <row r="7" spans="1:42" x14ac:dyDescent="0.25">
      <c r="B7" s="4"/>
      <c r="C7" s="4"/>
      <c r="D7" s="3"/>
      <c r="E7" s="3"/>
      <c r="F7" s="3"/>
      <c r="G7" s="4"/>
      <c r="H7" s="161"/>
      <c r="I7" s="3"/>
      <c r="J7" s="3"/>
      <c r="K7" s="3"/>
      <c r="L7" s="4"/>
      <c r="M7" s="4"/>
      <c r="O7" s="11" t="s">
        <v>177</v>
      </c>
      <c r="Q7" s="2">
        <f>Q10+Q8</f>
        <v>785.90999999999985</v>
      </c>
      <c r="R7">
        <v>0</v>
      </c>
      <c r="W7" s="130">
        <v>42823</v>
      </c>
      <c r="X7" s="10">
        <v>56.41</v>
      </c>
      <c r="Y7" s="10">
        <v>57.1</v>
      </c>
      <c r="Z7" s="10">
        <v>56.35</v>
      </c>
      <c r="AA7" s="10">
        <v>56.68</v>
      </c>
      <c r="AB7" s="93">
        <v>7407000</v>
      </c>
      <c r="AC7" s="10">
        <v>56.68</v>
      </c>
      <c r="AE7" s="134"/>
    </row>
    <row r="8" spans="1:42" x14ac:dyDescent="0.25">
      <c r="B8" s="4"/>
      <c r="C8" s="4"/>
      <c r="D8" s="4"/>
      <c r="E8" s="4"/>
      <c r="F8" s="4"/>
      <c r="G8" s="4"/>
      <c r="H8" s="161"/>
      <c r="I8" s="3"/>
      <c r="J8" s="3"/>
      <c r="K8" s="3"/>
      <c r="L8" s="4"/>
      <c r="M8" s="4"/>
      <c r="O8" s="11" t="s">
        <v>179</v>
      </c>
      <c r="P8" s="33"/>
      <c r="Q8" s="2">
        <f>K18+M18-F18+Q2*Q4</f>
        <v>0</v>
      </c>
      <c r="W8" s="130">
        <v>42822</v>
      </c>
      <c r="X8" s="10">
        <v>55.99</v>
      </c>
      <c r="Y8" s="10">
        <v>56.78</v>
      </c>
      <c r="Z8" s="10">
        <v>55.79</v>
      </c>
      <c r="AA8" s="10">
        <v>56.62</v>
      </c>
      <c r="AB8" s="93">
        <v>7772900</v>
      </c>
      <c r="AC8" s="10">
        <v>56.62</v>
      </c>
      <c r="AE8" s="134"/>
      <c r="AL8" s="182"/>
      <c r="AO8" s="182"/>
      <c r="AP8" s="182"/>
    </row>
    <row r="9" spans="1:42" x14ac:dyDescent="0.25">
      <c r="H9" s="70"/>
      <c r="O9" s="11" t="s">
        <v>204</v>
      </c>
      <c r="Q9" s="134">
        <f>IF(Q2=0, 0, Q8/Q6)</f>
        <v>0</v>
      </c>
      <c r="W9" s="130">
        <v>42821</v>
      </c>
      <c r="X9" s="10">
        <v>55.64</v>
      </c>
      <c r="Y9" s="10">
        <v>56.25</v>
      </c>
      <c r="Z9" s="10">
        <v>55.54</v>
      </c>
      <c r="AA9" s="10">
        <v>55.93</v>
      </c>
      <c r="AB9" s="93">
        <v>8557200</v>
      </c>
      <c r="AC9" s="10">
        <v>55.93</v>
      </c>
      <c r="AE9" s="134"/>
    </row>
    <row r="10" spans="1:42" x14ac:dyDescent="0.25">
      <c r="H10" s="70"/>
      <c r="O10" s="11" t="s">
        <v>203</v>
      </c>
      <c r="P10" s="33"/>
      <c r="Q10" s="2">
        <f>M36</f>
        <v>785.90999999999985</v>
      </c>
      <c r="T10" s="11"/>
      <c r="W10" s="130">
        <v>42818</v>
      </c>
      <c r="X10" s="10">
        <v>55.29</v>
      </c>
      <c r="Y10" s="10">
        <v>56.64</v>
      </c>
      <c r="Z10" s="10">
        <v>55.12</v>
      </c>
      <c r="AA10" s="10">
        <v>56.36</v>
      </c>
      <c r="AB10" s="93">
        <v>14042600</v>
      </c>
      <c r="AC10" s="10">
        <v>56.36</v>
      </c>
      <c r="AE10" s="134"/>
      <c r="AL10" s="182"/>
      <c r="AO10" s="182"/>
    </row>
    <row r="11" spans="1:42" x14ac:dyDescent="0.25">
      <c r="H11" s="70"/>
      <c r="O11" s="11" t="s">
        <v>175</v>
      </c>
      <c r="P11" s="33"/>
      <c r="Q11" s="134">
        <f>IF(U58="N/A (N/A)", 0, VALUE(TRIM(CLEAN(MID(U58, FIND("(", U58)+1, 5)))))</f>
        <v>1.29E-2</v>
      </c>
      <c r="T11" s="1"/>
      <c r="W11" s="130">
        <v>42817</v>
      </c>
      <c r="X11" s="10">
        <v>54.61</v>
      </c>
      <c r="Y11" s="10">
        <v>55.55</v>
      </c>
      <c r="Z11" s="10">
        <v>54.52</v>
      </c>
      <c r="AA11" s="10">
        <v>55.37</v>
      </c>
      <c r="AB11" s="93">
        <v>22472800</v>
      </c>
      <c r="AC11" s="10">
        <v>55.37</v>
      </c>
      <c r="AE11" s="134"/>
    </row>
    <row r="12" spans="1:42" x14ac:dyDescent="0.25">
      <c r="H12" s="70"/>
      <c r="W12" s="130">
        <v>42816</v>
      </c>
      <c r="X12" s="10">
        <v>54.76</v>
      </c>
      <c r="Y12" s="10">
        <v>55</v>
      </c>
      <c r="Z12" s="10">
        <v>53.76</v>
      </c>
      <c r="AA12" s="10">
        <v>53.92</v>
      </c>
      <c r="AB12" s="93">
        <v>37267800</v>
      </c>
      <c r="AC12" s="10">
        <v>53.92</v>
      </c>
      <c r="AE12" s="134"/>
      <c r="AL12" s="182"/>
      <c r="AO12" s="182"/>
    </row>
    <row r="13" spans="1:42" x14ac:dyDescent="0.25">
      <c r="H13" s="70"/>
      <c r="T13" s="1"/>
      <c r="W13" s="130">
        <v>42815</v>
      </c>
      <c r="X13" s="10">
        <v>58.78</v>
      </c>
      <c r="Y13" s="10">
        <v>59</v>
      </c>
      <c r="Z13" s="10">
        <v>57.72</v>
      </c>
      <c r="AA13" s="10">
        <v>58.01</v>
      </c>
      <c r="AB13" s="93">
        <v>14001200</v>
      </c>
      <c r="AC13" s="10">
        <v>58.01</v>
      </c>
      <c r="AE13" s="134"/>
    </row>
    <row r="14" spans="1:42" x14ac:dyDescent="0.25">
      <c r="H14" s="70"/>
      <c r="W14" s="130">
        <v>42814</v>
      </c>
      <c r="X14" s="10">
        <v>58</v>
      </c>
      <c r="Y14" s="10">
        <v>58.81</v>
      </c>
      <c r="Z14" s="10">
        <v>57.96</v>
      </c>
      <c r="AA14" s="10">
        <v>58.68</v>
      </c>
      <c r="AB14" s="93">
        <v>13165000</v>
      </c>
      <c r="AC14" s="10">
        <v>58.68</v>
      </c>
      <c r="AE14" s="134"/>
      <c r="AL14" s="182"/>
      <c r="AO14" s="182"/>
      <c r="AP14" s="182"/>
    </row>
    <row r="15" spans="1:42" x14ac:dyDescent="0.25">
      <c r="H15" s="70"/>
      <c r="W15" s="130">
        <v>42811</v>
      </c>
      <c r="X15" s="10">
        <v>57.77</v>
      </c>
      <c r="Y15" s="10">
        <v>57.89</v>
      </c>
      <c r="Z15" s="10">
        <v>57.31</v>
      </c>
      <c r="AA15" s="10">
        <v>57.8</v>
      </c>
      <c r="AB15" s="93">
        <v>10738200</v>
      </c>
      <c r="AC15" s="10">
        <v>57.8</v>
      </c>
      <c r="AE15" s="134"/>
    </row>
    <row r="16" spans="1:42" x14ac:dyDescent="0.25">
      <c r="H16" s="70"/>
      <c r="O16" s="2"/>
      <c r="P16" s="2"/>
      <c r="Q16" s="2"/>
      <c r="T16" s="68"/>
      <c r="W16" s="130">
        <v>42810</v>
      </c>
      <c r="X16" s="10">
        <v>57.43</v>
      </c>
      <c r="Y16" s="10">
        <v>57.72</v>
      </c>
      <c r="Z16" s="10">
        <v>56.83</v>
      </c>
      <c r="AA16" s="10">
        <v>57.6</v>
      </c>
      <c r="AB16" s="93">
        <v>9882200</v>
      </c>
      <c r="AC16" s="10">
        <v>57.6</v>
      </c>
      <c r="AE16" s="134"/>
    </row>
    <row r="17" spans="1:41" x14ac:dyDescent="0.25">
      <c r="H17" s="70"/>
      <c r="O17" s="2"/>
      <c r="P17" s="2"/>
      <c r="Q17" s="2"/>
      <c r="W17" s="130">
        <v>42809</v>
      </c>
      <c r="X17" s="10">
        <v>57.63</v>
      </c>
      <c r="Y17" s="10">
        <v>57.99</v>
      </c>
      <c r="Z17" s="10">
        <v>56.75</v>
      </c>
      <c r="AA17" s="10">
        <v>57.66</v>
      </c>
      <c r="AB17" s="93">
        <v>9925300</v>
      </c>
      <c r="AC17" s="10">
        <v>57.66</v>
      </c>
      <c r="AE17" s="134"/>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30">
        <v>42808</v>
      </c>
      <c r="X18" s="10">
        <v>56.87</v>
      </c>
      <c r="Y18" s="10">
        <v>58.01</v>
      </c>
      <c r="Z18" s="10">
        <v>56.72</v>
      </c>
      <c r="AA18" s="10">
        <v>57.28</v>
      </c>
      <c r="AB18" s="93">
        <v>9266500</v>
      </c>
      <c r="AC18" s="10">
        <v>57.28</v>
      </c>
      <c r="AE18" s="134"/>
      <c r="AL18" s="182"/>
      <c r="AO18" s="182"/>
    </row>
    <row r="19" spans="1:41" ht="15.75" thickBot="1" x14ac:dyDescent="0.3">
      <c r="A19" s="277" t="s">
        <v>191</v>
      </c>
      <c r="B19" s="278"/>
      <c r="C19" s="279">
        <f>SumByColor($A$19,C2:C17)</f>
        <v>0</v>
      </c>
      <c r="D19" s="279"/>
      <c r="E19" s="279"/>
      <c r="F19" s="280">
        <f>SumByColor($A$19,F2:F5)</f>
        <v>0</v>
      </c>
      <c r="G19" s="279"/>
      <c r="H19" s="279">
        <f>SumByColor($A$19,H2:H17)</f>
        <v>0</v>
      </c>
      <c r="I19" s="279"/>
      <c r="J19" s="279"/>
      <c r="K19" s="280">
        <f>SumByColor($A$19,K2:K17)</f>
        <v>0</v>
      </c>
      <c r="L19" s="279"/>
      <c r="M19" s="280">
        <f>SumByColor($A$19,M2:M17)</f>
        <v>0</v>
      </c>
      <c r="O19" s="2"/>
      <c r="P19" s="2"/>
      <c r="Q19" s="2"/>
      <c r="W19" s="130">
        <v>42807</v>
      </c>
      <c r="X19" s="10">
        <v>56.43</v>
      </c>
      <c r="Y19" s="10">
        <v>56.82</v>
      </c>
      <c r="Z19" s="10">
        <v>56.11</v>
      </c>
      <c r="AA19" s="10">
        <v>56.67</v>
      </c>
      <c r="AB19" s="93">
        <v>7172400</v>
      </c>
      <c r="AC19" s="10">
        <v>56.67</v>
      </c>
      <c r="AE19" s="134"/>
    </row>
    <row r="20" spans="1:41" x14ac:dyDescent="0.25">
      <c r="O20" s="2"/>
      <c r="P20" s="2"/>
      <c r="Q20" s="2"/>
      <c r="W20" s="130">
        <v>42804</v>
      </c>
      <c r="X20" s="10">
        <v>56.49</v>
      </c>
      <c r="Y20" s="10">
        <v>56.99</v>
      </c>
      <c r="Z20" s="10">
        <v>56.26</v>
      </c>
      <c r="AA20" s="10">
        <v>56.43</v>
      </c>
      <c r="AB20" s="93">
        <v>8819900</v>
      </c>
      <c r="AC20" s="10">
        <v>56.43</v>
      </c>
      <c r="AE20" s="134"/>
    </row>
    <row r="21" spans="1:41" x14ac:dyDescent="0.25">
      <c r="O21" s="2"/>
      <c r="P21" s="2"/>
      <c r="Q21" s="2"/>
      <c r="W21" s="130">
        <v>42803</v>
      </c>
      <c r="X21" s="10">
        <v>56.61</v>
      </c>
      <c r="Y21" s="10">
        <v>56.66</v>
      </c>
      <c r="Z21" s="10">
        <v>56.09</v>
      </c>
      <c r="AA21" s="10">
        <v>56.36</v>
      </c>
      <c r="AB21" s="93">
        <v>6139800</v>
      </c>
      <c r="AC21" s="10">
        <v>56.36</v>
      </c>
      <c r="AE21" s="134"/>
    </row>
    <row r="22" spans="1:41" x14ac:dyDescent="0.25">
      <c r="B22" s="162" t="s">
        <v>113</v>
      </c>
      <c r="C22" s="162" t="s">
        <v>145</v>
      </c>
      <c r="D22" s="163" t="s">
        <v>144</v>
      </c>
      <c r="E22" s="165" t="s">
        <v>146</v>
      </c>
      <c r="F22" s="166" t="s">
        <v>65</v>
      </c>
      <c r="G22" s="177" t="s">
        <v>150</v>
      </c>
      <c r="H22" s="177" t="s">
        <v>153</v>
      </c>
      <c r="I22" s="177" t="s">
        <v>487</v>
      </c>
      <c r="J22" s="177" t="s">
        <v>149</v>
      </c>
      <c r="K22" s="177" t="s">
        <v>646</v>
      </c>
      <c r="O22" s="2"/>
      <c r="P22" s="2"/>
      <c r="Q22" s="2"/>
      <c r="W22" s="130">
        <v>42802</v>
      </c>
      <c r="X22" s="10">
        <v>56.94</v>
      </c>
      <c r="Y22" s="10">
        <v>56.94</v>
      </c>
      <c r="Z22" s="10">
        <v>56.31</v>
      </c>
      <c r="AA22" s="10">
        <v>56.51</v>
      </c>
      <c r="AB22" s="93">
        <v>7585000</v>
      </c>
      <c r="AC22" s="10">
        <v>56.51</v>
      </c>
      <c r="AE22" s="134"/>
    </row>
    <row r="23" spans="1:41" x14ac:dyDescent="0.25">
      <c r="B23" s="164">
        <v>42873</v>
      </c>
      <c r="C23" s="10">
        <v>50</v>
      </c>
      <c r="D23" s="171">
        <v>51.65</v>
      </c>
      <c r="E23" s="39">
        <v>51.8</v>
      </c>
      <c r="F23" s="39">
        <f>C23*(E23-D23)</f>
        <v>7.4999999999999289</v>
      </c>
      <c r="G23" s="39">
        <f>IF(C23=0, 0,D23*C23)</f>
        <v>2582.5</v>
      </c>
      <c r="H23" s="39"/>
      <c r="I23" s="39"/>
      <c r="J23" s="39">
        <v>483</v>
      </c>
      <c r="K23" s="10">
        <f>(G23-J23)/C23</f>
        <v>41.99</v>
      </c>
      <c r="O23" s="2"/>
      <c r="P23" s="2"/>
      <c r="Q23" s="2"/>
      <c r="W23" s="130">
        <v>42801</v>
      </c>
      <c r="X23" s="10">
        <v>56.71</v>
      </c>
      <c r="Y23" s="10">
        <v>56.99</v>
      </c>
      <c r="Z23" s="10">
        <v>56.02</v>
      </c>
      <c r="AA23" s="10">
        <v>56.55</v>
      </c>
      <c r="AB23" s="93">
        <v>7061500</v>
      </c>
      <c r="AC23" s="10">
        <v>56.55</v>
      </c>
      <c r="AE23" s="134"/>
    </row>
    <row r="24" spans="1:41" x14ac:dyDescent="0.25">
      <c r="B24" s="164"/>
      <c r="C24" s="10"/>
      <c r="D24" s="171"/>
      <c r="E24" s="39"/>
      <c r="F24" s="39"/>
      <c r="G24" s="39"/>
      <c r="H24" s="39"/>
      <c r="I24" s="39"/>
      <c r="J24" s="39"/>
      <c r="K24" s="39"/>
      <c r="O24" s="2"/>
      <c r="P24" s="2"/>
      <c r="Q24" s="2"/>
      <c r="W24" s="130">
        <v>42800</v>
      </c>
      <c r="X24" s="10">
        <v>56.7</v>
      </c>
      <c r="Y24" s="10">
        <v>56.93</v>
      </c>
      <c r="Z24" s="10">
        <v>56.53</v>
      </c>
      <c r="AA24" s="10">
        <v>56.77</v>
      </c>
      <c r="AB24" s="93">
        <v>6890100</v>
      </c>
      <c r="AC24" s="10">
        <v>56.77</v>
      </c>
      <c r="AE24" s="134"/>
    </row>
    <row r="25" spans="1:41" x14ac:dyDescent="0.25">
      <c r="B25" s="164"/>
      <c r="C25" s="10"/>
      <c r="D25" s="171"/>
      <c r="E25" s="39"/>
      <c r="F25" s="39"/>
      <c r="G25" s="39"/>
      <c r="H25" s="39"/>
      <c r="I25" s="39"/>
      <c r="J25" s="39"/>
      <c r="K25" s="39"/>
      <c r="O25" s="2"/>
      <c r="P25" s="2"/>
      <c r="Q25" s="2"/>
      <c r="W25" s="130">
        <v>42797</v>
      </c>
      <c r="X25" s="10">
        <v>57.8</v>
      </c>
      <c r="Y25" s="10">
        <v>57.8</v>
      </c>
      <c r="Z25" s="10">
        <v>56.51</v>
      </c>
      <c r="AA25" s="10">
        <v>56.7</v>
      </c>
      <c r="AB25" s="93">
        <v>9181600</v>
      </c>
      <c r="AC25" s="10">
        <v>56.7</v>
      </c>
      <c r="AE25" s="134"/>
    </row>
    <row r="26" spans="1:41" x14ac:dyDescent="0.25">
      <c r="B26" s="164"/>
      <c r="C26" s="10"/>
      <c r="D26" s="171"/>
      <c r="E26" s="39"/>
      <c r="F26" s="39"/>
      <c r="G26" s="39"/>
      <c r="H26" s="39"/>
      <c r="I26" s="39"/>
      <c r="J26" s="39"/>
      <c r="K26" s="39"/>
      <c r="O26" s="2"/>
      <c r="P26" s="2"/>
      <c r="Q26" s="2"/>
      <c r="W26" s="130">
        <v>42796</v>
      </c>
      <c r="X26" s="10">
        <v>57.9</v>
      </c>
      <c r="Y26" s="10">
        <v>58.25</v>
      </c>
      <c r="Z26" s="10">
        <v>57.65</v>
      </c>
      <c r="AA26" s="10">
        <v>57.8</v>
      </c>
      <c r="AB26" s="93">
        <v>6438400</v>
      </c>
      <c r="AC26" s="10">
        <v>57.8</v>
      </c>
      <c r="AE26" s="134"/>
    </row>
    <row r="27" spans="1:41" x14ac:dyDescent="0.25">
      <c r="B27" s="164"/>
      <c r="C27" s="10"/>
      <c r="D27" s="171"/>
      <c r="E27" s="39"/>
      <c r="F27" s="39"/>
      <c r="G27" s="39"/>
      <c r="H27" s="39"/>
      <c r="I27" s="39"/>
      <c r="J27" s="39"/>
      <c r="K27" s="39"/>
      <c r="O27" s="2"/>
      <c r="P27" s="2"/>
      <c r="Q27" s="2"/>
      <c r="W27" s="130">
        <v>42796</v>
      </c>
      <c r="X27" s="10" t="s">
        <v>266</v>
      </c>
      <c r="Y27" s="10"/>
      <c r="Z27" s="10"/>
      <c r="AA27" s="10"/>
      <c r="AB27" s="93"/>
      <c r="AC27" s="10"/>
      <c r="AE27" s="134"/>
    </row>
    <row r="28" spans="1:41" x14ac:dyDescent="0.25">
      <c r="B28" s="164"/>
      <c r="C28" s="10"/>
      <c r="D28" s="171"/>
      <c r="E28" s="39"/>
      <c r="F28" s="39"/>
      <c r="G28" s="39"/>
      <c r="H28" s="180"/>
      <c r="I28" s="39"/>
      <c r="J28" s="39"/>
      <c r="K28" s="39"/>
      <c r="O28" s="2"/>
      <c r="P28" s="2"/>
      <c r="Q28" s="2"/>
      <c r="W28" s="130">
        <v>42795</v>
      </c>
      <c r="X28" s="10">
        <v>57.86</v>
      </c>
      <c r="Y28" s="10">
        <v>58.03</v>
      </c>
      <c r="Z28" s="10">
        <v>57.33</v>
      </c>
      <c r="AA28" s="10">
        <v>57.95</v>
      </c>
      <c r="AB28" s="93">
        <v>8558900</v>
      </c>
      <c r="AC28" s="10">
        <v>57.77</v>
      </c>
      <c r="AE28" s="134"/>
    </row>
    <row r="29" spans="1:41" x14ac:dyDescent="0.25">
      <c r="B29" s="164"/>
      <c r="C29" s="10"/>
      <c r="D29" s="171"/>
      <c r="E29" s="39"/>
      <c r="F29" s="39"/>
      <c r="G29" s="39"/>
      <c r="H29" s="180"/>
      <c r="I29" s="39"/>
      <c r="J29" s="39"/>
      <c r="K29" s="39"/>
      <c r="W29" s="130">
        <v>42794</v>
      </c>
      <c r="X29" s="10">
        <v>57.37</v>
      </c>
      <c r="Y29" s="10">
        <v>57.55</v>
      </c>
      <c r="Z29" s="10">
        <v>56.86</v>
      </c>
      <c r="AA29" s="10">
        <v>57.16</v>
      </c>
      <c r="AB29" s="93">
        <v>7951300</v>
      </c>
      <c r="AC29" s="10">
        <v>56.98</v>
      </c>
      <c r="AE29" s="134"/>
    </row>
    <row r="30" spans="1:41" x14ac:dyDescent="0.25">
      <c r="B30" s="164"/>
      <c r="C30" s="10"/>
      <c r="D30" s="171"/>
      <c r="E30" s="39"/>
      <c r="F30" s="39"/>
      <c r="G30" s="39"/>
      <c r="H30" s="180"/>
      <c r="I30" s="39"/>
      <c r="J30" s="39"/>
      <c r="K30" s="39"/>
      <c r="W30" s="130">
        <v>42793</v>
      </c>
      <c r="X30" s="10">
        <v>57.65</v>
      </c>
      <c r="Y30" s="10">
        <v>57.83</v>
      </c>
      <c r="Z30" s="10">
        <v>57.35</v>
      </c>
      <c r="AA30" s="10">
        <v>57.69</v>
      </c>
      <c r="AB30" s="93">
        <v>4375700</v>
      </c>
      <c r="AC30" s="10">
        <v>57.51</v>
      </c>
      <c r="AE30" s="134"/>
    </row>
    <row r="31" spans="1:41" x14ac:dyDescent="0.25">
      <c r="B31" s="164"/>
      <c r="C31" s="10"/>
      <c r="D31" s="171"/>
      <c r="E31" s="39"/>
      <c r="F31" s="39"/>
      <c r="G31" s="39"/>
      <c r="H31" s="180"/>
      <c r="I31" s="39"/>
      <c r="J31" s="39"/>
      <c r="K31" s="39"/>
      <c r="W31" s="130">
        <v>42790</v>
      </c>
      <c r="X31" s="10">
        <v>57.39</v>
      </c>
      <c r="Y31" s="10">
        <v>58.42</v>
      </c>
      <c r="Z31" s="10">
        <v>57.07</v>
      </c>
      <c r="AA31" s="10">
        <v>57.86</v>
      </c>
      <c r="AB31" s="93">
        <v>9684500</v>
      </c>
      <c r="AC31" s="10">
        <v>57.68</v>
      </c>
      <c r="AE31" s="134"/>
    </row>
    <row r="32" spans="1:41" x14ac:dyDescent="0.25">
      <c r="B32" s="164"/>
      <c r="C32" s="10"/>
      <c r="D32" s="171"/>
      <c r="E32" s="39"/>
      <c r="F32" s="39"/>
      <c r="G32" s="39"/>
      <c r="H32" s="180"/>
      <c r="I32" s="39"/>
      <c r="J32" s="39"/>
      <c r="K32" s="39"/>
      <c r="W32" s="130">
        <v>42789</v>
      </c>
      <c r="X32" s="10">
        <v>58.11</v>
      </c>
      <c r="Y32" s="10">
        <v>58.4</v>
      </c>
      <c r="Z32" s="10">
        <v>57.27</v>
      </c>
      <c r="AA32" s="10">
        <v>57.39</v>
      </c>
      <c r="AB32" s="93">
        <v>12316300</v>
      </c>
      <c r="AC32" s="10">
        <v>57.21</v>
      </c>
      <c r="AE32" s="134"/>
    </row>
    <row r="33" spans="1:41" x14ac:dyDescent="0.25">
      <c r="B33" s="164"/>
      <c r="C33" s="10"/>
      <c r="D33" s="171"/>
      <c r="E33" s="39"/>
      <c r="F33" s="39"/>
      <c r="G33" s="39"/>
      <c r="H33" s="180"/>
      <c r="I33" s="39"/>
      <c r="J33" s="39"/>
      <c r="K33" s="39"/>
      <c r="W33" s="130">
        <v>42788</v>
      </c>
      <c r="X33" s="10">
        <v>57.48</v>
      </c>
      <c r="Y33" s="10">
        <v>58.38</v>
      </c>
      <c r="Z33" s="10">
        <v>57.36</v>
      </c>
      <c r="AA33" s="10">
        <v>58.24</v>
      </c>
      <c r="AB33" s="93">
        <v>10914100</v>
      </c>
      <c r="AC33" s="10">
        <v>58.06</v>
      </c>
      <c r="AE33" s="134"/>
    </row>
    <row r="34" spans="1:41" x14ac:dyDescent="0.25">
      <c r="B34" s="164"/>
      <c r="C34" s="10"/>
      <c r="D34" s="171"/>
      <c r="E34" s="39"/>
      <c r="F34" s="39"/>
      <c r="G34" s="39"/>
      <c r="H34" s="180"/>
      <c r="I34" s="39"/>
      <c r="J34" s="39"/>
      <c r="K34" s="39"/>
      <c r="W34" s="130">
        <v>42787</v>
      </c>
      <c r="X34" s="10">
        <v>56.38</v>
      </c>
      <c r="Y34" s="10">
        <v>57.45</v>
      </c>
      <c r="Z34" s="10">
        <v>56.2</v>
      </c>
      <c r="AA34" s="10">
        <v>57.36</v>
      </c>
      <c r="AB34" s="93">
        <v>10955000</v>
      </c>
      <c r="AC34" s="10">
        <v>57.18</v>
      </c>
      <c r="AE34" s="134"/>
    </row>
    <row r="35" spans="1:41" x14ac:dyDescent="0.25">
      <c r="W35" s="130">
        <v>42783</v>
      </c>
      <c r="X35" s="10">
        <v>56.12</v>
      </c>
      <c r="Y35" s="10">
        <v>56.8</v>
      </c>
      <c r="Z35" s="10">
        <v>55.86</v>
      </c>
      <c r="AA35" s="10">
        <v>56.75</v>
      </c>
      <c r="AB35" s="93">
        <v>12638000</v>
      </c>
      <c r="AC35" s="10">
        <v>56.57</v>
      </c>
      <c r="AE35" s="134"/>
    </row>
    <row r="36" spans="1:41" x14ac:dyDescent="0.25">
      <c r="L36" t="s">
        <v>65</v>
      </c>
      <c r="M36" s="2">
        <f>M54+K54-F54</f>
        <v>785.90999999999985</v>
      </c>
      <c r="W36" s="130">
        <v>42782</v>
      </c>
      <c r="X36" s="10">
        <v>56.88</v>
      </c>
      <c r="Y36" s="10">
        <v>56.92</v>
      </c>
      <c r="Z36" s="10">
        <v>56.1</v>
      </c>
      <c r="AA36" s="10">
        <v>56.29</v>
      </c>
      <c r="AB36" s="93">
        <v>8374200</v>
      </c>
      <c r="AC36" s="10">
        <v>56.12</v>
      </c>
      <c r="AE36" s="134"/>
      <c r="AL36" s="182"/>
    </row>
    <row r="37" spans="1:41" x14ac:dyDescent="0.25">
      <c r="A37" s="31" t="s">
        <v>1</v>
      </c>
      <c r="B37" s="31" t="s">
        <v>2</v>
      </c>
      <c r="C37" s="31" t="s">
        <v>4</v>
      </c>
      <c r="D37" s="31" t="s">
        <v>5</v>
      </c>
      <c r="E37" s="31" t="s">
        <v>94</v>
      </c>
      <c r="F37" s="31" t="s">
        <v>60</v>
      </c>
      <c r="G37" s="31" t="s">
        <v>3</v>
      </c>
      <c r="H37" s="31" t="s">
        <v>6</v>
      </c>
      <c r="I37" s="399" t="s">
        <v>7</v>
      </c>
      <c r="J37" s="399" t="s">
        <v>95</v>
      </c>
      <c r="K37" s="399" t="s">
        <v>61</v>
      </c>
      <c r="L37" s="31" t="s">
        <v>37</v>
      </c>
      <c r="M37" s="31" t="s">
        <v>38</v>
      </c>
      <c r="W37" s="130">
        <v>42781</v>
      </c>
      <c r="X37" s="10">
        <v>56.29</v>
      </c>
      <c r="Y37" s="10">
        <v>56.76</v>
      </c>
      <c r="Z37" s="10">
        <v>56.21</v>
      </c>
      <c r="AA37" s="10">
        <v>56.64</v>
      </c>
      <c r="AB37" s="93">
        <v>6652000</v>
      </c>
      <c r="AC37" s="10">
        <v>56.46</v>
      </c>
      <c r="AE37" s="134"/>
    </row>
    <row r="38" spans="1:41" x14ac:dyDescent="0.25">
      <c r="A38" s="201" t="s">
        <v>192</v>
      </c>
      <c r="B38" s="475">
        <v>42472</v>
      </c>
      <c r="C38" s="197">
        <v>50</v>
      </c>
      <c r="D38" s="198">
        <v>56.99</v>
      </c>
      <c r="E38" s="198">
        <v>0</v>
      </c>
      <c r="F38" s="198">
        <f t="shared" ref="F38:F46" si="0">C38*D38+E38</f>
        <v>2849.5</v>
      </c>
      <c r="G38" s="475">
        <v>42550</v>
      </c>
      <c r="H38" s="203">
        <v>50</v>
      </c>
      <c r="I38" s="198">
        <v>54.95</v>
      </c>
      <c r="J38" s="198">
        <v>7.01</v>
      </c>
      <c r="K38" s="198">
        <f>I38*H38-J38</f>
        <v>2740.49</v>
      </c>
      <c r="L38" s="202">
        <v>42556</v>
      </c>
      <c r="M38" s="198">
        <v>11.2</v>
      </c>
      <c r="W38" s="130">
        <v>42780</v>
      </c>
      <c r="X38" s="10">
        <v>55.92</v>
      </c>
      <c r="Y38" s="10">
        <v>56.69</v>
      </c>
      <c r="Z38" s="10">
        <v>55.83</v>
      </c>
      <c r="AA38" s="10">
        <v>56.45</v>
      </c>
      <c r="AB38" s="93">
        <v>8891400</v>
      </c>
      <c r="AC38" s="10">
        <v>56.27</v>
      </c>
      <c r="AE38" s="134"/>
    </row>
    <row r="39" spans="1:41" x14ac:dyDescent="0.25">
      <c r="A39" s="204" t="s">
        <v>71</v>
      </c>
      <c r="B39" s="475">
        <v>42521</v>
      </c>
      <c r="C39" s="197">
        <v>20</v>
      </c>
      <c r="D39" s="198">
        <v>55.21</v>
      </c>
      <c r="E39" s="198">
        <v>0</v>
      </c>
      <c r="F39" s="198">
        <f t="shared" si="0"/>
        <v>1104.2</v>
      </c>
      <c r="G39" s="475"/>
      <c r="H39" s="203"/>
      <c r="I39" s="198"/>
      <c r="J39" s="198"/>
      <c r="K39" s="198"/>
      <c r="L39" s="197"/>
      <c r="M39" s="197"/>
      <c r="W39" s="130">
        <v>42779</v>
      </c>
      <c r="X39" s="10">
        <v>56.17</v>
      </c>
      <c r="Y39" s="10">
        <v>56.34</v>
      </c>
      <c r="Z39" s="10">
        <v>55.75</v>
      </c>
      <c r="AA39" s="10">
        <v>56.09</v>
      </c>
      <c r="AB39" s="93">
        <v>7679800</v>
      </c>
      <c r="AC39" s="10">
        <v>55.92</v>
      </c>
      <c r="AE39" s="134"/>
    </row>
    <row r="40" spans="1:41" x14ac:dyDescent="0.25">
      <c r="A40" s="197"/>
      <c r="B40" s="475">
        <v>42524</v>
      </c>
      <c r="C40" s="197">
        <v>30</v>
      </c>
      <c r="D40" s="198">
        <v>53.75</v>
      </c>
      <c r="E40" s="198">
        <v>0</v>
      </c>
      <c r="F40" s="198">
        <f t="shared" si="0"/>
        <v>1612.5</v>
      </c>
      <c r="G40" s="475"/>
      <c r="H40" s="203"/>
      <c r="I40" s="198"/>
      <c r="J40" s="198"/>
      <c r="K40" s="198"/>
      <c r="L40" s="197"/>
      <c r="M40" s="197"/>
      <c r="W40" s="130">
        <v>42776</v>
      </c>
      <c r="X40" s="10">
        <v>55.63</v>
      </c>
      <c r="Y40" s="10">
        <v>56.47</v>
      </c>
      <c r="Z40" s="10">
        <v>55.63</v>
      </c>
      <c r="AA40" s="10">
        <v>56.22</v>
      </c>
      <c r="AB40" s="93">
        <v>14973400</v>
      </c>
      <c r="AC40" s="10">
        <v>56.05</v>
      </c>
      <c r="AE40" s="134"/>
    </row>
    <row r="41" spans="1:41" x14ac:dyDescent="0.25">
      <c r="A41" s="197"/>
      <c r="B41" s="475">
        <v>42524</v>
      </c>
      <c r="C41" s="197">
        <v>20</v>
      </c>
      <c r="D41" s="198">
        <v>53.4</v>
      </c>
      <c r="E41" s="198">
        <v>0</v>
      </c>
      <c r="F41" s="198">
        <f t="shared" si="0"/>
        <v>1068</v>
      </c>
      <c r="G41" s="475">
        <v>42563</v>
      </c>
      <c r="H41" s="203">
        <v>70</v>
      </c>
      <c r="I41" s="198">
        <v>57.78</v>
      </c>
      <c r="J41" s="198">
        <v>0.09</v>
      </c>
      <c r="K41" s="198">
        <f>I41*H41-J41</f>
        <v>4044.5099999999998</v>
      </c>
      <c r="L41" s="197"/>
      <c r="M41" s="197"/>
      <c r="W41" s="130">
        <v>42775</v>
      </c>
      <c r="X41" s="10">
        <v>53.88</v>
      </c>
      <c r="Y41" s="10">
        <v>55.7</v>
      </c>
      <c r="Z41" s="10">
        <v>53.88</v>
      </c>
      <c r="AA41" s="10">
        <v>55.31</v>
      </c>
      <c r="AB41" s="93">
        <v>14345400</v>
      </c>
      <c r="AC41" s="10">
        <v>55.14</v>
      </c>
      <c r="AE41" s="134"/>
    </row>
    <row r="42" spans="1:41" ht="20.25" thickBot="1" x14ac:dyDescent="0.35">
      <c r="A42" s="197"/>
      <c r="B42" s="475">
        <v>42545</v>
      </c>
      <c r="C42" s="197">
        <v>30</v>
      </c>
      <c r="D42" s="198">
        <v>52.38</v>
      </c>
      <c r="E42" s="198">
        <v>0</v>
      </c>
      <c r="F42" s="198">
        <f t="shared" si="0"/>
        <v>1571.4</v>
      </c>
      <c r="G42" s="475">
        <v>42593</v>
      </c>
      <c r="H42" s="203">
        <v>30</v>
      </c>
      <c r="I42" s="198">
        <v>56.38</v>
      </c>
      <c r="J42" s="198">
        <v>0.04</v>
      </c>
      <c r="K42" s="198">
        <f>I42*H42-J42</f>
        <v>1691.3600000000001</v>
      </c>
      <c r="L42" s="197"/>
      <c r="M42" s="197"/>
      <c r="T42" s="89" t="s">
        <v>112</v>
      </c>
      <c r="W42" s="130">
        <v>42774</v>
      </c>
      <c r="X42" s="10">
        <v>52.74</v>
      </c>
      <c r="Y42" s="10">
        <v>53.94</v>
      </c>
      <c r="Z42" s="10">
        <v>52.7</v>
      </c>
      <c r="AA42" s="10">
        <v>53.88</v>
      </c>
      <c r="AB42" s="93">
        <v>9281100</v>
      </c>
      <c r="AC42" s="10">
        <v>53.71</v>
      </c>
      <c r="AE42" s="134"/>
      <c r="AL42" s="182"/>
      <c r="AO42" s="182"/>
    </row>
    <row r="43" spans="1:41" ht="15.75" thickTop="1" x14ac:dyDescent="0.25">
      <c r="A43" s="197"/>
      <c r="B43" s="546">
        <v>42640</v>
      </c>
      <c r="C43" s="298">
        <v>20</v>
      </c>
      <c r="D43" s="299">
        <v>52.68</v>
      </c>
      <c r="E43" s="299">
        <v>0</v>
      </c>
      <c r="F43" s="299">
        <f t="shared" si="0"/>
        <v>1053.5999999999999</v>
      </c>
      <c r="G43" s="546">
        <v>42724</v>
      </c>
      <c r="H43" s="298">
        <v>20</v>
      </c>
      <c r="I43" s="299">
        <v>54.68</v>
      </c>
      <c r="J43" s="299">
        <v>0.02</v>
      </c>
      <c r="K43" s="299">
        <f>H43*I43-J43</f>
        <v>1093.58</v>
      </c>
      <c r="L43" s="297">
        <v>42739</v>
      </c>
      <c r="M43" s="299">
        <v>7.2</v>
      </c>
      <c r="T43" s="125" t="s">
        <v>97</v>
      </c>
      <c r="U43" s="126">
        <v>55.04</v>
      </c>
      <c r="W43" s="130">
        <v>42773</v>
      </c>
      <c r="X43" s="10">
        <v>53.07</v>
      </c>
      <c r="Y43" s="10">
        <v>53.28</v>
      </c>
      <c r="Z43" s="10">
        <v>52.67</v>
      </c>
      <c r="AA43" s="10">
        <v>52.81</v>
      </c>
      <c r="AB43" s="93">
        <v>6446900</v>
      </c>
      <c r="AC43" s="10">
        <v>52.65</v>
      </c>
      <c r="AE43" s="134"/>
    </row>
    <row r="44" spans="1:41" ht="20.25" thickBot="1" x14ac:dyDescent="0.35">
      <c r="A44" s="197"/>
      <c r="B44" s="546">
        <v>42640</v>
      </c>
      <c r="C44" s="298">
        <v>20</v>
      </c>
      <c r="D44" s="299">
        <v>52.68</v>
      </c>
      <c r="E44" s="299">
        <v>0</v>
      </c>
      <c r="F44" s="299">
        <f t="shared" si="0"/>
        <v>1053.5999999999999</v>
      </c>
      <c r="G44" s="546">
        <v>42741</v>
      </c>
      <c r="H44" s="302">
        <v>20</v>
      </c>
      <c r="I44" s="299">
        <v>53.94</v>
      </c>
      <c r="J44" s="299">
        <v>0.12</v>
      </c>
      <c r="K44" s="299">
        <f>H44*I44-J44</f>
        <v>1078.68</v>
      </c>
      <c r="L44" s="298"/>
      <c r="M44" s="298"/>
      <c r="O44" s="884" t="s">
        <v>78</v>
      </c>
      <c r="P44" s="884"/>
      <c r="T44" s="91" t="s">
        <v>98</v>
      </c>
      <c r="U44" s="127">
        <v>54.97</v>
      </c>
      <c r="W44" s="130">
        <v>42772</v>
      </c>
      <c r="X44" s="10">
        <v>52.09</v>
      </c>
      <c r="Y44" s="10">
        <v>52.8</v>
      </c>
      <c r="Z44" s="10">
        <v>52.05</v>
      </c>
      <c r="AA44" s="10">
        <v>52.8</v>
      </c>
      <c r="AB44" s="93">
        <v>7355200</v>
      </c>
      <c r="AC44" s="10">
        <v>52.64</v>
      </c>
      <c r="AE44" s="134"/>
    </row>
    <row r="45" spans="1:41" ht="15.75" thickTop="1" x14ac:dyDescent="0.25">
      <c r="A45" s="197"/>
      <c r="B45" s="565">
        <v>42724</v>
      </c>
      <c r="C45" s="456">
        <v>20</v>
      </c>
      <c r="D45" s="457">
        <v>52.68</v>
      </c>
      <c r="E45" s="457">
        <v>0</v>
      </c>
      <c r="F45" s="457">
        <f t="shared" si="0"/>
        <v>1053.5999999999999</v>
      </c>
      <c r="G45" s="565">
        <v>42774</v>
      </c>
      <c r="H45" s="458">
        <v>20</v>
      </c>
      <c r="I45" s="457">
        <v>53.88</v>
      </c>
      <c r="J45" s="457">
        <v>0.02</v>
      </c>
      <c r="K45" s="457">
        <f>I45*H45-J45</f>
        <v>1077.5800000000002</v>
      </c>
      <c r="L45" s="452"/>
      <c r="M45" s="457"/>
      <c r="O45" s="81">
        <v>1.1000000000000001</v>
      </c>
      <c r="P45" s="81">
        <f>O45*$Q$4</f>
        <v>89.408000000000015</v>
      </c>
      <c r="T45" s="91" t="s">
        <v>99</v>
      </c>
      <c r="U45" s="127" t="s">
        <v>128</v>
      </c>
      <c r="W45" s="130">
        <v>42769</v>
      </c>
      <c r="X45" s="10">
        <v>52.62</v>
      </c>
      <c r="Y45" s="10">
        <v>52.81</v>
      </c>
      <c r="Z45" s="10">
        <v>52.25</v>
      </c>
      <c r="AA45" s="10">
        <v>52.36</v>
      </c>
      <c r="AB45" s="93">
        <v>8850400</v>
      </c>
      <c r="AC45" s="10">
        <v>52.2</v>
      </c>
      <c r="AE45" s="134"/>
    </row>
    <row r="46" spans="1:41" x14ac:dyDescent="0.25">
      <c r="A46" s="197"/>
      <c r="B46" s="565">
        <v>42766</v>
      </c>
      <c r="C46" s="456">
        <v>20</v>
      </c>
      <c r="D46" s="457">
        <v>51.72</v>
      </c>
      <c r="E46" s="457">
        <v>0</v>
      </c>
      <c r="F46" s="457">
        <f t="shared" si="0"/>
        <v>1034.4000000000001</v>
      </c>
      <c r="G46" s="565">
        <v>42803</v>
      </c>
      <c r="H46" s="458">
        <v>20</v>
      </c>
      <c r="I46" s="457">
        <v>56.41</v>
      </c>
      <c r="J46" s="457">
        <v>0.12</v>
      </c>
      <c r="K46" s="457">
        <f>I46*H46-J46</f>
        <v>1128.08</v>
      </c>
      <c r="L46" s="456"/>
      <c r="M46" s="456"/>
      <c r="O46" s="81">
        <v>1.0900000000000001</v>
      </c>
      <c r="P46" s="81">
        <f t="shared" ref="P46:P65" si="1">O46*$Q$4</f>
        <v>88.595200000000006</v>
      </c>
      <c r="T46" s="91" t="s">
        <v>100</v>
      </c>
      <c r="U46" s="127" t="s">
        <v>128</v>
      </c>
      <c r="W46" s="130">
        <v>42768</v>
      </c>
      <c r="X46" s="10">
        <v>53</v>
      </c>
      <c r="Y46" s="10">
        <v>53.01</v>
      </c>
      <c r="Z46" s="10">
        <v>52.48</v>
      </c>
      <c r="AA46" s="10">
        <v>52.8</v>
      </c>
      <c r="AB46" s="93">
        <v>7874200</v>
      </c>
      <c r="AC46" s="10">
        <v>52.64</v>
      </c>
      <c r="AE46" s="134"/>
    </row>
    <row r="47" spans="1:41" x14ac:dyDescent="0.25">
      <c r="A47" s="197"/>
      <c r="B47" s="475"/>
      <c r="C47" s="197"/>
      <c r="D47" s="197"/>
      <c r="E47" s="197"/>
      <c r="F47" s="197"/>
      <c r="G47" s="475"/>
      <c r="H47" s="203"/>
      <c r="I47" s="198"/>
      <c r="J47" s="198"/>
      <c r="K47" s="198"/>
      <c r="L47" s="202">
        <v>42829</v>
      </c>
      <c r="M47" s="198">
        <v>3.6</v>
      </c>
      <c r="O47" s="81">
        <v>1.08</v>
      </c>
      <c r="P47" s="81">
        <f t="shared" si="1"/>
        <v>87.78240000000001</v>
      </c>
      <c r="T47" s="91" t="s">
        <v>101</v>
      </c>
      <c r="U47" s="127">
        <v>62.36</v>
      </c>
      <c r="W47" s="130">
        <v>42767</v>
      </c>
      <c r="X47" s="10">
        <v>52.98</v>
      </c>
      <c r="Y47" s="10">
        <v>53.26</v>
      </c>
      <c r="Z47" s="10">
        <v>52.61</v>
      </c>
      <c r="AA47" s="10">
        <v>53.02</v>
      </c>
      <c r="AB47" s="93">
        <v>8810900</v>
      </c>
      <c r="AC47" s="10">
        <v>52.86</v>
      </c>
      <c r="AE47" s="134"/>
    </row>
    <row r="48" spans="1:41" x14ac:dyDescent="0.25">
      <c r="A48" s="197"/>
      <c r="B48" s="72">
        <v>42873</v>
      </c>
      <c r="C48" s="4">
        <v>50</v>
      </c>
      <c r="D48" s="3">
        <v>51.65</v>
      </c>
      <c r="E48" s="3">
        <v>0</v>
      </c>
      <c r="F48" s="3">
        <f>C48*D48+E48</f>
        <v>2582.5</v>
      </c>
      <c r="G48" s="72">
        <v>42916</v>
      </c>
      <c r="H48" s="4">
        <v>50</v>
      </c>
      <c r="I48" s="3">
        <v>57.68</v>
      </c>
      <c r="J48" s="3">
        <v>7.0000000000000007E-2</v>
      </c>
      <c r="K48" s="3">
        <f>H48*I48-J48</f>
        <v>2883.93</v>
      </c>
      <c r="L48" s="202">
        <v>42921</v>
      </c>
      <c r="M48" s="198">
        <v>9</v>
      </c>
      <c r="O48" s="81">
        <v>1.07</v>
      </c>
      <c r="P48" s="81">
        <f t="shared" si="1"/>
        <v>86.9696</v>
      </c>
      <c r="T48" s="91" t="s">
        <v>102</v>
      </c>
      <c r="U48" s="127">
        <v>0.43128899999999998</v>
      </c>
      <c r="W48" s="130">
        <v>42766</v>
      </c>
      <c r="X48" s="10">
        <v>51.68</v>
      </c>
      <c r="Y48" s="10">
        <v>52.9</v>
      </c>
      <c r="Z48" s="10">
        <v>51.63</v>
      </c>
      <c r="AA48" s="10">
        <v>52.9</v>
      </c>
      <c r="AB48" s="93">
        <v>12342900</v>
      </c>
      <c r="AC48" s="10">
        <v>52.74</v>
      </c>
      <c r="AE48" s="134"/>
    </row>
    <row r="49" spans="1:41" x14ac:dyDescent="0.25">
      <c r="A49" s="197"/>
      <c r="B49" s="475"/>
      <c r="C49" s="197"/>
      <c r="D49" s="197"/>
      <c r="E49" s="197"/>
      <c r="F49" s="197"/>
      <c r="G49" s="475"/>
      <c r="H49" s="203"/>
      <c r="I49" s="198"/>
      <c r="J49" s="198"/>
      <c r="K49" s="198"/>
      <c r="L49" s="197"/>
      <c r="M49" s="197"/>
      <c r="O49" s="81">
        <v>1.06</v>
      </c>
      <c r="P49" s="81">
        <f t="shared" si="1"/>
        <v>86.156800000000004</v>
      </c>
      <c r="T49" s="91" t="s">
        <v>121</v>
      </c>
      <c r="U49" s="127" t="s">
        <v>511</v>
      </c>
      <c r="W49" s="130">
        <v>42765</v>
      </c>
      <c r="X49" s="10">
        <v>52.78</v>
      </c>
      <c r="Y49" s="10">
        <v>53.22</v>
      </c>
      <c r="Z49" s="10">
        <v>52.41</v>
      </c>
      <c r="AA49" s="10">
        <v>53.08</v>
      </c>
      <c r="AB49" s="93">
        <v>9770800</v>
      </c>
      <c r="AC49" s="10">
        <v>52.92</v>
      </c>
      <c r="AE49" s="134"/>
    </row>
    <row r="50" spans="1:41" x14ac:dyDescent="0.25">
      <c r="A50" s="197"/>
      <c r="B50" s="475"/>
      <c r="C50" s="197"/>
      <c r="D50" s="197"/>
      <c r="E50" s="197"/>
      <c r="F50" s="197"/>
      <c r="G50" s="475"/>
      <c r="H50" s="203"/>
      <c r="I50" s="198"/>
      <c r="J50" s="198"/>
      <c r="K50" s="198"/>
      <c r="L50" s="197"/>
      <c r="M50" s="197"/>
      <c r="O50" s="81">
        <v>1.05</v>
      </c>
      <c r="P50" s="81">
        <f t="shared" si="1"/>
        <v>85.344000000000008</v>
      </c>
      <c r="T50" s="91"/>
      <c r="U50" s="127"/>
      <c r="W50" s="130">
        <v>42762</v>
      </c>
      <c r="X50" s="10">
        <v>53.68</v>
      </c>
      <c r="Y50" s="10">
        <v>54.08</v>
      </c>
      <c r="Z50" s="10">
        <v>53.03</v>
      </c>
      <c r="AA50" s="10">
        <v>53.19</v>
      </c>
      <c r="AB50" s="93">
        <v>7362000</v>
      </c>
      <c r="AC50" s="10">
        <v>53.02</v>
      </c>
      <c r="AE50" s="134"/>
      <c r="AL50" s="182"/>
      <c r="AO50" s="182"/>
    </row>
    <row r="51" spans="1:41" x14ac:dyDescent="0.25">
      <c r="A51" s="197"/>
      <c r="B51" s="475"/>
      <c r="C51" s="197"/>
      <c r="D51" s="197"/>
      <c r="E51" s="197"/>
      <c r="F51" s="197"/>
      <c r="G51" s="475"/>
      <c r="H51" s="203"/>
      <c r="I51" s="198"/>
      <c r="J51" s="198"/>
      <c r="K51" s="198"/>
      <c r="L51" s="197"/>
      <c r="M51" s="197"/>
      <c r="O51" s="81">
        <v>1.04</v>
      </c>
      <c r="P51" s="81">
        <f t="shared" si="1"/>
        <v>84.531199999999998</v>
      </c>
      <c r="T51" s="91" t="s">
        <v>104</v>
      </c>
      <c r="U51" s="127" t="s">
        <v>577</v>
      </c>
      <c r="W51" s="130">
        <v>42761</v>
      </c>
      <c r="X51" s="10">
        <v>54.11</v>
      </c>
      <c r="Y51" s="10">
        <v>54.12</v>
      </c>
      <c r="Z51" s="10">
        <v>53.36</v>
      </c>
      <c r="AA51" s="10">
        <v>53.65</v>
      </c>
      <c r="AB51" s="93">
        <v>6202000</v>
      </c>
      <c r="AC51" s="10">
        <v>53.48</v>
      </c>
      <c r="AE51" s="134"/>
    </row>
    <row r="52" spans="1:41" x14ac:dyDescent="0.25">
      <c r="A52" s="197"/>
      <c r="B52" s="475"/>
      <c r="C52" s="197"/>
      <c r="D52" s="197"/>
      <c r="E52" s="197"/>
      <c r="F52" s="197"/>
      <c r="G52" s="475"/>
      <c r="H52" s="203"/>
      <c r="I52" s="198"/>
      <c r="J52" s="198"/>
      <c r="K52" s="198"/>
      <c r="L52" s="197"/>
      <c r="M52" s="197"/>
      <c r="O52" s="81">
        <v>1.03</v>
      </c>
      <c r="P52" s="81">
        <f t="shared" si="1"/>
        <v>83.718400000000003</v>
      </c>
      <c r="T52" s="91" t="s">
        <v>105</v>
      </c>
      <c r="U52" s="127" t="s">
        <v>578</v>
      </c>
      <c r="W52" s="130">
        <v>42760</v>
      </c>
      <c r="X52" s="10">
        <v>53.73</v>
      </c>
      <c r="Y52" s="10">
        <v>54.12</v>
      </c>
      <c r="Z52" s="10">
        <v>53.69</v>
      </c>
      <c r="AA52" s="10">
        <v>53.86</v>
      </c>
      <c r="AB52" s="93">
        <v>6675000</v>
      </c>
      <c r="AC52" s="10">
        <v>53.69</v>
      </c>
      <c r="AE52" s="134"/>
    </row>
    <row r="53" spans="1:41" x14ac:dyDescent="0.25">
      <c r="A53" s="197"/>
      <c r="B53" s="475"/>
      <c r="C53" s="197"/>
      <c r="D53" s="197"/>
      <c r="E53" s="197"/>
      <c r="F53" s="197"/>
      <c r="G53" s="475"/>
      <c r="H53" s="203"/>
      <c r="I53" s="198"/>
      <c r="J53" s="198"/>
      <c r="K53" s="198"/>
      <c r="L53" s="197"/>
      <c r="M53" s="197"/>
      <c r="O53" s="81">
        <v>1.02</v>
      </c>
      <c r="P53" s="81">
        <f t="shared" si="1"/>
        <v>82.905600000000007</v>
      </c>
      <c r="T53" s="91" t="s">
        <v>106</v>
      </c>
      <c r="U53" s="128">
        <v>7722093</v>
      </c>
      <c r="W53" s="130">
        <v>42759</v>
      </c>
      <c r="X53" s="10">
        <v>53.02</v>
      </c>
      <c r="Y53" s="10">
        <v>53.57</v>
      </c>
      <c r="Z53" s="10">
        <v>52.99</v>
      </c>
      <c r="AA53" s="10">
        <v>53.45</v>
      </c>
      <c r="AB53" s="93">
        <v>6321300</v>
      </c>
      <c r="AC53" s="10">
        <v>53.28</v>
      </c>
      <c r="AE53" s="134"/>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81">
        <v>1.01</v>
      </c>
      <c r="P54" s="81">
        <f t="shared" si="1"/>
        <v>82.092799999999997</v>
      </c>
      <c r="T54" s="91" t="s">
        <v>109</v>
      </c>
      <c r="U54" s="128">
        <v>9541230</v>
      </c>
      <c r="W54" s="130">
        <v>42758</v>
      </c>
      <c r="X54" s="10">
        <v>53.02</v>
      </c>
      <c r="Y54" s="10">
        <v>53.26</v>
      </c>
      <c r="Z54" s="10">
        <v>52.72</v>
      </c>
      <c r="AA54" s="10">
        <v>53.24</v>
      </c>
      <c r="AB54" s="93">
        <v>7025700</v>
      </c>
      <c r="AC54" s="10">
        <v>53.07</v>
      </c>
      <c r="AE54" s="134"/>
      <c r="AL54" s="182"/>
      <c r="AO54" s="182"/>
    </row>
    <row r="55" spans="1:41" ht="15.75" thickBot="1" x14ac:dyDescent="0.3">
      <c r="A55" s="373" t="s">
        <v>191</v>
      </c>
      <c r="B55" s="374"/>
      <c r="C55" s="375">
        <f>SumByColor($A$19,C38:C53)</f>
        <v>0</v>
      </c>
      <c r="D55" s="375"/>
      <c r="E55" s="375"/>
      <c r="F55" s="376">
        <f>SumByColor($A$19,F38:F41)</f>
        <v>0</v>
      </c>
      <c r="G55" s="375"/>
      <c r="H55" s="375">
        <f>SumByColor($A$19,H38:H53)</f>
        <v>0</v>
      </c>
      <c r="I55" s="375"/>
      <c r="J55" s="375"/>
      <c r="K55" s="376">
        <f>SumByColor($A$19,K38:K53)</f>
        <v>0</v>
      </c>
      <c r="L55" s="375"/>
      <c r="M55" s="376">
        <f>SumByColor($A$19,M38:M53)</f>
        <v>0</v>
      </c>
      <c r="O55" s="81">
        <v>1</v>
      </c>
      <c r="P55" s="81">
        <f t="shared" si="1"/>
        <v>81.28</v>
      </c>
      <c r="T55" s="91" t="s">
        <v>107</v>
      </c>
      <c r="U55" s="127" t="s">
        <v>579</v>
      </c>
      <c r="W55" s="130">
        <v>42755</v>
      </c>
      <c r="X55" s="10">
        <v>53.22</v>
      </c>
      <c r="Y55" s="10">
        <v>53.35</v>
      </c>
      <c r="Z55" s="10">
        <v>52.9</v>
      </c>
      <c r="AA55" s="10">
        <v>53.2</v>
      </c>
      <c r="AB55" s="93">
        <v>7861000</v>
      </c>
      <c r="AC55" s="10">
        <v>53.03</v>
      </c>
      <c r="AE55" s="134"/>
    </row>
    <row r="56" spans="1:41" x14ac:dyDescent="0.25">
      <c r="O56" s="81">
        <v>0.99</v>
      </c>
      <c r="P56" s="81">
        <f t="shared" si="1"/>
        <v>80.467200000000005</v>
      </c>
      <c r="T56" s="91" t="s">
        <v>110</v>
      </c>
      <c r="U56" s="127">
        <v>22.94</v>
      </c>
      <c r="W56" s="130">
        <v>42754</v>
      </c>
      <c r="X56" s="10">
        <v>53.84</v>
      </c>
      <c r="Y56" s="10">
        <v>53.94</v>
      </c>
      <c r="Z56" s="10">
        <v>52.89</v>
      </c>
      <c r="AA56" s="10">
        <v>52.93</v>
      </c>
      <c r="AB56" s="93">
        <v>8320600</v>
      </c>
      <c r="AC56" s="10">
        <v>52.77</v>
      </c>
      <c r="AE56" s="134"/>
    </row>
    <row r="57" spans="1:41" x14ac:dyDescent="0.25">
      <c r="O57" s="81">
        <v>0.98</v>
      </c>
      <c r="P57" s="81">
        <f t="shared" si="1"/>
        <v>79.654399999999995</v>
      </c>
      <c r="T57" s="91" t="s">
        <v>111</v>
      </c>
      <c r="U57" s="127">
        <v>2.4</v>
      </c>
      <c r="W57" s="130">
        <v>42753</v>
      </c>
      <c r="X57" s="10">
        <v>53.86</v>
      </c>
      <c r="Y57" s="10">
        <v>53.89</v>
      </c>
      <c r="Z57" s="10">
        <v>52.86</v>
      </c>
      <c r="AA57" s="10">
        <v>53.27</v>
      </c>
      <c r="AB57" s="93">
        <v>6743100</v>
      </c>
      <c r="AC57" s="10">
        <v>53.1</v>
      </c>
      <c r="AE57" s="134"/>
    </row>
    <row r="58" spans="1:41" x14ac:dyDescent="0.25">
      <c r="O58" s="81">
        <v>0.97</v>
      </c>
      <c r="P58" s="81">
        <f t="shared" si="1"/>
        <v>78.8416</v>
      </c>
      <c r="T58" s="91" t="s">
        <v>108</v>
      </c>
      <c r="U58" s="127" t="s">
        <v>527</v>
      </c>
      <c r="W58" s="130">
        <v>42752</v>
      </c>
      <c r="X58" s="10">
        <v>53.4</v>
      </c>
      <c r="Y58" s="10">
        <v>53.95</v>
      </c>
      <c r="Z58" s="10">
        <v>53.01</v>
      </c>
      <c r="AA58" s="10">
        <v>53.65</v>
      </c>
      <c r="AB58" s="93">
        <v>9888500</v>
      </c>
      <c r="AC58" s="10">
        <v>53.48</v>
      </c>
      <c r="AE58" s="134"/>
      <c r="AL58" s="182"/>
      <c r="AO58" s="182"/>
    </row>
    <row r="59" spans="1:41" x14ac:dyDescent="0.25">
      <c r="O59" s="81">
        <v>0.96</v>
      </c>
      <c r="P59" s="81">
        <f t="shared" si="1"/>
        <v>78.028800000000004</v>
      </c>
      <c r="W59" s="130">
        <v>42748</v>
      </c>
      <c r="X59" s="10">
        <v>52.59</v>
      </c>
      <c r="Y59" s="10">
        <v>52.93</v>
      </c>
      <c r="Z59" s="10">
        <v>52.23</v>
      </c>
      <c r="AA59" s="10">
        <v>52.92</v>
      </c>
      <c r="AB59" s="93">
        <v>6694400</v>
      </c>
      <c r="AC59" s="10">
        <v>52.76</v>
      </c>
      <c r="AE59" s="134"/>
    </row>
    <row r="60" spans="1:41" x14ac:dyDescent="0.25">
      <c r="O60" s="81">
        <v>0.95</v>
      </c>
      <c r="P60" s="81">
        <f t="shared" si="1"/>
        <v>77.215999999999994</v>
      </c>
      <c r="W60" s="130">
        <v>42747</v>
      </c>
      <c r="X60" s="10">
        <v>52.51</v>
      </c>
      <c r="Y60" s="10">
        <v>52.69</v>
      </c>
      <c r="Z60" s="10">
        <v>52.16</v>
      </c>
      <c r="AA60" s="10">
        <v>52.4</v>
      </c>
      <c r="AB60" s="93">
        <v>7368700</v>
      </c>
      <c r="AC60" s="10">
        <v>52.24</v>
      </c>
      <c r="AE60" s="134"/>
    </row>
    <row r="61" spans="1:41" x14ac:dyDescent="0.25">
      <c r="O61" s="81">
        <v>0.94</v>
      </c>
      <c r="P61" s="81">
        <f t="shared" si="1"/>
        <v>76.403199999999998</v>
      </c>
      <c r="W61" s="130">
        <v>42746</v>
      </c>
      <c r="X61" s="10">
        <v>53.12</v>
      </c>
      <c r="Y61" s="10">
        <v>53.29</v>
      </c>
      <c r="Z61" s="10">
        <v>52.67</v>
      </c>
      <c r="AA61" s="10">
        <v>52.69</v>
      </c>
      <c r="AB61" s="93">
        <v>8208300</v>
      </c>
      <c r="AC61" s="10">
        <v>52.53</v>
      </c>
      <c r="AE61" s="134"/>
    </row>
    <row r="62" spans="1:41" x14ac:dyDescent="0.25">
      <c r="O62" s="81">
        <v>0.93</v>
      </c>
      <c r="P62" s="81">
        <f t="shared" si="1"/>
        <v>75.590400000000002</v>
      </c>
      <c r="W62" s="130">
        <v>42745</v>
      </c>
      <c r="X62" s="10">
        <v>53.55</v>
      </c>
      <c r="Y62" s="10">
        <v>53.73</v>
      </c>
      <c r="Z62" s="10">
        <v>53.11</v>
      </c>
      <c r="AA62" s="10">
        <v>53.11</v>
      </c>
      <c r="AB62" s="93">
        <v>8041900</v>
      </c>
      <c r="AC62" s="10">
        <v>52.95</v>
      </c>
      <c r="AE62" s="134"/>
    </row>
    <row r="63" spans="1:41" x14ac:dyDescent="0.25">
      <c r="O63" s="81">
        <v>0.92</v>
      </c>
      <c r="P63" s="81">
        <f t="shared" si="1"/>
        <v>74.777600000000007</v>
      </c>
      <c r="W63" s="130">
        <v>42744</v>
      </c>
      <c r="X63" s="10">
        <v>53.96</v>
      </c>
      <c r="Y63" s="10">
        <v>53.99</v>
      </c>
      <c r="Z63" s="10">
        <v>53.22</v>
      </c>
      <c r="AA63" s="10">
        <v>53.38</v>
      </c>
      <c r="AB63" s="93">
        <v>8724800</v>
      </c>
      <c r="AC63" s="10">
        <v>53.21</v>
      </c>
      <c r="AE63" s="134"/>
    </row>
    <row r="64" spans="1:41" x14ac:dyDescent="0.25">
      <c r="O64" s="81">
        <v>0.91</v>
      </c>
      <c r="P64" s="81">
        <f t="shared" si="1"/>
        <v>73.964799999999997</v>
      </c>
      <c r="W64" s="130">
        <v>42741</v>
      </c>
      <c r="X64" s="10">
        <v>53.09</v>
      </c>
      <c r="Y64" s="10">
        <v>54.09</v>
      </c>
      <c r="Z64" s="10">
        <v>52.98</v>
      </c>
      <c r="AA64" s="10">
        <v>53.91</v>
      </c>
      <c r="AB64" s="93">
        <v>12532400</v>
      </c>
      <c r="AC64" s="10">
        <v>53.74</v>
      </c>
      <c r="AE64" s="134"/>
    </row>
    <row r="65" spans="15:31" x14ac:dyDescent="0.25">
      <c r="O65" s="81">
        <v>0.9</v>
      </c>
      <c r="P65" s="81">
        <f t="shared" si="1"/>
        <v>73.152000000000001</v>
      </c>
      <c r="W65" s="130">
        <v>42740</v>
      </c>
      <c r="X65" s="10">
        <v>52.92</v>
      </c>
      <c r="Y65" s="10">
        <v>53.1</v>
      </c>
      <c r="Z65" s="10">
        <v>52.44</v>
      </c>
      <c r="AA65" s="10">
        <v>53.06</v>
      </c>
      <c r="AB65" s="93">
        <v>8682200</v>
      </c>
      <c r="AC65" s="10">
        <v>52.9</v>
      </c>
      <c r="AE65" s="134"/>
    </row>
    <row r="66" spans="15:31" x14ac:dyDescent="0.25">
      <c r="W66" s="130">
        <v>42739</v>
      </c>
      <c r="X66" s="10">
        <v>52.23</v>
      </c>
      <c r="Y66" s="10">
        <v>53.35</v>
      </c>
      <c r="Z66" s="10">
        <v>52.09</v>
      </c>
      <c r="AA66" s="10">
        <v>53.07</v>
      </c>
      <c r="AB66" s="93">
        <v>13759500</v>
      </c>
      <c r="AC66" s="10">
        <v>52.91</v>
      </c>
      <c r="AE66" s="134"/>
    </row>
    <row r="67" spans="15:31" x14ac:dyDescent="0.25">
      <c r="W67" s="130">
        <v>42738</v>
      </c>
      <c r="X67" s="10">
        <v>51.99</v>
      </c>
      <c r="Y67" s="10">
        <v>52.5</v>
      </c>
      <c r="Z67" s="10">
        <v>51.77</v>
      </c>
      <c r="AA67" s="10">
        <v>51.98</v>
      </c>
      <c r="AB67" s="93">
        <v>13295600</v>
      </c>
      <c r="AC67" s="10">
        <v>51.82</v>
      </c>
      <c r="AE67" s="134"/>
    </row>
    <row r="68" spans="15:31" x14ac:dyDescent="0.25">
      <c r="W68" s="130">
        <v>42734</v>
      </c>
      <c r="X68" s="10">
        <v>51.1</v>
      </c>
      <c r="Y68" s="10">
        <v>51.33</v>
      </c>
      <c r="Z68" s="10">
        <v>50.7</v>
      </c>
      <c r="AA68" s="10">
        <v>50.83</v>
      </c>
      <c r="AB68" s="93">
        <v>7384300</v>
      </c>
      <c r="AC68" s="10">
        <v>50.67</v>
      </c>
      <c r="AE68" s="134"/>
    </row>
    <row r="69" spans="15:31" x14ac:dyDescent="0.25">
      <c r="W69" s="220" t="s">
        <v>120</v>
      </c>
      <c r="AB69" s="183"/>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200" priority="57">
      <formula>F27&gt;0</formula>
    </cfRule>
    <cfRule type="expression" dxfId="1199" priority="58">
      <formula>F27&lt;0</formula>
    </cfRule>
  </conditionalFormatting>
  <conditionalFormatting sqref="H28:H33">
    <cfRule type="expression" dxfId="1198" priority="53">
      <formula>H28&gt;0</formula>
    </cfRule>
    <cfRule type="expression" dxfId="1197" priority="54">
      <formula>H28&lt;0</formula>
    </cfRule>
  </conditionalFormatting>
  <conditionalFormatting sqref="F24:F26">
    <cfRule type="expression" dxfId="1196" priority="39">
      <formula>F24&gt;0</formula>
    </cfRule>
    <cfRule type="expression" dxfId="1195" priority="40">
      <formula>F24&lt;0</formula>
    </cfRule>
  </conditionalFormatting>
  <conditionalFormatting sqref="Q8">
    <cfRule type="expression" dxfId="1194" priority="33">
      <formula>Q8&gt;0</formula>
    </cfRule>
    <cfRule type="expression" dxfId="1193" priority="34">
      <formula>Q8&lt;0</formula>
    </cfRule>
  </conditionalFormatting>
  <conditionalFormatting sqref="Q7">
    <cfRule type="expression" dxfId="1192" priority="35">
      <formula>Q7&gt;0</formula>
    </cfRule>
    <cfRule type="expression" dxfId="1191" priority="36">
      <formula>Q7&lt;0</formula>
    </cfRule>
  </conditionalFormatting>
  <conditionalFormatting sqref="F34">
    <cfRule type="expression" dxfId="1190" priority="31">
      <formula>F34&gt;0</formula>
    </cfRule>
    <cfRule type="expression" dxfId="1189" priority="32">
      <formula>F34&lt;0</formula>
    </cfRule>
  </conditionalFormatting>
  <conditionalFormatting sqref="H34">
    <cfRule type="expression" dxfId="1188" priority="29">
      <formula>H34&gt;0</formula>
    </cfRule>
    <cfRule type="expression" dxfId="1187" priority="30">
      <formula>H34&lt;0</formula>
    </cfRule>
  </conditionalFormatting>
  <conditionalFormatting sqref="M36">
    <cfRule type="expression" dxfId="1186" priority="19">
      <formula>M36&gt;0</formula>
    </cfRule>
    <cfRule type="expression" dxfId="1185" priority="20">
      <formula>M36&lt;0</formula>
    </cfRule>
  </conditionalFormatting>
  <conditionalFormatting sqref="Q10">
    <cfRule type="expression" dxfId="1184" priority="15">
      <formula>Q10&gt;0</formula>
    </cfRule>
    <cfRule type="expression" dxfId="1183" priority="16">
      <formula>Q10&lt;0</formula>
    </cfRule>
  </conditionalFormatting>
  <conditionalFormatting sqref="F23">
    <cfRule type="expression" dxfId="1182" priority="13">
      <formula>F23&gt;0</formula>
    </cfRule>
    <cfRule type="expression" dxfId="1181" priority="14">
      <formula>F23&lt;0</formula>
    </cfRule>
  </conditionalFormatting>
  <conditionalFormatting sqref="I25:J25">
    <cfRule type="expression" dxfId="1180" priority="9">
      <formula>I25&gt;0</formula>
    </cfRule>
    <cfRule type="expression" dxfId="1179" priority="10">
      <formula>I25&lt;0</formula>
    </cfRule>
  </conditionalFormatting>
  <conditionalFormatting sqref="I26:J27">
    <cfRule type="expression" dxfId="1178" priority="7">
      <formula>I26&gt;0</formula>
    </cfRule>
    <cfRule type="expression" dxfId="1177" priority="8">
      <formula>I26&lt;0</formula>
    </cfRule>
  </conditionalFormatting>
  <conditionalFormatting sqref="K25:K27">
    <cfRule type="expression" dxfId="1176" priority="5">
      <formula>K25&gt;0</formula>
    </cfRule>
    <cfRule type="expression" dxfId="1175" priority="6">
      <formula>K25&lt;0</formula>
    </cfRule>
  </conditionalFormatting>
  <conditionalFormatting sqref="I23:J23">
    <cfRule type="expression" dxfId="1174" priority="3">
      <formula>I23&gt;0</formula>
    </cfRule>
    <cfRule type="expression" dxfId="1173"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30"/>
  <sheetViews>
    <sheetView zoomScale="98" zoomScaleNormal="98"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32"/>
      <c r="AA1" s="656" t="s">
        <v>733</v>
      </c>
      <c r="AB1" s="656" t="s">
        <v>690</v>
      </c>
      <c r="AC1" s="656" t="s">
        <v>908</v>
      </c>
      <c r="AD1" s="656" t="s">
        <v>907</v>
      </c>
      <c r="AE1" s="656" t="s">
        <v>1038</v>
      </c>
      <c r="AF1" s="632"/>
      <c r="AG1" s="632"/>
    </row>
    <row r="2" spans="1:33" x14ac:dyDescent="0.25">
      <c r="A2" s="6" t="s">
        <v>221</v>
      </c>
      <c r="B2" s="406">
        <v>42758</v>
      </c>
      <c r="C2" s="7">
        <v>100</v>
      </c>
      <c r="D2" s="43">
        <v>31.18</v>
      </c>
      <c r="E2" s="43">
        <v>0</v>
      </c>
      <c r="F2" s="43">
        <f t="shared" ref="F2:F9" si="0">D2*C2+E2</f>
        <v>3118</v>
      </c>
      <c r="G2" s="406">
        <v>42809</v>
      </c>
      <c r="H2" s="7">
        <v>100</v>
      </c>
      <c r="I2" s="43">
        <v>28.91</v>
      </c>
      <c r="J2" s="43">
        <v>0.06</v>
      </c>
      <c r="K2" s="43">
        <f t="shared" ref="K2:K35" si="1">I2*H2-J2</f>
        <v>2890.94</v>
      </c>
      <c r="L2" s="72">
        <v>42810</v>
      </c>
      <c r="M2" s="43">
        <v>27.5</v>
      </c>
      <c r="O2" s="11" t="s">
        <v>57</v>
      </c>
      <c r="Q2">
        <f>C46-H46</f>
        <v>400</v>
      </c>
      <c r="X2" s="660"/>
      <c r="Z2" s="633" t="s">
        <v>734</v>
      </c>
      <c r="AA2" s="655">
        <v>42948</v>
      </c>
      <c r="AB2" s="655">
        <v>43039</v>
      </c>
      <c r="AC2" s="655">
        <v>43150</v>
      </c>
      <c r="AD2" s="655"/>
      <c r="AE2" s="655"/>
      <c r="AF2" s="601"/>
      <c r="AG2" s="601"/>
    </row>
    <row r="3" spans="1:33" x14ac:dyDescent="0.25">
      <c r="A3" s="22" t="s">
        <v>71</v>
      </c>
      <c r="B3" s="406">
        <v>42808</v>
      </c>
      <c r="C3" s="7">
        <v>100</v>
      </c>
      <c r="D3" s="43">
        <v>28.48</v>
      </c>
      <c r="E3" s="43">
        <v>0</v>
      </c>
      <c r="F3" s="43">
        <f t="shared" si="0"/>
        <v>2848</v>
      </c>
      <c r="G3" s="406">
        <v>42898</v>
      </c>
      <c r="H3" s="80">
        <v>200</v>
      </c>
      <c r="I3" s="43">
        <v>24.18</v>
      </c>
      <c r="J3" s="43">
        <v>0.11</v>
      </c>
      <c r="K3" s="43">
        <f t="shared" si="1"/>
        <v>4835.8900000000003</v>
      </c>
      <c r="L3" s="72">
        <v>42902</v>
      </c>
      <c r="M3" s="43">
        <v>90</v>
      </c>
      <c r="O3" s="11" t="s">
        <v>58</v>
      </c>
      <c r="Q3" s="178">
        <f>IF(Q2=0, Q4, (F46-K46-M46)/Q2)</f>
        <v>9.9368249999999527</v>
      </c>
      <c r="U3" t="s">
        <v>708</v>
      </c>
      <c r="V3" s="22" t="s">
        <v>707</v>
      </c>
      <c r="Z3" s="635"/>
      <c r="AA3" s="601"/>
      <c r="AB3" s="601"/>
      <c r="AC3" s="601"/>
      <c r="AD3" s="601"/>
      <c r="AE3" s="601"/>
      <c r="AF3" s="601"/>
      <c r="AG3" s="601"/>
    </row>
    <row r="4" spans="1:33" x14ac:dyDescent="0.25">
      <c r="B4" s="406">
        <v>42836</v>
      </c>
      <c r="C4" s="7">
        <v>100</v>
      </c>
      <c r="D4" s="43">
        <v>28.35</v>
      </c>
      <c r="E4" s="43">
        <v>0</v>
      </c>
      <c r="F4" s="43">
        <f t="shared" si="0"/>
        <v>2835</v>
      </c>
      <c r="G4" s="406">
        <v>42926</v>
      </c>
      <c r="H4" s="80">
        <v>200</v>
      </c>
      <c r="I4" s="43">
        <v>24.15</v>
      </c>
      <c r="J4" s="43">
        <v>0.11</v>
      </c>
      <c r="K4" s="43">
        <f t="shared" si="1"/>
        <v>4829.8900000000003</v>
      </c>
      <c r="L4" s="72">
        <v>42999</v>
      </c>
      <c r="M4" s="43">
        <v>135</v>
      </c>
      <c r="O4" s="11" t="s">
        <v>66</v>
      </c>
      <c r="Q4" s="54">
        <v>27.92</v>
      </c>
      <c r="R4" s="424">
        <v>7.1999999999999998E-3</v>
      </c>
      <c r="V4" t="s">
        <v>1370</v>
      </c>
      <c r="Z4" s="635" t="s">
        <v>702</v>
      </c>
      <c r="AA4" s="639">
        <v>320</v>
      </c>
      <c r="AB4" s="639">
        <v>310</v>
      </c>
      <c r="AC4" s="639">
        <v>320</v>
      </c>
      <c r="AD4" s="639"/>
      <c r="AE4" s="639"/>
      <c r="AF4" s="601"/>
      <c r="AG4" s="601"/>
    </row>
    <row r="5" spans="1:33" x14ac:dyDescent="0.25">
      <c r="B5" s="406">
        <v>42857</v>
      </c>
      <c r="C5" s="7">
        <v>100</v>
      </c>
      <c r="D5" s="43">
        <v>25.01</v>
      </c>
      <c r="E5" s="43">
        <v>0</v>
      </c>
      <c r="F5" s="43">
        <f t="shared" si="0"/>
        <v>2501</v>
      </c>
      <c r="G5" s="406">
        <v>42941</v>
      </c>
      <c r="H5" s="80">
        <v>200</v>
      </c>
      <c r="I5" s="43">
        <v>25</v>
      </c>
      <c r="J5" s="43">
        <v>0.12</v>
      </c>
      <c r="K5" s="43">
        <f t="shared" si="1"/>
        <v>4999.88</v>
      </c>
      <c r="L5" s="72">
        <v>43090</v>
      </c>
      <c r="M5" s="43">
        <v>12.5</v>
      </c>
      <c r="O5" s="11" t="s">
        <v>67</v>
      </c>
      <c r="Q5" s="3">
        <f>Q4*Q2</f>
        <v>11168</v>
      </c>
      <c r="Z5" s="636" t="s">
        <v>695</v>
      </c>
      <c r="AA5" s="639">
        <v>340</v>
      </c>
      <c r="AB5" s="639">
        <v>330</v>
      </c>
      <c r="AC5" s="639">
        <v>350</v>
      </c>
      <c r="AD5" s="639"/>
      <c r="AE5" s="639"/>
      <c r="AF5" s="601"/>
      <c r="AG5" s="601"/>
    </row>
    <row r="6" spans="1:33" x14ac:dyDescent="0.25">
      <c r="B6" s="406">
        <v>42858</v>
      </c>
      <c r="C6" s="7">
        <v>100</v>
      </c>
      <c r="D6" s="43">
        <v>23.98</v>
      </c>
      <c r="E6" s="43">
        <v>0</v>
      </c>
      <c r="F6" s="43">
        <f t="shared" si="0"/>
        <v>2398</v>
      </c>
      <c r="G6" s="406">
        <v>42984</v>
      </c>
      <c r="H6" s="80">
        <v>100</v>
      </c>
      <c r="I6" s="43">
        <v>19.78</v>
      </c>
      <c r="J6" s="43">
        <v>0.05</v>
      </c>
      <c r="K6" s="43">
        <f t="shared" si="1"/>
        <v>1977.95</v>
      </c>
      <c r="L6" s="72">
        <v>43176</v>
      </c>
      <c r="M6" s="43">
        <v>10</v>
      </c>
      <c r="O6" s="11" t="s">
        <v>64</v>
      </c>
      <c r="Q6" s="2">
        <f>Q3*Q2</f>
        <v>3974.7299999999809</v>
      </c>
      <c r="U6" s="693">
        <v>43150</v>
      </c>
      <c r="V6" t="s">
        <v>82</v>
      </c>
      <c r="Z6" s="637" t="s">
        <v>688</v>
      </c>
      <c r="AA6" s="639">
        <v>336</v>
      </c>
      <c r="AB6" s="653">
        <v>329</v>
      </c>
      <c r="AC6" s="653">
        <v>348</v>
      </c>
      <c r="AD6" s="653">
        <v>431</v>
      </c>
      <c r="AE6" s="653"/>
      <c r="AF6" s="601"/>
      <c r="AG6" s="601"/>
    </row>
    <row r="7" spans="1:33" x14ac:dyDescent="0.25">
      <c r="B7" s="406">
        <v>42867</v>
      </c>
      <c r="C7" s="7">
        <v>200</v>
      </c>
      <c r="D7" s="43">
        <v>22.98</v>
      </c>
      <c r="E7" s="43">
        <v>0</v>
      </c>
      <c r="F7" s="43">
        <f t="shared" si="0"/>
        <v>4596</v>
      </c>
      <c r="G7" s="406">
        <v>43068</v>
      </c>
      <c r="H7" s="80">
        <v>300</v>
      </c>
      <c r="I7" s="43">
        <v>24.59</v>
      </c>
      <c r="J7" s="43">
        <v>0.17</v>
      </c>
      <c r="K7" s="43">
        <f t="shared" si="1"/>
        <v>7376.83</v>
      </c>
      <c r="L7" s="72">
        <v>43272</v>
      </c>
      <c r="M7" s="43">
        <v>10</v>
      </c>
      <c r="O7" s="11" t="s">
        <v>177</v>
      </c>
      <c r="Q7" s="2">
        <f>Q10+Q8</f>
        <v>8645.530000000017</v>
      </c>
      <c r="R7">
        <v>200</v>
      </c>
      <c r="V7" t="s">
        <v>949</v>
      </c>
      <c r="Z7" s="637" t="s">
        <v>723</v>
      </c>
      <c r="AA7" s="639">
        <v>343</v>
      </c>
      <c r="AB7" s="639">
        <v>326</v>
      </c>
      <c r="AC7" s="639">
        <v>317</v>
      </c>
      <c r="AD7" s="639">
        <v>369</v>
      </c>
      <c r="AE7" s="639"/>
      <c r="AF7" s="601"/>
      <c r="AG7" s="601"/>
    </row>
    <row r="8" spans="1:33" x14ac:dyDescent="0.25">
      <c r="B8" s="406">
        <v>42900</v>
      </c>
      <c r="C8" s="7">
        <v>200</v>
      </c>
      <c r="D8" s="43">
        <v>23.18</v>
      </c>
      <c r="E8" s="43">
        <v>0</v>
      </c>
      <c r="F8" s="43">
        <f t="shared" si="0"/>
        <v>4636</v>
      </c>
      <c r="G8" s="406">
        <v>43090</v>
      </c>
      <c r="H8" s="80">
        <v>50</v>
      </c>
      <c r="I8" s="43">
        <v>25.18</v>
      </c>
      <c r="J8" s="43">
        <v>0.03</v>
      </c>
      <c r="K8" s="43">
        <f t="shared" si="1"/>
        <v>1258.97</v>
      </c>
      <c r="L8" s="72">
        <v>43363</v>
      </c>
      <c r="M8" s="43">
        <v>10</v>
      </c>
      <c r="O8" s="11" t="s">
        <v>179</v>
      </c>
      <c r="P8" s="33"/>
      <c r="Q8" s="2">
        <f>K46+M46-F46+Q2*Q4</f>
        <v>7193.2700000000186</v>
      </c>
      <c r="Z8" s="637" t="s">
        <v>696</v>
      </c>
      <c r="AA8" s="639">
        <v>2.2999999999999998</v>
      </c>
      <c r="AB8" s="639">
        <v>2.2000000000000002</v>
      </c>
      <c r="AC8" s="639">
        <v>2.2999999999999998</v>
      </c>
      <c r="AD8" s="639">
        <v>1.9</v>
      </c>
      <c r="AE8" s="639">
        <v>2.1</v>
      </c>
      <c r="AF8" s="601"/>
      <c r="AG8" s="601"/>
    </row>
    <row r="9" spans="1:33" x14ac:dyDescent="0.25">
      <c r="B9" s="406">
        <v>42927</v>
      </c>
      <c r="C9" s="7">
        <v>50</v>
      </c>
      <c r="D9" s="43">
        <v>23.3</v>
      </c>
      <c r="E9" s="43">
        <v>0</v>
      </c>
      <c r="F9" s="43">
        <f t="shared" si="0"/>
        <v>1165</v>
      </c>
      <c r="G9" s="406">
        <v>43102</v>
      </c>
      <c r="H9" s="80">
        <v>50</v>
      </c>
      <c r="I9" s="43">
        <v>26.58</v>
      </c>
      <c r="J9" s="43">
        <v>0.03</v>
      </c>
      <c r="K9" s="43">
        <f t="shared" si="1"/>
        <v>1328.97</v>
      </c>
      <c r="L9" s="1">
        <v>43454</v>
      </c>
      <c r="M9" s="43">
        <v>10</v>
      </c>
      <c r="O9" s="11" t="s">
        <v>204</v>
      </c>
      <c r="Q9" s="134">
        <f>IF(Q2=0, 0, Q8/Q6)</f>
        <v>1.8097505994117973</v>
      </c>
      <c r="Z9" s="637" t="s">
        <v>697</v>
      </c>
      <c r="AA9" s="639">
        <v>2.6</v>
      </c>
      <c r="AB9" s="639">
        <v>2.5</v>
      </c>
      <c r="AC9" s="639">
        <v>2.6</v>
      </c>
      <c r="AD9" s="639">
        <v>2.2000000000000002</v>
      </c>
      <c r="AE9" s="639">
        <v>2.4</v>
      </c>
      <c r="AF9" s="601"/>
      <c r="AG9" s="601"/>
    </row>
    <row r="10" spans="1:33" x14ac:dyDescent="0.25">
      <c r="B10" s="406">
        <v>42927</v>
      </c>
      <c r="C10" s="7">
        <v>150</v>
      </c>
      <c r="D10" s="43">
        <v>23.3</v>
      </c>
      <c r="E10" s="43">
        <v>0</v>
      </c>
      <c r="F10" s="43">
        <f>D10*C10+E10</f>
        <v>3495</v>
      </c>
      <c r="G10" s="406">
        <v>43118</v>
      </c>
      <c r="H10" s="80">
        <v>50</v>
      </c>
      <c r="I10" s="43">
        <v>26.48</v>
      </c>
      <c r="J10" s="43">
        <v>0.03</v>
      </c>
      <c r="K10" s="43">
        <f t="shared" si="1"/>
        <v>1323.97</v>
      </c>
      <c r="L10" s="1">
        <v>43545</v>
      </c>
      <c r="M10" s="43">
        <v>7.5</v>
      </c>
      <c r="O10" s="11" t="s">
        <v>203</v>
      </c>
      <c r="P10" s="33"/>
      <c r="Q10" s="2">
        <f>M211</f>
        <v>1452.2599999999984</v>
      </c>
      <c r="U10" s="1">
        <v>43227</v>
      </c>
      <c r="V10" t="s">
        <v>82</v>
      </c>
      <c r="Z10" s="637" t="s">
        <v>713</v>
      </c>
      <c r="AA10" s="639">
        <v>2.6</v>
      </c>
      <c r="AB10" s="653">
        <v>2.1</v>
      </c>
      <c r="AC10" s="653">
        <v>2.5</v>
      </c>
      <c r="AD10" s="747">
        <v>1.9</v>
      </c>
      <c r="AE10" s="747"/>
      <c r="AF10" s="601"/>
      <c r="AG10" s="601"/>
    </row>
    <row r="11" spans="1:33" x14ac:dyDescent="0.25">
      <c r="B11" s="406">
        <v>42942</v>
      </c>
      <c r="C11" s="7">
        <v>200</v>
      </c>
      <c r="D11" s="43">
        <v>24.28</v>
      </c>
      <c r="E11" s="43">
        <v>0</v>
      </c>
      <c r="F11" s="43">
        <f t="shared" ref="F11:F31" si="2">D11*C11+E11</f>
        <v>4856</v>
      </c>
      <c r="G11" s="406">
        <v>43126</v>
      </c>
      <c r="H11" s="80">
        <v>100</v>
      </c>
      <c r="I11" s="43">
        <v>27.62</v>
      </c>
      <c r="J11" s="43">
        <v>0.06</v>
      </c>
      <c r="K11" s="43">
        <f t="shared" si="1"/>
        <v>2761.94</v>
      </c>
      <c r="O11" s="11" t="s">
        <v>175</v>
      </c>
      <c r="P11" s="33"/>
      <c r="Q11" s="134">
        <f>R11/Q4*4</f>
        <v>3.5816618911174783E-3</v>
      </c>
      <c r="R11">
        <f>0.025</f>
        <v>2.5000000000000001E-2</v>
      </c>
      <c r="V11" t="s">
        <v>1037</v>
      </c>
      <c r="Z11" s="601"/>
      <c r="AA11" s="639"/>
      <c r="AB11" s="601"/>
      <c r="AC11" s="601"/>
      <c r="AD11" s="601"/>
      <c r="AE11" s="601"/>
      <c r="AF11" s="601"/>
      <c r="AG11" s="601"/>
    </row>
    <row r="12" spans="1:33" x14ac:dyDescent="0.25">
      <c r="B12" s="406">
        <v>42948</v>
      </c>
      <c r="C12" s="7">
        <v>100</v>
      </c>
      <c r="D12" s="43">
        <v>22.88</v>
      </c>
      <c r="E12" s="43">
        <v>0</v>
      </c>
      <c r="F12" s="43">
        <f t="shared" si="2"/>
        <v>2288</v>
      </c>
      <c r="G12" s="406">
        <v>43140</v>
      </c>
      <c r="H12" s="80">
        <v>200</v>
      </c>
      <c r="I12" s="43">
        <v>24.48</v>
      </c>
      <c r="J12" s="43">
        <v>0.11</v>
      </c>
      <c r="K12" s="43">
        <f t="shared" si="1"/>
        <v>4895.8900000000003</v>
      </c>
      <c r="O12" s="11" t="s">
        <v>921</v>
      </c>
      <c r="Q12" s="1" t="s">
        <v>1365</v>
      </c>
      <c r="Z12" s="637" t="s">
        <v>691</v>
      </c>
      <c r="AA12" s="639"/>
      <c r="AB12" s="644">
        <v>7.0000000000000007E-2</v>
      </c>
      <c r="AC12" s="644" t="s">
        <v>735</v>
      </c>
      <c r="AD12" s="657" t="s">
        <v>911</v>
      </c>
      <c r="AE12" s="750" t="s">
        <v>912</v>
      </c>
      <c r="AF12" s="601"/>
      <c r="AG12" s="601"/>
    </row>
    <row r="13" spans="1:33" x14ac:dyDescent="0.25">
      <c r="B13" s="406">
        <v>42948</v>
      </c>
      <c r="C13" s="7">
        <v>100</v>
      </c>
      <c r="D13" s="43">
        <v>22.08</v>
      </c>
      <c r="E13" s="43">
        <v>0</v>
      </c>
      <c r="F13" s="43">
        <f t="shared" si="2"/>
        <v>2208</v>
      </c>
      <c r="G13" s="406">
        <v>43151</v>
      </c>
      <c r="H13" s="80">
        <v>100</v>
      </c>
      <c r="I13" s="43">
        <v>26.19</v>
      </c>
      <c r="J13" s="43">
        <v>0.06</v>
      </c>
      <c r="K13" s="43">
        <f t="shared" si="1"/>
        <v>2618.94</v>
      </c>
      <c r="O13" s="11" t="s">
        <v>947</v>
      </c>
      <c r="Q13" s="2">
        <f>Q4/(1.9)</f>
        <v>14.694736842105264</v>
      </c>
      <c r="U13" s="1">
        <v>43234</v>
      </c>
      <c r="V13" t="s">
        <v>1082</v>
      </c>
      <c r="Z13" s="637" t="s">
        <v>698</v>
      </c>
      <c r="AA13" s="639"/>
      <c r="AB13" s="644">
        <v>0.09</v>
      </c>
      <c r="AC13" s="644"/>
      <c r="AD13" s="657" t="s">
        <v>912</v>
      </c>
      <c r="AE13" s="750" t="s">
        <v>1039</v>
      </c>
      <c r="AF13" s="601"/>
      <c r="AG13" s="601"/>
    </row>
    <row r="14" spans="1:33" x14ac:dyDescent="0.25">
      <c r="B14" s="406">
        <v>42983</v>
      </c>
      <c r="C14" s="7">
        <v>100</v>
      </c>
      <c r="D14" s="43">
        <v>19.61</v>
      </c>
      <c r="E14" s="43">
        <v>-0.38</v>
      </c>
      <c r="F14" s="43">
        <f t="shared" si="2"/>
        <v>1960.62</v>
      </c>
      <c r="G14" s="406">
        <v>43151</v>
      </c>
      <c r="H14" s="80">
        <v>100</v>
      </c>
      <c r="I14" s="43">
        <v>26.85</v>
      </c>
      <c r="J14" s="43">
        <v>0.06</v>
      </c>
      <c r="K14" s="43">
        <f t="shared" si="1"/>
        <v>2684.94</v>
      </c>
      <c r="O14" s="11" t="s">
        <v>1034</v>
      </c>
      <c r="Q14" s="29">
        <v>43421</v>
      </c>
      <c r="V14" t="s">
        <v>1083</v>
      </c>
      <c r="Z14" s="637" t="s">
        <v>721</v>
      </c>
      <c r="AA14" s="645">
        <v>0.08</v>
      </c>
      <c r="AB14" s="749">
        <f>AB17/AB22</f>
        <v>8.3854818523153948E-2</v>
      </c>
      <c r="AC14" s="654">
        <f>AC17/AC22</f>
        <v>0.13300000000000001</v>
      </c>
      <c r="AD14" s="654">
        <f>AD17/AD22</f>
        <v>6.5819861431870672E-2</v>
      </c>
      <c r="AE14" s="654"/>
      <c r="AF14" s="601"/>
      <c r="AG14" s="601"/>
    </row>
    <row r="15" spans="1:33" x14ac:dyDescent="0.25">
      <c r="B15" s="406">
        <v>43116</v>
      </c>
      <c r="C15" s="7">
        <v>50</v>
      </c>
      <c r="D15" s="43">
        <v>25.78</v>
      </c>
      <c r="E15" s="43">
        <v>0</v>
      </c>
      <c r="F15" s="43">
        <f t="shared" si="2"/>
        <v>1289</v>
      </c>
      <c r="G15" s="406">
        <v>43188</v>
      </c>
      <c r="H15" s="80">
        <v>200</v>
      </c>
      <c r="I15" s="43">
        <v>24.26</v>
      </c>
      <c r="J15" s="43">
        <v>0.11</v>
      </c>
      <c r="K15" s="43">
        <f t="shared" si="1"/>
        <v>4851.8900000000003</v>
      </c>
      <c r="L15" s="1"/>
      <c r="Z15" s="637" t="s">
        <v>692</v>
      </c>
      <c r="AA15" s="639"/>
      <c r="AB15" s="601"/>
      <c r="AC15" s="601"/>
      <c r="AD15" s="601"/>
      <c r="AE15" s="601"/>
      <c r="AF15" s="601"/>
      <c r="AG15" s="601"/>
    </row>
    <row r="16" spans="1:33" x14ac:dyDescent="0.25">
      <c r="A16" t="s">
        <v>758</v>
      </c>
      <c r="B16" s="406">
        <v>43131</v>
      </c>
      <c r="C16" s="7">
        <v>100</v>
      </c>
      <c r="D16" s="43">
        <v>26.88</v>
      </c>
      <c r="E16" s="43">
        <v>0</v>
      </c>
      <c r="F16" s="43">
        <f t="shared" si="2"/>
        <v>2688</v>
      </c>
      <c r="G16" s="406">
        <v>43195</v>
      </c>
      <c r="H16" s="80">
        <v>200</v>
      </c>
      <c r="I16" s="43">
        <v>25.25</v>
      </c>
      <c r="J16" s="43">
        <v>0.12</v>
      </c>
      <c r="K16" s="43">
        <f t="shared" si="1"/>
        <v>5049.88</v>
      </c>
      <c r="Z16" s="637" t="s">
        <v>693</v>
      </c>
      <c r="AA16" s="639"/>
      <c r="AB16" s="601"/>
      <c r="AC16" s="601"/>
      <c r="AD16" s="601"/>
      <c r="AE16" s="601"/>
      <c r="AF16" s="601"/>
      <c r="AG16" s="601"/>
    </row>
    <row r="17" spans="1:33" x14ac:dyDescent="0.25">
      <c r="B17" s="406">
        <v>43133</v>
      </c>
      <c r="C17" s="7">
        <v>200</v>
      </c>
      <c r="D17" s="43">
        <v>25.88</v>
      </c>
      <c r="E17" s="43">
        <v>0</v>
      </c>
      <c r="F17" s="43">
        <f t="shared" si="2"/>
        <v>5176</v>
      </c>
      <c r="G17" s="406">
        <v>43200</v>
      </c>
      <c r="H17" s="80">
        <v>200</v>
      </c>
      <c r="I17" s="43">
        <v>25.22</v>
      </c>
      <c r="J17" s="43">
        <v>0.12</v>
      </c>
      <c r="K17" s="43">
        <f t="shared" si="1"/>
        <v>5043.88</v>
      </c>
      <c r="U17" s="1">
        <v>43270</v>
      </c>
      <c r="V17" t="s">
        <v>1156</v>
      </c>
      <c r="Z17" s="637" t="s">
        <v>906</v>
      </c>
      <c r="AA17" s="639">
        <v>76</v>
      </c>
      <c r="AB17" s="358">
        <v>67</v>
      </c>
      <c r="AC17" s="358">
        <v>133</v>
      </c>
      <c r="AD17" s="358">
        <v>57</v>
      </c>
      <c r="AE17" s="358"/>
      <c r="AF17" s="601"/>
      <c r="AG17" s="601"/>
    </row>
    <row r="18" spans="1:33" ht="20.25" thickBot="1" x14ac:dyDescent="0.35">
      <c r="B18" s="406">
        <v>43140</v>
      </c>
      <c r="C18" s="7">
        <v>200</v>
      </c>
      <c r="D18" s="43">
        <v>23.58</v>
      </c>
      <c r="E18" s="43">
        <v>0</v>
      </c>
      <c r="F18" s="43">
        <f t="shared" si="2"/>
        <v>4716</v>
      </c>
      <c r="G18" s="406">
        <v>43224</v>
      </c>
      <c r="H18" s="80">
        <v>200</v>
      </c>
      <c r="I18" s="43">
        <v>27.58</v>
      </c>
      <c r="J18" s="43">
        <v>0.13</v>
      </c>
      <c r="K18" s="43">
        <f t="shared" si="1"/>
        <v>5515.87</v>
      </c>
      <c r="O18" s="884" t="s">
        <v>78</v>
      </c>
      <c r="P18" s="884"/>
      <c r="V18" t="s">
        <v>1157</v>
      </c>
      <c r="Z18" s="601"/>
      <c r="AA18" s="639"/>
      <c r="AB18" s="601"/>
      <c r="AC18" s="601"/>
      <c r="AD18" s="601"/>
      <c r="AE18" s="601"/>
      <c r="AF18" s="601"/>
      <c r="AG18" s="601"/>
    </row>
    <row r="19" spans="1:33" ht="15.75" thickTop="1" x14ac:dyDescent="0.25">
      <c r="A19" t="s">
        <v>758</v>
      </c>
      <c r="B19" s="406">
        <v>43178</v>
      </c>
      <c r="C19" s="7">
        <v>200</v>
      </c>
      <c r="D19" s="43">
        <v>25.28</v>
      </c>
      <c r="E19" s="43">
        <v>-1</v>
      </c>
      <c r="F19" s="43">
        <f t="shared" si="2"/>
        <v>5055</v>
      </c>
      <c r="G19" s="762">
        <v>43234</v>
      </c>
      <c r="H19" s="80">
        <v>200</v>
      </c>
      <c r="I19" s="43">
        <v>27.37</v>
      </c>
      <c r="J19" s="43">
        <v>0.13</v>
      </c>
      <c r="K19" s="43">
        <f t="shared" si="1"/>
        <v>5473.87</v>
      </c>
      <c r="O19" s="81">
        <v>1.1000000000000001</v>
      </c>
      <c r="P19" s="81">
        <f>O19*$Q$4</f>
        <v>30.712000000000003</v>
      </c>
      <c r="Z19" s="637" t="s">
        <v>703</v>
      </c>
      <c r="AA19" s="642" t="s">
        <v>706</v>
      </c>
      <c r="AB19" s="637" t="s">
        <v>706</v>
      </c>
      <c r="AC19" s="637" t="s">
        <v>706</v>
      </c>
      <c r="AD19" s="637"/>
      <c r="AE19" s="637"/>
      <c r="AF19" s="601"/>
      <c r="AG19" s="601"/>
    </row>
    <row r="20" spans="1:33" x14ac:dyDescent="0.25">
      <c r="B20" s="406">
        <v>43187</v>
      </c>
      <c r="C20" s="7">
        <v>200</v>
      </c>
      <c r="D20" s="43">
        <v>23.62</v>
      </c>
      <c r="E20" s="43">
        <v>-1</v>
      </c>
      <c r="F20" s="43">
        <f t="shared" si="2"/>
        <v>4723</v>
      </c>
      <c r="G20" s="406">
        <v>43257</v>
      </c>
      <c r="H20" s="80">
        <v>100</v>
      </c>
      <c r="I20" s="43">
        <v>28.58</v>
      </c>
      <c r="J20" s="43">
        <v>0.04</v>
      </c>
      <c r="K20" s="43">
        <f t="shared" si="1"/>
        <v>2857.96</v>
      </c>
      <c r="O20" s="81">
        <v>1.0900000000000001</v>
      </c>
      <c r="P20" s="81">
        <f t="shared" ref="P20:P39" si="3">O20*$Q$4</f>
        <v>30.432800000000004</v>
      </c>
      <c r="U20" s="693">
        <v>43313</v>
      </c>
      <c r="V20" t="s">
        <v>1155</v>
      </c>
      <c r="Z20" s="637" t="s">
        <v>704</v>
      </c>
      <c r="AA20" s="644">
        <v>0.84</v>
      </c>
      <c r="AB20" s="654">
        <v>0.8</v>
      </c>
      <c r="AC20" s="654">
        <v>0.79</v>
      </c>
      <c r="AD20" s="654"/>
      <c r="AE20" s="654"/>
      <c r="AF20" s="601"/>
      <c r="AG20" s="601"/>
    </row>
    <row r="21" spans="1:33" x14ac:dyDescent="0.25">
      <c r="B21" s="406">
        <v>43192</v>
      </c>
      <c r="C21" s="7">
        <v>200</v>
      </c>
      <c r="D21" s="43">
        <v>23.68</v>
      </c>
      <c r="E21" s="43">
        <v>0</v>
      </c>
      <c r="F21" s="43">
        <f t="shared" si="2"/>
        <v>4736</v>
      </c>
      <c r="G21" s="406">
        <v>43257</v>
      </c>
      <c r="H21" s="80">
        <v>100</v>
      </c>
      <c r="I21" s="43">
        <v>28.98</v>
      </c>
      <c r="J21" s="43">
        <v>0.04</v>
      </c>
      <c r="K21" s="43">
        <f t="shared" si="1"/>
        <v>2897.96</v>
      </c>
      <c r="O21" s="81">
        <v>1.08</v>
      </c>
      <c r="P21" s="81">
        <f t="shared" si="3"/>
        <v>30.153600000000004</v>
      </c>
      <c r="Z21" s="637" t="s">
        <v>723</v>
      </c>
      <c r="AA21" s="644">
        <v>0.82</v>
      </c>
      <c r="AB21" s="644">
        <v>0.84</v>
      </c>
      <c r="AC21" s="644">
        <v>0.84</v>
      </c>
      <c r="AD21" s="644"/>
      <c r="AE21" s="644"/>
      <c r="AF21" s="601"/>
      <c r="AG21" s="601"/>
    </row>
    <row r="22" spans="1:33" x14ac:dyDescent="0.25">
      <c r="B22" s="406">
        <v>43196</v>
      </c>
      <c r="C22" s="7">
        <v>100</v>
      </c>
      <c r="D22" s="43">
        <v>24.5</v>
      </c>
      <c r="E22" s="43">
        <v>0</v>
      </c>
      <c r="F22" s="43">
        <f t="shared" si="2"/>
        <v>2450</v>
      </c>
      <c r="G22" s="406">
        <v>43273</v>
      </c>
      <c r="H22" s="80">
        <v>100</v>
      </c>
      <c r="I22" s="43">
        <v>29.08</v>
      </c>
      <c r="J22" s="43">
        <v>0.04</v>
      </c>
      <c r="K22" s="43">
        <f t="shared" si="1"/>
        <v>2907.96</v>
      </c>
      <c r="O22" s="81">
        <v>1.07</v>
      </c>
      <c r="P22" s="81">
        <f t="shared" si="3"/>
        <v>29.874400000000005</v>
      </c>
      <c r="U22" s="1">
        <v>43318</v>
      </c>
      <c r="V22" t="s">
        <v>852</v>
      </c>
      <c r="Z22" s="643" t="s">
        <v>720</v>
      </c>
      <c r="AA22" s="639">
        <v>975</v>
      </c>
      <c r="AB22" s="358">
        <v>799</v>
      </c>
      <c r="AC22" s="358">
        <v>1000</v>
      </c>
      <c r="AD22" s="358">
        <v>866</v>
      </c>
      <c r="AE22" s="358"/>
      <c r="AF22" s="601"/>
      <c r="AG22" s="601"/>
    </row>
    <row r="23" spans="1:33" x14ac:dyDescent="0.25">
      <c r="B23" s="406">
        <v>43196</v>
      </c>
      <c r="C23" s="7">
        <v>100</v>
      </c>
      <c r="D23" s="43">
        <v>24.05</v>
      </c>
      <c r="E23" s="43">
        <v>0</v>
      </c>
      <c r="F23" s="43">
        <f t="shared" si="2"/>
        <v>2405</v>
      </c>
      <c r="G23" s="406">
        <v>43298</v>
      </c>
      <c r="H23" s="80">
        <v>100</v>
      </c>
      <c r="I23" s="43">
        <v>28.55</v>
      </c>
      <c r="J23" s="43">
        <v>0.04</v>
      </c>
      <c r="K23" s="43">
        <f t="shared" si="1"/>
        <v>2854.96</v>
      </c>
      <c r="O23" s="81">
        <v>1.06</v>
      </c>
      <c r="P23" s="81">
        <f t="shared" si="3"/>
        <v>29.595200000000002</v>
      </c>
      <c r="V23" t="s">
        <v>1209</v>
      </c>
      <c r="Z23" s="601"/>
      <c r="AA23" s="639"/>
      <c r="AB23" s="601"/>
      <c r="AC23" s="601"/>
      <c r="AD23" s="601"/>
      <c r="AE23" s="601"/>
      <c r="AF23" s="601"/>
      <c r="AG23" s="601"/>
    </row>
    <row r="24" spans="1:33" x14ac:dyDescent="0.25">
      <c r="B24" s="406">
        <v>43227</v>
      </c>
      <c r="C24" s="7">
        <v>100</v>
      </c>
      <c r="D24" s="43">
        <v>27.02</v>
      </c>
      <c r="E24" s="43">
        <v>0</v>
      </c>
      <c r="F24" s="43">
        <f t="shared" si="2"/>
        <v>2702</v>
      </c>
      <c r="G24" s="406">
        <v>43305</v>
      </c>
      <c r="H24" s="80">
        <v>200</v>
      </c>
      <c r="I24" s="43">
        <v>29.38</v>
      </c>
      <c r="J24" s="43">
        <v>0.08</v>
      </c>
      <c r="K24" s="43">
        <f t="shared" si="1"/>
        <v>5875.92</v>
      </c>
      <c r="O24" s="81">
        <v>1.05</v>
      </c>
      <c r="P24" s="81">
        <f t="shared" si="3"/>
        <v>29.316000000000003</v>
      </c>
      <c r="V24" t="s">
        <v>1210</v>
      </c>
      <c r="Z24" s="634" t="s">
        <v>687</v>
      </c>
      <c r="AA24" s="639"/>
      <c r="AB24" s="601"/>
      <c r="AC24" s="601"/>
      <c r="AD24" s="601"/>
      <c r="AE24" s="601"/>
      <c r="AF24" s="601"/>
      <c r="AG24" s="601"/>
    </row>
    <row r="25" spans="1:33" x14ac:dyDescent="0.25">
      <c r="B25" s="406">
        <v>43228</v>
      </c>
      <c r="C25" s="7">
        <v>100</v>
      </c>
      <c r="D25" s="43">
        <v>26.08</v>
      </c>
      <c r="E25" s="43">
        <v>0</v>
      </c>
      <c r="F25" s="43">
        <f t="shared" si="2"/>
        <v>2608</v>
      </c>
      <c r="G25" s="406">
        <v>43339</v>
      </c>
      <c r="H25" s="80">
        <v>200</v>
      </c>
      <c r="I25" s="43">
        <v>31.08</v>
      </c>
      <c r="J25" s="43">
        <v>0.08</v>
      </c>
      <c r="K25" s="43">
        <f t="shared" si="1"/>
        <v>6215.92</v>
      </c>
      <c r="O25" s="81">
        <v>1.04</v>
      </c>
      <c r="P25" s="81">
        <f t="shared" si="3"/>
        <v>29.036800000000003</v>
      </c>
      <c r="Z25" s="635" t="s">
        <v>699</v>
      </c>
      <c r="AA25" s="639">
        <v>170</v>
      </c>
      <c r="AB25" s="639">
        <v>165</v>
      </c>
      <c r="AC25" s="639">
        <v>175</v>
      </c>
      <c r="AD25" s="639"/>
      <c r="AE25" s="639"/>
      <c r="AF25" s="601"/>
      <c r="AG25" s="601"/>
    </row>
    <row r="26" spans="1:33" x14ac:dyDescent="0.25">
      <c r="B26" s="406">
        <v>43270</v>
      </c>
      <c r="C26" s="7">
        <v>200</v>
      </c>
      <c r="D26" s="43">
        <v>28.2</v>
      </c>
      <c r="E26" s="43">
        <v>0</v>
      </c>
      <c r="F26" s="43">
        <f t="shared" si="2"/>
        <v>5640</v>
      </c>
      <c r="G26" s="406">
        <v>43360</v>
      </c>
      <c r="H26" s="80">
        <v>200</v>
      </c>
      <c r="I26" s="43">
        <v>31.86</v>
      </c>
      <c r="J26" s="43">
        <v>0.08</v>
      </c>
      <c r="K26" s="43">
        <f t="shared" si="1"/>
        <v>6371.92</v>
      </c>
      <c r="O26" s="81">
        <v>1.03</v>
      </c>
      <c r="P26" s="81">
        <f t="shared" si="3"/>
        <v>28.757600000000004</v>
      </c>
      <c r="U26" s="1">
        <v>43339</v>
      </c>
      <c r="V26" t="s">
        <v>1255</v>
      </c>
      <c r="Z26" s="636" t="s">
        <v>700</v>
      </c>
      <c r="AA26" s="639">
        <v>185</v>
      </c>
      <c r="AB26" s="639">
        <v>180</v>
      </c>
      <c r="AC26" s="639">
        <v>195</v>
      </c>
      <c r="AD26" s="639"/>
      <c r="AE26" s="639"/>
      <c r="AF26" s="601"/>
      <c r="AG26" s="601"/>
    </row>
    <row r="27" spans="1:33" x14ac:dyDescent="0.25">
      <c r="B27" s="406">
        <v>43292</v>
      </c>
      <c r="C27" s="7">
        <v>100</v>
      </c>
      <c r="D27" s="43">
        <v>28.2</v>
      </c>
      <c r="E27" s="43">
        <v>0</v>
      </c>
      <c r="F27" s="43">
        <f t="shared" si="2"/>
        <v>2820</v>
      </c>
      <c r="G27" s="406">
        <v>43360</v>
      </c>
      <c r="H27" s="80">
        <v>200</v>
      </c>
      <c r="I27" s="43">
        <v>32.380000000000003</v>
      </c>
      <c r="J27" s="43">
        <v>0.08</v>
      </c>
      <c r="K27" s="43">
        <f t="shared" si="1"/>
        <v>6475.920000000001</v>
      </c>
      <c r="O27" s="81">
        <v>1.02</v>
      </c>
      <c r="P27" s="81">
        <f t="shared" si="3"/>
        <v>28.478400000000001</v>
      </c>
      <c r="Z27" s="637" t="s">
        <v>688</v>
      </c>
      <c r="AA27" s="639">
        <v>179</v>
      </c>
      <c r="AB27" s="653">
        <v>182</v>
      </c>
      <c r="AC27" s="653">
        <v>188</v>
      </c>
      <c r="AD27" s="653">
        <v>239</v>
      </c>
      <c r="AE27" s="653"/>
      <c r="AF27" s="601"/>
      <c r="AG27" s="601"/>
    </row>
    <row r="28" spans="1:33" x14ac:dyDescent="0.25">
      <c r="B28" s="406">
        <v>43292</v>
      </c>
      <c r="C28" s="7">
        <v>100</v>
      </c>
      <c r="D28" s="43">
        <v>27.88</v>
      </c>
      <c r="E28" s="43">
        <v>0</v>
      </c>
      <c r="F28" s="43">
        <f t="shared" si="2"/>
        <v>2788</v>
      </c>
      <c r="G28" s="406">
        <v>43381</v>
      </c>
      <c r="H28" s="80">
        <v>200</v>
      </c>
      <c r="I28" s="43">
        <v>33.78</v>
      </c>
      <c r="J28" s="43">
        <v>0.09</v>
      </c>
      <c r="K28" s="43">
        <f t="shared" si="1"/>
        <v>6755.91</v>
      </c>
      <c r="O28" s="81">
        <v>1.01</v>
      </c>
      <c r="P28" s="81">
        <f t="shared" si="3"/>
        <v>28.199200000000001</v>
      </c>
      <c r="Z28" s="637" t="s">
        <v>723</v>
      </c>
      <c r="AA28" s="639">
        <v>178</v>
      </c>
      <c r="AB28" s="639">
        <v>160</v>
      </c>
      <c r="AC28" s="639">
        <v>169</v>
      </c>
      <c r="AD28" s="639">
        <v>210</v>
      </c>
      <c r="AE28" s="639"/>
      <c r="AF28" s="601"/>
      <c r="AG28" s="601"/>
    </row>
    <row r="29" spans="1:33" x14ac:dyDescent="0.25">
      <c r="B29" s="406">
        <v>43306</v>
      </c>
      <c r="C29" s="7">
        <v>200</v>
      </c>
      <c r="D29" s="43">
        <v>28.65</v>
      </c>
      <c r="E29" s="43">
        <v>0</v>
      </c>
      <c r="F29" s="43">
        <f t="shared" si="2"/>
        <v>5730</v>
      </c>
      <c r="G29" s="406">
        <v>43409</v>
      </c>
      <c r="H29" s="80">
        <v>100</v>
      </c>
      <c r="I29" s="43">
        <v>33.799999999999997</v>
      </c>
      <c r="J29" s="43">
        <v>0.05</v>
      </c>
      <c r="K29" s="43">
        <f t="shared" si="1"/>
        <v>3379.9499999999994</v>
      </c>
      <c r="O29" s="81">
        <v>1</v>
      </c>
      <c r="P29" s="81">
        <f t="shared" si="3"/>
        <v>27.92</v>
      </c>
      <c r="U29" s="1">
        <v>43417</v>
      </c>
      <c r="V29" t="s">
        <v>1302</v>
      </c>
      <c r="Z29" s="637" t="s">
        <v>696</v>
      </c>
      <c r="AA29" s="639">
        <v>2</v>
      </c>
      <c r="AB29" s="639">
        <v>1.9</v>
      </c>
      <c r="AC29" s="639">
        <v>1.9</v>
      </c>
      <c r="AD29" s="639">
        <v>1.7</v>
      </c>
      <c r="AE29" s="639">
        <v>2.1</v>
      </c>
      <c r="AF29" s="601"/>
      <c r="AG29" s="601"/>
    </row>
    <row r="30" spans="1:33" x14ac:dyDescent="0.25">
      <c r="B30" s="406">
        <v>43327</v>
      </c>
      <c r="C30" s="7">
        <v>200</v>
      </c>
      <c r="D30" s="43">
        <v>29.78</v>
      </c>
      <c r="E30" s="43">
        <v>0</v>
      </c>
      <c r="F30" s="43">
        <f t="shared" si="2"/>
        <v>5956</v>
      </c>
      <c r="G30" s="406">
        <v>43420</v>
      </c>
      <c r="H30" s="80">
        <v>200</v>
      </c>
      <c r="I30" s="43">
        <v>36.67</v>
      </c>
      <c r="J30" s="43">
        <v>0.1</v>
      </c>
      <c r="K30" s="43">
        <f t="shared" si="1"/>
        <v>7333.9</v>
      </c>
      <c r="O30" s="81">
        <v>0.99</v>
      </c>
      <c r="P30" s="81">
        <f t="shared" si="3"/>
        <v>27.640800000000002</v>
      </c>
      <c r="Z30" s="637" t="s">
        <v>697</v>
      </c>
      <c r="AA30" s="639">
        <v>2.2999999999999998</v>
      </c>
      <c r="AB30" s="639">
        <v>2.2000000000000002</v>
      </c>
      <c r="AC30" s="639">
        <v>2.2000000000000002</v>
      </c>
      <c r="AD30" s="639">
        <v>2</v>
      </c>
      <c r="AE30" s="639">
        <v>2.4</v>
      </c>
      <c r="AF30" s="601"/>
      <c r="AG30" s="601"/>
    </row>
    <row r="31" spans="1:33" x14ac:dyDescent="0.25">
      <c r="B31" s="406">
        <v>43349</v>
      </c>
      <c r="C31" s="7">
        <v>200</v>
      </c>
      <c r="D31" s="43">
        <v>30.08</v>
      </c>
      <c r="E31" s="43">
        <v>0</v>
      </c>
      <c r="F31" s="43">
        <f t="shared" si="2"/>
        <v>6016</v>
      </c>
      <c r="G31" s="406">
        <v>43473</v>
      </c>
      <c r="H31" s="80">
        <v>100</v>
      </c>
      <c r="I31" s="43">
        <v>31.27</v>
      </c>
      <c r="J31" s="43">
        <v>0.04</v>
      </c>
      <c r="K31" s="43">
        <f t="shared" si="1"/>
        <v>3126.96</v>
      </c>
      <c r="O31" s="81">
        <v>0.98</v>
      </c>
      <c r="P31" s="81">
        <f t="shared" si="3"/>
        <v>27.361600000000003</v>
      </c>
      <c r="U31" s="156">
        <v>43431</v>
      </c>
      <c r="V31" t="s">
        <v>1301</v>
      </c>
      <c r="Z31" s="637" t="s">
        <v>689</v>
      </c>
      <c r="AA31" s="639">
        <v>2.2000000000000002</v>
      </c>
      <c r="AB31" s="653">
        <v>2.2000000000000002</v>
      </c>
      <c r="AC31" s="653">
        <v>2.2000000000000002</v>
      </c>
      <c r="AD31" s="747">
        <v>1.7</v>
      </c>
      <c r="AE31" s="747"/>
      <c r="AF31" s="601"/>
      <c r="AG31" s="601"/>
    </row>
    <row r="32" spans="1:33" x14ac:dyDescent="0.25">
      <c r="B32" s="406">
        <v>43349</v>
      </c>
      <c r="C32" s="7">
        <v>100</v>
      </c>
      <c r="D32" s="43">
        <v>30.08</v>
      </c>
      <c r="E32" s="43">
        <v>0</v>
      </c>
      <c r="F32" s="43">
        <f t="shared" ref="F32:F42" si="4">D32*C32+E32</f>
        <v>3008</v>
      </c>
      <c r="G32" s="406">
        <v>43516</v>
      </c>
      <c r="H32" s="80">
        <v>300</v>
      </c>
      <c r="I32" s="43">
        <v>33.68</v>
      </c>
      <c r="J32" s="43">
        <v>0.13</v>
      </c>
      <c r="K32" s="43">
        <f t="shared" si="1"/>
        <v>10103.870000000001</v>
      </c>
      <c r="O32" s="81">
        <v>0.97</v>
      </c>
      <c r="P32" s="81">
        <f t="shared" si="3"/>
        <v>27.0824</v>
      </c>
      <c r="Z32" s="601"/>
      <c r="AA32" s="639"/>
      <c r="AB32" s="601"/>
      <c r="AC32" s="601"/>
      <c r="AD32" s="601"/>
      <c r="AE32" s="601"/>
      <c r="AF32" s="601"/>
      <c r="AG32" s="601"/>
    </row>
    <row r="33" spans="1:33" x14ac:dyDescent="0.25">
      <c r="B33" s="406">
        <v>43383</v>
      </c>
      <c r="C33" s="7">
        <v>200</v>
      </c>
      <c r="D33" s="43">
        <v>32.5</v>
      </c>
      <c r="E33" s="43">
        <v>0</v>
      </c>
      <c r="F33" s="43">
        <f t="shared" si="4"/>
        <v>6500</v>
      </c>
      <c r="G33" s="406">
        <v>43521</v>
      </c>
      <c r="H33" s="80">
        <v>100</v>
      </c>
      <c r="I33" s="43">
        <v>33.18</v>
      </c>
      <c r="J33" s="43">
        <v>0.04</v>
      </c>
      <c r="K33" s="43">
        <f t="shared" si="1"/>
        <v>3317.96</v>
      </c>
      <c r="O33" s="81">
        <v>0.96</v>
      </c>
      <c r="P33" s="81">
        <f t="shared" si="3"/>
        <v>26.8032</v>
      </c>
      <c r="U33" s="1">
        <v>43552</v>
      </c>
      <c r="V33" t="s">
        <v>1391</v>
      </c>
      <c r="Z33" s="637" t="s">
        <v>691</v>
      </c>
      <c r="AA33" s="639"/>
      <c r="AB33" s="644">
        <v>0.15</v>
      </c>
      <c r="AC33" s="657" t="s">
        <v>736</v>
      </c>
      <c r="AD33" s="657" t="s">
        <v>909</v>
      </c>
      <c r="AE33" s="657" t="s">
        <v>909</v>
      </c>
      <c r="AF33" s="601"/>
      <c r="AG33" s="601"/>
    </row>
    <row r="34" spans="1:33" x14ac:dyDescent="0.25">
      <c r="B34" s="406">
        <v>43383</v>
      </c>
      <c r="C34" s="7">
        <v>200</v>
      </c>
      <c r="D34" s="43">
        <v>32.5</v>
      </c>
      <c r="E34" s="43">
        <v>0</v>
      </c>
      <c r="F34" s="43">
        <f t="shared" si="4"/>
        <v>6500</v>
      </c>
      <c r="G34" s="406">
        <v>43556</v>
      </c>
      <c r="H34" s="80">
        <v>200</v>
      </c>
      <c r="I34" s="43">
        <v>27.84</v>
      </c>
      <c r="J34" s="43">
        <v>7.0000000000000007E-2</v>
      </c>
      <c r="K34" s="43">
        <f t="shared" si="1"/>
        <v>5567.93</v>
      </c>
      <c r="O34" s="81">
        <v>0.95</v>
      </c>
      <c r="P34" s="81">
        <f t="shared" si="3"/>
        <v>26.524000000000001</v>
      </c>
      <c r="Z34" s="637" t="s">
        <v>698</v>
      </c>
      <c r="AA34" s="639"/>
      <c r="AB34" s="644">
        <v>0.18</v>
      </c>
      <c r="AC34" s="644"/>
      <c r="AD34" s="657" t="s">
        <v>910</v>
      </c>
      <c r="AE34" s="657" t="s">
        <v>910</v>
      </c>
      <c r="AF34" s="601"/>
      <c r="AG34" s="601"/>
    </row>
    <row r="35" spans="1:33" x14ac:dyDescent="0.25">
      <c r="B35" s="406">
        <v>43396</v>
      </c>
      <c r="C35" s="7">
        <v>100</v>
      </c>
      <c r="D35" s="43">
        <v>30.92</v>
      </c>
      <c r="E35" s="43">
        <v>0</v>
      </c>
      <c r="F35" s="43">
        <f t="shared" si="4"/>
        <v>3092</v>
      </c>
      <c r="G35" s="29"/>
      <c r="H35" s="161"/>
      <c r="I35" s="3"/>
      <c r="J35" s="3"/>
      <c r="K35" s="3"/>
      <c r="O35" s="81">
        <v>0.94</v>
      </c>
      <c r="P35" s="81">
        <f t="shared" si="3"/>
        <v>26.244800000000001</v>
      </c>
      <c r="Z35" s="637" t="s">
        <v>721</v>
      </c>
      <c r="AA35" s="644">
        <v>0.23</v>
      </c>
      <c r="AB35" s="654">
        <f>AB38/AB42</f>
        <v>0.20886075949367089</v>
      </c>
      <c r="AC35" s="654">
        <f>AC38/AC42</f>
        <v>0.22983870967741934</v>
      </c>
      <c r="AD35" s="654">
        <f>AD38/AD42</f>
        <v>0.15841584158415842</v>
      </c>
      <c r="AE35" s="654"/>
      <c r="AF35" s="601"/>
      <c r="AG35" s="601"/>
    </row>
    <row r="36" spans="1:33" x14ac:dyDescent="0.25">
      <c r="B36" s="406">
        <v>43438</v>
      </c>
      <c r="C36" s="7">
        <v>100</v>
      </c>
      <c r="D36" s="43">
        <v>35.25</v>
      </c>
      <c r="E36" s="43">
        <v>0</v>
      </c>
      <c r="F36" s="43">
        <f t="shared" si="4"/>
        <v>3525</v>
      </c>
      <c r="G36" s="29"/>
      <c r="O36" s="81">
        <v>0.93</v>
      </c>
      <c r="P36" s="81">
        <f t="shared" si="3"/>
        <v>25.965600000000002</v>
      </c>
      <c r="Z36" s="637" t="s">
        <v>692</v>
      </c>
      <c r="AA36" s="639"/>
      <c r="AB36" s="601"/>
      <c r="AC36" s="601"/>
      <c r="AD36" s="601"/>
      <c r="AE36" s="601"/>
      <c r="AF36" s="601"/>
      <c r="AG36" s="601"/>
    </row>
    <row r="37" spans="1:33" x14ac:dyDescent="0.25">
      <c r="B37" s="406">
        <v>43440</v>
      </c>
      <c r="C37" s="7">
        <v>100</v>
      </c>
      <c r="D37" s="43">
        <v>33.5</v>
      </c>
      <c r="E37" s="43">
        <v>0</v>
      </c>
      <c r="F37" s="43">
        <f t="shared" si="4"/>
        <v>3350</v>
      </c>
      <c r="G37" s="29"/>
      <c r="O37" s="81">
        <v>0.92</v>
      </c>
      <c r="P37" s="81">
        <f t="shared" si="3"/>
        <v>25.686400000000003</v>
      </c>
      <c r="Z37" s="637" t="s">
        <v>693</v>
      </c>
      <c r="AA37" s="639"/>
      <c r="AB37" s="601"/>
      <c r="AC37" s="601"/>
      <c r="AD37" s="601"/>
      <c r="AE37" s="601"/>
      <c r="AF37" s="601"/>
      <c r="AG37" s="601"/>
    </row>
    <row r="38" spans="1:33" x14ac:dyDescent="0.25">
      <c r="B38" s="406">
        <v>43446</v>
      </c>
      <c r="C38" s="4">
        <v>100</v>
      </c>
      <c r="D38" s="3">
        <v>30.9</v>
      </c>
      <c r="E38" s="3">
        <v>0</v>
      </c>
      <c r="F38" s="3">
        <f t="shared" si="4"/>
        <v>3090</v>
      </c>
      <c r="G38" s="29"/>
      <c r="O38" s="81">
        <v>0.91</v>
      </c>
      <c r="P38" s="81">
        <f t="shared" si="3"/>
        <v>25.407200000000003</v>
      </c>
      <c r="Z38" s="637" t="s">
        <v>722</v>
      </c>
      <c r="AA38" s="639">
        <v>110</v>
      </c>
      <c r="AB38" s="358">
        <v>99</v>
      </c>
      <c r="AC38" s="358">
        <v>114</v>
      </c>
      <c r="AD38" s="358">
        <v>64</v>
      </c>
      <c r="AE38" s="358"/>
      <c r="AF38" s="601"/>
      <c r="AG38" s="601"/>
    </row>
    <row r="39" spans="1:33" x14ac:dyDescent="0.25">
      <c r="B39" s="406">
        <v>43518</v>
      </c>
      <c r="C39" s="4">
        <v>100</v>
      </c>
      <c r="D39" s="2">
        <v>32.18</v>
      </c>
      <c r="E39" s="2">
        <v>0</v>
      </c>
      <c r="F39" s="2">
        <f t="shared" si="4"/>
        <v>3218</v>
      </c>
      <c r="G39" s="29"/>
      <c r="O39" s="81">
        <v>0.9</v>
      </c>
      <c r="P39" s="81">
        <f t="shared" si="3"/>
        <v>25.128000000000004</v>
      </c>
      <c r="Z39" s="637" t="s">
        <v>703</v>
      </c>
      <c r="AA39" s="642" t="s">
        <v>714</v>
      </c>
      <c r="AB39" s="637" t="s">
        <v>706</v>
      </c>
      <c r="AC39" s="637" t="s">
        <v>737</v>
      </c>
      <c r="AD39" s="637"/>
      <c r="AE39" s="637"/>
      <c r="AF39" s="601"/>
      <c r="AG39" s="601"/>
    </row>
    <row r="40" spans="1:33" x14ac:dyDescent="0.25">
      <c r="B40" s="407">
        <v>43525</v>
      </c>
      <c r="C40" s="4">
        <v>100</v>
      </c>
      <c r="D40" s="2">
        <v>31.2</v>
      </c>
      <c r="E40" s="2">
        <v>0</v>
      </c>
      <c r="F40" s="2">
        <f t="shared" si="4"/>
        <v>3120</v>
      </c>
      <c r="G40" s="29"/>
      <c r="Z40" s="637" t="s">
        <v>704</v>
      </c>
      <c r="AA40" s="644">
        <v>0.93</v>
      </c>
      <c r="AB40" s="654">
        <v>0.87</v>
      </c>
      <c r="AC40" s="654">
        <v>0.87</v>
      </c>
      <c r="AD40" s="654"/>
      <c r="AE40" s="654"/>
      <c r="AF40" s="601"/>
      <c r="AG40" s="601"/>
    </row>
    <row r="41" spans="1:33" x14ac:dyDescent="0.25">
      <c r="B41" s="407">
        <v>43531</v>
      </c>
      <c r="C41" s="4">
        <v>100</v>
      </c>
      <c r="D41" s="2">
        <v>28.08</v>
      </c>
      <c r="E41" s="2">
        <v>0</v>
      </c>
      <c r="F41" s="2">
        <f t="shared" si="4"/>
        <v>2808</v>
      </c>
      <c r="G41" s="29"/>
      <c r="Q41" s="2"/>
      <c r="Z41" s="601"/>
      <c r="AA41" s="639"/>
      <c r="AB41" s="601"/>
      <c r="AC41" s="601"/>
      <c r="AD41" s="601"/>
      <c r="AE41" s="601"/>
      <c r="AF41" s="601"/>
      <c r="AG41" s="601"/>
    </row>
    <row r="42" spans="1:33" x14ac:dyDescent="0.25">
      <c r="B42" s="659">
        <v>43546</v>
      </c>
      <c r="C42" s="7">
        <v>200</v>
      </c>
      <c r="D42" s="43">
        <v>27.2</v>
      </c>
      <c r="E42" s="43">
        <v>-1</v>
      </c>
      <c r="F42" s="43">
        <f t="shared" si="4"/>
        <v>5439</v>
      </c>
      <c r="G42" s="29"/>
      <c r="Q42" s="2"/>
      <c r="Z42" s="643" t="s">
        <v>720</v>
      </c>
      <c r="AA42" s="639">
        <v>468</v>
      </c>
      <c r="AB42" s="358">
        <v>474</v>
      </c>
      <c r="AC42" s="358">
        <v>496</v>
      </c>
      <c r="AD42" s="358">
        <v>404</v>
      </c>
      <c r="AE42" s="358"/>
      <c r="AF42" s="601"/>
      <c r="AG42" s="601"/>
    </row>
    <row r="43" spans="1:33" x14ac:dyDescent="0.25">
      <c r="B43" s="29"/>
      <c r="G43" s="29"/>
      <c r="Q43" s="2"/>
      <c r="Z43" s="601"/>
      <c r="AA43" s="639"/>
      <c r="AB43" s="601"/>
      <c r="AC43" s="601"/>
      <c r="AD43" s="601"/>
      <c r="AE43" s="601"/>
      <c r="AF43" s="601"/>
      <c r="AG43" s="601"/>
    </row>
    <row r="44" spans="1:33" x14ac:dyDescent="0.25">
      <c r="B44" s="29"/>
      <c r="C44" s="4"/>
      <c r="G44" s="29"/>
      <c r="Q44" s="2"/>
      <c r="Z44" s="634" t="s">
        <v>1040</v>
      </c>
      <c r="AA44" s="639"/>
      <c r="AB44" s="601"/>
      <c r="AC44" s="601"/>
      <c r="AD44" s="601"/>
      <c r="AE44" s="601"/>
      <c r="AF44" s="601"/>
      <c r="AG44" s="601"/>
    </row>
    <row r="45" spans="1:33" x14ac:dyDescent="0.25">
      <c r="B45" s="29"/>
      <c r="G45" s="29"/>
      <c r="Q45" s="2"/>
      <c r="Z45" s="637" t="s">
        <v>696</v>
      </c>
      <c r="AA45" s="639">
        <v>1.4</v>
      </c>
      <c r="AB45" s="639">
        <v>2.2999999999999998</v>
      </c>
      <c r="AC45" s="639">
        <v>1.5</v>
      </c>
      <c r="AD45" s="639">
        <v>1.3</v>
      </c>
      <c r="AE45" s="639">
        <v>2</v>
      </c>
      <c r="AF45" s="601"/>
      <c r="AG45" s="601"/>
    </row>
    <row r="46" spans="1:33" x14ac:dyDescent="0.25">
      <c r="A46" s="31" t="s">
        <v>81</v>
      </c>
      <c r="B46" s="14"/>
      <c r="C46" s="14">
        <f>SUM(C2:C44)</f>
        <v>5550</v>
      </c>
      <c r="D46" s="18"/>
      <c r="E46" s="18"/>
      <c r="F46" s="18">
        <f>SUM(F2:F44)</f>
        <v>150052.62</v>
      </c>
      <c r="G46" s="14"/>
      <c r="H46" s="14">
        <f>SUM(H2:H45)</f>
        <v>5150</v>
      </c>
      <c r="I46" s="18"/>
      <c r="J46" s="18"/>
      <c r="K46" s="18">
        <f>SUM(K2:K45)</f>
        <v>145765.39000000001</v>
      </c>
      <c r="L46" s="14"/>
      <c r="M46" s="18">
        <f>SUM(M2:M10)</f>
        <v>312.5</v>
      </c>
      <c r="Q46" s="2"/>
      <c r="Z46" s="637" t="s">
        <v>697</v>
      </c>
      <c r="AA46" s="639">
        <v>1.7</v>
      </c>
      <c r="AB46" s="639">
        <v>2.6</v>
      </c>
      <c r="AC46" s="639">
        <v>1.8</v>
      </c>
      <c r="AD46" s="639">
        <v>1.6</v>
      </c>
      <c r="AE46" s="639">
        <v>2.2999999999999998</v>
      </c>
      <c r="AF46" s="601"/>
      <c r="AG46" s="601"/>
    </row>
    <row r="47" spans="1:33" ht="15.75" thickBot="1" x14ac:dyDescent="0.3">
      <c r="A47" s="277" t="s">
        <v>191</v>
      </c>
      <c r="B47" s="278"/>
      <c r="C47" s="279">
        <f>SumByColor($A$47,C2:C45)</f>
        <v>5150</v>
      </c>
      <c r="D47" s="279"/>
      <c r="E47" s="279"/>
      <c r="F47" s="280">
        <f>SumByColor($A$47,F2:F45)</f>
        <v>137817</v>
      </c>
      <c r="G47" s="279"/>
      <c r="H47" s="279">
        <f>SumByColor($A$47,H2:H45)</f>
        <v>5150</v>
      </c>
      <c r="I47" s="279"/>
      <c r="J47" s="279"/>
      <c r="K47" s="280">
        <f>SumByColor($A$47,K2:K45)</f>
        <v>145768</v>
      </c>
      <c r="L47" s="279"/>
      <c r="M47" s="280">
        <f>SumByColor($A$47,M2:M45)</f>
        <v>314</v>
      </c>
      <c r="Q47" s="2"/>
      <c r="Z47" s="637" t="s">
        <v>689</v>
      </c>
      <c r="AA47" s="639">
        <v>1.6</v>
      </c>
      <c r="AB47" s="653">
        <v>2.5</v>
      </c>
      <c r="AC47" s="653">
        <v>1.9</v>
      </c>
      <c r="AD47" s="748">
        <v>1.6</v>
      </c>
      <c r="AE47" s="748"/>
      <c r="AF47" s="601"/>
      <c r="AG47" s="601"/>
    </row>
    <row r="48" spans="1:33" x14ac:dyDescent="0.25">
      <c r="Q48" s="2"/>
      <c r="Z48" s="601"/>
      <c r="AA48" s="639"/>
      <c r="AB48" s="601"/>
      <c r="AC48" s="601"/>
      <c r="AD48" s="601"/>
      <c r="AE48" s="601"/>
      <c r="AF48" s="601"/>
      <c r="AG48" s="601"/>
    </row>
    <row r="49" spans="1:33" x14ac:dyDescent="0.25">
      <c r="Q49" s="2"/>
      <c r="Z49" s="637" t="s">
        <v>694</v>
      </c>
      <c r="AA49" s="639">
        <v>20</v>
      </c>
      <c r="AB49" s="637" t="s">
        <v>728</v>
      </c>
      <c r="AC49" s="642">
        <v>20</v>
      </c>
      <c r="AD49" s="642">
        <v>25</v>
      </c>
      <c r="AE49" s="642">
        <v>20</v>
      </c>
      <c r="AF49" s="601"/>
      <c r="AG49" s="601"/>
    </row>
    <row r="50" spans="1:33" x14ac:dyDescent="0.25">
      <c r="B50" s="414" t="s">
        <v>113</v>
      </c>
      <c r="C50" s="414" t="s">
        <v>145</v>
      </c>
      <c r="D50" s="415" t="s">
        <v>144</v>
      </c>
      <c r="E50" s="416" t="s">
        <v>146</v>
      </c>
      <c r="F50" s="416" t="s">
        <v>65</v>
      </c>
      <c r="G50" s="418" t="s">
        <v>150</v>
      </c>
      <c r="H50" s="418" t="s">
        <v>88</v>
      </c>
      <c r="I50" s="418" t="s">
        <v>153</v>
      </c>
      <c r="J50" s="418" t="s">
        <v>487</v>
      </c>
      <c r="K50" s="418" t="s">
        <v>149</v>
      </c>
      <c r="L50" s="418" t="s">
        <v>947</v>
      </c>
      <c r="Q50" s="2"/>
      <c r="Z50" s="637" t="s">
        <v>701</v>
      </c>
      <c r="AA50" s="639"/>
      <c r="AB50" s="601"/>
      <c r="AC50" s="601"/>
      <c r="AD50" s="642">
        <v>35</v>
      </c>
      <c r="AE50" s="642">
        <v>30</v>
      </c>
      <c r="AF50" s="601"/>
      <c r="AG50" s="601"/>
    </row>
    <row r="51" spans="1:33" x14ac:dyDescent="0.25">
      <c r="B51" s="452">
        <v>42754</v>
      </c>
      <c r="C51" s="456">
        <v>100</v>
      </c>
      <c r="D51" s="457">
        <v>27.58</v>
      </c>
      <c r="E51" s="457">
        <v>30.25</v>
      </c>
      <c r="F51" s="457">
        <f t="shared" ref="F51:F56" si="5">C51*(E51-D51)</f>
        <v>267.00000000000017</v>
      </c>
      <c r="G51" s="457">
        <f t="shared" ref="G51:G56" si="6">D51*C51</f>
        <v>2758</v>
      </c>
      <c r="H51" s="496">
        <f t="shared" ref="H51:H56" si="7">(E51-D51)/D51</f>
        <v>9.6809282088469978E-2</v>
      </c>
      <c r="I51" s="457"/>
      <c r="J51" s="457"/>
      <c r="K51" s="457"/>
      <c r="L51" s="457"/>
      <c r="Q51" s="2"/>
      <c r="Z51" s="637" t="s">
        <v>724</v>
      </c>
      <c r="AA51" s="639">
        <v>24</v>
      </c>
      <c r="AB51" s="653">
        <v>25</v>
      </c>
      <c r="AC51" s="653">
        <v>24</v>
      </c>
      <c r="AD51" s="653">
        <v>37</v>
      </c>
      <c r="AE51" s="653"/>
      <c r="AF51" s="601"/>
      <c r="AG51" s="601"/>
    </row>
    <row r="52" spans="1:33" x14ac:dyDescent="0.25">
      <c r="B52" s="452">
        <v>42758</v>
      </c>
      <c r="C52" s="456">
        <v>100</v>
      </c>
      <c r="D52" s="457">
        <v>27.180700000000002</v>
      </c>
      <c r="E52" s="457">
        <v>31.55</v>
      </c>
      <c r="F52" s="457">
        <f t="shared" si="5"/>
        <v>436.92999999999989</v>
      </c>
      <c r="G52" s="457">
        <f t="shared" si="6"/>
        <v>2718.07</v>
      </c>
      <c r="H52" s="496">
        <f t="shared" si="7"/>
        <v>0.16075009105725749</v>
      </c>
      <c r="I52" s="457"/>
      <c r="J52" s="457"/>
      <c r="K52" s="457"/>
      <c r="L52" s="457"/>
      <c r="Q52" s="2"/>
      <c r="Z52" s="634"/>
      <c r="AA52" s="640"/>
      <c r="AB52" s="601"/>
      <c r="AC52" s="601"/>
      <c r="AD52" s="601"/>
      <c r="AE52" s="601"/>
      <c r="AF52" s="601"/>
      <c r="AG52" s="601"/>
    </row>
    <row r="53" spans="1:33" x14ac:dyDescent="0.25">
      <c r="A53" t="s">
        <v>340</v>
      </c>
      <c r="B53" s="164">
        <v>42758</v>
      </c>
      <c r="C53" s="10">
        <v>100</v>
      </c>
      <c r="D53" s="39">
        <v>31.18</v>
      </c>
      <c r="E53" s="39">
        <v>31.55</v>
      </c>
      <c r="F53" s="39">
        <f t="shared" si="5"/>
        <v>37.000000000000099</v>
      </c>
      <c r="G53" s="39">
        <f t="shared" si="6"/>
        <v>3118</v>
      </c>
      <c r="H53" s="179">
        <f t="shared" si="7"/>
        <v>1.1866581141757569E-2</v>
      </c>
      <c r="I53" s="39"/>
      <c r="J53" s="39"/>
      <c r="K53" s="39"/>
      <c r="L53" s="39"/>
      <c r="Q53" s="2"/>
      <c r="Z53" s="637" t="s">
        <v>722</v>
      </c>
      <c r="AA53" s="641">
        <v>39</v>
      </c>
      <c r="AB53" s="358">
        <v>64</v>
      </c>
      <c r="AC53" s="358">
        <v>45</v>
      </c>
      <c r="AD53" s="358">
        <f>AD51*AD47</f>
        <v>59.2</v>
      </c>
      <c r="AE53" s="358"/>
      <c r="AF53" s="601"/>
      <c r="AG53" s="601"/>
    </row>
    <row r="54" spans="1:33" x14ac:dyDescent="0.25">
      <c r="A54" t="s">
        <v>340</v>
      </c>
      <c r="B54" s="164">
        <v>42760</v>
      </c>
      <c r="C54" s="10">
        <v>100</v>
      </c>
      <c r="D54" s="39">
        <v>31.18</v>
      </c>
      <c r="E54" s="39">
        <v>33.26</v>
      </c>
      <c r="F54" s="39">
        <f t="shared" si="5"/>
        <v>207.99999999999983</v>
      </c>
      <c r="G54" s="39">
        <f t="shared" si="6"/>
        <v>3118</v>
      </c>
      <c r="H54" s="179">
        <f t="shared" si="7"/>
        <v>6.6709429121231498E-2</v>
      </c>
      <c r="I54" s="39"/>
      <c r="J54" s="39"/>
      <c r="K54" s="39"/>
      <c r="L54" s="39"/>
      <c r="Z54" s="637" t="s">
        <v>725</v>
      </c>
      <c r="AA54" s="646">
        <f>AA53/AA57</f>
        <v>6.6895368782161235E-2</v>
      </c>
      <c r="AB54" s="646">
        <f>AB53/AB57</f>
        <v>6.8743286788399569E-2</v>
      </c>
      <c r="AC54" s="646">
        <f>AC53/AC57</f>
        <v>6.311360448807854E-2</v>
      </c>
      <c r="AD54" s="646">
        <f>AD53/AD57</f>
        <v>8.9022556390977448E-2</v>
      </c>
      <c r="AE54" s="646"/>
      <c r="AF54" s="601"/>
      <c r="AG54" s="601"/>
    </row>
    <row r="55" spans="1:33" x14ac:dyDescent="0.25">
      <c r="A55" t="s">
        <v>330</v>
      </c>
      <c r="B55" s="164">
        <v>42787</v>
      </c>
      <c r="C55" s="10">
        <v>100</v>
      </c>
      <c r="D55" s="39">
        <v>31.18</v>
      </c>
      <c r="E55" s="39">
        <v>33.64</v>
      </c>
      <c r="F55" s="39">
        <f t="shared" si="5"/>
        <v>246.00000000000009</v>
      </c>
      <c r="G55" s="39">
        <f t="shared" si="6"/>
        <v>3118</v>
      </c>
      <c r="H55" s="179">
        <f t="shared" si="7"/>
        <v>7.8896728672225816E-2</v>
      </c>
      <c r="I55" s="39"/>
      <c r="J55" s="39"/>
      <c r="K55" s="39"/>
      <c r="L55" s="39"/>
      <c r="Z55" s="637" t="s">
        <v>726</v>
      </c>
      <c r="AA55" s="639">
        <v>356</v>
      </c>
      <c r="AB55" s="653">
        <v>366</v>
      </c>
      <c r="AC55" s="653">
        <v>370</v>
      </c>
      <c r="AD55" s="653">
        <v>420</v>
      </c>
      <c r="AE55" s="653"/>
      <c r="AF55" s="601"/>
      <c r="AG55" s="601"/>
    </row>
    <row r="56" spans="1:33" x14ac:dyDescent="0.25">
      <c r="A56">
        <v>100</v>
      </c>
      <c r="B56" s="164">
        <v>42808</v>
      </c>
      <c r="C56" s="185">
        <v>200</v>
      </c>
      <c r="D56" s="186">
        <v>29.83</v>
      </c>
      <c r="E56" s="39">
        <v>28.6</v>
      </c>
      <c r="F56" s="39">
        <f t="shared" si="5"/>
        <v>-245.99999999999937</v>
      </c>
      <c r="G56" s="39">
        <f t="shared" si="6"/>
        <v>5966</v>
      </c>
      <c r="H56" s="179">
        <f t="shared" si="7"/>
        <v>-4.1233657391887259E-2</v>
      </c>
      <c r="I56" s="39"/>
      <c r="J56" s="39">
        <v>30.72</v>
      </c>
      <c r="K56" s="39">
        <v>1207</v>
      </c>
      <c r="L56" s="39"/>
      <c r="Z56" s="647" t="s">
        <v>727</v>
      </c>
      <c r="AA56" s="639">
        <v>374</v>
      </c>
      <c r="AB56" s="639">
        <v>380</v>
      </c>
      <c r="AC56" s="639">
        <v>354</v>
      </c>
      <c r="AD56" s="639">
        <v>375</v>
      </c>
      <c r="AE56" s="639"/>
      <c r="AF56" s="601"/>
      <c r="AG56" s="601"/>
    </row>
    <row r="57" spans="1:33" x14ac:dyDescent="0.25">
      <c r="A57">
        <v>0</v>
      </c>
      <c r="B57" s="164">
        <v>42809</v>
      </c>
      <c r="C57" s="10">
        <v>100</v>
      </c>
      <c r="D57" s="39">
        <v>30.750599999999999</v>
      </c>
      <c r="E57" s="39">
        <v>29.14</v>
      </c>
      <c r="F57" s="39">
        <f>C57*(E57-D57)</f>
        <v>-161.0599999999998</v>
      </c>
      <c r="G57" s="39">
        <f>D57*C57</f>
        <v>3075.06</v>
      </c>
      <c r="H57" s="179">
        <f>(E57-D57)/D57</f>
        <v>-5.2376213797454295E-2</v>
      </c>
      <c r="I57" s="39"/>
      <c r="J57" s="39"/>
      <c r="K57" s="39">
        <v>1291</v>
      </c>
      <c r="L57" s="39"/>
      <c r="Z57" s="643" t="s">
        <v>720</v>
      </c>
      <c r="AA57" s="641">
        <v>583</v>
      </c>
      <c r="AB57" s="358">
        <v>931</v>
      </c>
      <c r="AC57" s="358">
        <v>713</v>
      </c>
      <c r="AD57" s="358">
        <v>665</v>
      </c>
      <c r="AE57" s="358"/>
      <c r="AF57" s="601"/>
      <c r="AG57" s="601"/>
    </row>
    <row r="58" spans="1:33" x14ac:dyDescent="0.25">
      <c r="A58">
        <v>0</v>
      </c>
      <c r="B58" s="164">
        <v>42811</v>
      </c>
      <c r="C58" s="10">
        <v>100</v>
      </c>
      <c r="D58" s="39">
        <v>30.4756</v>
      </c>
      <c r="E58" s="39">
        <v>29.17</v>
      </c>
      <c r="F58" s="39">
        <f t="shared" ref="F58:F71" si="8">C58*(E58-D58)</f>
        <v>-130.55999999999983</v>
      </c>
      <c r="G58" s="39">
        <f t="shared" ref="G58:G71" si="9">D58*C58</f>
        <v>3047.56</v>
      </c>
      <c r="H58" s="179">
        <f t="shared" ref="H58:H71" si="10">(E58-D58)/D58</f>
        <v>-4.2840830041081988E-2</v>
      </c>
      <c r="I58" s="39"/>
      <c r="J58" s="39">
        <v>30</v>
      </c>
      <c r="K58" s="39">
        <v>1321</v>
      </c>
      <c r="L58" s="39"/>
      <c r="Z58" s="637"/>
      <c r="AA58" s="641"/>
      <c r="AB58" s="601"/>
      <c r="AC58" s="601"/>
      <c r="AD58" s="601"/>
      <c r="AE58" s="601"/>
      <c r="AF58" s="601"/>
      <c r="AG58" s="601"/>
    </row>
    <row r="59" spans="1:33" x14ac:dyDescent="0.25">
      <c r="A59">
        <v>0</v>
      </c>
      <c r="B59" s="164">
        <v>42836</v>
      </c>
      <c r="C59" s="185">
        <v>200</v>
      </c>
      <c r="D59" s="186">
        <v>29.412800000000001</v>
      </c>
      <c r="E59" s="39">
        <v>28.69</v>
      </c>
      <c r="F59" s="39">
        <f t="shared" si="8"/>
        <v>-144.55999999999989</v>
      </c>
      <c r="G59" s="39">
        <f t="shared" si="9"/>
        <v>5882.56</v>
      </c>
      <c r="H59" s="179">
        <f t="shared" si="10"/>
        <v>-2.4574334983408566E-2</v>
      </c>
      <c r="I59" s="39">
        <v>29</v>
      </c>
      <c r="J59" s="39"/>
      <c r="K59" s="39">
        <v>1308</v>
      </c>
      <c r="L59" s="39"/>
      <c r="Z59" s="637"/>
      <c r="AA59" s="641"/>
      <c r="AB59" s="601"/>
      <c r="AC59" s="601"/>
      <c r="AD59" s="601"/>
      <c r="AE59" s="601"/>
      <c r="AF59" s="601"/>
      <c r="AG59" s="601"/>
    </row>
    <row r="60" spans="1:33" x14ac:dyDescent="0.25">
      <c r="A60">
        <v>100</v>
      </c>
      <c r="B60" s="164">
        <v>42857</v>
      </c>
      <c r="C60" s="10">
        <v>300</v>
      </c>
      <c r="D60" s="39">
        <v>27.9452</v>
      </c>
      <c r="E60" s="39">
        <v>24.95</v>
      </c>
      <c r="F60" s="39">
        <f t="shared" si="8"/>
        <v>-898.56000000000017</v>
      </c>
      <c r="G60" s="39">
        <f t="shared" si="9"/>
        <v>8383.56</v>
      </c>
      <c r="H60" s="179">
        <f t="shared" si="10"/>
        <v>-0.10718119748650932</v>
      </c>
      <c r="I60" s="39"/>
      <c r="J60" s="39"/>
      <c r="K60" s="39">
        <v>554</v>
      </c>
      <c r="L60" s="39"/>
      <c r="Z60" s="638"/>
      <c r="AA60" s="641"/>
      <c r="AB60" s="601"/>
      <c r="AC60" s="601"/>
      <c r="AD60" s="601"/>
      <c r="AE60" s="601"/>
      <c r="AF60" s="601"/>
      <c r="AG60" s="601"/>
    </row>
    <row r="61" spans="1:33" x14ac:dyDescent="0.25">
      <c r="A61">
        <v>100</v>
      </c>
      <c r="B61" s="164">
        <v>42858</v>
      </c>
      <c r="C61" s="7">
        <v>400</v>
      </c>
      <c r="D61" s="43">
        <v>26.953900000000001</v>
      </c>
      <c r="E61" s="39">
        <v>23.98</v>
      </c>
      <c r="F61" s="39">
        <f t="shared" si="8"/>
        <v>-1189.5600000000002</v>
      </c>
      <c r="G61" s="39">
        <f t="shared" si="9"/>
        <v>10781.56</v>
      </c>
      <c r="H61" s="179">
        <f t="shared" si="10"/>
        <v>-0.11033282753145186</v>
      </c>
      <c r="I61" s="39"/>
      <c r="J61" s="39"/>
      <c r="K61" s="39"/>
      <c r="L61" s="39"/>
      <c r="Z61" s="637"/>
      <c r="AA61" s="641"/>
      <c r="AB61" s="601"/>
      <c r="AC61" s="601"/>
      <c r="AD61" s="601"/>
      <c r="AE61" s="601"/>
      <c r="AF61" s="601"/>
      <c r="AG61" s="601"/>
    </row>
    <row r="62" spans="1:33" x14ac:dyDescent="0.25">
      <c r="A62">
        <v>100</v>
      </c>
      <c r="B62" s="164">
        <v>42862</v>
      </c>
      <c r="C62" s="10">
        <v>400</v>
      </c>
      <c r="D62" s="39">
        <v>26.953900000000001</v>
      </c>
      <c r="E62" s="39">
        <v>23.45</v>
      </c>
      <c r="F62" s="39">
        <f t="shared" si="8"/>
        <v>-1401.5600000000006</v>
      </c>
      <c r="G62" s="39">
        <f t="shared" si="9"/>
        <v>10781.56</v>
      </c>
      <c r="H62" s="179">
        <f t="shared" si="10"/>
        <v>-0.12999603025907203</v>
      </c>
      <c r="I62" s="39"/>
      <c r="J62" s="39"/>
      <c r="K62" s="39">
        <v>50</v>
      </c>
      <c r="L62" s="39"/>
      <c r="Z62" s="638" t="s">
        <v>718</v>
      </c>
      <c r="AA62" s="641">
        <v>95</v>
      </c>
      <c r="AB62" s="601">
        <v>213.9</v>
      </c>
      <c r="AC62" s="601">
        <v>127.1</v>
      </c>
      <c r="AD62" s="601">
        <v>80.7</v>
      </c>
      <c r="AE62" s="601"/>
      <c r="AF62" s="601"/>
      <c r="AG62" s="601"/>
    </row>
    <row r="63" spans="1:33" x14ac:dyDescent="0.25">
      <c r="A63">
        <v>200</v>
      </c>
      <c r="B63" s="164">
        <v>42867</v>
      </c>
      <c r="C63" s="10">
        <v>600</v>
      </c>
      <c r="D63" s="39">
        <v>25.63</v>
      </c>
      <c r="E63" s="39">
        <v>22.91</v>
      </c>
      <c r="F63" s="39">
        <f t="shared" si="8"/>
        <v>-1631.9999999999993</v>
      </c>
      <c r="G63" s="39">
        <f t="shared" si="9"/>
        <v>15378</v>
      </c>
      <c r="H63" s="179">
        <f t="shared" si="10"/>
        <v>-0.10612563402262969</v>
      </c>
      <c r="I63" s="39"/>
      <c r="J63" s="39"/>
      <c r="K63" s="39">
        <v>-179</v>
      </c>
      <c r="L63" s="39"/>
      <c r="Z63" s="638" t="s">
        <v>716</v>
      </c>
      <c r="AA63" s="641">
        <v>97</v>
      </c>
      <c r="AB63" s="601">
        <v>227.5</v>
      </c>
      <c r="AC63" s="601">
        <v>-429.8</v>
      </c>
      <c r="AD63" s="601">
        <v>42.3</v>
      </c>
      <c r="AE63" s="601"/>
      <c r="AF63" s="601"/>
      <c r="AG63" s="601"/>
    </row>
    <row r="64" spans="1:33" x14ac:dyDescent="0.25">
      <c r="B64" s="164">
        <v>42898</v>
      </c>
      <c r="C64" s="10">
        <v>400</v>
      </c>
      <c r="D64" s="39">
        <v>26.354199999999999</v>
      </c>
      <c r="E64" s="39">
        <v>23.55</v>
      </c>
      <c r="F64" s="39">
        <f t="shared" si="8"/>
        <v>-1121.6799999999992</v>
      </c>
      <c r="G64" s="39">
        <f t="shared" si="9"/>
        <v>10541.68</v>
      </c>
      <c r="H64" s="179">
        <f t="shared" si="10"/>
        <v>-0.1064042922949662</v>
      </c>
      <c r="I64" s="39"/>
      <c r="J64" s="39"/>
      <c r="K64" s="39">
        <v>331</v>
      </c>
      <c r="L64" s="39"/>
      <c r="Z64" s="638" t="s">
        <v>715</v>
      </c>
      <c r="AA64" s="641">
        <v>0.28000000000000003</v>
      </c>
      <c r="AB64" s="601">
        <v>0.65</v>
      </c>
      <c r="AC64" s="601">
        <v>-1.23</v>
      </c>
      <c r="AD64" s="601"/>
      <c r="AE64" s="601"/>
      <c r="AF64" s="601"/>
      <c r="AG64" s="601"/>
    </row>
    <row r="65" spans="1:33" x14ac:dyDescent="0.25">
      <c r="A65">
        <v>400</v>
      </c>
      <c r="B65" s="164">
        <v>42900</v>
      </c>
      <c r="C65" s="10">
        <v>600</v>
      </c>
      <c r="D65" s="39">
        <v>25.296099999999999</v>
      </c>
      <c r="E65" s="39">
        <v>22.74</v>
      </c>
      <c r="F65" s="39">
        <f t="shared" si="8"/>
        <v>-1533.6600000000003</v>
      </c>
      <c r="G65" s="39">
        <f t="shared" si="9"/>
        <v>15177.66</v>
      </c>
      <c r="H65" s="179">
        <f t="shared" si="10"/>
        <v>-0.10104719699874687</v>
      </c>
      <c r="I65" s="39"/>
      <c r="J65" s="39"/>
      <c r="K65" s="39">
        <v>-81.41</v>
      </c>
      <c r="L65" s="39"/>
      <c r="Z65" s="638" t="s">
        <v>913</v>
      </c>
      <c r="AA65" s="641"/>
      <c r="AB65" s="601"/>
      <c r="AC65" s="601">
        <v>0.34</v>
      </c>
      <c r="AD65" s="601">
        <v>0.11</v>
      </c>
      <c r="AE65" s="601"/>
      <c r="AF65" s="601"/>
      <c r="AG65" s="601"/>
    </row>
    <row r="66" spans="1:33" x14ac:dyDescent="0.25">
      <c r="A66">
        <v>400</v>
      </c>
      <c r="B66" s="164">
        <v>42904</v>
      </c>
      <c r="C66" s="10">
        <v>600</v>
      </c>
      <c r="D66" s="39">
        <v>25.146100000000001</v>
      </c>
      <c r="E66" s="39">
        <v>22.71</v>
      </c>
      <c r="F66" s="39">
        <f t="shared" si="8"/>
        <v>-1461.6599999999999</v>
      </c>
      <c r="G66" s="39">
        <f t="shared" si="9"/>
        <v>15087.66</v>
      </c>
      <c r="H66" s="179">
        <f t="shared" si="10"/>
        <v>-9.6877845868743054E-2</v>
      </c>
      <c r="I66" s="39"/>
      <c r="J66" s="39"/>
      <c r="K66" s="39">
        <v>-9.41</v>
      </c>
      <c r="L66" s="39"/>
      <c r="Z66" s="638" t="s">
        <v>717</v>
      </c>
      <c r="AA66" s="641">
        <v>1.8</v>
      </c>
      <c r="AB66" s="601">
        <v>1.98</v>
      </c>
      <c r="AC66" s="601">
        <v>2.09</v>
      </c>
      <c r="AD66" s="601">
        <v>1.93</v>
      </c>
      <c r="AE66" s="601"/>
      <c r="AF66" s="601"/>
      <c r="AG66" s="601"/>
    </row>
    <row r="67" spans="1:33" x14ac:dyDescent="0.25">
      <c r="A67">
        <v>200</v>
      </c>
      <c r="B67" s="164">
        <v>42926</v>
      </c>
      <c r="C67" s="10">
        <v>400</v>
      </c>
      <c r="D67" s="39">
        <v>25.644500000000001</v>
      </c>
      <c r="E67" s="39">
        <v>24.11</v>
      </c>
      <c r="F67" s="39">
        <f t="shared" si="8"/>
        <v>-613.80000000000052</v>
      </c>
      <c r="G67" s="39">
        <f t="shared" si="9"/>
        <v>10257.800000000001</v>
      </c>
      <c r="H67" s="179">
        <f t="shared" si="10"/>
        <v>-5.9837392033379525E-2</v>
      </c>
      <c r="I67" s="39"/>
      <c r="J67" s="39"/>
      <c r="K67" s="39">
        <v>836</v>
      </c>
      <c r="L67" s="39"/>
      <c r="Z67" s="638"/>
      <c r="AA67" s="641"/>
      <c r="AB67" s="601"/>
      <c r="AC67" s="601"/>
      <c r="AD67" s="601"/>
      <c r="AE67" s="601"/>
      <c r="AF67" s="601"/>
      <c r="AG67" s="601"/>
    </row>
    <row r="68" spans="1:33" x14ac:dyDescent="0.25">
      <c r="B68" s="164">
        <v>42940</v>
      </c>
      <c r="C68" s="10">
        <v>600</v>
      </c>
      <c r="D68" s="39">
        <v>24.86</v>
      </c>
      <c r="E68" s="39">
        <v>24.22</v>
      </c>
      <c r="F68" s="39">
        <f t="shared" si="8"/>
        <v>-384.00000000000034</v>
      </c>
      <c r="G68" s="39">
        <f t="shared" si="9"/>
        <v>14916</v>
      </c>
      <c r="H68" s="179">
        <f t="shared" si="10"/>
        <v>-2.5744167337087714E-2</v>
      </c>
      <c r="I68" s="39"/>
      <c r="J68" s="39"/>
      <c r="K68" s="39">
        <v>1066</v>
      </c>
      <c r="L68" s="39"/>
      <c r="Z68" s="638" t="s">
        <v>719</v>
      </c>
      <c r="AA68" s="641">
        <v>661</v>
      </c>
      <c r="AB68" s="601">
        <v>726.4</v>
      </c>
      <c r="AC68" s="601">
        <v>2194.4</v>
      </c>
      <c r="AD68" s="601">
        <v>703.1</v>
      </c>
      <c r="AE68" s="601"/>
      <c r="AF68" s="601"/>
      <c r="AG68" s="601"/>
    </row>
    <row r="69" spans="1:33" x14ac:dyDescent="0.25">
      <c r="A69">
        <v>200</v>
      </c>
      <c r="B69" s="164">
        <v>42941</v>
      </c>
      <c r="C69" s="7">
        <v>400</v>
      </c>
      <c r="D69" s="43">
        <v>24.794799999999999</v>
      </c>
      <c r="E69" s="39">
        <v>24.22</v>
      </c>
      <c r="F69" s="39">
        <f t="shared" si="8"/>
        <v>-229.9199999999999</v>
      </c>
      <c r="G69" s="39">
        <f t="shared" si="9"/>
        <v>9917.92</v>
      </c>
      <c r="H69" s="179">
        <f t="shared" si="10"/>
        <v>-2.3182280155516471E-2</v>
      </c>
      <c r="I69" s="39">
        <v>23</v>
      </c>
      <c r="J69" s="39"/>
      <c r="K69" s="39">
        <v>1222</v>
      </c>
      <c r="L69" s="39"/>
      <c r="Z69" s="638" t="s">
        <v>1041</v>
      </c>
      <c r="AA69" s="641">
        <v>3800</v>
      </c>
      <c r="AB69" s="601">
        <v>3720</v>
      </c>
      <c r="AC69" s="601">
        <v>4878.1000000000004</v>
      </c>
      <c r="AD69" s="601">
        <v>4823.1000000000004</v>
      </c>
      <c r="AE69" s="601"/>
      <c r="AF69" s="601"/>
      <c r="AG69" s="601"/>
    </row>
    <row r="70" spans="1:33" x14ac:dyDescent="0.25">
      <c r="A70">
        <v>200</v>
      </c>
      <c r="B70" s="164">
        <v>42942</v>
      </c>
      <c r="C70" s="10">
        <v>600</v>
      </c>
      <c r="D70" s="39">
        <v>24.623000000000001</v>
      </c>
      <c r="E70" s="39">
        <v>23.6</v>
      </c>
      <c r="F70" s="39">
        <f t="shared" si="8"/>
        <v>-613.79999999999984</v>
      </c>
      <c r="G70" s="39">
        <f t="shared" si="9"/>
        <v>14773.800000000001</v>
      </c>
      <c r="H70" s="179">
        <f t="shared" si="10"/>
        <v>-4.1546521544897033E-2</v>
      </c>
      <c r="I70" s="39"/>
      <c r="J70" s="39"/>
      <c r="K70" s="39">
        <v>838</v>
      </c>
      <c r="L70" s="39"/>
      <c r="Z70" s="637"/>
      <c r="AA70" s="641"/>
      <c r="AB70" s="601"/>
      <c r="AC70" s="601"/>
      <c r="AD70" s="601"/>
      <c r="AE70" s="601"/>
      <c r="AF70" s="601"/>
      <c r="AG70" s="601"/>
    </row>
    <row r="71" spans="1:33" x14ac:dyDescent="0.25">
      <c r="B71" s="164">
        <v>42948</v>
      </c>
      <c r="C71" s="10">
        <v>800</v>
      </c>
      <c r="D71" s="39">
        <v>24.087399999999999</v>
      </c>
      <c r="E71" s="39">
        <v>22.75</v>
      </c>
      <c r="F71" s="39">
        <f t="shared" si="8"/>
        <v>-1069.9199999999992</v>
      </c>
      <c r="G71" s="39">
        <f t="shared" si="9"/>
        <v>19269.919999999998</v>
      </c>
      <c r="H71" s="179">
        <f t="shared" si="10"/>
        <v>-5.5522804453780765E-2</v>
      </c>
      <c r="I71" s="39"/>
      <c r="J71" s="39"/>
      <c r="K71" s="39">
        <v>430</v>
      </c>
      <c r="L71" s="39"/>
      <c r="Z71" s="637"/>
      <c r="AA71" s="641"/>
      <c r="AB71" s="601"/>
      <c r="AC71" s="601"/>
      <c r="AD71" s="601"/>
      <c r="AE71" s="601"/>
      <c r="AF71" s="601"/>
      <c r="AG71" s="601"/>
    </row>
    <row r="72" spans="1:33" x14ac:dyDescent="0.25">
      <c r="A72">
        <v>800</v>
      </c>
      <c r="B72" s="164">
        <v>42983</v>
      </c>
      <c r="C72" s="10">
        <v>900</v>
      </c>
      <c r="D72" s="39">
        <v>23.59</v>
      </c>
      <c r="E72" s="39">
        <v>19.46</v>
      </c>
      <c r="F72" s="39">
        <f t="shared" ref="F72:F83" si="11">C72*(E72-D72)</f>
        <v>-3716.9999999999991</v>
      </c>
      <c r="G72" s="39">
        <f t="shared" ref="G72:G83" si="12">D72*C72</f>
        <v>21231</v>
      </c>
      <c r="H72" s="179">
        <f t="shared" ref="H72:H83" si="13">(E72-D72)/D72</f>
        <v>-0.17507418397626109</v>
      </c>
      <c r="I72" s="39"/>
      <c r="J72" s="39"/>
      <c r="K72" s="39">
        <v>-2264</v>
      </c>
      <c r="L72" s="39"/>
      <c r="Z72" s="637"/>
      <c r="AA72" s="641"/>
      <c r="AB72" s="601"/>
      <c r="AC72" s="601"/>
      <c r="AD72" s="601"/>
      <c r="AE72" s="601"/>
      <c r="AF72" s="601"/>
      <c r="AG72" s="601"/>
    </row>
    <row r="73" spans="1:33" x14ac:dyDescent="0.25">
      <c r="A73">
        <v>700</v>
      </c>
      <c r="B73" s="164">
        <v>42984</v>
      </c>
      <c r="C73" s="359">
        <v>800</v>
      </c>
      <c r="D73" s="360">
        <v>24.0657</v>
      </c>
      <c r="E73" s="39">
        <v>19.78</v>
      </c>
      <c r="F73" s="39">
        <f t="shared" si="11"/>
        <v>-3428.5599999999986</v>
      </c>
      <c r="G73" s="39">
        <f t="shared" si="12"/>
        <v>19252.560000000001</v>
      </c>
      <c r="H73" s="179">
        <f t="shared" si="13"/>
        <v>-0.17808333021686459</v>
      </c>
      <c r="I73" s="39">
        <v>23.5</v>
      </c>
      <c r="J73" s="39"/>
      <c r="K73" s="39">
        <v>-2128</v>
      </c>
      <c r="L73" s="39"/>
      <c r="AA73" s="107"/>
    </row>
    <row r="74" spans="1:33" x14ac:dyDescent="0.25">
      <c r="A74">
        <v>700</v>
      </c>
      <c r="B74" s="164">
        <v>42996</v>
      </c>
      <c r="C74" s="10">
        <v>800</v>
      </c>
      <c r="D74" s="39">
        <v>24.0657</v>
      </c>
      <c r="E74" s="39">
        <v>21.31</v>
      </c>
      <c r="F74" s="39">
        <f t="shared" si="11"/>
        <v>-2204.5600000000009</v>
      </c>
      <c r="G74" s="39">
        <f t="shared" si="12"/>
        <v>19252.560000000001</v>
      </c>
      <c r="H74" s="179">
        <f t="shared" si="13"/>
        <v>-0.11450736940957466</v>
      </c>
      <c r="I74" s="39">
        <v>23.5</v>
      </c>
      <c r="J74" s="39"/>
      <c r="K74" s="39">
        <v>-752</v>
      </c>
      <c r="L74" s="39"/>
      <c r="AA74" s="4"/>
    </row>
    <row r="75" spans="1:33" x14ac:dyDescent="0.25">
      <c r="A75">
        <v>700</v>
      </c>
      <c r="B75" s="164">
        <v>42999</v>
      </c>
      <c r="C75" s="359">
        <v>800</v>
      </c>
      <c r="D75" s="360">
        <v>23.896999999999998</v>
      </c>
      <c r="E75" s="39">
        <v>21.59</v>
      </c>
      <c r="F75" s="39">
        <f t="shared" si="11"/>
        <v>-1845.599999999999</v>
      </c>
      <c r="G75" s="39">
        <f t="shared" si="12"/>
        <v>19117.599999999999</v>
      </c>
      <c r="H75" s="179">
        <f t="shared" si="13"/>
        <v>-9.6539314558312703E-2</v>
      </c>
      <c r="I75" s="39">
        <v>23.5</v>
      </c>
      <c r="J75" s="39"/>
      <c r="K75" s="39">
        <v>-393</v>
      </c>
      <c r="L75" s="39"/>
    </row>
    <row r="76" spans="1:33" x14ac:dyDescent="0.25">
      <c r="B76" s="164">
        <v>43023</v>
      </c>
      <c r="C76" s="10">
        <v>800</v>
      </c>
      <c r="D76" s="39">
        <v>23.9</v>
      </c>
      <c r="E76" s="39">
        <v>21.78</v>
      </c>
      <c r="F76" s="39">
        <f t="shared" si="11"/>
        <v>-1695.999999999998</v>
      </c>
      <c r="G76" s="39">
        <f t="shared" si="12"/>
        <v>19120</v>
      </c>
      <c r="H76" s="179">
        <f t="shared" si="13"/>
        <v>-8.8702928870292783E-2</v>
      </c>
      <c r="I76" s="39"/>
      <c r="J76" s="39">
        <v>61</v>
      </c>
      <c r="K76" s="39">
        <v>-241</v>
      </c>
      <c r="L76" s="39"/>
    </row>
    <row r="77" spans="1:33" x14ac:dyDescent="0.25">
      <c r="A77">
        <v>800</v>
      </c>
      <c r="B77" s="164">
        <v>43031</v>
      </c>
      <c r="C77" s="10">
        <v>800</v>
      </c>
      <c r="D77" s="39">
        <v>23.9</v>
      </c>
      <c r="E77" s="39">
        <v>21.03</v>
      </c>
      <c r="F77" s="39">
        <f t="shared" si="11"/>
        <v>-2295.9999999999982</v>
      </c>
      <c r="G77" s="39">
        <f t="shared" si="12"/>
        <v>19120</v>
      </c>
      <c r="H77" s="179">
        <f t="shared" si="13"/>
        <v>-0.1200836820083681</v>
      </c>
      <c r="I77" s="39"/>
      <c r="J77" s="39"/>
      <c r="K77" s="39">
        <v>-841</v>
      </c>
      <c r="L77" s="39"/>
    </row>
    <row r="78" spans="1:33" x14ac:dyDescent="0.25">
      <c r="A78">
        <v>800</v>
      </c>
      <c r="B78" s="164">
        <v>43050</v>
      </c>
      <c r="C78" s="10">
        <v>800</v>
      </c>
      <c r="D78" s="39">
        <v>23.9</v>
      </c>
      <c r="E78" s="39">
        <v>22.84</v>
      </c>
      <c r="F78" s="39">
        <f t="shared" si="11"/>
        <v>-847.99999999999898</v>
      </c>
      <c r="G78" s="39">
        <f t="shared" si="12"/>
        <v>19120</v>
      </c>
      <c r="H78" s="179">
        <f t="shared" si="13"/>
        <v>-4.4351464435146391E-2</v>
      </c>
      <c r="I78" s="39"/>
      <c r="J78" s="39">
        <v>60.22</v>
      </c>
      <c r="K78" s="39">
        <v>607</v>
      </c>
      <c r="L78" s="39"/>
    </row>
    <row r="79" spans="1:33" x14ac:dyDescent="0.25">
      <c r="A79">
        <v>500</v>
      </c>
      <c r="B79" s="164">
        <v>43068</v>
      </c>
      <c r="C79" s="10">
        <v>500</v>
      </c>
      <c r="D79" s="39">
        <v>23.4815</v>
      </c>
      <c r="E79" s="39">
        <v>24.39</v>
      </c>
      <c r="F79" s="39">
        <f t="shared" si="11"/>
        <v>454.25000000000006</v>
      </c>
      <c r="G79" s="39">
        <f t="shared" si="12"/>
        <v>11740.75</v>
      </c>
      <c r="H79" s="179">
        <f t="shared" si="13"/>
        <v>3.8690032578838664E-2</v>
      </c>
      <c r="I79" s="39"/>
      <c r="J79" s="39"/>
      <c r="K79" s="39">
        <v>1907</v>
      </c>
      <c r="L79" s="39"/>
    </row>
    <row r="80" spans="1:33" x14ac:dyDescent="0.25">
      <c r="A80">
        <v>500</v>
      </c>
      <c r="B80" s="164">
        <v>43081</v>
      </c>
      <c r="C80" s="10">
        <v>500</v>
      </c>
      <c r="D80" s="39">
        <v>23.4815</v>
      </c>
      <c r="E80" s="39">
        <v>24.82</v>
      </c>
      <c r="F80" s="39">
        <f t="shared" si="11"/>
        <v>669.24999999999989</v>
      </c>
      <c r="G80" s="39">
        <f t="shared" si="12"/>
        <v>11740.75</v>
      </c>
      <c r="H80" s="179">
        <f t="shared" si="13"/>
        <v>5.7002320976087546E-2</v>
      </c>
      <c r="I80" s="39"/>
      <c r="J80" s="39"/>
      <c r="K80" s="39">
        <v>2121</v>
      </c>
      <c r="L80" s="39"/>
    </row>
    <row r="81" spans="1:12" x14ac:dyDescent="0.25">
      <c r="A81">
        <v>450</v>
      </c>
      <c r="B81" s="164">
        <v>43090</v>
      </c>
      <c r="C81" s="10">
        <v>450</v>
      </c>
      <c r="D81" s="39">
        <v>23.29</v>
      </c>
      <c r="E81" s="39">
        <v>25.23</v>
      </c>
      <c r="F81" s="39">
        <f t="shared" si="11"/>
        <v>873.00000000000057</v>
      </c>
      <c r="G81" s="39">
        <f t="shared" si="12"/>
        <v>10480.5</v>
      </c>
      <c r="H81" s="179">
        <f t="shared" si="13"/>
        <v>8.3297552597681471E-2</v>
      </c>
      <c r="I81" s="39"/>
      <c r="J81" s="39">
        <v>68</v>
      </c>
      <c r="K81" s="39">
        <v>2324</v>
      </c>
      <c r="L81" s="39"/>
    </row>
    <row r="82" spans="1:12" x14ac:dyDescent="0.25">
      <c r="A82">
        <v>400</v>
      </c>
      <c r="B82" s="164">
        <v>43102</v>
      </c>
      <c r="C82" s="7">
        <v>400</v>
      </c>
      <c r="D82" s="43">
        <v>22.85</v>
      </c>
      <c r="E82" s="39">
        <v>26.65</v>
      </c>
      <c r="F82" s="39">
        <f t="shared" si="11"/>
        <v>1519.9999999999989</v>
      </c>
      <c r="G82" s="39">
        <f t="shared" si="12"/>
        <v>9140</v>
      </c>
      <c r="H82" s="179">
        <f t="shared" si="13"/>
        <v>0.16630196936542657</v>
      </c>
      <c r="I82" s="670" t="s">
        <v>804</v>
      </c>
      <c r="J82" s="39"/>
      <c r="K82" s="39">
        <v>2972</v>
      </c>
      <c r="L82" s="39"/>
    </row>
    <row r="83" spans="1:12" x14ac:dyDescent="0.25">
      <c r="A83">
        <v>400</v>
      </c>
      <c r="B83" s="164">
        <v>43110</v>
      </c>
      <c r="C83" s="10">
        <v>400</v>
      </c>
      <c r="D83" s="39">
        <v>22.8508</v>
      </c>
      <c r="E83" s="39">
        <v>25.91</v>
      </c>
      <c r="F83" s="39">
        <f t="shared" si="11"/>
        <v>1223.6800000000003</v>
      </c>
      <c r="G83" s="39">
        <f t="shared" si="12"/>
        <v>9140.32</v>
      </c>
      <c r="H83" s="179">
        <f t="shared" si="13"/>
        <v>0.13387715090937738</v>
      </c>
      <c r="I83" s="39"/>
      <c r="J83" s="39"/>
      <c r="K83" s="39">
        <v>2676</v>
      </c>
      <c r="L83" s="39"/>
    </row>
    <row r="84" spans="1:12" x14ac:dyDescent="0.25">
      <c r="B84" s="164">
        <v>43112</v>
      </c>
      <c r="C84" s="10">
        <v>400</v>
      </c>
      <c r="D84" s="39">
        <v>22.8508</v>
      </c>
      <c r="E84" s="39">
        <v>27.22</v>
      </c>
      <c r="F84" s="39">
        <f t="shared" ref="F84:F96" si="14">C84*(E84-D84)</f>
        <v>1747.6799999999998</v>
      </c>
      <c r="G84" s="39">
        <f t="shared" ref="G84:G96" si="15">D84*C84</f>
        <v>9140.32</v>
      </c>
      <c r="H84" s="179">
        <f t="shared" ref="H84:H96" si="16">(E84-D84)/D84</f>
        <v>0.1912055595427731</v>
      </c>
      <c r="I84" s="39"/>
      <c r="J84" s="39"/>
      <c r="K84" s="39">
        <v>3120</v>
      </c>
      <c r="L84" s="39"/>
    </row>
    <row r="85" spans="1:12" x14ac:dyDescent="0.25">
      <c r="A85">
        <v>400</v>
      </c>
      <c r="B85" s="164">
        <v>43116</v>
      </c>
      <c r="C85" s="10">
        <v>450</v>
      </c>
      <c r="D85" s="39">
        <v>23.176200000000001</v>
      </c>
      <c r="E85" s="39">
        <v>25.68</v>
      </c>
      <c r="F85" s="39">
        <f t="shared" si="14"/>
        <v>1126.7099999999991</v>
      </c>
      <c r="G85" s="39">
        <f t="shared" si="15"/>
        <v>10429.290000000001</v>
      </c>
      <c r="H85" s="179">
        <f t="shared" si="16"/>
        <v>0.10803324099722983</v>
      </c>
      <c r="I85" s="39"/>
      <c r="J85" s="39"/>
      <c r="K85" s="39">
        <v>2579</v>
      </c>
      <c r="L85" s="39"/>
    </row>
    <row r="86" spans="1:12" x14ac:dyDescent="0.25">
      <c r="A86">
        <v>350</v>
      </c>
      <c r="B86" s="164">
        <v>43118</v>
      </c>
      <c r="C86" s="7">
        <v>400</v>
      </c>
      <c r="D86" s="43">
        <v>22.763300000000001</v>
      </c>
      <c r="E86" s="39">
        <v>26.22</v>
      </c>
      <c r="F86" s="39">
        <f t="shared" si="14"/>
        <v>1382.6799999999992</v>
      </c>
      <c r="G86" s="39">
        <f t="shared" si="15"/>
        <v>9105.32</v>
      </c>
      <c r="H86" s="179">
        <f t="shared" si="16"/>
        <v>0.15185408091093988</v>
      </c>
      <c r="I86" s="39">
        <v>22.5</v>
      </c>
      <c r="J86" s="39"/>
      <c r="K86" s="39">
        <v>2835</v>
      </c>
      <c r="L86" s="39"/>
    </row>
    <row r="87" spans="1:12" x14ac:dyDescent="0.25">
      <c r="A87">
        <v>350</v>
      </c>
      <c r="B87" s="164">
        <v>43121</v>
      </c>
      <c r="C87" s="10">
        <v>400</v>
      </c>
      <c r="D87" s="39">
        <v>22.76</v>
      </c>
      <c r="E87" s="39">
        <v>26.53</v>
      </c>
      <c r="F87" s="39">
        <f t="shared" si="14"/>
        <v>1507.9999999999998</v>
      </c>
      <c r="G87" s="39">
        <f t="shared" si="15"/>
        <v>9104</v>
      </c>
      <c r="H87" s="179">
        <f t="shared" si="16"/>
        <v>0.16564147627416517</v>
      </c>
      <c r="I87" s="39"/>
      <c r="J87" s="39">
        <v>58.41</v>
      </c>
      <c r="K87" s="39">
        <v>2959</v>
      </c>
      <c r="L87" s="39"/>
    </row>
    <row r="88" spans="1:12" x14ac:dyDescent="0.25">
      <c r="A88">
        <v>250</v>
      </c>
      <c r="B88" s="164">
        <v>43126</v>
      </c>
      <c r="C88" s="10">
        <v>300</v>
      </c>
      <c r="D88" s="39">
        <v>21.144600000000001</v>
      </c>
      <c r="E88" s="39">
        <v>27.6</v>
      </c>
      <c r="F88" s="39">
        <f t="shared" si="14"/>
        <v>1936.6200000000003</v>
      </c>
      <c r="G88" s="39">
        <f t="shared" si="15"/>
        <v>6343.38</v>
      </c>
      <c r="H88" s="179">
        <f t="shared" si="16"/>
        <v>0.30529780653216426</v>
      </c>
      <c r="I88" s="39"/>
      <c r="J88" s="39"/>
      <c r="K88" s="39">
        <v>3389</v>
      </c>
      <c r="L88" s="39"/>
    </row>
    <row r="89" spans="1:12" x14ac:dyDescent="0.25">
      <c r="A89">
        <v>250</v>
      </c>
      <c r="B89" s="164">
        <v>43131</v>
      </c>
      <c r="C89" s="10">
        <v>400</v>
      </c>
      <c r="D89" s="39">
        <v>22.578499999999998</v>
      </c>
      <c r="E89" s="39">
        <v>27.3</v>
      </c>
      <c r="F89" s="39">
        <f t="shared" si="14"/>
        <v>1888.600000000001</v>
      </c>
      <c r="G89" s="39">
        <f t="shared" si="15"/>
        <v>9031.4</v>
      </c>
      <c r="H89" s="179">
        <f t="shared" si="16"/>
        <v>0.20911486591226178</v>
      </c>
      <c r="I89" s="39"/>
      <c r="J89" s="39"/>
      <c r="K89" s="39">
        <v>3341</v>
      </c>
      <c r="L89" s="39"/>
    </row>
    <row r="90" spans="1:12" x14ac:dyDescent="0.25">
      <c r="A90">
        <v>250</v>
      </c>
      <c r="B90" s="164">
        <v>43133</v>
      </c>
      <c r="C90" s="10">
        <v>600</v>
      </c>
      <c r="D90" s="39">
        <v>23.68</v>
      </c>
      <c r="E90" s="39">
        <v>26.04</v>
      </c>
      <c r="F90" s="39">
        <f t="shared" si="14"/>
        <v>1415.9999999999995</v>
      </c>
      <c r="G90" s="39">
        <f t="shared" si="15"/>
        <v>14208</v>
      </c>
      <c r="H90" s="179">
        <f t="shared" si="16"/>
        <v>9.9662162162162143E-2</v>
      </c>
      <c r="I90" s="39"/>
      <c r="J90" s="39"/>
      <c r="K90" s="39">
        <v>2869</v>
      </c>
      <c r="L90" s="39"/>
    </row>
    <row r="91" spans="1:12" x14ac:dyDescent="0.25">
      <c r="B91" s="164">
        <v>43140</v>
      </c>
      <c r="C91" s="359">
        <v>800</v>
      </c>
      <c r="D91" s="360">
        <v>23.654199999999999</v>
      </c>
      <c r="E91" s="39">
        <v>24.35</v>
      </c>
      <c r="F91" s="39">
        <f t="shared" si="14"/>
        <v>556.64000000000158</v>
      </c>
      <c r="G91" s="39">
        <f t="shared" si="15"/>
        <v>18923.36</v>
      </c>
      <c r="H91" s="179">
        <f t="shared" si="16"/>
        <v>2.9415494922677664E-2</v>
      </c>
      <c r="I91" s="39"/>
      <c r="J91" s="39"/>
      <c r="K91" s="39">
        <v>2032</v>
      </c>
      <c r="L91" s="39"/>
    </row>
    <row r="92" spans="1:12" x14ac:dyDescent="0.25">
      <c r="A92">
        <v>50</v>
      </c>
      <c r="B92" s="164">
        <v>43140</v>
      </c>
      <c r="C92" s="10">
        <v>600</v>
      </c>
      <c r="D92" s="39">
        <v>23.379200000000001</v>
      </c>
      <c r="E92" s="39">
        <v>24.35</v>
      </c>
      <c r="F92" s="39">
        <f t="shared" si="14"/>
        <v>582.48000000000036</v>
      </c>
      <c r="G92" s="39">
        <f t="shared" si="15"/>
        <v>14027.52</v>
      </c>
      <c r="H92" s="179">
        <f t="shared" si="16"/>
        <v>4.1524089789214368E-2</v>
      </c>
      <c r="I92" s="39"/>
      <c r="J92" s="39"/>
      <c r="K92" s="39">
        <v>2035</v>
      </c>
      <c r="L92" s="39"/>
    </row>
    <row r="93" spans="1:12" x14ac:dyDescent="0.25">
      <c r="A93">
        <v>50</v>
      </c>
      <c r="B93" s="164">
        <v>43146</v>
      </c>
      <c r="C93" s="10">
        <v>600</v>
      </c>
      <c r="D93" s="39">
        <v>23.38</v>
      </c>
      <c r="E93" s="39">
        <v>25.86</v>
      </c>
      <c r="F93" s="39">
        <f t="shared" si="14"/>
        <v>1488.0000000000002</v>
      </c>
      <c r="G93" s="39">
        <f t="shared" si="15"/>
        <v>14028</v>
      </c>
      <c r="H93" s="179">
        <f t="shared" si="16"/>
        <v>0.10607356715141149</v>
      </c>
      <c r="I93" s="39"/>
      <c r="J93" s="39"/>
      <c r="K93" s="39">
        <v>2941</v>
      </c>
      <c r="L93" s="39"/>
    </row>
    <row r="94" spans="1:12" x14ac:dyDescent="0.25">
      <c r="A94">
        <v>0</v>
      </c>
      <c r="B94" s="164">
        <v>43151</v>
      </c>
      <c r="C94" s="10">
        <v>500</v>
      </c>
      <c r="D94" s="39">
        <v>22.82</v>
      </c>
      <c r="E94" s="39">
        <v>26.19</v>
      </c>
      <c r="F94" s="39">
        <f t="shared" si="14"/>
        <v>1685.0000000000005</v>
      </c>
      <c r="G94" s="39">
        <f t="shared" si="15"/>
        <v>11410</v>
      </c>
      <c r="H94" s="179">
        <f t="shared" si="16"/>
        <v>0.14767747589833483</v>
      </c>
      <c r="I94" s="39"/>
      <c r="J94" s="39"/>
      <c r="K94" s="39">
        <v>3139</v>
      </c>
      <c r="L94" s="39"/>
    </row>
    <row r="95" spans="1:12" x14ac:dyDescent="0.25">
      <c r="A95">
        <v>0</v>
      </c>
      <c r="B95" s="164">
        <v>43151</v>
      </c>
      <c r="C95" s="7">
        <v>400</v>
      </c>
      <c r="D95" s="43">
        <v>21.81</v>
      </c>
      <c r="E95" s="39">
        <v>26.76</v>
      </c>
      <c r="F95" s="39">
        <f t="shared" si="14"/>
        <v>1980.0000000000011</v>
      </c>
      <c r="G95" s="39">
        <f t="shared" si="15"/>
        <v>8724</v>
      </c>
      <c r="H95" s="179">
        <f t="shared" si="16"/>
        <v>0.22696011004126562</v>
      </c>
      <c r="I95" s="670" t="s">
        <v>914</v>
      </c>
      <c r="J95" s="39"/>
      <c r="K95" s="39">
        <v>3433</v>
      </c>
      <c r="L95" s="39"/>
    </row>
    <row r="96" spans="1:12" x14ac:dyDescent="0.25">
      <c r="B96" s="164">
        <v>43157</v>
      </c>
      <c r="C96" s="10">
        <v>400</v>
      </c>
      <c r="D96" s="39">
        <v>21.81</v>
      </c>
      <c r="E96" s="39">
        <v>28.12</v>
      </c>
      <c r="F96" s="39">
        <f t="shared" si="14"/>
        <v>2524.0000000000009</v>
      </c>
      <c r="G96" s="39">
        <f t="shared" si="15"/>
        <v>8724</v>
      </c>
      <c r="H96" s="179">
        <f t="shared" si="16"/>
        <v>0.28931682714351226</v>
      </c>
      <c r="I96" s="39"/>
      <c r="J96" s="39"/>
      <c r="K96" s="39">
        <v>3996</v>
      </c>
      <c r="L96" s="39"/>
    </row>
    <row r="97" spans="1:12" x14ac:dyDescent="0.25">
      <c r="A97" s="1">
        <v>43164</v>
      </c>
      <c r="B97" s="164">
        <v>43158</v>
      </c>
      <c r="C97" s="10">
        <v>400</v>
      </c>
      <c r="D97" s="39">
        <v>21.81</v>
      </c>
      <c r="E97" s="39">
        <v>26.82</v>
      </c>
      <c r="F97" s="39">
        <f>C97*(E97-D97)</f>
        <v>2004.0000000000007</v>
      </c>
      <c r="G97" s="39">
        <f>D97*C97</f>
        <v>8724</v>
      </c>
      <c r="H97" s="179">
        <f>(E97-D97)/D97</f>
        <v>0.22971114167812939</v>
      </c>
      <c r="I97" s="39"/>
      <c r="J97" s="39"/>
      <c r="K97" s="39">
        <v>3457</v>
      </c>
      <c r="L97" s="39"/>
    </row>
    <row r="98" spans="1:12" x14ac:dyDescent="0.25">
      <c r="A98">
        <v>200</v>
      </c>
      <c r="B98" s="164">
        <v>43165</v>
      </c>
      <c r="C98" s="10">
        <v>400</v>
      </c>
      <c r="D98" s="39">
        <v>21.81</v>
      </c>
      <c r="E98" s="39">
        <v>27.74</v>
      </c>
      <c r="F98" s="39">
        <f>C98*(E98-D98)</f>
        <v>2372</v>
      </c>
      <c r="G98" s="39">
        <f>D98*C98</f>
        <v>8724</v>
      </c>
      <c r="H98" s="179">
        <f>(E98-D98)/D98</f>
        <v>0.27189362677670792</v>
      </c>
      <c r="I98" s="39"/>
      <c r="J98" s="39"/>
      <c r="K98" s="39">
        <v>3825</v>
      </c>
      <c r="L98" s="39"/>
    </row>
    <row r="99" spans="1:12" x14ac:dyDescent="0.25">
      <c r="A99">
        <v>400</v>
      </c>
      <c r="B99" s="164">
        <v>43178</v>
      </c>
      <c r="C99" s="10">
        <v>600</v>
      </c>
      <c r="D99" s="39">
        <v>22.95</v>
      </c>
      <c r="E99" s="39">
        <v>25.59</v>
      </c>
      <c r="F99" s="39">
        <f>C99*(E99-D99)</f>
        <v>1584.0000000000005</v>
      </c>
      <c r="G99" s="39">
        <f>D99*C99</f>
        <v>13770</v>
      </c>
      <c r="H99" s="179">
        <f>(E99-D99)/D99</f>
        <v>0.11503267973856211</v>
      </c>
      <c r="I99" s="39">
        <v>22.5</v>
      </c>
      <c r="J99" s="39"/>
      <c r="K99" s="39">
        <v>2851</v>
      </c>
      <c r="L99" s="39"/>
    </row>
    <row r="100" spans="1:12" x14ac:dyDescent="0.25">
      <c r="A100">
        <v>400</v>
      </c>
      <c r="B100" s="164">
        <v>43185</v>
      </c>
      <c r="C100" s="10">
        <v>600</v>
      </c>
      <c r="D100" s="39">
        <v>22.95</v>
      </c>
      <c r="E100" s="39">
        <v>24.65</v>
      </c>
      <c r="F100" s="39">
        <f t="shared" ref="F100:F107" si="17">C100*(E100-D100)</f>
        <v>1019.9999999999995</v>
      </c>
      <c r="G100" s="39">
        <f t="shared" ref="G100:G107" si="18">D100*C100</f>
        <v>13770</v>
      </c>
      <c r="H100" s="179">
        <f t="shared" ref="H100:H107" si="19">(E100-D100)/D100</f>
        <v>7.4074074074074042E-2</v>
      </c>
      <c r="I100" s="39"/>
      <c r="J100" s="39"/>
      <c r="K100" s="39">
        <v>2474</v>
      </c>
      <c r="L100" s="39"/>
    </row>
    <row r="101" spans="1:12" x14ac:dyDescent="0.25">
      <c r="A101">
        <v>400</v>
      </c>
      <c r="B101" s="164">
        <v>43187</v>
      </c>
      <c r="C101" s="359">
        <v>800</v>
      </c>
      <c r="D101" s="360">
        <v>23.1145</v>
      </c>
      <c r="E101" s="39">
        <v>23.57</v>
      </c>
      <c r="F101" s="39">
        <f t="shared" si="17"/>
        <v>364.40000000000055</v>
      </c>
      <c r="G101" s="39">
        <f t="shared" si="18"/>
        <v>18491.599999999999</v>
      </c>
      <c r="H101" s="179">
        <f t="shared" si="19"/>
        <v>1.9706244997728727E-2</v>
      </c>
      <c r="I101" s="670" t="s">
        <v>939</v>
      </c>
      <c r="J101" s="39"/>
      <c r="K101" s="39">
        <v>1817</v>
      </c>
      <c r="L101" s="39"/>
    </row>
    <row r="102" spans="1:12" x14ac:dyDescent="0.25">
      <c r="A102">
        <v>200</v>
      </c>
      <c r="B102" s="164">
        <v>43188</v>
      </c>
      <c r="C102" s="10">
        <v>600</v>
      </c>
      <c r="D102" s="39">
        <v>22.732900000000001</v>
      </c>
      <c r="E102" s="39">
        <v>24.28</v>
      </c>
      <c r="F102" s="39">
        <f t="shared" si="17"/>
        <v>928.26000000000022</v>
      </c>
      <c r="G102" s="39">
        <f t="shared" si="18"/>
        <v>13639.74</v>
      </c>
      <c r="H102" s="179">
        <f t="shared" si="19"/>
        <v>6.8055549445957195E-2</v>
      </c>
      <c r="I102" s="39">
        <v>22.5</v>
      </c>
      <c r="J102" s="39"/>
      <c r="K102" s="39">
        <v>2380</v>
      </c>
      <c r="L102" s="39"/>
    </row>
    <row r="103" spans="1:12" x14ac:dyDescent="0.25">
      <c r="A103">
        <v>200</v>
      </c>
      <c r="B103" s="164">
        <v>43192</v>
      </c>
      <c r="C103" s="359">
        <v>800</v>
      </c>
      <c r="D103" s="360">
        <v>22.97</v>
      </c>
      <c r="E103" s="39">
        <v>23.67</v>
      </c>
      <c r="F103" s="39">
        <f t="shared" si="17"/>
        <v>560.00000000000227</v>
      </c>
      <c r="G103" s="39">
        <f t="shared" si="18"/>
        <v>18376</v>
      </c>
      <c r="H103" s="179">
        <f t="shared" si="19"/>
        <v>3.0474531998258725E-2</v>
      </c>
      <c r="I103" s="39"/>
      <c r="J103" s="39"/>
      <c r="K103" s="39">
        <v>2012</v>
      </c>
      <c r="L103" s="39"/>
    </row>
    <row r="104" spans="1:12" x14ac:dyDescent="0.25">
      <c r="A104">
        <v>0</v>
      </c>
      <c r="B104" s="164">
        <v>43195</v>
      </c>
      <c r="C104" s="10">
        <v>600</v>
      </c>
      <c r="D104" s="39">
        <v>22.21</v>
      </c>
      <c r="E104" s="39">
        <v>25.19</v>
      </c>
      <c r="F104" s="39">
        <f t="shared" si="17"/>
        <v>1788.0000000000002</v>
      </c>
      <c r="G104" s="39">
        <f t="shared" si="18"/>
        <v>13326</v>
      </c>
      <c r="H104" s="179">
        <f t="shared" si="19"/>
        <v>0.13417379558757317</v>
      </c>
      <c r="I104" s="670" t="s">
        <v>941</v>
      </c>
      <c r="J104" s="39"/>
      <c r="K104" s="39">
        <v>3240</v>
      </c>
      <c r="L104" s="39"/>
    </row>
    <row r="105" spans="1:12" x14ac:dyDescent="0.25">
      <c r="B105" s="164">
        <v>43196</v>
      </c>
      <c r="C105" s="10">
        <v>700</v>
      </c>
      <c r="D105" s="39">
        <v>22.54</v>
      </c>
      <c r="E105" s="39">
        <v>24.5</v>
      </c>
      <c r="F105" s="39">
        <f t="shared" si="17"/>
        <v>1372.0000000000007</v>
      </c>
      <c r="G105" s="39">
        <f t="shared" si="18"/>
        <v>15778</v>
      </c>
      <c r="H105" s="179">
        <f t="shared" si="19"/>
        <v>8.6956521739130474E-2</v>
      </c>
      <c r="I105" s="39"/>
      <c r="J105" s="39"/>
      <c r="K105" s="39">
        <v>2826</v>
      </c>
      <c r="L105" s="39"/>
    </row>
    <row r="106" spans="1:12" x14ac:dyDescent="0.25">
      <c r="A106">
        <v>0</v>
      </c>
      <c r="B106" s="164">
        <v>43196</v>
      </c>
      <c r="C106" s="359">
        <v>800</v>
      </c>
      <c r="D106" s="360">
        <v>22.725999999999999</v>
      </c>
      <c r="E106" s="39">
        <v>24.05</v>
      </c>
      <c r="F106" s="39">
        <f t="shared" si="17"/>
        <v>1059.2000000000012</v>
      </c>
      <c r="G106" s="39">
        <f t="shared" si="18"/>
        <v>18180.8</v>
      </c>
      <c r="H106" s="179">
        <f t="shared" si="19"/>
        <v>5.8259262518701123E-2</v>
      </c>
      <c r="I106" s="39">
        <v>22.5</v>
      </c>
      <c r="J106" s="39">
        <v>43</v>
      </c>
      <c r="K106" s="39">
        <v>2511</v>
      </c>
      <c r="L106" s="39">
        <v>19.38</v>
      </c>
    </row>
    <row r="107" spans="1:12" x14ac:dyDescent="0.25">
      <c r="A107">
        <v>0</v>
      </c>
      <c r="B107" s="164">
        <v>43200</v>
      </c>
      <c r="C107" s="10">
        <v>600</v>
      </c>
      <c r="D107" s="39">
        <v>21.895</v>
      </c>
      <c r="E107" s="39">
        <v>25.03</v>
      </c>
      <c r="F107" s="39">
        <f t="shared" si="17"/>
        <v>1881.0000000000009</v>
      </c>
      <c r="G107" s="39">
        <f t="shared" si="18"/>
        <v>13137</v>
      </c>
      <c r="H107" s="179">
        <f t="shared" si="19"/>
        <v>0.14318337519981739</v>
      </c>
      <c r="I107" s="39"/>
      <c r="J107" s="39"/>
      <c r="K107" s="39">
        <v>3333</v>
      </c>
      <c r="L107" s="39"/>
    </row>
    <row r="108" spans="1:12" x14ac:dyDescent="0.25">
      <c r="A108">
        <v>0</v>
      </c>
      <c r="B108" s="164">
        <v>43208</v>
      </c>
      <c r="C108" s="10">
        <v>600</v>
      </c>
      <c r="D108" s="39">
        <v>21.895</v>
      </c>
      <c r="E108" s="39">
        <v>26.04</v>
      </c>
      <c r="F108" s="39">
        <f>C108*(E108-D108)</f>
        <v>2486.9999999999995</v>
      </c>
      <c r="G108" s="39">
        <f>D108*C108</f>
        <v>13137</v>
      </c>
      <c r="H108" s="179">
        <f>(E108-D108)/D108</f>
        <v>0.18931262845398492</v>
      </c>
      <c r="I108" s="39"/>
      <c r="J108" s="39"/>
      <c r="K108" s="39">
        <v>3939</v>
      </c>
      <c r="L108" s="39"/>
    </row>
    <row r="109" spans="1:12" x14ac:dyDescent="0.25">
      <c r="A109">
        <v>0</v>
      </c>
      <c r="B109" s="164">
        <v>43216</v>
      </c>
      <c r="C109" s="10">
        <v>600</v>
      </c>
      <c r="D109" s="39">
        <v>21.895</v>
      </c>
      <c r="E109" s="39">
        <v>27.17</v>
      </c>
      <c r="F109" s="39">
        <f t="shared" ref="F109:F117" si="20">C109*(E109-D109)</f>
        <v>3165.0000000000014</v>
      </c>
      <c r="G109" s="39">
        <f t="shared" ref="G109:G117" si="21">D109*C109</f>
        <v>13137</v>
      </c>
      <c r="H109" s="179">
        <f t="shared" ref="H109:H117" si="22">(E109-D109)/D109</f>
        <v>0.24092258506508346</v>
      </c>
      <c r="I109" s="39"/>
      <c r="J109" s="39"/>
      <c r="K109" s="39">
        <v>4617</v>
      </c>
      <c r="L109" s="39"/>
    </row>
    <row r="110" spans="1:12" x14ac:dyDescent="0.25">
      <c r="A110">
        <v>200</v>
      </c>
      <c r="B110" s="164">
        <v>43224</v>
      </c>
      <c r="C110" s="7">
        <v>400</v>
      </c>
      <c r="D110" s="43">
        <v>19.053000000000001</v>
      </c>
      <c r="E110" s="39">
        <v>27.43</v>
      </c>
      <c r="F110" s="39">
        <f t="shared" si="20"/>
        <v>3350.7999999999997</v>
      </c>
      <c r="G110" s="39">
        <f t="shared" si="21"/>
        <v>7621.2000000000007</v>
      </c>
      <c r="H110" s="179">
        <f t="shared" si="22"/>
        <v>0.4396682937070277</v>
      </c>
      <c r="I110" s="670" t="s">
        <v>1035</v>
      </c>
      <c r="J110" s="39"/>
      <c r="K110" s="39">
        <v>4803</v>
      </c>
      <c r="L110" s="39">
        <v>19.68</v>
      </c>
    </row>
    <row r="111" spans="1:12" x14ac:dyDescent="0.25">
      <c r="A111">
        <v>400</v>
      </c>
      <c r="B111" s="164">
        <v>43227</v>
      </c>
      <c r="C111" s="10">
        <v>500</v>
      </c>
      <c r="D111" s="39">
        <v>20.6462</v>
      </c>
      <c r="E111" s="39">
        <v>27.56</v>
      </c>
      <c r="F111" s="39">
        <f t="shared" si="20"/>
        <v>3456.8999999999992</v>
      </c>
      <c r="G111" s="39">
        <f t="shared" si="21"/>
        <v>10323.1</v>
      </c>
      <c r="H111" s="179">
        <f t="shared" si="22"/>
        <v>0.33487033933605209</v>
      </c>
      <c r="I111" s="39"/>
      <c r="J111" s="39"/>
      <c r="K111" s="39">
        <v>4909</v>
      </c>
      <c r="L111" s="39"/>
    </row>
    <row r="112" spans="1:12" x14ac:dyDescent="0.25">
      <c r="A112">
        <v>400</v>
      </c>
      <c r="B112" s="164">
        <v>43228</v>
      </c>
      <c r="C112" s="10">
        <v>600</v>
      </c>
      <c r="D112" s="39">
        <v>21.5518</v>
      </c>
      <c r="E112" s="39">
        <v>26.1</v>
      </c>
      <c r="F112" s="39">
        <f t="shared" si="20"/>
        <v>2728.920000000001</v>
      </c>
      <c r="G112" s="39">
        <f t="shared" si="21"/>
        <v>12931.08</v>
      </c>
      <c r="H112" s="179">
        <f t="shared" si="22"/>
        <v>0.21103573715420529</v>
      </c>
      <c r="I112" s="670" t="s">
        <v>1044</v>
      </c>
      <c r="J112" s="39"/>
      <c r="K112" s="39">
        <v>4181</v>
      </c>
      <c r="L112" s="39"/>
    </row>
    <row r="113" spans="1:12" x14ac:dyDescent="0.25">
      <c r="A113">
        <v>200</v>
      </c>
      <c r="B113" s="164">
        <v>43234</v>
      </c>
      <c r="C113" s="7">
        <v>400</v>
      </c>
      <c r="D113" s="43">
        <v>18.6431</v>
      </c>
      <c r="E113" s="39">
        <v>27.17</v>
      </c>
      <c r="F113" s="39">
        <f t="shared" si="20"/>
        <v>3410.7600000000007</v>
      </c>
      <c r="G113" s="39">
        <f t="shared" si="21"/>
        <v>7457.24</v>
      </c>
      <c r="H113" s="179">
        <f t="shared" si="22"/>
        <v>0.45737565104515887</v>
      </c>
      <c r="I113" s="39">
        <v>18.5</v>
      </c>
      <c r="J113" s="39"/>
      <c r="K113" s="39">
        <v>4863</v>
      </c>
      <c r="L113" s="39"/>
    </row>
    <row r="114" spans="1:12" x14ac:dyDescent="0.25">
      <c r="A114">
        <v>0</v>
      </c>
      <c r="B114" s="164">
        <v>43257</v>
      </c>
      <c r="C114" s="185">
        <v>200</v>
      </c>
      <c r="D114" s="186">
        <v>8.5065000000000008</v>
      </c>
      <c r="E114" s="39">
        <v>29.08</v>
      </c>
      <c r="F114" s="39">
        <f t="shared" si="20"/>
        <v>4114.6999999999989</v>
      </c>
      <c r="G114" s="39">
        <f t="shared" si="21"/>
        <v>1701.3000000000002</v>
      </c>
      <c r="H114" s="179">
        <f t="shared" si="22"/>
        <v>2.418562275906659</v>
      </c>
      <c r="I114" s="39"/>
      <c r="J114" s="39"/>
      <c r="K114" s="39">
        <v>5567</v>
      </c>
      <c r="L114" s="39"/>
    </row>
    <row r="115" spans="1:12" x14ac:dyDescent="0.25">
      <c r="A115">
        <v>200</v>
      </c>
      <c r="B115" s="164">
        <v>43270</v>
      </c>
      <c r="C115" s="7">
        <v>400</v>
      </c>
      <c r="D115" s="43">
        <v>18.353300000000001</v>
      </c>
      <c r="E115" s="39">
        <v>28.31</v>
      </c>
      <c r="F115" s="39">
        <f t="shared" si="20"/>
        <v>3982.6799999999994</v>
      </c>
      <c r="G115" s="39">
        <f t="shared" si="21"/>
        <v>7341.3200000000006</v>
      </c>
      <c r="H115" s="179">
        <f t="shared" si="22"/>
        <v>0.54250189339246879</v>
      </c>
      <c r="I115" s="186" t="s">
        <v>1103</v>
      </c>
      <c r="J115" s="39"/>
      <c r="K115" s="39">
        <v>5435</v>
      </c>
      <c r="L115" s="39"/>
    </row>
    <row r="116" spans="1:12" x14ac:dyDescent="0.25">
      <c r="A116">
        <v>200</v>
      </c>
      <c r="B116" s="164">
        <v>43272</v>
      </c>
      <c r="C116" s="10">
        <v>400</v>
      </c>
      <c r="D116" s="39">
        <v>18.328299999999999</v>
      </c>
      <c r="E116" s="39">
        <v>28.28</v>
      </c>
      <c r="F116" s="39">
        <f t="shared" si="20"/>
        <v>3980.6800000000012</v>
      </c>
      <c r="G116" s="39">
        <f t="shared" si="21"/>
        <v>7331.32</v>
      </c>
      <c r="H116" s="179">
        <f t="shared" si="22"/>
        <v>0.54296906969004233</v>
      </c>
      <c r="I116" s="39"/>
      <c r="J116" s="39"/>
      <c r="K116" s="39">
        <f t="shared" ref="K116:K128" si="23">F116+$Q$10</f>
        <v>5432.94</v>
      </c>
      <c r="L116" s="39"/>
    </row>
    <row r="117" spans="1:12" x14ac:dyDescent="0.25">
      <c r="A117">
        <v>100</v>
      </c>
      <c r="B117" s="164">
        <v>43273</v>
      </c>
      <c r="C117" s="10">
        <v>300</v>
      </c>
      <c r="D117" s="39">
        <v>14.7445</v>
      </c>
      <c r="E117" s="39">
        <v>28.88</v>
      </c>
      <c r="F117" s="39">
        <f t="shared" si="20"/>
        <v>4240.6499999999996</v>
      </c>
      <c r="G117" s="39">
        <f t="shared" si="21"/>
        <v>4423.3500000000004</v>
      </c>
      <c r="H117" s="179">
        <f t="shared" si="22"/>
        <v>0.95869646308793099</v>
      </c>
      <c r="I117" s="39"/>
      <c r="J117" s="39"/>
      <c r="K117" s="39">
        <f t="shared" si="23"/>
        <v>5692.909999999998</v>
      </c>
      <c r="L117" s="39"/>
    </row>
    <row r="118" spans="1:12" x14ac:dyDescent="0.25">
      <c r="A118">
        <v>100</v>
      </c>
      <c r="B118" s="164">
        <v>43292</v>
      </c>
      <c r="C118" s="7">
        <v>400</v>
      </c>
      <c r="D118" s="43">
        <v>18.11</v>
      </c>
      <c r="E118" s="39">
        <v>27.88</v>
      </c>
      <c r="F118" s="39">
        <f t="shared" ref="F118:F127" si="24">C118*(E118-D118)</f>
        <v>3908</v>
      </c>
      <c r="G118" s="39">
        <f t="shared" ref="G118:G127" si="25">D118*C118</f>
        <v>7244</v>
      </c>
      <c r="H118" s="179">
        <f t="shared" ref="H118:H127" si="26">(E118-D118)/D118</f>
        <v>0.5394809497515185</v>
      </c>
      <c r="I118" s="39"/>
      <c r="J118" s="39"/>
      <c r="K118" s="39">
        <f t="shared" si="23"/>
        <v>5360.2599999999984</v>
      </c>
      <c r="L118" s="39"/>
    </row>
    <row r="119" spans="1:12" x14ac:dyDescent="0.25">
      <c r="A119">
        <v>100</v>
      </c>
      <c r="B119" s="164">
        <v>43292</v>
      </c>
      <c r="C119" s="10">
        <v>500</v>
      </c>
      <c r="D119" s="39">
        <v>20.059999999999999</v>
      </c>
      <c r="E119" s="39">
        <v>27.88</v>
      </c>
      <c r="F119" s="39">
        <f t="shared" si="24"/>
        <v>3910</v>
      </c>
      <c r="G119" s="39">
        <f t="shared" si="25"/>
        <v>10030</v>
      </c>
      <c r="H119" s="179">
        <f t="shared" si="26"/>
        <v>0.38983050847457629</v>
      </c>
      <c r="I119" s="39"/>
      <c r="J119" s="39"/>
      <c r="K119" s="39">
        <f t="shared" si="23"/>
        <v>5362.2599999999984</v>
      </c>
      <c r="L119" s="39"/>
    </row>
    <row r="120" spans="1:12" x14ac:dyDescent="0.25">
      <c r="A120">
        <v>0</v>
      </c>
      <c r="B120" s="164">
        <v>43298</v>
      </c>
      <c r="C120" s="7">
        <v>400</v>
      </c>
      <c r="D120" s="43">
        <v>17.940999999999999</v>
      </c>
      <c r="E120" s="39">
        <v>28.55</v>
      </c>
      <c r="F120" s="39">
        <f t="shared" si="24"/>
        <v>4243.6000000000004</v>
      </c>
      <c r="G120" s="39">
        <f t="shared" si="25"/>
        <v>7176.4</v>
      </c>
      <c r="H120" s="179">
        <f t="shared" si="26"/>
        <v>0.5913271278078146</v>
      </c>
      <c r="I120" s="186" t="s">
        <v>1174</v>
      </c>
      <c r="J120" s="39"/>
      <c r="K120" s="39">
        <f t="shared" si="23"/>
        <v>5695.8599999999988</v>
      </c>
      <c r="L120" s="39"/>
    </row>
    <row r="121" spans="1:12" x14ac:dyDescent="0.25">
      <c r="A121">
        <v>0</v>
      </c>
      <c r="B121" s="164">
        <v>43305</v>
      </c>
      <c r="C121" s="185">
        <v>200</v>
      </c>
      <c r="D121" s="186">
        <v>6.5023</v>
      </c>
      <c r="E121" s="39">
        <v>29.38</v>
      </c>
      <c r="F121" s="39">
        <f t="shared" si="24"/>
        <v>4575.5399999999991</v>
      </c>
      <c r="G121" s="39">
        <f t="shared" si="25"/>
        <v>1300.46</v>
      </c>
      <c r="H121" s="179">
        <f t="shared" si="26"/>
        <v>3.518401181120526</v>
      </c>
      <c r="I121" s="39"/>
      <c r="J121" s="39"/>
      <c r="K121" s="39">
        <f t="shared" si="23"/>
        <v>6027.7999999999975</v>
      </c>
      <c r="L121" s="39"/>
    </row>
    <row r="122" spans="1:12" x14ac:dyDescent="0.25">
      <c r="A122">
        <v>0</v>
      </c>
      <c r="B122" s="164">
        <v>43306</v>
      </c>
      <c r="C122" s="7">
        <v>400</v>
      </c>
      <c r="D122" s="43">
        <v>17.576000000000001</v>
      </c>
      <c r="E122" s="39">
        <v>28.65</v>
      </c>
      <c r="F122" s="39">
        <f t="shared" si="24"/>
        <v>4429.5999999999995</v>
      </c>
      <c r="G122" s="39">
        <f t="shared" si="25"/>
        <v>7030.4000000000005</v>
      </c>
      <c r="H122" s="179">
        <f t="shared" si="26"/>
        <v>0.63006372325898941</v>
      </c>
      <c r="I122" s="39">
        <v>17.5</v>
      </c>
      <c r="J122" s="39"/>
      <c r="K122" s="39">
        <f t="shared" si="23"/>
        <v>5881.8599999999979</v>
      </c>
      <c r="L122" s="39"/>
    </row>
    <row r="123" spans="1:12" x14ac:dyDescent="0.25">
      <c r="B123" s="164">
        <v>43312</v>
      </c>
      <c r="C123" s="10">
        <v>400</v>
      </c>
      <c r="D123" s="39">
        <v>17.579999999999998</v>
      </c>
      <c r="E123" s="39">
        <v>30.11</v>
      </c>
      <c r="F123" s="39">
        <f t="shared" si="24"/>
        <v>5012</v>
      </c>
      <c r="G123" s="39">
        <f t="shared" si="25"/>
        <v>7031.9999999999991</v>
      </c>
      <c r="H123" s="179">
        <f t="shared" si="26"/>
        <v>0.71274175199089884</v>
      </c>
      <c r="I123" s="39"/>
      <c r="J123" s="39"/>
      <c r="K123" s="39">
        <f t="shared" si="23"/>
        <v>6464.2599999999984</v>
      </c>
      <c r="L123" s="39"/>
    </row>
    <row r="124" spans="1:12" x14ac:dyDescent="0.25">
      <c r="B124" s="164">
        <v>43313</v>
      </c>
      <c r="C124" s="10">
        <v>400</v>
      </c>
      <c r="D124" s="39">
        <v>17.579999999999998</v>
      </c>
      <c r="E124" s="39">
        <v>31.54</v>
      </c>
      <c r="F124" s="39">
        <f t="shared" si="24"/>
        <v>5584</v>
      </c>
      <c r="G124" s="39">
        <f t="shared" si="25"/>
        <v>7031.9999999999991</v>
      </c>
      <c r="H124" s="179">
        <f t="shared" si="26"/>
        <v>0.79408418657565427</v>
      </c>
      <c r="I124" s="39"/>
      <c r="J124" s="39"/>
      <c r="K124" s="39">
        <f t="shared" si="23"/>
        <v>7036.2599999999984</v>
      </c>
      <c r="L124" s="39"/>
    </row>
    <row r="125" spans="1:12" x14ac:dyDescent="0.25">
      <c r="B125" s="164">
        <v>43325</v>
      </c>
      <c r="C125" s="10">
        <v>400</v>
      </c>
      <c r="D125" s="39">
        <v>17.579999999999998</v>
      </c>
      <c r="E125" s="39">
        <v>30.34</v>
      </c>
      <c r="F125" s="39">
        <f t="shared" si="24"/>
        <v>5104.0000000000009</v>
      </c>
      <c r="G125" s="39">
        <f t="shared" si="25"/>
        <v>7031.9999999999991</v>
      </c>
      <c r="H125" s="179">
        <f t="shared" si="26"/>
        <v>0.72582480091012536</v>
      </c>
      <c r="I125" s="39"/>
      <c r="J125" s="39"/>
      <c r="K125" s="39">
        <f t="shared" si="23"/>
        <v>6556.2599999999993</v>
      </c>
      <c r="L125" s="39"/>
    </row>
    <row r="126" spans="1:12" x14ac:dyDescent="0.25">
      <c r="A126">
        <v>200</v>
      </c>
      <c r="B126" s="164">
        <v>43327</v>
      </c>
      <c r="C126" s="10">
        <v>600</v>
      </c>
      <c r="D126" s="39">
        <v>21.643999999999998</v>
      </c>
      <c r="E126" s="39">
        <v>29.65</v>
      </c>
      <c r="F126" s="39">
        <f t="shared" si="24"/>
        <v>4803.6000000000004</v>
      </c>
      <c r="G126" s="39">
        <f t="shared" si="25"/>
        <v>12986.4</v>
      </c>
      <c r="H126" s="179">
        <f t="shared" si="26"/>
        <v>0.36989465902790614</v>
      </c>
      <c r="I126" s="39" t="s">
        <v>1249</v>
      </c>
      <c r="J126" s="39"/>
      <c r="K126" s="39">
        <f t="shared" si="23"/>
        <v>6255.8599999999988</v>
      </c>
      <c r="L126" s="39"/>
    </row>
    <row r="127" spans="1:12" x14ac:dyDescent="0.25">
      <c r="A127">
        <v>200</v>
      </c>
      <c r="B127" s="164">
        <v>43332</v>
      </c>
      <c r="C127" s="10">
        <v>600</v>
      </c>
      <c r="D127" s="39">
        <v>21.64</v>
      </c>
      <c r="E127" s="39">
        <v>29.76</v>
      </c>
      <c r="F127" s="39">
        <f t="shared" si="24"/>
        <v>4872.0000000000009</v>
      </c>
      <c r="G127" s="39">
        <f t="shared" si="25"/>
        <v>12984</v>
      </c>
      <c r="H127" s="179">
        <f t="shared" si="26"/>
        <v>0.37523105360443626</v>
      </c>
      <c r="I127" s="39">
        <v>21</v>
      </c>
      <c r="J127" s="39"/>
      <c r="K127" s="39">
        <f t="shared" si="23"/>
        <v>6324.2599999999993</v>
      </c>
      <c r="L127" s="39">
        <v>21.25</v>
      </c>
    </row>
    <row r="128" spans="1:12" x14ac:dyDescent="0.25">
      <c r="A128">
        <v>200</v>
      </c>
      <c r="B128" s="164">
        <v>43333</v>
      </c>
      <c r="C128" s="10">
        <v>600</v>
      </c>
      <c r="D128" s="39">
        <v>21.64</v>
      </c>
      <c r="E128" s="39">
        <v>29.52</v>
      </c>
      <c r="F128" s="39">
        <f t="shared" ref="F128:F140" si="27">C128*(E128-D128)</f>
        <v>4727.9999999999991</v>
      </c>
      <c r="G128" s="39">
        <f t="shared" ref="G128:G140" si="28">D128*C128</f>
        <v>12984</v>
      </c>
      <c r="H128" s="179">
        <f t="shared" ref="H128:H140" si="29">(E128-D128)/D128</f>
        <v>0.36414048059149717</v>
      </c>
      <c r="I128" s="39"/>
      <c r="J128" s="39"/>
      <c r="K128" s="39">
        <f t="shared" si="23"/>
        <v>6180.2599999999975</v>
      </c>
      <c r="L128" s="39"/>
    </row>
    <row r="129" spans="1:12" x14ac:dyDescent="0.25">
      <c r="A129">
        <v>200</v>
      </c>
      <c r="B129" s="164">
        <v>43339</v>
      </c>
      <c r="C129" s="7">
        <v>400</v>
      </c>
      <c r="D129" s="43">
        <v>16.925999999999998</v>
      </c>
      <c r="E129" s="39">
        <v>31.08</v>
      </c>
      <c r="F129" s="39">
        <f t="shared" si="27"/>
        <v>5661.6</v>
      </c>
      <c r="G129" s="39">
        <f t="shared" si="28"/>
        <v>6770.4</v>
      </c>
      <c r="H129" s="179">
        <f t="shared" si="29"/>
        <v>0.83622828784119119</v>
      </c>
      <c r="I129" s="438" t="s">
        <v>1254</v>
      </c>
      <c r="J129" s="39"/>
      <c r="K129" s="39">
        <f t="shared" ref="K129:K136" si="30">F129+$Q$10</f>
        <v>7113.8599999999988</v>
      </c>
      <c r="L129" s="39"/>
    </row>
    <row r="130" spans="1:12" x14ac:dyDescent="0.25">
      <c r="A130">
        <v>200</v>
      </c>
      <c r="B130" s="164">
        <v>43341</v>
      </c>
      <c r="C130" s="10">
        <v>400</v>
      </c>
      <c r="D130" s="39">
        <v>16.93</v>
      </c>
      <c r="E130" s="39">
        <v>31.59</v>
      </c>
      <c r="F130" s="39">
        <f t="shared" si="27"/>
        <v>5864</v>
      </c>
      <c r="G130" s="39">
        <f t="shared" si="28"/>
        <v>6772</v>
      </c>
      <c r="H130" s="179">
        <f t="shared" si="29"/>
        <v>0.8659184878913172</v>
      </c>
      <c r="I130" s="39"/>
      <c r="J130" s="39"/>
      <c r="K130" s="778">
        <f t="shared" si="30"/>
        <v>7316.2599999999984</v>
      </c>
      <c r="L130" s="39">
        <v>22.34</v>
      </c>
    </row>
    <row r="131" spans="1:12" x14ac:dyDescent="0.25">
      <c r="A131">
        <v>200</v>
      </c>
      <c r="B131" s="164">
        <v>43347</v>
      </c>
      <c r="C131" s="10">
        <v>400</v>
      </c>
      <c r="D131" s="39">
        <v>16.93</v>
      </c>
      <c r="E131" s="39">
        <v>30.83</v>
      </c>
      <c r="F131" s="39">
        <f t="shared" si="27"/>
        <v>5559.9999999999991</v>
      </c>
      <c r="G131" s="39">
        <f t="shared" si="28"/>
        <v>6772</v>
      </c>
      <c r="H131" s="179">
        <f t="shared" si="29"/>
        <v>0.82102776137034839</v>
      </c>
      <c r="I131" s="39"/>
      <c r="J131" s="39"/>
      <c r="K131" s="39">
        <f t="shared" si="30"/>
        <v>7012.2599999999975</v>
      </c>
      <c r="L131" s="39">
        <v>22.02</v>
      </c>
    </row>
    <row r="132" spans="1:12" x14ac:dyDescent="0.25">
      <c r="A132">
        <v>200</v>
      </c>
      <c r="B132" s="164">
        <v>43349</v>
      </c>
      <c r="C132" s="10">
        <v>700</v>
      </c>
      <c r="D132" s="39">
        <v>22.563600000000001</v>
      </c>
      <c r="E132" s="39">
        <v>30.51</v>
      </c>
      <c r="F132" s="39">
        <f t="shared" si="27"/>
        <v>5562.4800000000005</v>
      </c>
      <c r="G132" s="39">
        <f t="shared" si="28"/>
        <v>15794.52</v>
      </c>
      <c r="H132" s="179">
        <f t="shared" si="29"/>
        <v>0.35217784396107005</v>
      </c>
      <c r="I132" s="39" t="s">
        <v>1249</v>
      </c>
      <c r="J132" s="39"/>
      <c r="K132" s="39">
        <f t="shared" si="30"/>
        <v>7014.7399999999989</v>
      </c>
      <c r="L132" s="39">
        <v>21.79</v>
      </c>
    </row>
    <row r="133" spans="1:12" x14ac:dyDescent="0.25">
      <c r="A133">
        <v>200</v>
      </c>
      <c r="B133" s="164">
        <v>43350</v>
      </c>
      <c r="C133" s="10">
        <v>700</v>
      </c>
      <c r="D133" s="39">
        <v>22.563600000000001</v>
      </c>
      <c r="E133" s="39">
        <v>30.28</v>
      </c>
      <c r="F133" s="39">
        <f t="shared" si="27"/>
        <v>5401.4800000000005</v>
      </c>
      <c r="G133" s="39">
        <f t="shared" si="28"/>
        <v>15794.52</v>
      </c>
      <c r="H133" s="179">
        <f t="shared" si="29"/>
        <v>0.34198443510787285</v>
      </c>
      <c r="I133" s="39"/>
      <c r="J133" s="39"/>
      <c r="K133" s="39">
        <f t="shared" si="30"/>
        <v>6853.7399999999989</v>
      </c>
      <c r="L133" s="39"/>
    </row>
    <row r="134" spans="1:12" x14ac:dyDescent="0.25">
      <c r="A134">
        <v>200</v>
      </c>
      <c r="B134" s="164">
        <v>43354</v>
      </c>
      <c r="C134" s="10">
        <v>700</v>
      </c>
      <c r="D134" s="39">
        <v>22.563600000000001</v>
      </c>
      <c r="E134" s="39">
        <v>30.93</v>
      </c>
      <c r="F134" s="39">
        <f t="shared" si="27"/>
        <v>5856.48</v>
      </c>
      <c r="G134" s="39">
        <f t="shared" si="28"/>
        <v>15794.52</v>
      </c>
      <c r="H134" s="179">
        <f t="shared" si="29"/>
        <v>0.37079189491038655</v>
      </c>
      <c r="I134" s="39"/>
      <c r="J134" s="39"/>
      <c r="K134" s="39">
        <f t="shared" si="30"/>
        <v>7308.739999999998</v>
      </c>
      <c r="L134" s="39"/>
    </row>
    <row r="135" spans="1:12" x14ac:dyDescent="0.25">
      <c r="B135" s="164">
        <v>43355</v>
      </c>
      <c r="C135" s="10">
        <v>700</v>
      </c>
      <c r="D135" s="39">
        <v>22.563600000000001</v>
      </c>
      <c r="E135" s="39">
        <v>31.12</v>
      </c>
      <c r="F135" s="39">
        <f t="shared" si="27"/>
        <v>5989.48</v>
      </c>
      <c r="G135" s="39">
        <f t="shared" si="28"/>
        <v>15794.52</v>
      </c>
      <c r="H135" s="179">
        <f t="shared" si="29"/>
        <v>0.37921253700650603</v>
      </c>
      <c r="I135" s="39"/>
      <c r="J135" s="39"/>
      <c r="K135" s="778">
        <f t="shared" si="30"/>
        <v>7441.739999999998</v>
      </c>
      <c r="L135" s="39"/>
    </row>
    <row r="136" spans="1:12" x14ac:dyDescent="0.25">
      <c r="B136" s="164">
        <v>43360</v>
      </c>
      <c r="C136" s="10">
        <v>500</v>
      </c>
      <c r="D136" s="39">
        <v>18.845300000000002</v>
      </c>
      <c r="E136" s="39">
        <v>31.99</v>
      </c>
      <c r="F136" s="39">
        <f t="shared" si="27"/>
        <v>6572.3499999999985</v>
      </c>
      <c r="G136" s="39">
        <f t="shared" si="28"/>
        <v>9422.6500000000015</v>
      </c>
      <c r="H136" s="179">
        <f t="shared" si="29"/>
        <v>0.69750547881965241</v>
      </c>
      <c r="I136" s="39"/>
      <c r="J136" s="39"/>
      <c r="K136" s="39">
        <f t="shared" si="30"/>
        <v>8024.6099999999969</v>
      </c>
      <c r="L136" s="39"/>
    </row>
    <row r="137" spans="1:12" x14ac:dyDescent="0.25">
      <c r="A137">
        <v>0</v>
      </c>
      <c r="B137" s="164">
        <v>43360</v>
      </c>
      <c r="C137" s="10">
        <v>300</v>
      </c>
      <c r="D137" s="39">
        <v>9.8224</v>
      </c>
      <c r="E137" s="39">
        <v>31.99</v>
      </c>
      <c r="F137" s="39">
        <f t="shared" si="27"/>
        <v>6650.28</v>
      </c>
      <c r="G137" s="39">
        <f t="shared" si="28"/>
        <v>2946.72</v>
      </c>
      <c r="H137" s="179">
        <f t="shared" si="29"/>
        <v>2.256841505131129</v>
      </c>
      <c r="I137" s="39"/>
      <c r="J137" s="39"/>
      <c r="K137" s="778">
        <f t="shared" ref="K137:K145" si="31">F137+$Q$10</f>
        <v>8102.5399999999981</v>
      </c>
      <c r="L137" s="39">
        <v>22.85</v>
      </c>
    </row>
    <row r="138" spans="1:12" x14ac:dyDescent="0.25">
      <c r="A138" s="1">
        <v>43381</v>
      </c>
      <c r="B138" s="164">
        <v>43363</v>
      </c>
      <c r="C138" s="10">
        <v>300</v>
      </c>
      <c r="D138" s="39">
        <v>9.7889999999999997</v>
      </c>
      <c r="E138" s="39">
        <v>32.31</v>
      </c>
      <c r="F138" s="39">
        <f t="shared" si="27"/>
        <v>6756.3</v>
      </c>
      <c r="G138" s="39">
        <f t="shared" si="28"/>
        <v>2936.7</v>
      </c>
      <c r="H138" s="179">
        <f t="shared" si="29"/>
        <v>2.300643579528042</v>
      </c>
      <c r="I138" s="39"/>
      <c r="J138" s="39"/>
      <c r="K138" s="778">
        <f t="shared" si="31"/>
        <v>8208.5599999999977</v>
      </c>
      <c r="L138" s="39">
        <v>23.08</v>
      </c>
    </row>
    <row r="139" spans="1:12" x14ac:dyDescent="0.25">
      <c r="A139">
        <v>100</v>
      </c>
      <c r="B139" s="164">
        <v>43381</v>
      </c>
      <c r="C139" s="10">
        <v>100</v>
      </c>
      <c r="D139" s="39">
        <v>-38.192</v>
      </c>
      <c r="E139" s="39">
        <v>33.72</v>
      </c>
      <c r="F139" s="39">
        <f t="shared" si="27"/>
        <v>7191.2000000000007</v>
      </c>
      <c r="G139" s="39">
        <f t="shared" si="28"/>
        <v>-3819.2</v>
      </c>
      <c r="H139" s="179">
        <f t="shared" si="29"/>
        <v>-1.8829074151654799</v>
      </c>
      <c r="I139" s="39"/>
      <c r="J139" s="39"/>
      <c r="K139" s="778">
        <f t="shared" si="31"/>
        <v>8643.4599999999991</v>
      </c>
      <c r="L139" s="39">
        <v>24.09</v>
      </c>
    </row>
    <row r="140" spans="1:12" x14ac:dyDescent="0.25">
      <c r="A140">
        <v>100</v>
      </c>
      <c r="B140" s="164">
        <v>43383</v>
      </c>
      <c r="C140" s="10">
        <v>500</v>
      </c>
      <c r="D140" s="39">
        <v>18.361599999999999</v>
      </c>
      <c r="E140" s="39">
        <v>32.31</v>
      </c>
      <c r="F140" s="39">
        <f t="shared" si="27"/>
        <v>6974.2000000000016</v>
      </c>
      <c r="G140" s="39">
        <f t="shared" si="28"/>
        <v>9180.7999999999993</v>
      </c>
      <c r="H140" s="179">
        <f t="shared" si="29"/>
        <v>0.75965057511328005</v>
      </c>
      <c r="I140" s="39"/>
      <c r="J140" s="39"/>
      <c r="K140" s="39">
        <f t="shared" si="31"/>
        <v>8426.4599999999991</v>
      </c>
      <c r="L140" s="39">
        <v>23.08</v>
      </c>
    </row>
    <row r="141" spans="1:12" x14ac:dyDescent="0.25">
      <c r="A141">
        <v>100</v>
      </c>
      <c r="B141" s="164">
        <v>43385</v>
      </c>
      <c r="C141" s="10">
        <v>500</v>
      </c>
      <c r="D141" s="39">
        <v>18.361599999999999</v>
      </c>
      <c r="E141" s="39">
        <v>32.89</v>
      </c>
      <c r="F141" s="39">
        <f t="shared" ref="F141:F153" si="32">C141*(E141-D141)</f>
        <v>7264.2000000000007</v>
      </c>
      <c r="G141" s="39">
        <f t="shared" ref="G141:G153" si="33">D141*C141</f>
        <v>9180.7999999999993</v>
      </c>
      <c r="H141" s="179">
        <f t="shared" ref="H141:H153" si="34">(E141-D141)/D141</f>
        <v>0.79123823631927515</v>
      </c>
      <c r="I141" s="39"/>
      <c r="J141" s="39"/>
      <c r="K141" s="778">
        <f t="shared" si="31"/>
        <v>8716.4599999999991</v>
      </c>
      <c r="L141" s="39">
        <v>23.49</v>
      </c>
    </row>
    <row r="142" spans="1:12" x14ac:dyDescent="0.25">
      <c r="A142">
        <v>100</v>
      </c>
      <c r="B142" s="164">
        <v>43396</v>
      </c>
      <c r="C142" s="10">
        <v>600</v>
      </c>
      <c r="D142" s="39">
        <v>20.454699999999999</v>
      </c>
      <c r="E142" s="39">
        <v>31.41</v>
      </c>
      <c r="F142" s="39">
        <f t="shared" si="32"/>
        <v>6573.18</v>
      </c>
      <c r="G142" s="39">
        <f t="shared" si="33"/>
        <v>12272.82</v>
      </c>
      <c r="H142" s="179">
        <f t="shared" si="34"/>
        <v>0.53558839777655021</v>
      </c>
      <c r="I142" s="39"/>
      <c r="J142" s="39"/>
      <c r="K142" s="39">
        <f t="shared" si="31"/>
        <v>8025.4399999999987</v>
      </c>
      <c r="L142" s="39">
        <v>22.44</v>
      </c>
    </row>
    <row r="143" spans="1:12" x14ac:dyDescent="0.25">
      <c r="A143">
        <v>100</v>
      </c>
      <c r="B143" s="164">
        <v>43402</v>
      </c>
      <c r="C143" s="10">
        <v>600</v>
      </c>
      <c r="D143" s="39">
        <v>20.45</v>
      </c>
      <c r="E143" s="39">
        <v>29.63</v>
      </c>
      <c r="F143" s="39">
        <f t="shared" si="32"/>
        <v>5508</v>
      </c>
      <c r="G143" s="39">
        <f t="shared" si="33"/>
        <v>12270</v>
      </c>
      <c r="H143" s="179">
        <f t="shared" si="34"/>
        <v>0.44889975550122252</v>
      </c>
      <c r="I143" s="39"/>
      <c r="J143" s="39"/>
      <c r="K143" s="39">
        <f t="shared" si="31"/>
        <v>6960.2599999999984</v>
      </c>
      <c r="L143" s="39">
        <v>21.16</v>
      </c>
    </row>
    <row r="144" spans="1:12" x14ac:dyDescent="0.25">
      <c r="A144">
        <v>0</v>
      </c>
      <c r="B144" s="164">
        <v>43409</v>
      </c>
      <c r="C144" s="10">
        <v>500</v>
      </c>
      <c r="D144" s="39">
        <v>17.785699999999999</v>
      </c>
      <c r="E144" s="39">
        <v>32.22</v>
      </c>
      <c r="F144" s="39">
        <f t="shared" si="32"/>
        <v>7217.1500000000005</v>
      </c>
      <c r="G144" s="39">
        <f t="shared" si="33"/>
        <v>8892.8499999999985</v>
      </c>
      <c r="H144" s="179">
        <f t="shared" si="34"/>
        <v>0.81156772013471501</v>
      </c>
      <c r="I144" s="39"/>
      <c r="J144" s="39"/>
      <c r="K144" s="39">
        <f t="shared" si="31"/>
        <v>8669.41</v>
      </c>
      <c r="L144" s="39">
        <v>16.96</v>
      </c>
    </row>
    <row r="145" spans="1:12" x14ac:dyDescent="0.25">
      <c r="A145">
        <v>0</v>
      </c>
      <c r="B145" s="164">
        <v>43410</v>
      </c>
      <c r="C145" s="10">
        <v>500</v>
      </c>
      <c r="D145" s="39">
        <v>17.79</v>
      </c>
      <c r="E145" s="39">
        <v>35.619999999999997</v>
      </c>
      <c r="F145" s="39">
        <f t="shared" si="32"/>
        <v>8915</v>
      </c>
      <c r="G145" s="39">
        <f t="shared" si="33"/>
        <v>8895</v>
      </c>
      <c r="H145" s="179">
        <f t="shared" si="34"/>
        <v>1.0022484541877459</v>
      </c>
      <c r="I145" s="39"/>
      <c r="J145" s="39"/>
      <c r="K145" s="778">
        <f t="shared" si="31"/>
        <v>10367.259999999998</v>
      </c>
      <c r="L145" s="39">
        <v>18.760000000000002</v>
      </c>
    </row>
    <row r="146" spans="1:12" x14ac:dyDescent="0.25">
      <c r="A146">
        <v>400</v>
      </c>
      <c r="B146" s="164">
        <v>43417</v>
      </c>
      <c r="C146" s="10">
        <v>500</v>
      </c>
      <c r="D146" s="39">
        <v>17.79</v>
      </c>
      <c r="E146" s="39">
        <v>36.130000000000003</v>
      </c>
      <c r="F146" s="39">
        <f t="shared" si="32"/>
        <v>9170.0000000000018</v>
      </c>
      <c r="G146" s="39">
        <f t="shared" si="33"/>
        <v>8895</v>
      </c>
      <c r="H146" s="179">
        <f t="shared" si="34"/>
        <v>1.0309162450815068</v>
      </c>
      <c r="I146" s="39"/>
      <c r="J146" s="39"/>
      <c r="K146" s="778">
        <f t="shared" ref="K146:K153" si="35">F146+$Q$10</f>
        <v>10622.26</v>
      </c>
      <c r="L146" s="39">
        <v>19.02</v>
      </c>
    </row>
    <row r="147" spans="1:12" x14ac:dyDescent="0.25">
      <c r="A147">
        <v>200</v>
      </c>
      <c r="B147" s="164">
        <v>43420</v>
      </c>
      <c r="C147" s="10">
        <v>300</v>
      </c>
      <c r="D147" s="39">
        <v>5.1965000000000003</v>
      </c>
      <c r="E147" s="39">
        <v>36.67</v>
      </c>
      <c r="F147" s="39">
        <f t="shared" si="32"/>
        <v>9442.0500000000011</v>
      </c>
      <c r="G147" s="39">
        <f t="shared" si="33"/>
        <v>1558.95</v>
      </c>
      <c r="H147" s="179">
        <f t="shared" si="34"/>
        <v>6.0566727605118826</v>
      </c>
      <c r="I147" s="39"/>
      <c r="J147" s="39"/>
      <c r="K147" s="778">
        <f t="shared" si="35"/>
        <v>10894.31</v>
      </c>
      <c r="L147" s="39">
        <v>19.3</v>
      </c>
    </row>
    <row r="148" spans="1:12" x14ac:dyDescent="0.25">
      <c r="A148">
        <v>300</v>
      </c>
      <c r="B148" s="164">
        <v>43438</v>
      </c>
      <c r="C148" s="7">
        <v>400</v>
      </c>
      <c r="D148" s="43">
        <v>12.71</v>
      </c>
      <c r="E148" s="39">
        <v>35.28</v>
      </c>
      <c r="F148" s="39">
        <f t="shared" si="32"/>
        <v>9028</v>
      </c>
      <c r="G148" s="39">
        <f t="shared" si="33"/>
        <v>5084</v>
      </c>
      <c r="H148" s="179">
        <f t="shared" si="34"/>
        <v>1.7757671125098347</v>
      </c>
      <c r="I148" s="39"/>
      <c r="J148" s="39"/>
      <c r="K148" s="39">
        <f t="shared" si="35"/>
        <v>10480.259999999998</v>
      </c>
      <c r="L148" s="39">
        <v>18.57</v>
      </c>
    </row>
    <row r="149" spans="1:12" x14ac:dyDescent="0.25">
      <c r="A149">
        <v>300</v>
      </c>
      <c r="B149" s="164">
        <v>43440</v>
      </c>
      <c r="C149" s="10">
        <v>500</v>
      </c>
      <c r="D149" s="39">
        <v>16.867899999999999</v>
      </c>
      <c r="E149" s="39">
        <v>34.549999999999997</v>
      </c>
      <c r="F149" s="39">
        <f t="shared" si="32"/>
        <v>8841.0499999999993</v>
      </c>
      <c r="G149" s="39">
        <f t="shared" si="33"/>
        <v>8433.9499999999989</v>
      </c>
      <c r="H149" s="179">
        <f t="shared" si="34"/>
        <v>1.048269197706887</v>
      </c>
      <c r="I149" s="39"/>
      <c r="J149" s="39"/>
      <c r="K149" s="39">
        <f t="shared" si="35"/>
        <v>10293.309999999998</v>
      </c>
      <c r="L149" s="39">
        <v>18.18</v>
      </c>
    </row>
    <row r="150" spans="1:12" x14ac:dyDescent="0.25">
      <c r="A150">
        <v>300</v>
      </c>
      <c r="B150" s="164">
        <v>43442</v>
      </c>
      <c r="C150" s="10">
        <v>500</v>
      </c>
      <c r="D150" s="39">
        <v>16.87</v>
      </c>
      <c r="E150" s="39">
        <v>33.520000000000003</v>
      </c>
      <c r="F150" s="39">
        <f t="shared" si="32"/>
        <v>8325.0000000000018</v>
      </c>
      <c r="G150" s="39">
        <f t="shared" si="33"/>
        <v>8435</v>
      </c>
      <c r="H150" s="179">
        <f t="shared" si="34"/>
        <v>0.98695909899229406</v>
      </c>
      <c r="I150" s="39"/>
      <c r="J150" s="39"/>
      <c r="K150" s="39">
        <f t="shared" si="35"/>
        <v>9777.26</v>
      </c>
      <c r="L150" s="39">
        <v>17.64</v>
      </c>
    </row>
    <row r="151" spans="1:12" x14ac:dyDescent="0.25">
      <c r="A151">
        <v>300</v>
      </c>
      <c r="B151" s="164">
        <v>43447</v>
      </c>
      <c r="C151" s="10">
        <v>600</v>
      </c>
      <c r="D151" s="39">
        <v>19.206600000000002</v>
      </c>
      <c r="E151" s="39">
        <v>30.71</v>
      </c>
      <c r="F151" s="39">
        <f t="shared" si="32"/>
        <v>6902.0399999999991</v>
      </c>
      <c r="G151" s="39">
        <f t="shared" si="33"/>
        <v>11523.960000000001</v>
      </c>
      <c r="H151" s="179">
        <f t="shared" si="34"/>
        <v>0.59892953463913434</v>
      </c>
      <c r="I151" s="39"/>
      <c r="J151" s="39"/>
      <c r="K151" s="39">
        <f t="shared" si="35"/>
        <v>8354.2999999999975</v>
      </c>
      <c r="L151" s="39">
        <v>17.37</v>
      </c>
    </row>
    <row r="152" spans="1:12" x14ac:dyDescent="0.25">
      <c r="A152">
        <v>400</v>
      </c>
      <c r="B152" s="164">
        <v>43473</v>
      </c>
      <c r="C152" s="10">
        <v>500</v>
      </c>
      <c r="D152" s="39">
        <v>16.774000000000001</v>
      </c>
      <c r="E152" s="39">
        <v>31.36</v>
      </c>
      <c r="F152" s="39">
        <f t="shared" si="32"/>
        <v>7292.9999999999991</v>
      </c>
      <c r="G152" s="39">
        <f t="shared" si="33"/>
        <v>8387</v>
      </c>
      <c r="H152" s="179">
        <f t="shared" si="34"/>
        <v>0.86956003338500043</v>
      </c>
      <c r="I152" s="39"/>
      <c r="J152" s="39"/>
      <c r="K152" s="39">
        <f t="shared" si="35"/>
        <v>8745.2599999999984</v>
      </c>
      <c r="L152" s="39">
        <v>16.510000000000002</v>
      </c>
    </row>
    <row r="153" spans="1:12" x14ac:dyDescent="0.25">
      <c r="A153">
        <v>500</v>
      </c>
      <c r="B153" s="164">
        <v>43491</v>
      </c>
      <c r="C153" s="10">
        <v>500</v>
      </c>
      <c r="D153" s="39">
        <v>16.77</v>
      </c>
      <c r="E153" s="39">
        <v>31.89</v>
      </c>
      <c r="F153" s="39">
        <f t="shared" si="32"/>
        <v>7560.0000000000009</v>
      </c>
      <c r="G153" s="39">
        <f t="shared" si="33"/>
        <v>8385</v>
      </c>
      <c r="H153" s="179">
        <f t="shared" si="34"/>
        <v>0.90161001788908779</v>
      </c>
      <c r="I153" s="39"/>
      <c r="J153" s="39"/>
      <c r="K153" s="39">
        <f t="shared" si="35"/>
        <v>9012.2599999999984</v>
      </c>
      <c r="L153" s="39">
        <v>16.78</v>
      </c>
    </row>
    <row r="154" spans="1:12" x14ac:dyDescent="0.25">
      <c r="A154">
        <v>200</v>
      </c>
      <c r="B154" s="164">
        <v>43516</v>
      </c>
      <c r="C154" s="185">
        <v>200</v>
      </c>
      <c r="D154" s="186">
        <v>-8.5844000000000005</v>
      </c>
      <c r="E154" s="39">
        <v>33.68</v>
      </c>
      <c r="F154" s="39">
        <f t="shared" ref="F154:F161" si="36">C154*(E154-D154)</f>
        <v>8452.880000000001</v>
      </c>
      <c r="G154" s="39">
        <f t="shared" ref="G154:G161" si="37">D154*C154</f>
        <v>-1716.88</v>
      </c>
      <c r="H154" s="179">
        <f t="shared" ref="H154:H161" si="38">(E154-D154)/D154</f>
        <v>-4.9233959274963883</v>
      </c>
      <c r="I154" s="39"/>
      <c r="J154" s="39"/>
      <c r="K154" s="39">
        <f t="shared" ref="K154:K162" si="39">F154+$Q$10</f>
        <v>9905.14</v>
      </c>
      <c r="L154" s="39">
        <v>17.670000000000002</v>
      </c>
    </row>
    <row r="155" spans="1:12" x14ac:dyDescent="0.25">
      <c r="A155">
        <v>200</v>
      </c>
      <c r="B155" s="164">
        <v>43520</v>
      </c>
      <c r="C155" s="10">
        <v>300</v>
      </c>
      <c r="D155" s="39">
        <v>5.0037000000000003</v>
      </c>
      <c r="E155" s="39">
        <v>32.299999999999997</v>
      </c>
      <c r="F155" s="39">
        <f t="shared" si="36"/>
        <v>8188.8899999999985</v>
      </c>
      <c r="G155" s="39">
        <f t="shared" si="37"/>
        <v>1501.1100000000001</v>
      </c>
      <c r="H155" s="179">
        <f t="shared" si="38"/>
        <v>5.4552231348801872</v>
      </c>
      <c r="I155" s="39"/>
      <c r="J155" s="39"/>
      <c r="K155" s="39">
        <f t="shared" si="39"/>
        <v>9641.1499999999978</v>
      </c>
      <c r="L155" s="39">
        <v>17</v>
      </c>
    </row>
    <row r="156" spans="1:12" x14ac:dyDescent="0.25">
      <c r="B156" s="164">
        <v>43521</v>
      </c>
      <c r="C156" s="185">
        <v>200</v>
      </c>
      <c r="D156" s="186">
        <v>-9.0841999999999992</v>
      </c>
      <c r="E156" s="39">
        <v>32.770000000000003</v>
      </c>
      <c r="F156" s="39">
        <f t="shared" si="36"/>
        <v>8370.840000000002</v>
      </c>
      <c r="G156" s="39">
        <f t="shared" si="37"/>
        <v>-1816.84</v>
      </c>
      <c r="H156" s="179">
        <f t="shared" si="38"/>
        <v>-4.6073622333281969</v>
      </c>
      <c r="I156" s="39"/>
      <c r="J156" s="39"/>
      <c r="K156" s="39">
        <f t="shared" si="39"/>
        <v>9823.1</v>
      </c>
      <c r="L156" s="39">
        <v>17.25</v>
      </c>
    </row>
    <row r="157" spans="1:12" x14ac:dyDescent="0.25">
      <c r="A157">
        <v>100</v>
      </c>
      <c r="B157" s="164">
        <v>43525</v>
      </c>
      <c r="C157" s="10">
        <v>300</v>
      </c>
      <c r="D157" s="39">
        <v>4.3438999999999997</v>
      </c>
      <c r="E157" s="39">
        <v>31.27</v>
      </c>
      <c r="F157" s="39">
        <f t="shared" si="36"/>
        <v>8077.829999999999</v>
      </c>
      <c r="G157" s="39">
        <f t="shared" si="37"/>
        <v>1303.1699999999998</v>
      </c>
      <c r="H157" s="179">
        <f t="shared" si="38"/>
        <v>6.1986003361035014</v>
      </c>
      <c r="I157" s="39"/>
      <c r="J157" s="39"/>
      <c r="K157" s="39">
        <f t="shared" si="39"/>
        <v>9530.0899999999965</v>
      </c>
      <c r="L157" s="39">
        <v>16.46</v>
      </c>
    </row>
    <row r="158" spans="1:12" x14ac:dyDescent="0.25">
      <c r="A158">
        <v>100</v>
      </c>
      <c r="B158" s="164">
        <v>43531</v>
      </c>
      <c r="C158" s="7">
        <v>400</v>
      </c>
      <c r="D158" s="43">
        <v>10.277900000000001</v>
      </c>
      <c r="E158" s="39">
        <v>27.92</v>
      </c>
      <c r="F158" s="39">
        <f t="shared" si="36"/>
        <v>7056.84</v>
      </c>
      <c r="G158" s="39">
        <f t="shared" si="37"/>
        <v>4111.16</v>
      </c>
      <c r="H158" s="179">
        <f t="shared" si="38"/>
        <v>1.7165082361182731</v>
      </c>
      <c r="I158" s="39"/>
      <c r="J158" s="39"/>
      <c r="K158" s="39">
        <f t="shared" si="39"/>
        <v>8509.0999999999985</v>
      </c>
      <c r="L158" s="39">
        <v>14.69</v>
      </c>
    </row>
    <row r="159" spans="1:12" x14ac:dyDescent="0.25">
      <c r="A159">
        <v>100</v>
      </c>
      <c r="B159" s="164">
        <v>43535</v>
      </c>
      <c r="C159" s="10">
        <v>400</v>
      </c>
      <c r="D159" s="39">
        <v>10.28</v>
      </c>
      <c r="E159" s="39">
        <v>28.71</v>
      </c>
      <c r="F159" s="39">
        <f t="shared" si="36"/>
        <v>7372</v>
      </c>
      <c r="G159" s="39">
        <f t="shared" si="37"/>
        <v>4112</v>
      </c>
      <c r="H159" s="179">
        <f t="shared" si="38"/>
        <v>1.7928015564202335</v>
      </c>
      <c r="I159" s="39"/>
      <c r="J159" s="39"/>
      <c r="K159" s="39">
        <f t="shared" si="39"/>
        <v>8824.2599999999984</v>
      </c>
      <c r="L159" s="39">
        <v>15.11</v>
      </c>
    </row>
    <row r="160" spans="1:12" x14ac:dyDescent="0.25">
      <c r="A160">
        <v>100</v>
      </c>
      <c r="B160" s="164">
        <v>43545</v>
      </c>
      <c r="C160" s="7">
        <v>400</v>
      </c>
      <c r="D160" s="43">
        <v>10.2591</v>
      </c>
      <c r="E160" s="39">
        <v>28.3</v>
      </c>
      <c r="F160" s="39">
        <f t="shared" si="36"/>
        <v>7216.3600000000006</v>
      </c>
      <c r="G160" s="39">
        <f t="shared" si="37"/>
        <v>4103.6400000000003</v>
      </c>
      <c r="H160" s="179">
        <f t="shared" si="38"/>
        <v>1.7585265764053377</v>
      </c>
      <c r="I160" s="39" t="s">
        <v>184</v>
      </c>
      <c r="J160" s="39"/>
      <c r="K160" s="39">
        <f t="shared" si="39"/>
        <v>8668.619999999999</v>
      </c>
      <c r="L160" s="39">
        <v>14.89</v>
      </c>
    </row>
    <row r="161" spans="1:12" x14ac:dyDescent="0.25">
      <c r="A161">
        <v>100</v>
      </c>
      <c r="B161" s="164">
        <v>43546</v>
      </c>
      <c r="C161" s="10">
        <v>600</v>
      </c>
      <c r="D161" s="39">
        <v>15.904400000000001</v>
      </c>
      <c r="E161" s="39">
        <v>26.85</v>
      </c>
      <c r="F161" s="39">
        <f t="shared" si="36"/>
        <v>6567.3600000000006</v>
      </c>
      <c r="G161" s="39">
        <f t="shared" si="37"/>
        <v>9542.6400000000012</v>
      </c>
      <c r="H161" s="179">
        <f t="shared" si="38"/>
        <v>0.68821206710092808</v>
      </c>
      <c r="I161" s="39"/>
      <c r="J161" s="39"/>
      <c r="K161" s="39">
        <f t="shared" si="39"/>
        <v>8019.619999999999</v>
      </c>
      <c r="L161" s="39">
        <v>14.13</v>
      </c>
    </row>
    <row r="162" spans="1:12" x14ac:dyDescent="0.25">
      <c r="A162">
        <v>100</v>
      </c>
      <c r="B162" s="164">
        <v>43556</v>
      </c>
      <c r="C162" s="7">
        <v>400</v>
      </c>
      <c r="D162" s="43">
        <v>9.9367999999999999</v>
      </c>
      <c r="E162" s="39">
        <v>27.84</v>
      </c>
      <c r="F162" s="39">
        <f t="shared" ref="F162" si="40">C162*(E162-D162)</f>
        <v>7161.2799999999988</v>
      </c>
      <c r="G162" s="39">
        <f t="shared" ref="G162" si="41">D162*C162</f>
        <v>3974.72</v>
      </c>
      <c r="H162" s="179">
        <f t="shared" ref="H162" si="42">(E162-D162)/D162</f>
        <v>1.8017067868931647</v>
      </c>
      <c r="I162" s="39"/>
      <c r="J162" s="39"/>
      <c r="K162" s="39">
        <f t="shared" si="39"/>
        <v>8613.5399999999972</v>
      </c>
      <c r="L162" s="39">
        <v>14.65</v>
      </c>
    </row>
    <row r="163" spans="1:12" x14ac:dyDescent="0.25">
      <c r="B163" s="164"/>
      <c r="C163" s="10"/>
      <c r="D163" s="39"/>
      <c r="E163" s="39"/>
      <c r="F163" s="39"/>
      <c r="G163" s="39"/>
      <c r="H163" s="179"/>
      <c r="I163" s="39"/>
      <c r="J163" s="39"/>
      <c r="K163" s="39"/>
      <c r="L163" s="39"/>
    </row>
    <row r="164" spans="1:12" x14ac:dyDescent="0.25">
      <c r="B164" s="164"/>
      <c r="C164" s="10"/>
      <c r="D164" s="39"/>
      <c r="E164" s="39"/>
      <c r="F164" s="39"/>
      <c r="G164" s="39"/>
      <c r="H164" s="179"/>
      <c r="I164" s="39"/>
      <c r="J164" s="39"/>
      <c r="K164" s="39"/>
      <c r="L164" s="39"/>
    </row>
    <row r="165" spans="1:12" x14ac:dyDescent="0.25">
      <c r="B165" s="164"/>
      <c r="C165" s="10"/>
      <c r="D165" s="39"/>
      <c r="E165" s="39"/>
      <c r="F165" s="39"/>
      <c r="G165" s="39"/>
      <c r="H165" s="179"/>
      <c r="I165" s="39"/>
      <c r="J165" s="39"/>
      <c r="K165" s="39"/>
      <c r="L165" s="39"/>
    </row>
    <row r="166" spans="1:12" x14ac:dyDescent="0.25">
      <c r="B166" s="164"/>
      <c r="C166" s="10"/>
      <c r="D166" s="39"/>
      <c r="E166" s="39"/>
      <c r="F166" s="39"/>
      <c r="G166" s="39"/>
      <c r="H166" s="179"/>
      <c r="I166" s="39"/>
      <c r="J166" s="39"/>
      <c r="K166" s="39"/>
      <c r="L166" s="39"/>
    </row>
    <row r="168" spans="1:12" x14ac:dyDescent="0.25">
      <c r="B168" s="414" t="s">
        <v>113</v>
      </c>
      <c r="C168" s="414" t="s">
        <v>145</v>
      </c>
      <c r="D168" s="415" t="s">
        <v>144</v>
      </c>
      <c r="E168" s="416" t="s">
        <v>146</v>
      </c>
      <c r="F168" s="416" t="s">
        <v>65</v>
      </c>
      <c r="G168" s="418" t="s">
        <v>150</v>
      </c>
      <c r="H168" s="418" t="s">
        <v>88</v>
      </c>
      <c r="I168" s="418" t="s">
        <v>153</v>
      </c>
    </row>
    <row r="169" spans="1:12" x14ac:dyDescent="0.25">
      <c r="B169" s="297">
        <v>42548</v>
      </c>
      <c r="C169" s="298">
        <v>100</v>
      </c>
      <c r="D169" s="299">
        <v>25</v>
      </c>
      <c r="E169" s="299">
        <v>24.69</v>
      </c>
      <c r="F169" s="299">
        <f t="shared" ref="F169:F174" si="43">C169*(E169-D169)</f>
        <v>-30.999999999999872</v>
      </c>
      <c r="G169" s="299">
        <f t="shared" ref="G169:G174" si="44">D169*C169</f>
        <v>2500</v>
      </c>
      <c r="H169" s="300">
        <f t="shared" ref="H169:H174" si="45">(E169-D169)/D169</f>
        <v>-1.2399999999999949E-2</v>
      </c>
      <c r="I169" s="299"/>
    </row>
    <row r="170" spans="1:12" x14ac:dyDescent="0.25">
      <c r="B170" s="297">
        <v>42549</v>
      </c>
      <c r="C170" s="298">
        <v>100</v>
      </c>
      <c r="D170" s="299">
        <v>25</v>
      </c>
      <c r="E170" s="299">
        <v>25.26</v>
      </c>
      <c r="F170" s="299">
        <f t="shared" si="43"/>
        <v>26.000000000000156</v>
      </c>
      <c r="G170" s="299">
        <f t="shared" si="44"/>
        <v>2500</v>
      </c>
      <c r="H170" s="300">
        <f t="shared" si="45"/>
        <v>1.0400000000000062E-2</v>
      </c>
      <c r="I170" s="299"/>
    </row>
    <row r="171" spans="1:12" x14ac:dyDescent="0.25">
      <c r="B171" s="297">
        <v>42552</v>
      </c>
      <c r="C171" s="298">
        <v>100</v>
      </c>
      <c r="D171" s="299">
        <v>25</v>
      </c>
      <c r="E171" s="299">
        <v>26.57</v>
      </c>
      <c r="F171" s="299">
        <f t="shared" si="43"/>
        <v>157.00000000000003</v>
      </c>
      <c r="G171" s="299">
        <f t="shared" si="44"/>
        <v>2500</v>
      </c>
      <c r="H171" s="300">
        <f t="shared" si="45"/>
        <v>6.2800000000000009E-2</v>
      </c>
      <c r="I171" s="299"/>
    </row>
    <row r="172" spans="1:12" x14ac:dyDescent="0.25">
      <c r="B172" s="297">
        <v>42556</v>
      </c>
      <c r="C172" s="298">
        <v>100</v>
      </c>
      <c r="D172" s="299">
        <v>25</v>
      </c>
      <c r="E172" s="299">
        <v>25.47</v>
      </c>
      <c r="F172" s="299">
        <f t="shared" si="43"/>
        <v>46.999999999999886</v>
      </c>
      <c r="G172" s="299">
        <f t="shared" si="44"/>
        <v>2500</v>
      </c>
      <c r="H172" s="300">
        <f t="shared" si="45"/>
        <v>1.8799999999999956E-2</v>
      </c>
      <c r="I172" s="299"/>
    </row>
    <row r="173" spans="1:12" x14ac:dyDescent="0.25">
      <c r="B173" s="297">
        <v>42562</v>
      </c>
      <c r="C173" s="298">
        <v>100</v>
      </c>
      <c r="D173" s="299">
        <v>25</v>
      </c>
      <c r="E173" s="299">
        <v>25.69</v>
      </c>
      <c r="F173" s="299">
        <f t="shared" si="43"/>
        <v>69.000000000000128</v>
      </c>
      <c r="G173" s="299">
        <f t="shared" si="44"/>
        <v>2500</v>
      </c>
      <c r="H173" s="300">
        <f t="shared" si="45"/>
        <v>2.7600000000000052E-2</v>
      </c>
      <c r="I173" s="299"/>
    </row>
    <row r="174" spans="1:12" x14ac:dyDescent="0.25">
      <c r="B174" s="297">
        <v>42563</v>
      </c>
      <c r="C174" s="298">
        <v>100</v>
      </c>
      <c r="D174" s="299">
        <v>25</v>
      </c>
      <c r="E174" s="299">
        <v>26.48</v>
      </c>
      <c r="F174" s="299">
        <f t="shared" si="43"/>
        <v>148.00000000000006</v>
      </c>
      <c r="G174" s="299">
        <f t="shared" si="44"/>
        <v>2500</v>
      </c>
      <c r="H174" s="300">
        <f t="shared" si="45"/>
        <v>5.9200000000000016E-2</v>
      </c>
      <c r="I174" s="299"/>
    </row>
    <row r="175" spans="1:12" x14ac:dyDescent="0.25">
      <c r="B175" s="297">
        <v>42569</v>
      </c>
      <c r="C175" s="298">
        <v>100</v>
      </c>
      <c r="D175" s="299">
        <v>25</v>
      </c>
      <c r="E175" s="299">
        <v>29.28</v>
      </c>
      <c r="F175" s="299">
        <f t="shared" ref="F175:F181" si="46">C175*(E175-D175)</f>
        <v>428.00000000000011</v>
      </c>
      <c r="G175" s="299">
        <f t="shared" ref="G175:G181" si="47">D175*C175</f>
        <v>2500</v>
      </c>
      <c r="H175" s="300">
        <f t="shared" ref="H175:H181" si="48">(E175-D175)/D175</f>
        <v>0.17120000000000005</v>
      </c>
      <c r="I175" s="299"/>
    </row>
    <row r="176" spans="1:12" x14ac:dyDescent="0.25">
      <c r="B176" s="297">
        <v>42570</v>
      </c>
      <c r="C176" s="298">
        <v>100</v>
      </c>
      <c r="D176" s="299">
        <v>25</v>
      </c>
      <c r="E176" s="299">
        <v>28.68</v>
      </c>
      <c r="F176" s="299">
        <f t="shared" si="46"/>
        <v>368</v>
      </c>
      <c r="G176" s="299">
        <f t="shared" si="47"/>
        <v>2500</v>
      </c>
      <c r="H176" s="300">
        <f t="shared" si="48"/>
        <v>0.1472</v>
      </c>
      <c r="I176" s="299"/>
    </row>
    <row r="177" spans="2:9" x14ac:dyDescent="0.25">
      <c r="B177" s="297">
        <v>42571</v>
      </c>
      <c r="C177" s="298">
        <v>100</v>
      </c>
      <c r="D177" s="299">
        <v>25</v>
      </c>
      <c r="E177" s="299">
        <v>29.01</v>
      </c>
      <c r="F177" s="299">
        <f t="shared" si="46"/>
        <v>401.00000000000017</v>
      </c>
      <c r="G177" s="299">
        <f t="shared" si="47"/>
        <v>2500</v>
      </c>
      <c r="H177" s="300">
        <f t="shared" si="48"/>
        <v>0.16040000000000007</v>
      </c>
      <c r="I177" s="299"/>
    </row>
    <row r="178" spans="2:9" x14ac:dyDescent="0.25">
      <c r="B178" s="297">
        <v>42572</v>
      </c>
      <c r="C178" s="298">
        <v>100</v>
      </c>
      <c r="D178" s="299">
        <v>25</v>
      </c>
      <c r="E178" s="299">
        <v>28.89</v>
      </c>
      <c r="F178" s="299">
        <f t="shared" si="46"/>
        <v>389.00000000000006</v>
      </c>
      <c r="G178" s="299">
        <f t="shared" si="47"/>
        <v>2500</v>
      </c>
      <c r="H178" s="300">
        <f t="shared" si="48"/>
        <v>0.15560000000000002</v>
      </c>
      <c r="I178" s="299"/>
    </row>
    <row r="179" spans="2:9" x14ac:dyDescent="0.25">
      <c r="B179" s="297">
        <v>42576</v>
      </c>
      <c r="C179" s="298">
        <v>100</v>
      </c>
      <c r="D179" s="299">
        <v>25</v>
      </c>
      <c r="E179" s="299">
        <v>28.63</v>
      </c>
      <c r="F179" s="299">
        <f t="shared" si="46"/>
        <v>362.99999999999989</v>
      </c>
      <c r="G179" s="299">
        <f t="shared" si="47"/>
        <v>2500</v>
      </c>
      <c r="H179" s="300">
        <f t="shared" si="48"/>
        <v>0.14519999999999997</v>
      </c>
      <c r="I179" s="299"/>
    </row>
    <row r="180" spans="2:9" x14ac:dyDescent="0.25">
      <c r="B180" s="297">
        <v>42577</v>
      </c>
      <c r="C180" s="298">
        <v>100</v>
      </c>
      <c r="D180" s="299">
        <v>25</v>
      </c>
      <c r="E180" s="299">
        <v>29.34</v>
      </c>
      <c r="F180" s="299">
        <f t="shared" si="46"/>
        <v>434</v>
      </c>
      <c r="G180" s="299">
        <f t="shared" si="47"/>
        <v>2500</v>
      </c>
      <c r="H180" s="300">
        <f t="shared" si="48"/>
        <v>0.1736</v>
      </c>
      <c r="I180" s="299"/>
    </row>
    <row r="181" spans="2:9" x14ac:dyDescent="0.25">
      <c r="B181" s="297">
        <v>42580</v>
      </c>
      <c r="C181" s="298">
        <v>100</v>
      </c>
      <c r="D181" s="299">
        <v>25</v>
      </c>
      <c r="E181" s="299">
        <v>27</v>
      </c>
      <c r="F181" s="299">
        <f t="shared" si="46"/>
        <v>200</v>
      </c>
      <c r="G181" s="299">
        <f t="shared" si="47"/>
        <v>2500</v>
      </c>
      <c r="H181" s="300">
        <f t="shared" si="48"/>
        <v>0.08</v>
      </c>
      <c r="I181" s="299"/>
    </row>
    <row r="182" spans="2:9" x14ac:dyDescent="0.25">
      <c r="B182" s="297">
        <v>42584</v>
      </c>
      <c r="C182" s="298">
        <v>0</v>
      </c>
      <c r="D182" s="299"/>
      <c r="E182" s="299"/>
      <c r="F182" s="299">
        <v>287.94</v>
      </c>
      <c r="G182" s="299"/>
      <c r="H182" s="300"/>
      <c r="I182" s="299"/>
    </row>
    <row r="183" spans="2:9" x14ac:dyDescent="0.25">
      <c r="B183" s="164"/>
      <c r="C183" s="10"/>
      <c r="D183" s="39"/>
      <c r="E183" s="39"/>
      <c r="F183" s="39"/>
      <c r="G183" s="39"/>
      <c r="H183" s="179"/>
      <c r="I183" s="39"/>
    </row>
    <row r="184" spans="2:9" x14ac:dyDescent="0.25">
      <c r="B184" s="162" t="s">
        <v>113</v>
      </c>
      <c r="C184" s="162" t="s">
        <v>145</v>
      </c>
      <c r="D184" s="163" t="s">
        <v>144</v>
      </c>
      <c r="E184" s="165" t="s">
        <v>146</v>
      </c>
      <c r="F184" s="165" t="s">
        <v>65</v>
      </c>
      <c r="G184" s="177" t="s">
        <v>150</v>
      </c>
      <c r="H184" s="177" t="s">
        <v>88</v>
      </c>
      <c r="I184" s="177" t="s">
        <v>153</v>
      </c>
    </row>
    <row r="185" spans="2:9" x14ac:dyDescent="0.25">
      <c r="B185" s="202">
        <v>42627</v>
      </c>
      <c r="C185" s="197">
        <v>50</v>
      </c>
      <c r="D185" s="198">
        <v>25.74</v>
      </c>
      <c r="E185" s="198">
        <v>25.83</v>
      </c>
      <c r="F185" s="198">
        <f>C185*(E185-D185)</f>
        <v>4.4999999999999929</v>
      </c>
      <c r="G185" s="198">
        <f>D185*C185</f>
        <v>1287</v>
      </c>
      <c r="H185" s="212">
        <f>(E185-D185)/D185</f>
        <v>3.4965034965034913E-3</v>
      </c>
      <c r="I185" s="198"/>
    </row>
    <row r="186" spans="2:9" x14ac:dyDescent="0.25">
      <c r="B186" s="202">
        <v>42629</v>
      </c>
      <c r="C186" s="197">
        <v>50</v>
      </c>
      <c r="D186" s="198">
        <v>25.74</v>
      </c>
      <c r="E186" s="198">
        <v>25.54</v>
      </c>
      <c r="F186" s="198">
        <f t="shared" ref="F186:F191" si="49">C186*(E186-D186)</f>
        <v>-9.9999999999999645</v>
      </c>
      <c r="G186" s="198">
        <f t="shared" ref="G186:G191" si="50">D186*C186</f>
        <v>1287</v>
      </c>
      <c r="H186" s="212">
        <f t="shared" ref="H186:H191" si="51">(E186-D186)/D186</f>
        <v>-7.7700077700077431E-3</v>
      </c>
      <c r="I186" s="198"/>
    </row>
    <row r="187" spans="2:9" x14ac:dyDescent="0.25">
      <c r="B187" s="202">
        <v>42636</v>
      </c>
      <c r="C187" s="197">
        <v>50</v>
      </c>
      <c r="D187" s="198">
        <v>25.74</v>
      </c>
      <c r="E187" s="198">
        <v>24.82</v>
      </c>
      <c r="F187" s="198">
        <f t="shared" si="49"/>
        <v>-45.999999999999908</v>
      </c>
      <c r="G187" s="198">
        <f t="shared" si="50"/>
        <v>1287</v>
      </c>
      <c r="H187" s="212">
        <f t="shared" si="51"/>
        <v>-3.5742035742035674E-2</v>
      </c>
      <c r="I187" s="198"/>
    </row>
    <row r="188" spans="2:9" x14ac:dyDescent="0.25">
      <c r="B188" s="202">
        <v>42639</v>
      </c>
      <c r="C188" s="197">
        <v>100</v>
      </c>
      <c r="D188" s="198">
        <v>24.96</v>
      </c>
      <c r="E188" s="198">
        <v>24.14</v>
      </c>
      <c r="F188" s="198">
        <f t="shared" si="49"/>
        <v>-82.000000000000028</v>
      </c>
      <c r="G188" s="198">
        <f t="shared" si="50"/>
        <v>2496</v>
      </c>
      <c r="H188" s="212">
        <f t="shared" si="51"/>
        <v>-3.2852564102564111E-2</v>
      </c>
      <c r="I188" s="198"/>
    </row>
    <row r="189" spans="2:9" x14ac:dyDescent="0.25">
      <c r="B189" s="202">
        <v>42639</v>
      </c>
      <c r="C189" s="197">
        <v>150</v>
      </c>
      <c r="D189" s="198">
        <v>24.8</v>
      </c>
      <c r="E189" s="198">
        <v>24.14</v>
      </c>
      <c r="F189" s="198">
        <f t="shared" si="49"/>
        <v>-99.000000000000028</v>
      </c>
      <c r="G189" s="198">
        <f t="shared" si="50"/>
        <v>3720</v>
      </c>
      <c r="H189" s="212">
        <f t="shared" si="51"/>
        <v>-2.6612903225806457E-2</v>
      </c>
      <c r="I189" s="198"/>
    </row>
    <row r="190" spans="2:9" x14ac:dyDescent="0.25">
      <c r="B190" s="202">
        <v>42640</v>
      </c>
      <c r="C190" s="197">
        <v>150</v>
      </c>
      <c r="D190" s="198">
        <v>24.8</v>
      </c>
      <c r="E190" s="198">
        <v>23.99</v>
      </c>
      <c r="F190" s="198">
        <f t="shared" si="49"/>
        <v>-121.50000000000034</v>
      </c>
      <c r="G190" s="198">
        <f t="shared" si="50"/>
        <v>3720</v>
      </c>
      <c r="H190" s="212">
        <f t="shared" si="51"/>
        <v>-3.2661290322580736E-2</v>
      </c>
      <c r="I190" s="198"/>
    </row>
    <row r="191" spans="2:9" x14ac:dyDescent="0.25">
      <c r="B191" s="202">
        <v>42643</v>
      </c>
      <c r="C191" s="197">
        <v>150</v>
      </c>
      <c r="D191" s="198">
        <v>24.8</v>
      </c>
      <c r="E191" s="198">
        <v>24.46</v>
      </c>
      <c r="F191" s="198">
        <f t="shared" si="49"/>
        <v>-50.999999999999979</v>
      </c>
      <c r="G191" s="198">
        <f t="shared" si="50"/>
        <v>3720</v>
      </c>
      <c r="H191" s="212">
        <f t="shared" si="51"/>
        <v>-1.3709677419354832E-2</v>
      </c>
      <c r="I191" s="198"/>
    </row>
    <row r="192" spans="2:9" x14ac:dyDescent="0.25">
      <c r="B192" s="202">
        <v>42646</v>
      </c>
      <c r="C192" s="197">
        <v>150</v>
      </c>
      <c r="D192" s="198">
        <v>24.8</v>
      </c>
      <c r="E192" s="198">
        <v>24.89</v>
      </c>
      <c r="F192" s="198">
        <f t="shared" ref="F192:F203" si="52">C192*(E192-D192)</f>
        <v>13.499999999999979</v>
      </c>
      <c r="G192" s="198">
        <f t="shared" ref="G192:G203" si="53">D192*C192</f>
        <v>3720</v>
      </c>
      <c r="H192" s="212">
        <f t="shared" ref="H192:H203" si="54">(E192-D192)/D192</f>
        <v>3.6290322580645102E-3</v>
      </c>
      <c r="I192" s="198"/>
    </row>
    <row r="193" spans="2:9" x14ac:dyDescent="0.25">
      <c r="B193" s="202">
        <v>42648</v>
      </c>
      <c r="C193" s="197">
        <v>150</v>
      </c>
      <c r="D193" s="198">
        <v>24.8</v>
      </c>
      <c r="E193" s="198">
        <v>25.07</v>
      </c>
      <c r="F193" s="198">
        <f t="shared" si="52"/>
        <v>40.499999999999936</v>
      </c>
      <c r="G193" s="198">
        <f t="shared" si="53"/>
        <v>3720</v>
      </c>
      <c r="H193" s="212">
        <f t="shared" si="54"/>
        <v>1.0887096774193531E-2</v>
      </c>
      <c r="I193" s="198"/>
    </row>
    <row r="194" spans="2:9" x14ac:dyDescent="0.25">
      <c r="B194" s="202">
        <v>42649</v>
      </c>
      <c r="C194" s="197">
        <v>150</v>
      </c>
      <c r="D194" s="198">
        <v>24.8</v>
      </c>
      <c r="E194" s="198">
        <v>24.85</v>
      </c>
      <c r="F194" s="198">
        <f t="shared" si="52"/>
        <v>7.5000000000001066</v>
      </c>
      <c r="G194" s="198">
        <f t="shared" si="53"/>
        <v>3720</v>
      </c>
      <c r="H194" s="212">
        <f t="shared" si="54"/>
        <v>2.0161290322580931E-3</v>
      </c>
      <c r="I194" s="198"/>
    </row>
    <row r="195" spans="2:9" x14ac:dyDescent="0.25">
      <c r="B195" s="202">
        <v>42650</v>
      </c>
      <c r="C195" s="197">
        <v>150</v>
      </c>
      <c r="D195" s="198">
        <v>24.8</v>
      </c>
      <c r="E195" s="198">
        <v>24.58</v>
      </c>
      <c r="F195" s="198">
        <f t="shared" si="52"/>
        <v>-33.000000000000362</v>
      </c>
      <c r="G195" s="198">
        <f t="shared" si="53"/>
        <v>3720</v>
      </c>
      <c r="H195" s="212">
        <f t="shared" si="54"/>
        <v>-8.8709677419355811E-3</v>
      </c>
      <c r="I195" s="198"/>
    </row>
    <row r="196" spans="2:9" x14ac:dyDescent="0.25">
      <c r="B196" s="202">
        <v>42661</v>
      </c>
      <c r="C196" s="197">
        <v>150</v>
      </c>
      <c r="D196" s="198">
        <v>24.8</v>
      </c>
      <c r="E196" s="198">
        <v>23.39</v>
      </c>
      <c r="F196" s="198">
        <f t="shared" si="52"/>
        <v>-211.50000000000003</v>
      </c>
      <c r="G196" s="198">
        <f t="shared" si="53"/>
        <v>3720</v>
      </c>
      <c r="H196" s="212">
        <f t="shared" si="54"/>
        <v>-5.6854838709677426E-2</v>
      </c>
      <c r="I196" s="198"/>
    </row>
    <row r="197" spans="2:9" x14ac:dyDescent="0.25">
      <c r="B197" s="202">
        <v>42662</v>
      </c>
      <c r="C197" s="197">
        <v>150</v>
      </c>
      <c r="D197" s="198">
        <v>24.8</v>
      </c>
      <c r="E197" s="198">
        <v>23.84</v>
      </c>
      <c r="F197" s="198">
        <f t="shared" si="52"/>
        <v>-144.00000000000011</v>
      </c>
      <c r="G197" s="198">
        <f t="shared" si="53"/>
        <v>3720</v>
      </c>
      <c r="H197" s="212">
        <f t="shared" si="54"/>
        <v>-3.8709677419354875E-2</v>
      </c>
      <c r="I197" s="198"/>
    </row>
    <row r="198" spans="2:9" x14ac:dyDescent="0.25">
      <c r="B198" s="202">
        <v>42664</v>
      </c>
      <c r="C198" s="197">
        <v>150</v>
      </c>
      <c r="D198" s="198">
        <v>24.8</v>
      </c>
      <c r="E198" s="198">
        <v>24.31</v>
      </c>
      <c r="F198" s="198">
        <f t="shared" si="52"/>
        <v>-73.500000000000298</v>
      </c>
      <c r="G198" s="198">
        <f t="shared" si="53"/>
        <v>3720</v>
      </c>
      <c r="H198" s="212">
        <f t="shared" si="54"/>
        <v>-1.975806451612911E-2</v>
      </c>
      <c r="I198" s="198"/>
    </row>
    <row r="199" spans="2:9" x14ac:dyDescent="0.25">
      <c r="B199" s="202">
        <v>42670</v>
      </c>
      <c r="C199" s="197">
        <v>150</v>
      </c>
      <c r="D199" s="198">
        <v>24.626899999999999</v>
      </c>
      <c r="E199" s="198">
        <v>23.93</v>
      </c>
      <c r="F199" s="198">
        <f t="shared" si="52"/>
        <v>-104.53499999999991</v>
      </c>
      <c r="G199" s="198">
        <f t="shared" si="53"/>
        <v>3694.0349999999999</v>
      </c>
      <c r="H199" s="212">
        <f t="shared" si="54"/>
        <v>-2.8298324190214743E-2</v>
      </c>
      <c r="I199" s="198"/>
    </row>
    <row r="200" spans="2:9" x14ac:dyDescent="0.25">
      <c r="B200" s="202">
        <v>42674</v>
      </c>
      <c r="C200" s="197">
        <v>150</v>
      </c>
      <c r="D200" s="198">
        <v>24.626899999999999</v>
      </c>
      <c r="E200" s="198">
        <v>23.53</v>
      </c>
      <c r="F200" s="198">
        <f t="shared" si="52"/>
        <v>-164.53499999999968</v>
      </c>
      <c r="G200" s="198">
        <f t="shared" si="53"/>
        <v>3694.0349999999999</v>
      </c>
      <c r="H200" s="212">
        <f t="shared" si="54"/>
        <v>-4.4540725791715481E-2</v>
      </c>
      <c r="I200" s="198"/>
    </row>
    <row r="201" spans="2:9" x14ac:dyDescent="0.25">
      <c r="B201" s="202">
        <v>42675</v>
      </c>
      <c r="C201" s="197">
        <v>150</v>
      </c>
      <c r="D201" s="198">
        <v>24.264700000000001</v>
      </c>
      <c r="E201" s="198">
        <v>24.32</v>
      </c>
      <c r="F201" s="198">
        <f t="shared" si="52"/>
        <v>8.2949999999998525</v>
      </c>
      <c r="G201" s="198">
        <f t="shared" si="53"/>
        <v>3639.7050000000004</v>
      </c>
      <c r="H201" s="212">
        <f t="shared" si="54"/>
        <v>2.2790308555225912E-3</v>
      </c>
      <c r="I201" s="198"/>
    </row>
    <row r="202" spans="2:9" x14ac:dyDescent="0.25">
      <c r="B202" s="202">
        <v>42676</v>
      </c>
      <c r="C202" s="197">
        <v>150</v>
      </c>
      <c r="D202" s="198">
        <v>24.264700000000001</v>
      </c>
      <c r="E202" s="198">
        <v>24.73</v>
      </c>
      <c r="F202" s="198">
        <f t="shared" si="52"/>
        <v>69.794999999999874</v>
      </c>
      <c r="G202" s="198">
        <f t="shared" si="53"/>
        <v>3639.7050000000004</v>
      </c>
      <c r="H202" s="212">
        <f t="shared" si="54"/>
        <v>1.9176004648728363E-2</v>
      </c>
      <c r="I202" s="198"/>
    </row>
    <row r="203" spans="2:9" x14ac:dyDescent="0.25">
      <c r="B203" s="202">
        <v>42704</v>
      </c>
      <c r="C203" s="197">
        <v>100</v>
      </c>
      <c r="D203" s="198">
        <v>22.507400000000001</v>
      </c>
      <c r="E203" s="198">
        <v>28.4</v>
      </c>
      <c r="F203" s="198">
        <f t="shared" si="52"/>
        <v>589.25999999999976</v>
      </c>
      <c r="G203" s="198">
        <f t="shared" si="53"/>
        <v>2250.7400000000002</v>
      </c>
      <c r="H203" s="212">
        <f t="shared" si="54"/>
        <v>0.26180722784506422</v>
      </c>
      <c r="I203" s="198"/>
    </row>
    <row r="204" spans="2:9" x14ac:dyDescent="0.25">
      <c r="B204" s="202">
        <v>42711</v>
      </c>
      <c r="C204" s="197">
        <v>0</v>
      </c>
      <c r="D204" s="198"/>
      <c r="E204" s="198"/>
      <c r="F204" s="198">
        <v>727.2</v>
      </c>
      <c r="G204" s="198"/>
      <c r="H204" s="212"/>
      <c r="I204" s="198"/>
    </row>
    <row r="205" spans="2:9" x14ac:dyDescent="0.25">
      <c r="B205" s="164"/>
      <c r="C205" s="10"/>
      <c r="D205" s="39"/>
      <c r="E205" s="39"/>
      <c r="F205" s="39"/>
      <c r="G205" s="39"/>
      <c r="H205" s="179"/>
      <c r="I205" s="39"/>
    </row>
    <row r="206" spans="2:9" x14ac:dyDescent="0.25">
      <c r="B206" s="164"/>
      <c r="C206" s="10"/>
      <c r="D206" s="39"/>
      <c r="E206" s="39"/>
      <c r="F206" s="39"/>
      <c r="G206" s="39"/>
      <c r="H206" s="179"/>
      <c r="I206" s="39"/>
    </row>
    <row r="207" spans="2:9" x14ac:dyDescent="0.25">
      <c r="B207" s="164"/>
      <c r="C207" s="10"/>
      <c r="D207" s="39"/>
      <c r="E207" s="39"/>
      <c r="F207" s="39"/>
      <c r="G207" s="39"/>
      <c r="H207" s="179"/>
      <c r="I207" s="39"/>
    </row>
    <row r="211" spans="1:13" x14ac:dyDescent="0.25">
      <c r="L211" t="s">
        <v>65</v>
      </c>
      <c r="M211" s="2">
        <f>K229+M229-F229</f>
        <v>1452.2599999999984</v>
      </c>
    </row>
    <row r="212" spans="1:13" x14ac:dyDescent="0.25">
      <c r="A212" s="383" t="s">
        <v>1</v>
      </c>
      <c r="B212" s="383" t="s">
        <v>2</v>
      </c>
      <c r="C212" s="383" t="s">
        <v>4</v>
      </c>
      <c r="D212" s="384" t="s">
        <v>5</v>
      </c>
      <c r="E212" s="384" t="s">
        <v>94</v>
      </c>
      <c r="F212" s="384" t="s">
        <v>60</v>
      </c>
      <c r="G212" s="383" t="s">
        <v>3</v>
      </c>
      <c r="H212" s="383" t="s">
        <v>6</v>
      </c>
      <c r="I212" s="384" t="s">
        <v>7</v>
      </c>
      <c r="J212" s="384" t="s">
        <v>95</v>
      </c>
      <c r="K212" s="384" t="s">
        <v>61</v>
      </c>
      <c r="L212" s="383" t="s">
        <v>37</v>
      </c>
      <c r="M212" s="383" t="s">
        <v>38</v>
      </c>
    </row>
    <row r="213" spans="1:13" x14ac:dyDescent="0.25">
      <c r="A213" s="385" t="s">
        <v>221</v>
      </c>
      <c r="B213" s="386">
        <v>42548</v>
      </c>
      <c r="C213" s="387">
        <v>100</v>
      </c>
      <c r="D213" s="388">
        <v>25</v>
      </c>
      <c r="E213" s="388">
        <v>0</v>
      </c>
      <c r="F213" s="388">
        <f>D213*C213+E213</f>
        <v>2500</v>
      </c>
      <c r="G213" s="386">
        <v>42584</v>
      </c>
      <c r="H213" s="389">
        <v>100</v>
      </c>
      <c r="I213" s="388">
        <v>27.88</v>
      </c>
      <c r="J213" s="388">
        <v>0.06</v>
      </c>
      <c r="K213" s="388">
        <f>H213*I213-J213</f>
        <v>2787.94</v>
      </c>
      <c r="L213" s="386">
        <v>42719</v>
      </c>
      <c r="M213" s="387">
        <v>41.25</v>
      </c>
    </row>
    <row r="214" spans="1:13" x14ac:dyDescent="0.25">
      <c r="A214" s="390" t="s">
        <v>71</v>
      </c>
      <c r="B214" s="386">
        <v>42627</v>
      </c>
      <c r="C214" s="387">
        <v>50</v>
      </c>
      <c r="D214" s="388">
        <v>25.74</v>
      </c>
      <c r="E214" s="388">
        <v>0</v>
      </c>
      <c r="F214" s="388">
        <v>1287</v>
      </c>
      <c r="G214" s="386" t="s">
        <v>327</v>
      </c>
      <c r="H214" s="389">
        <v>50</v>
      </c>
      <c r="I214" s="388">
        <v>25</v>
      </c>
      <c r="J214" s="388">
        <v>0.03</v>
      </c>
      <c r="K214" s="388">
        <v>1249.97</v>
      </c>
      <c r="L214" s="387"/>
      <c r="M214" s="387"/>
    </row>
    <row r="215" spans="1:13" x14ac:dyDescent="0.25">
      <c r="A215" s="387"/>
      <c r="B215" s="386">
        <v>42639</v>
      </c>
      <c r="C215" s="387">
        <v>50</v>
      </c>
      <c r="D215" s="388">
        <v>24.48</v>
      </c>
      <c r="E215" s="388">
        <v>0</v>
      </c>
      <c r="F215" s="388">
        <v>1224</v>
      </c>
      <c r="G215" s="386" t="s">
        <v>327</v>
      </c>
      <c r="H215" s="389">
        <v>100</v>
      </c>
      <c r="I215" s="388">
        <v>24.88</v>
      </c>
      <c r="J215" s="388">
        <v>0.05</v>
      </c>
      <c r="K215" s="388">
        <v>2487.9499999999998</v>
      </c>
      <c r="L215" s="387"/>
      <c r="M215" s="387"/>
    </row>
    <row r="216" spans="1:13" x14ac:dyDescent="0.25">
      <c r="A216" s="387"/>
      <c r="B216" s="386">
        <v>42639</v>
      </c>
      <c r="C216" s="387">
        <v>50</v>
      </c>
      <c r="D216" s="388">
        <v>24.18</v>
      </c>
      <c r="E216" s="388">
        <v>0</v>
      </c>
      <c r="F216" s="388">
        <v>1209</v>
      </c>
      <c r="G216" s="386" t="s">
        <v>327</v>
      </c>
      <c r="H216" s="389">
        <v>50</v>
      </c>
      <c r="I216" s="388">
        <v>27.78</v>
      </c>
      <c r="J216" s="388">
        <v>0.03</v>
      </c>
      <c r="K216" s="388">
        <v>1388.97</v>
      </c>
      <c r="L216" s="387"/>
      <c r="M216" s="387"/>
    </row>
    <row r="217" spans="1:13" x14ac:dyDescent="0.25">
      <c r="A217" s="387"/>
      <c r="B217" s="386">
        <v>42670</v>
      </c>
      <c r="C217" s="387">
        <v>50</v>
      </c>
      <c r="D217" s="388">
        <v>24.48</v>
      </c>
      <c r="E217" s="388">
        <v>0</v>
      </c>
      <c r="F217" s="388">
        <v>1224</v>
      </c>
      <c r="G217" s="386" t="s">
        <v>327</v>
      </c>
      <c r="H217" s="389">
        <v>100</v>
      </c>
      <c r="I217" s="388">
        <v>29.78</v>
      </c>
      <c r="J217" s="388">
        <v>0.06</v>
      </c>
      <c r="K217" s="388">
        <v>2977.94</v>
      </c>
      <c r="L217" s="387"/>
      <c r="M217" s="387"/>
    </row>
    <row r="218" spans="1:13" x14ac:dyDescent="0.25">
      <c r="A218" s="387"/>
      <c r="B218" s="386" t="s">
        <v>327</v>
      </c>
      <c r="C218" s="387">
        <v>100</v>
      </c>
      <c r="D218" s="388">
        <v>24.34</v>
      </c>
      <c r="E218" s="388">
        <v>-0.37</v>
      </c>
      <c r="F218" s="388">
        <v>2433.63</v>
      </c>
      <c r="G218" s="387"/>
      <c r="H218" s="389"/>
      <c r="I218" s="388"/>
      <c r="J218" s="388"/>
      <c r="K218" s="388"/>
      <c r="L218" s="387"/>
      <c r="M218" s="387"/>
    </row>
    <row r="219" spans="1:13" x14ac:dyDescent="0.25">
      <c r="A219" s="387"/>
      <c r="B219" s="426">
        <v>42723</v>
      </c>
      <c r="C219" s="427">
        <v>100</v>
      </c>
      <c r="D219" s="429">
        <v>27.98</v>
      </c>
      <c r="E219" s="429">
        <v>0</v>
      </c>
      <c r="F219" s="429">
        <f>D219*C219+E219</f>
        <v>2798</v>
      </c>
      <c r="G219" s="426">
        <v>42724</v>
      </c>
      <c r="H219" s="427">
        <v>100</v>
      </c>
      <c r="I219" s="429">
        <v>27.94</v>
      </c>
      <c r="J219" s="429">
        <v>0.06</v>
      </c>
      <c r="K219" s="429">
        <f>I219*H219-J219</f>
        <v>2793.94</v>
      </c>
      <c r="L219" s="387"/>
      <c r="M219" s="387"/>
    </row>
    <row r="220" spans="1:13" x14ac:dyDescent="0.25">
      <c r="A220" s="387"/>
      <c r="B220" s="368">
        <v>42724</v>
      </c>
      <c r="C220" s="7">
        <v>100</v>
      </c>
      <c r="D220" s="43">
        <v>27.58</v>
      </c>
      <c r="E220" s="43">
        <v>0</v>
      </c>
      <c r="F220" s="43">
        <f>D220*C220+E220</f>
        <v>2758</v>
      </c>
      <c r="G220" s="368">
        <v>42758</v>
      </c>
      <c r="H220" s="80">
        <v>100</v>
      </c>
      <c r="I220" s="43">
        <v>31.58</v>
      </c>
      <c r="J220" s="43">
        <v>7.0000000000000007E-2</v>
      </c>
      <c r="K220" s="43">
        <f>H220*I220-J220</f>
        <v>3157.93</v>
      </c>
      <c r="L220" s="387"/>
      <c r="M220" s="387"/>
    </row>
    <row r="221" spans="1:13" x14ac:dyDescent="0.25">
      <c r="A221" s="387"/>
      <c r="B221" s="387"/>
      <c r="C221" s="387"/>
      <c r="D221" s="388"/>
      <c r="E221" s="388"/>
      <c r="F221" s="388"/>
      <c r="G221" s="387"/>
      <c r="H221" s="389"/>
      <c r="I221" s="388"/>
      <c r="J221" s="388"/>
      <c r="K221" s="388"/>
      <c r="L221" s="387"/>
      <c r="M221" s="387"/>
    </row>
    <row r="222" spans="1:13" x14ac:dyDescent="0.25">
      <c r="A222" s="387"/>
      <c r="B222" s="387"/>
      <c r="C222" s="387"/>
      <c r="D222" s="388"/>
      <c r="E222" s="388"/>
      <c r="F222" s="388"/>
      <c r="G222" s="387"/>
      <c r="H222" s="389"/>
      <c r="I222" s="388"/>
      <c r="J222" s="388"/>
      <c r="K222" s="388"/>
      <c r="L222" s="387"/>
      <c r="M222" s="387"/>
    </row>
    <row r="223" spans="1:13" x14ac:dyDescent="0.25">
      <c r="A223" s="387"/>
      <c r="B223" s="387"/>
      <c r="C223" s="387"/>
      <c r="D223" s="388"/>
      <c r="E223" s="388"/>
      <c r="F223" s="388"/>
      <c r="G223" s="387"/>
      <c r="H223" s="389"/>
      <c r="I223" s="388"/>
      <c r="J223" s="388"/>
      <c r="K223" s="388"/>
      <c r="L223" s="387"/>
      <c r="M223" s="387"/>
    </row>
    <row r="224" spans="1:13" x14ac:dyDescent="0.25">
      <c r="A224" s="387"/>
      <c r="B224" s="387"/>
      <c r="C224" s="387"/>
      <c r="D224" s="388"/>
      <c r="E224" s="388"/>
      <c r="F224" s="388"/>
      <c r="G224" s="387"/>
      <c r="H224" s="389"/>
      <c r="I224" s="388"/>
      <c r="J224" s="388"/>
      <c r="K224" s="388"/>
      <c r="L224" s="387"/>
      <c r="M224" s="387"/>
    </row>
    <row r="225" spans="1:13" x14ac:dyDescent="0.25">
      <c r="A225" s="387"/>
      <c r="B225" s="387"/>
      <c r="C225" s="387"/>
      <c r="D225" s="388"/>
      <c r="E225" s="388"/>
      <c r="F225" s="388"/>
      <c r="G225" s="387"/>
      <c r="H225" s="389"/>
      <c r="I225" s="388"/>
      <c r="J225" s="388"/>
      <c r="K225" s="388"/>
      <c r="L225" s="387"/>
      <c r="M225" s="387"/>
    </row>
    <row r="226" spans="1:13" x14ac:dyDescent="0.25">
      <c r="A226" s="387"/>
      <c r="B226" s="387"/>
      <c r="C226" s="387"/>
      <c r="D226" s="388"/>
      <c r="E226" s="388"/>
      <c r="F226" s="388"/>
      <c r="G226" s="387"/>
      <c r="H226" s="389"/>
      <c r="I226" s="388"/>
      <c r="J226" s="388"/>
      <c r="K226" s="388"/>
      <c r="L226" s="387"/>
      <c r="M226" s="387"/>
    </row>
    <row r="227" spans="1:13" x14ac:dyDescent="0.25">
      <c r="A227" s="387"/>
      <c r="B227" s="387"/>
      <c r="C227" s="387"/>
      <c r="D227" s="388"/>
      <c r="E227" s="388"/>
      <c r="F227" s="388"/>
      <c r="G227" s="387"/>
      <c r="H227" s="389"/>
      <c r="I227" s="388"/>
      <c r="J227" s="388"/>
      <c r="K227" s="388"/>
      <c r="L227" s="387"/>
      <c r="M227" s="387"/>
    </row>
    <row r="228" spans="1:13" x14ac:dyDescent="0.25">
      <c r="A228" s="387"/>
      <c r="B228" s="387"/>
      <c r="C228" s="387"/>
      <c r="D228" s="388"/>
      <c r="E228" s="388"/>
      <c r="F228" s="388"/>
      <c r="G228" s="387"/>
      <c r="H228" s="387"/>
      <c r="I228" s="388"/>
      <c r="J228" s="388"/>
      <c r="K228" s="388"/>
      <c r="L228" s="387"/>
      <c r="M228" s="387"/>
    </row>
    <row r="229" spans="1:13" x14ac:dyDescent="0.25">
      <c r="A229" s="63" t="s">
        <v>81</v>
      </c>
      <c r="B229" s="64"/>
      <c r="C229" s="64">
        <f>SUM(C213:C228)</f>
        <v>600</v>
      </c>
      <c r="D229" s="65"/>
      <c r="E229" s="65"/>
      <c r="F229" s="65">
        <f>SUM(F213:F228)</f>
        <v>15433.630000000001</v>
      </c>
      <c r="G229" s="64"/>
      <c r="H229" s="472">
        <f>SUM(H213:H228)</f>
        <v>600</v>
      </c>
      <c r="I229" s="65"/>
      <c r="J229" s="65"/>
      <c r="K229" s="65">
        <f>SUM(K213:K228)</f>
        <v>16844.64</v>
      </c>
      <c r="L229" s="64"/>
      <c r="M229" s="65">
        <f>SUM(M213:M221)</f>
        <v>41.25</v>
      </c>
    </row>
    <row r="230" spans="1:13" ht="15.75" thickBot="1" x14ac:dyDescent="0.3">
      <c r="A230" s="391" t="s">
        <v>191</v>
      </c>
      <c r="B230" s="392"/>
      <c r="C230" s="393">
        <f>SumByColor($A$47,C213:C228)</f>
        <v>100</v>
      </c>
      <c r="D230" s="393"/>
      <c r="E230" s="393"/>
      <c r="F230" s="394">
        <f>SumByColor($A$47,F213:F228)</f>
        <v>2758</v>
      </c>
      <c r="G230" s="393"/>
      <c r="H230" s="393">
        <f>SumByColor($A$47,H213:H228)</f>
        <v>100</v>
      </c>
      <c r="I230" s="393"/>
      <c r="J230" s="393"/>
      <c r="K230" s="394">
        <f>SumByColor($A$47,K213:K228)</f>
        <v>3158</v>
      </c>
      <c r="L230" s="393"/>
      <c r="M230" s="394">
        <f>SumByColor($A$47,M213:M228)</f>
        <v>0</v>
      </c>
    </row>
  </sheetData>
  <mergeCells count="1">
    <mergeCell ref="O18:P18"/>
  </mergeCells>
  <conditionalFormatting sqref="O19:O39">
    <cfRule type="colorScale" priority="145">
      <colorScale>
        <cfvo type="min"/>
        <cfvo type="percentile" val="50"/>
        <cfvo type="max"/>
        <color rgb="FFF8696B"/>
        <color rgb="FFFFEB84"/>
        <color rgb="FF63BE7B"/>
      </colorScale>
    </cfRule>
  </conditionalFormatting>
  <conditionalFormatting sqref="P19:P39">
    <cfRule type="colorScale" priority="144">
      <colorScale>
        <cfvo type="min"/>
        <cfvo type="percentile" val="50"/>
        <cfvo type="max"/>
        <color rgb="FFF8696B"/>
        <color rgb="FFFFEB84"/>
        <color rgb="FF63BE7B"/>
      </colorScale>
    </cfRule>
  </conditionalFormatting>
  <conditionalFormatting sqref="F182:F183 H182:H183 H189:H207 F189:F207 K99:K106 H99:H106 F99:F106 F120 H120 H129 F129 K116:K129 F151 H151 K151 K165:K166 H165:H166 F165:F166">
    <cfRule type="expression" dxfId="1172" priority="140">
      <formula>F99&gt;0</formula>
    </cfRule>
    <cfRule type="expression" dxfId="1171" priority="141">
      <formula>F99&lt;0</formula>
    </cfRule>
  </conditionalFormatting>
  <conditionalFormatting sqref="Q7">
    <cfRule type="expression" dxfId="1170" priority="128">
      <formula>Q7&gt;0</formula>
    </cfRule>
    <cfRule type="expression" dxfId="1169" priority="129">
      <formula>Q7&lt;0</formula>
    </cfRule>
  </conditionalFormatting>
  <conditionalFormatting sqref="Q8">
    <cfRule type="expression" dxfId="1168" priority="126">
      <formula>Q8&gt;0</formula>
    </cfRule>
    <cfRule type="expression" dxfId="1167" priority="127">
      <formula>Q8&lt;0</formula>
    </cfRule>
  </conditionalFormatting>
  <conditionalFormatting sqref="F169:F181">
    <cfRule type="expression" dxfId="1166" priority="124">
      <formula>F169&gt;0</formula>
    </cfRule>
    <cfRule type="expression" dxfId="1165" priority="125">
      <formula>F169&lt;0</formula>
    </cfRule>
  </conditionalFormatting>
  <conditionalFormatting sqref="H169:H181">
    <cfRule type="expression" dxfId="1164" priority="122">
      <formula>H169&gt;0</formula>
    </cfRule>
    <cfRule type="expression" dxfId="1163" priority="123">
      <formula>H169&lt;0</formula>
    </cfRule>
  </conditionalFormatting>
  <conditionalFormatting sqref="H185:H188">
    <cfRule type="expression" dxfId="1162" priority="118">
      <formula>H185&gt;0</formula>
    </cfRule>
    <cfRule type="expression" dxfId="1161" priority="119">
      <formula>H185&lt;0</formula>
    </cfRule>
  </conditionalFormatting>
  <conditionalFormatting sqref="F185:F188">
    <cfRule type="expression" dxfId="1160" priority="120">
      <formula>F185&gt;0</formula>
    </cfRule>
    <cfRule type="expression" dxfId="1159" priority="121">
      <formula>F185&lt;0</formula>
    </cfRule>
  </conditionalFormatting>
  <conditionalFormatting sqref="M211">
    <cfRule type="expression" dxfId="1158" priority="116">
      <formula>M211&gt;0</formula>
    </cfRule>
    <cfRule type="expression" dxfId="1157" priority="117">
      <formula>M211&lt;0</formula>
    </cfRule>
  </conditionalFormatting>
  <conditionalFormatting sqref="F51:F52 F59:F96">
    <cfRule type="expression" dxfId="1156" priority="114">
      <formula>F51&gt;0</formula>
    </cfRule>
    <cfRule type="expression" dxfId="1155" priority="115">
      <formula>F51&lt;0</formula>
    </cfRule>
  </conditionalFormatting>
  <conditionalFormatting sqref="H51:H52 H59:H96">
    <cfRule type="expression" dxfId="1154" priority="112">
      <formula>H51&gt;0</formula>
    </cfRule>
    <cfRule type="expression" dxfId="1153" priority="113">
      <formula>H51&lt;0</formula>
    </cfRule>
  </conditionalFormatting>
  <conditionalFormatting sqref="Q10">
    <cfRule type="expression" dxfId="1152" priority="110">
      <formula>Q10&gt;0</formula>
    </cfRule>
    <cfRule type="expression" dxfId="1151" priority="111">
      <formula>Q10&lt;0</formula>
    </cfRule>
  </conditionalFormatting>
  <conditionalFormatting sqref="F53:F58">
    <cfRule type="expression" dxfId="1150" priority="108">
      <formula>F53&gt;0</formula>
    </cfRule>
    <cfRule type="expression" dxfId="1149" priority="109">
      <formula>F53&lt;0</formula>
    </cfRule>
  </conditionalFormatting>
  <conditionalFormatting sqref="H53:H58">
    <cfRule type="expression" dxfId="1148" priority="106">
      <formula>H53&gt;0</formula>
    </cfRule>
    <cfRule type="expression" dxfId="1147" priority="107">
      <formula>H53&lt;0</formula>
    </cfRule>
  </conditionalFormatting>
  <conditionalFormatting sqref="K56:K63">
    <cfRule type="expression" dxfId="1146" priority="104">
      <formula>K56&gt;0</formula>
    </cfRule>
    <cfRule type="expression" dxfId="1145" priority="105">
      <formula>K56&lt;0</formula>
    </cfRule>
  </conditionalFormatting>
  <conditionalFormatting sqref="K64:K96">
    <cfRule type="expression" dxfId="1144" priority="102">
      <formula>K64&gt;0</formula>
    </cfRule>
    <cfRule type="expression" dxfId="1143" priority="103">
      <formula>K64&lt;0</formula>
    </cfRule>
  </conditionalFormatting>
  <conditionalFormatting sqref="F97:F98">
    <cfRule type="expression" dxfId="1142" priority="99">
      <formula>F97&gt;0</formula>
    </cfRule>
    <cfRule type="expression" dxfId="1141" priority="100">
      <formula>F97&lt;0</formula>
    </cfRule>
  </conditionalFormatting>
  <conditionalFormatting sqref="H97:H98">
    <cfRule type="expression" dxfId="1140" priority="97">
      <formula>H97&gt;0</formula>
    </cfRule>
    <cfRule type="expression" dxfId="1139" priority="98">
      <formula>H97&lt;0</formula>
    </cfRule>
  </conditionalFormatting>
  <conditionalFormatting sqref="K97:K98">
    <cfRule type="expression" dxfId="1138" priority="95">
      <formula>K97&gt;0</formula>
    </cfRule>
    <cfRule type="expression" dxfId="1137" priority="96">
      <formula>K97&lt;0</formula>
    </cfRule>
  </conditionalFormatting>
  <conditionalFormatting sqref="F107:F109 H107:H109 K107:K109">
    <cfRule type="expression" dxfId="1136" priority="91">
      <formula>F107&gt;0</formula>
    </cfRule>
    <cfRule type="expression" dxfId="1135" priority="92">
      <formula>F107&lt;0</formula>
    </cfRule>
  </conditionalFormatting>
  <conditionalFormatting sqref="L99:L105 L166">
    <cfRule type="expression" dxfId="1134" priority="89">
      <formula>L99&gt;0</formula>
    </cfRule>
    <cfRule type="expression" dxfId="1133" priority="90">
      <formula>L99&lt;0</formula>
    </cfRule>
  </conditionalFormatting>
  <conditionalFormatting sqref="L56:L63">
    <cfRule type="expression" dxfId="1132" priority="87">
      <formula>L56&gt;0</formula>
    </cfRule>
    <cfRule type="expression" dxfId="1131" priority="88">
      <formula>L56&lt;0</formula>
    </cfRule>
  </conditionalFormatting>
  <conditionalFormatting sqref="L64:L96">
    <cfRule type="expression" dxfId="1130" priority="85">
      <formula>L64&gt;0</formula>
    </cfRule>
    <cfRule type="expression" dxfId="1129" priority="86">
      <formula>L64&lt;0</formula>
    </cfRule>
  </conditionalFormatting>
  <conditionalFormatting sqref="L97:L98">
    <cfRule type="expression" dxfId="1128" priority="83">
      <formula>L97&gt;0</formula>
    </cfRule>
    <cfRule type="expression" dxfId="1127" priority="84">
      <formula>L97&lt;0</formula>
    </cfRule>
  </conditionalFormatting>
  <conditionalFormatting sqref="L107:L109">
    <cfRule type="expression" dxfId="1126" priority="81">
      <formula>L107&gt;0</formula>
    </cfRule>
    <cfRule type="expression" dxfId="1125" priority="82">
      <formula>L107&lt;0</formula>
    </cfRule>
  </conditionalFormatting>
  <conditionalFormatting sqref="F116:F119 H116:H119">
    <cfRule type="expression" dxfId="1124" priority="79">
      <formula>F116&gt;0</formula>
    </cfRule>
    <cfRule type="expression" dxfId="1123" priority="80">
      <formula>F116&lt;0</formula>
    </cfRule>
  </conditionalFormatting>
  <conditionalFormatting sqref="K113:K115 F113:F115 H113:H115">
    <cfRule type="expression" dxfId="1122" priority="75">
      <formula>F113&gt;0</formula>
    </cfRule>
    <cfRule type="expression" dxfId="1121" priority="76">
      <formula>F113&lt;0</formula>
    </cfRule>
  </conditionalFormatting>
  <conditionalFormatting sqref="L113:L114">
    <cfRule type="expression" dxfId="1120" priority="73">
      <formula>L113&gt;0</formula>
    </cfRule>
    <cfRule type="expression" dxfId="1119" priority="74">
      <formula>L113&lt;0</formula>
    </cfRule>
  </conditionalFormatting>
  <conditionalFormatting sqref="K110:K112 F110:F112 H110:H112">
    <cfRule type="expression" dxfId="1118" priority="71">
      <formula>F110&gt;0</formula>
    </cfRule>
    <cfRule type="expression" dxfId="1117" priority="72">
      <formula>F110&lt;0</formula>
    </cfRule>
  </conditionalFormatting>
  <conditionalFormatting sqref="L111:L112">
    <cfRule type="expression" dxfId="1116" priority="69">
      <formula>L111&gt;0</formula>
    </cfRule>
    <cfRule type="expression" dxfId="1115" priority="70">
      <formula>L111&lt;0</formula>
    </cfRule>
  </conditionalFormatting>
  <conditionalFormatting sqref="H121:H124 F121:F124">
    <cfRule type="expression" dxfId="1114" priority="63">
      <formula>F121&gt;0</formula>
    </cfRule>
    <cfRule type="expression" dxfId="1113" priority="64">
      <formula>F121&lt;0</formula>
    </cfRule>
  </conditionalFormatting>
  <conditionalFormatting sqref="H125:H128 F125:F128">
    <cfRule type="expression" dxfId="1112" priority="59">
      <formula>F125&gt;0</formula>
    </cfRule>
    <cfRule type="expression" dxfId="1111" priority="60">
      <formula>F125&lt;0</formula>
    </cfRule>
  </conditionalFormatting>
  <conditionalFormatting sqref="F130:F135 H130:H135 K130:K135">
    <cfRule type="expression" dxfId="1110" priority="55">
      <formula>F130&gt;0</formula>
    </cfRule>
    <cfRule type="expression" dxfId="1109" priority="56">
      <formula>F130&lt;0</formula>
    </cfRule>
  </conditionalFormatting>
  <conditionalFormatting sqref="L134:L135">
    <cfRule type="expression" dxfId="1108" priority="49">
      <formula>L134&gt;0</formula>
    </cfRule>
    <cfRule type="expression" dxfId="1107" priority="50">
      <formula>L134&lt;0</formula>
    </cfRule>
  </conditionalFormatting>
  <conditionalFormatting sqref="F136:F138 H136:H138 K136:K139">
    <cfRule type="expression" dxfId="1106" priority="47">
      <formula>F136&gt;0</formula>
    </cfRule>
    <cfRule type="expression" dxfId="1105" priority="48">
      <formula>F136&lt;0</formula>
    </cfRule>
  </conditionalFormatting>
  <conditionalFormatting sqref="F139:F141 H139:H141 K140:K141">
    <cfRule type="expression" dxfId="1104" priority="43">
      <formula>F139&gt;0</formula>
    </cfRule>
    <cfRule type="expression" dxfId="1103" priority="44">
      <formula>F139&lt;0</formula>
    </cfRule>
  </conditionalFormatting>
  <conditionalFormatting sqref="F142:F144 H142:H144 K142:K144">
    <cfRule type="expression" dxfId="1102" priority="39">
      <formula>F142&gt;0</formula>
    </cfRule>
    <cfRule type="expression" dxfId="1101" priority="40">
      <formula>F142&lt;0</formula>
    </cfRule>
  </conditionalFormatting>
  <conditionalFormatting sqref="F145:F147 H145:H147 K145:K147">
    <cfRule type="expression" dxfId="1100" priority="35">
      <formula>F145&gt;0</formula>
    </cfRule>
    <cfRule type="expression" dxfId="1099" priority="36">
      <formula>F145&lt;0</formula>
    </cfRule>
  </conditionalFormatting>
  <conditionalFormatting sqref="F148:F150 H148:H150 K148:K150">
    <cfRule type="expression" dxfId="1098" priority="31">
      <formula>F148&gt;0</formula>
    </cfRule>
    <cfRule type="expression" dxfId="1097" priority="32">
      <formula>F148&lt;0</formula>
    </cfRule>
  </conditionalFormatting>
  <conditionalFormatting sqref="K152:K154 H152:H154 F152:F154">
    <cfRule type="expression" dxfId="1096" priority="27">
      <formula>F152&gt;0</formula>
    </cfRule>
    <cfRule type="expression" dxfId="1095" priority="28">
      <formula>F152&lt;0</formula>
    </cfRule>
  </conditionalFormatting>
  <conditionalFormatting sqref="K155 H155 F155">
    <cfRule type="expression" dxfId="1094" priority="23">
      <formula>F155&gt;0</formula>
    </cfRule>
    <cfRule type="expression" dxfId="1093" priority="24">
      <formula>F155&lt;0</formula>
    </cfRule>
  </conditionalFormatting>
  <conditionalFormatting sqref="H156:H158 F156:F158 K156:K158">
    <cfRule type="expression" dxfId="1092" priority="19">
      <formula>F156&gt;0</formula>
    </cfRule>
    <cfRule type="expression" dxfId="1091" priority="20">
      <formula>F156&lt;0</formula>
    </cfRule>
  </conditionalFormatting>
  <conditionalFormatting sqref="H160:H162 F160:F162 K160:K162">
    <cfRule type="expression" dxfId="1090" priority="11">
      <formula>F160&gt;0</formula>
    </cfRule>
    <cfRule type="expression" dxfId="1089" priority="12">
      <formula>F160&lt;0</formula>
    </cfRule>
  </conditionalFormatting>
  <conditionalFormatting sqref="K159 H159 F159">
    <cfRule type="expression" dxfId="1088" priority="7">
      <formula>F159&gt;0</formula>
    </cfRule>
    <cfRule type="expression" dxfId="1087" priority="8">
      <formula>F159&lt;0</formula>
    </cfRule>
  </conditionalFormatting>
  <conditionalFormatting sqref="K163:K164 H163:H164 F163:F164">
    <cfRule type="expression" dxfId="1086" priority="3">
      <formula>F163&gt;0</formula>
    </cfRule>
    <cfRule type="expression" dxfId="1085" priority="4">
      <formula>F163&lt;0</formula>
    </cfRule>
  </conditionalFormatting>
  <conditionalFormatting sqref="L164">
    <cfRule type="expression" dxfId="1084" priority="1">
      <formula>L164&gt;0</formula>
    </cfRule>
    <cfRule type="expression" dxfId="1083" priority="2">
      <formula>L164&lt;0</formula>
    </cfRule>
  </conditionalFormatting>
  <hyperlinks>
    <hyperlink ref="A3" location="ACTIVE!A1" display="Back"/>
    <hyperlink ref="A214" location="ACTIVE!A1" display="Back"/>
    <hyperlink ref="V3" r:id="rId1"/>
  </hyperlinks>
  <pageMargins left="0.7" right="0.7" top="0.75" bottom="0.75" header="0.3" footer="0.3"/>
  <pageSetup orientation="portrait" r:id="rId2"/>
  <drawing r:id="rId3"/>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219</v>
      </c>
      <c r="B2" s="72"/>
      <c r="C2" s="4"/>
      <c r="D2" s="3"/>
      <c r="E2" s="3"/>
      <c r="F2" s="3"/>
      <c r="G2" s="72"/>
      <c r="H2" s="161"/>
      <c r="I2" s="3"/>
      <c r="J2" s="3"/>
      <c r="K2" s="3"/>
      <c r="L2" s="72"/>
      <c r="M2" s="4"/>
      <c r="O2" s="11" t="s">
        <v>57</v>
      </c>
      <c r="Q2">
        <f>C18-H18</f>
        <v>0</v>
      </c>
      <c r="T2" s="1"/>
      <c r="W2" s="130">
        <v>42830</v>
      </c>
      <c r="X2" s="10">
        <v>51.4</v>
      </c>
      <c r="Y2" s="10">
        <v>51.53</v>
      </c>
      <c r="Z2" s="10">
        <v>51.13</v>
      </c>
      <c r="AA2" s="10">
        <v>51.13</v>
      </c>
      <c r="AB2" s="93">
        <v>3904300</v>
      </c>
      <c r="AC2" s="10">
        <v>51.13</v>
      </c>
      <c r="AD2" s="2">
        <f>Y2-Z2</f>
        <v>0.39999999999999858</v>
      </c>
      <c r="AE2" s="134">
        <f>AC2/AC3-1</f>
        <v>-5.2529182879376135E-3</v>
      </c>
    </row>
    <row r="3" spans="1:31" x14ac:dyDescent="0.25">
      <c r="A3" s="22" t="s">
        <v>71</v>
      </c>
      <c r="B3" s="72"/>
      <c r="C3" s="4"/>
      <c r="D3" s="3"/>
      <c r="E3" s="3"/>
      <c r="F3" s="3"/>
      <c r="G3" s="72"/>
      <c r="H3" s="161"/>
      <c r="I3" s="3"/>
      <c r="J3" s="3"/>
      <c r="K3" s="3"/>
      <c r="L3" s="4"/>
      <c r="O3" s="11" t="s">
        <v>58</v>
      </c>
      <c r="Q3" s="178">
        <f>IF(Q2=0, Q4, (F18-K18-M18)/Q2)</f>
        <v>51.93</v>
      </c>
      <c r="T3" s="1"/>
      <c r="W3" s="130">
        <v>42829</v>
      </c>
      <c r="X3" s="10">
        <v>51.22</v>
      </c>
      <c r="Y3" s="10">
        <v>51.41</v>
      </c>
      <c r="Z3" s="10">
        <v>51.12</v>
      </c>
      <c r="AA3" s="10">
        <v>51.4</v>
      </c>
      <c r="AB3" s="93">
        <v>1760900</v>
      </c>
      <c r="AC3" s="10">
        <v>51.4</v>
      </c>
      <c r="AD3" s="2">
        <f t="shared" ref="AD3:AD66" si="0">Y3-Z3</f>
        <v>0.28999999999999915</v>
      </c>
      <c r="AE3" s="134">
        <f t="shared" ref="AE3:AE66" si="1">AC3/AC4-1</f>
        <v>7.7881619937691937E-4</v>
      </c>
    </row>
    <row r="4" spans="1:31" x14ac:dyDescent="0.25">
      <c r="B4" s="72"/>
      <c r="C4" s="4"/>
      <c r="D4" s="3"/>
      <c r="E4" s="3"/>
      <c r="F4" s="3"/>
      <c r="G4" s="4"/>
      <c r="H4" s="161"/>
      <c r="I4" s="3"/>
      <c r="J4" s="3"/>
      <c r="K4" s="3"/>
      <c r="L4" s="4"/>
      <c r="O4" s="11" t="s">
        <v>66</v>
      </c>
      <c r="Q4" s="54">
        <v>51.93</v>
      </c>
      <c r="R4" s="405">
        <v>4.4999999999999997E-3</v>
      </c>
      <c r="T4" s="156"/>
      <c r="U4" s="1"/>
      <c r="W4" s="130">
        <v>42828</v>
      </c>
      <c r="X4" s="10">
        <v>51.46</v>
      </c>
      <c r="Y4" s="10">
        <v>51.51</v>
      </c>
      <c r="Z4" s="10">
        <v>50.99</v>
      </c>
      <c r="AA4" s="10">
        <v>51.36</v>
      </c>
      <c r="AB4" s="93">
        <v>2525700</v>
      </c>
      <c r="AC4" s="10">
        <v>51.36</v>
      </c>
      <c r="AD4" s="2">
        <f t="shared" si="0"/>
        <v>0.51999999999999602</v>
      </c>
      <c r="AE4" s="134">
        <f t="shared" si="1"/>
        <v>-4.0721349621872793E-3</v>
      </c>
    </row>
    <row r="5" spans="1:31" x14ac:dyDescent="0.25">
      <c r="B5" s="72"/>
      <c r="C5" s="4"/>
      <c r="D5" s="3"/>
      <c r="E5" s="3"/>
      <c r="F5" s="3"/>
      <c r="G5" s="4"/>
      <c r="H5" s="161"/>
      <c r="I5" s="3"/>
      <c r="J5" s="3"/>
      <c r="K5" s="3"/>
      <c r="L5" s="4"/>
      <c r="O5" s="11" t="s">
        <v>67</v>
      </c>
      <c r="Q5" s="3">
        <f>Q4*Q2</f>
        <v>0</v>
      </c>
      <c r="W5" s="130">
        <v>42825</v>
      </c>
      <c r="X5" s="10">
        <v>51.4</v>
      </c>
      <c r="Y5" s="10">
        <v>51.71</v>
      </c>
      <c r="Z5" s="10">
        <v>51.36</v>
      </c>
      <c r="AA5" s="10">
        <v>51.57</v>
      </c>
      <c r="AB5" s="93">
        <v>2122200</v>
      </c>
      <c r="AC5" s="10">
        <v>51.57</v>
      </c>
      <c r="AD5" s="2">
        <f t="shared" si="0"/>
        <v>0.35000000000000142</v>
      </c>
      <c r="AE5" s="134">
        <f t="shared" si="1"/>
        <v>2.5272161741836108E-3</v>
      </c>
    </row>
    <row r="6" spans="1:31" x14ac:dyDescent="0.25">
      <c r="B6" s="72"/>
      <c r="C6" s="4"/>
      <c r="D6" s="3"/>
      <c r="E6" s="3"/>
      <c r="F6" s="3"/>
      <c r="G6" s="4"/>
      <c r="H6" s="161"/>
      <c r="I6" s="3"/>
      <c r="J6" s="3"/>
      <c r="K6" s="3"/>
      <c r="L6" s="4"/>
      <c r="O6" s="11" t="s">
        <v>64</v>
      </c>
      <c r="Q6" s="2">
        <f>Q3*Q2</f>
        <v>0</v>
      </c>
      <c r="W6" s="130">
        <v>42824</v>
      </c>
      <c r="X6" s="10">
        <v>51.51</v>
      </c>
      <c r="Y6" s="10">
        <v>51.62</v>
      </c>
      <c r="Z6" s="10">
        <v>51.41</v>
      </c>
      <c r="AA6" s="10">
        <v>51.44</v>
      </c>
      <c r="AB6" s="93">
        <v>1987100</v>
      </c>
      <c r="AC6" s="10">
        <v>51.44</v>
      </c>
      <c r="AD6" s="2">
        <f t="shared" si="0"/>
        <v>0.21000000000000085</v>
      </c>
      <c r="AE6" s="134">
        <f t="shared" si="1"/>
        <v>-2.7142303218301578E-3</v>
      </c>
    </row>
    <row r="7" spans="1:31" x14ac:dyDescent="0.25">
      <c r="B7" s="4"/>
      <c r="C7" s="4"/>
      <c r="D7" s="3"/>
      <c r="E7" s="3"/>
      <c r="F7" s="3"/>
      <c r="G7" s="4"/>
      <c r="H7" s="161"/>
      <c r="I7" s="3"/>
      <c r="J7" s="3"/>
      <c r="K7" s="3"/>
      <c r="L7" s="4"/>
      <c r="O7" s="11" t="s">
        <v>177</v>
      </c>
      <c r="Q7" s="2">
        <f>Q10+Q8</f>
        <v>257.64999999999964</v>
      </c>
      <c r="R7">
        <v>0</v>
      </c>
      <c r="W7" s="130">
        <v>42823</v>
      </c>
      <c r="X7" s="10">
        <v>51.32</v>
      </c>
      <c r="Y7" s="10">
        <v>51.58</v>
      </c>
      <c r="Z7" s="10">
        <v>51.29</v>
      </c>
      <c r="AA7" s="10">
        <v>51.58</v>
      </c>
      <c r="AB7" s="93">
        <v>3306600</v>
      </c>
      <c r="AC7" s="10">
        <v>51.58</v>
      </c>
      <c r="AD7" s="2">
        <f t="shared" si="0"/>
        <v>0.28999999999999915</v>
      </c>
      <c r="AE7" s="134">
        <f t="shared" si="1"/>
        <v>-1.1618900077460248E-3</v>
      </c>
    </row>
    <row r="8" spans="1:31" x14ac:dyDescent="0.25">
      <c r="B8" s="4"/>
      <c r="C8" s="4"/>
      <c r="D8" s="3"/>
      <c r="E8" s="3"/>
      <c r="F8" s="3"/>
      <c r="G8" s="4"/>
      <c r="H8" s="161"/>
      <c r="I8" s="3"/>
      <c r="J8" s="3"/>
      <c r="K8" s="3"/>
      <c r="L8" s="4"/>
      <c r="O8" s="11" t="s">
        <v>179</v>
      </c>
      <c r="P8" s="33"/>
      <c r="Q8" s="2">
        <f>K18+M18-F18+Q2*Q4</f>
        <v>0</v>
      </c>
      <c r="W8" s="130">
        <v>42822</v>
      </c>
      <c r="X8" s="10">
        <v>51.59</v>
      </c>
      <c r="Y8" s="10">
        <v>51.79</v>
      </c>
      <c r="Z8" s="10">
        <v>51.53</v>
      </c>
      <c r="AA8" s="10">
        <v>51.64</v>
      </c>
      <c r="AB8" s="93">
        <v>4368900</v>
      </c>
      <c r="AC8" s="10">
        <v>51.64</v>
      </c>
      <c r="AD8" s="2">
        <f t="shared" si="0"/>
        <v>0.25999999999999801</v>
      </c>
      <c r="AE8" s="134">
        <f t="shared" si="1"/>
        <v>9.6918007365753844E-4</v>
      </c>
    </row>
    <row r="9" spans="1:31" x14ac:dyDescent="0.25">
      <c r="H9" s="70"/>
      <c r="O9" s="11" t="s">
        <v>204</v>
      </c>
      <c r="Q9" s="134">
        <f>IF(Q2=0, 0, Q8/Q6)</f>
        <v>0</v>
      </c>
      <c r="W9" s="130">
        <v>42821</v>
      </c>
      <c r="X9" s="10">
        <v>51.4</v>
      </c>
      <c r="Y9" s="10">
        <v>51.63</v>
      </c>
      <c r="Z9" s="10">
        <v>51.37</v>
      </c>
      <c r="AA9" s="10">
        <v>51.59</v>
      </c>
      <c r="AB9" s="93">
        <v>2865300</v>
      </c>
      <c r="AC9" s="10">
        <v>51.59</v>
      </c>
      <c r="AD9" s="2">
        <f t="shared" si="0"/>
        <v>0.26000000000000512</v>
      </c>
      <c r="AE9" s="134">
        <f t="shared" si="1"/>
        <v>4.282655246252709E-3</v>
      </c>
    </row>
    <row r="10" spans="1:31" x14ac:dyDescent="0.25">
      <c r="H10" s="70"/>
      <c r="O10" s="11" t="s">
        <v>203</v>
      </c>
      <c r="P10" s="33"/>
      <c r="Q10" s="2">
        <f>M53</f>
        <v>257.64999999999964</v>
      </c>
      <c r="W10" s="130">
        <v>42818</v>
      </c>
      <c r="X10" s="10">
        <v>51.33</v>
      </c>
      <c r="Y10" s="10">
        <v>51.47</v>
      </c>
      <c r="Z10" s="10">
        <v>51.27</v>
      </c>
      <c r="AA10" s="10">
        <v>51.37</v>
      </c>
      <c r="AB10" s="93">
        <v>2516100</v>
      </c>
      <c r="AC10" s="10">
        <v>51.37</v>
      </c>
      <c r="AD10" s="2">
        <f t="shared" si="0"/>
        <v>0.19999999999999574</v>
      </c>
      <c r="AE10" s="134">
        <f t="shared" si="1"/>
        <v>1.7550702028079623E-3</v>
      </c>
    </row>
    <row r="11" spans="1:31" x14ac:dyDescent="0.25">
      <c r="H11" s="70"/>
      <c r="O11" s="11" t="s">
        <v>175</v>
      </c>
      <c r="P11" s="33"/>
      <c r="Q11" s="134">
        <v>0</v>
      </c>
      <c r="W11" s="130">
        <v>42817</v>
      </c>
      <c r="X11" s="10">
        <v>51.02</v>
      </c>
      <c r="Y11" s="10">
        <v>51.4</v>
      </c>
      <c r="Z11" s="10">
        <v>51.02</v>
      </c>
      <c r="AA11" s="10">
        <v>51.28</v>
      </c>
      <c r="AB11" s="93">
        <v>3068100</v>
      </c>
      <c r="AC11" s="10">
        <v>51.28</v>
      </c>
      <c r="AD11" s="2">
        <f t="shared" si="0"/>
        <v>0.37999999999999545</v>
      </c>
      <c r="AE11" s="134">
        <f t="shared" si="1"/>
        <v>3.3261592643318849E-3</v>
      </c>
    </row>
    <row r="12" spans="1:31" x14ac:dyDescent="0.25">
      <c r="H12" s="70"/>
      <c r="W12" s="130">
        <v>42816</v>
      </c>
      <c r="X12" s="10">
        <v>50.95</v>
      </c>
      <c r="Y12" s="10">
        <v>51.15</v>
      </c>
      <c r="Z12" s="10">
        <v>50.86</v>
      </c>
      <c r="AA12" s="10">
        <v>51.11</v>
      </c>
      <c r="AB12" s="93">
        <v>3695200</v>
      </c>
      <c r="AC12" s="10">
        <v>51.11</v>
      </c>
      <c r="AD12" s="2">
        <f t="shared" si="0"/>
        <v>0.28999999999999915</v>
      </c>
      <c r="AE12" s="134" t="e">
        <f t="shared" si="1"/>
        <v>#DIV/0!</v>
      </c>
    </row>
    <row r="13" spans="1:31" x14ac:dyDescent="0.25">
      <c r="H13" s="70"/>
      <c r="W13" s="130">
        <v>42816</v>
      </c>
      <c r="X13" s="10" t="s">
        <v>503</v>
      </c>
      <c r="Y13" s="10"/>
      <c r="Z13" s="10"/>
      <c r="AA13" s="10"/>
      <c r="AB13" s="93"/>
      <c r="AC13" s="10"/>
      <c r="AD13" s="2">
        <f t="shared" si="0"/>
        <v>0</v>
      </c>
      <c r="AE13" s="134">
        <f t="shared" si="1"/>
        <v>-1</v>
      </c>
    </row>
    <row r="14" spans="1:31" x14ac:dyDescent="0.25">
      <c r="H14" s="70"/>
      <c r="W14" s="130">
        <v>42815</v>
      </c>
      <c r="X14" s="10">
        <v>52.03</v>
      </c>
      <c r="Y14" s="10">
        <v>52.07</v>
      </c>
      <c r="Z14" s="10">
        <v>51.36</v>
      </c>
      <c r="AA14" s="10">
        <v>51.36</v>
      </c>
      <c r="AB14" s="93">
        <v>3094700</v>
      </c>
      <c r="AC14" s="10">
        <v>51.08</v>
      </c>
      <c r="AD14" s="2">
        <f t="shared" si="0"/>
        <v>0.71000000000000085</v>
      </c>
      <c r="AE14" s="134">
        <f t="shared" si="1"/>
        <v>-2.9279718914697606E-3</v>
      </c>
    </row>
    <row r="15" spans="1:31" x14ac:dyDescent="0.25">
      <c r="H15" s="70"/>
      <c r="W15" s="130">
        <v>42814</v>
      </c>
      <c r="X15" s="10">
        <v>51.58</v>
      </c>
      <c r="Y15" s="10">
        <v>51.71</v>
      </c>
      <c r="Z15" s="10">
        <v>51.43</v>
      </c>
      <c r="AA15" s="10">
        <v>51.51</v>
      </c>
      <c r="AB15" s="93">
        <v>2343100</v>
      </c>
      <c r="AC15" s="10">
        <v>51.23</v>
      </c>
      <c r="AD15" s="2">
        <f t="shared" si="0"/>
        <v>0.28000000000000114</v>
      </c>
      <c r="AE15" s="134">
        <f t="shared" si="1"/>
        <v>-2.3369036027264256E-3</v>
      </c>
    </row>
    <row r="16" spans="1:31" x14ac:dyDescent="0.25">
      <c r="H16" s="70"/>
      <c r="W16" s="130">
        <v>42811</v>
      </c>
      <c r="X16" s="10">
        <v>51.62</v>
      </c>
      <c r="Y16" s="10">
        <v>51.76</v>
      </c>
      <c r="Z16" s="10">
        <v>51.48</v>
      </c>
      <c r="AA16" s="10">
        <v>51.63</v>
      </c>
      <c r="AB16" s="93">
        <v>2065900</v>
      </c>
      <c r="AC16" s="10">
        <v>51.35</v>
      </c>
      <c r="AD16" s="2">
        <f t="shared" si="0"/>
        <v>0.28000000000000114</v>
      </c>
      <c r="AE16" s="134">
        <f t="shared" si="1"/>
        <v>1.3650546021841681E-3</v>
      </c>
    </row>
    <row r="17" spans="1:31" x14ac:dyDescent="0.25">
      <c r="W17" s="130">
        <v>42810</v>
      </c>
      <c r="X17" s="10">
        <v>51.4</v>
      </c>
      <c r="Y17" s="10">
        <v>51.58</v>
      </c>
      <c r="Z17" s="10">
        <v>51.3</v>
      </c>
      <c r="AA17" s="10">
        <v>51.56</v>
      </c>
      <c r="AB17" s="93">
        <v>6021600</v>
      </c>
      <c r="AC17" s="10">
        <v>51.28</v>
      </c>
      <c r="AD17" s="2">
        <f t="shared" si="0"/>
        <v>0.28000000000000114</v>
      </c>
      <c r="AE17" s="134">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42809</v>
      </c>
      <c r="X18" s="10">
        <v>50.4</v>
      </c>
      <c r="Y18" s="10">
        <v>51.04</v>
      </c>
      <c r="Z18" s="10">
        <v>50.36</v>
      </c>
      <c r="AA18" s="10">
        <v>51.03</v>
      </c>
      <c r="AB18" s="93">
        <v>3399000</v>
      </c>
      <c r="AC18" s="10">
        <v>50.75</v>
      </c>
      <c r="AD18" s="2">
        <f t="shared" si="0"/>
        <v>0.67999999999999972</v>
      </c>
      <c r="AE18" s="134">
        <f t="shared" si="1"/>
        <v>1.459416233506583E-2</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50.35</v>
      </c>
      <c r="Y19" s="10">
        <v>50.4</v>
      </c>
      <c r="Z19" s="10">
        <v>50.23</v>
      </c>
      <c r="AA19" s="10">
        <v>50.29</v>
      </c>
      <c r="AB19" s="93">
        <v>2131700</v>
      </c>
      <c r="AC19" s="10">
        <v>50.02</v>
      </c>
      <c r="AD19" s="2">
        <f t="shared" si="0"/>
        <v>0.17000000000000171</v>
      </c>
      <c r="AE19" s="134">
        <f t="shared" si="1"/>
        <v>-8.1300813008129413E-3</v>
      </c>
    </row>
    <row r="20" spans="1:31" x14ac:dyDescent="0.25">
      <c r="W20" s="130">
        <v>42807</v>
      </c>
      <c r="X20" s="10">
        <v>50.59</v>
      </c>
      <c r="Y20" s="10">
        <v>50.72</v>
      </c>
      <c r="Z20" s="10">
        <v>50.57</v>
      </c>
      <c r="AA20" s="10">
        <v>50.7</v>
      </c>
      <c r="AB20" s="93">
        <v>3142700</v>
      </c>
      <c r="AC20" s="10">
        <v>50.43</v>
      </c>
      <c r="AD20" s="2">
        <f t="shared" si="0"/>
        <v>0.14999999999999858</v>
      </c>
      <c r="AE20" s="134">
        <f t="shared" si="1"/>
        <v>3.5820895522387097E-3</v>
      </c>
    </row>
    <row r="21" spans="1:31" x14ac:dyDescent="0.25">
      <c r="W21" s="130">
        <v>42804</v>
      </c>
      <c r="X21" s="10">
        <v>50.35</v>
      </c>
      <c r="Y21" s="10">
        <v>50.56</v>
      </c>
      <c r="Z21" s="10">
        <v>50.3</v>
      </c>
      <c r="AA21" s="10">
        <v>50.52</v>
      </c>
      <c r="AB21" s="93">
        <v>3818800</v>
      </c>
      <c r="AC21" s="10">
        <v>50.25</v>
      </c>
      <c r="AD21" s="2">
        <f t="shared" si="0"/>
        <v>0.26000000000000512</v>
      </c>
      <c r="AE21" s="134">
        <f t="shared" si="1"/>
        <v>9.0361445783133654E-3</v>
      </c>
    </row>
    <row r="22" spans="1:31" x14ac:dyDescent="0.25">
      <c r="W22" s="130">
        <v>42803</v>
      </c>
      <c r="X22" s="10">
        <v>49.95</v>
      </c>
      <c r="Y22" s="10">
        <v>50.08</v>
      </c>
      <c r="Z22" s="10">
        <v>49.89</v>
      </c>
      <c r="AA22" s="10">
        <v>50.07</v>
      </c>
      <c r="AB22" s="93">
        <v>2403700</v>
      </c>
      <c r="AC22" s="10">
        <v>49.8</v>
      </c>
      <c r="AD22" s="2">
        <f t="shared" si="0"/>
        <v>0.18999999999999773</v>
      </c>
      <c r="AE22" s="134">
        <f t="shared" si="1"/>
        <v>7.6891946580330828E-3</v>
      </c>
    </row>
    <row r="23" spans="1:31" x14ac:dyDescent="0.25">
      <c r="W23" s="130">
        <v>42802</v>
      </c>
      <c r="X23" s="10">
        <v>49.92</v>
      </c>
      <c r="Y23" s="10">
        <v>49.95</v>
      </c>
      <c r="Z23" s="10">
        <v>49.68</v>
      </c>
      <c r="AA23" s="10">
        <v>49.69</v>
      </c>
      <c r="AB23" s="93">
        <v>2809700</v>
      </c>
      <c r="AC23" s="10">
        <v>49.42</v>
      </c>
      <c r="AD23" s="2">
        <f t="shared" si="0"/>
        <v>0.27000000000000313</v>
      </c>
      <c r="AE23" s="134">
        <f t="shared" si="1"/>
        <v>-4.0306328093510091E-3</v>
      </c>
    </row>
    <row r="24" spans="1:31" x14ac:dyDescent="0.25">
      <c r="B24" s="162" t="s">
        <v>113</v>
      </c>
      <c r="C24" s="162" t="s">
        <v>145</v>
      </c>
      <c r="D24" s="163" t="s">
        <v>144</v>
      </c>
      <c r="E24" s="165" t="s">
        <v>146</v>
      </c>
      <c r="F24" s="165" t="s">
        <v>65</v>
      </c>
      <c r="G24" s="177" t="s">
        <v>150</v>
      </c>
      <c r="H24" s="177" t="s">
        <v>88</v>
      </c>
      <c r="I24" s="177" t="s">
        <v>153</v>
      </c>
      <c r="W24" s="130">
        <v>42801</v>
      </c>
      <c r="X24" s="10">
        <v>49.87</v>
      </c>
      <c r="Y24" s="10">
        <v>49.98</v>
      </c>
      <c r="Z24" s="10">
        <v>49.76</v>
      </c>
      <c r="AA24" s="10">
        <v>49.89</v>
      </c>
      <c r="AB24" s="93">
        <v>2096500</v>
      </c>
      <c r="AC24" s="10">
        <v>49.62</v>
      </c>
      <c r="AD24" s="2">
        <f t="shared" si="0"/>
        <v>0.21999999999999886</v>
      </c>
      <c r="AE24" s="134">
        <f t="shared" si="1"/>
        <v>-5.0130338881090308E-3</v>
      </c>
    </row>
    <row r="25" spans="1:31" x14ac:dyDescent="0.25">
      <c r="B25" s="164">
        <v>42545</v>
      </c>
      <c r="C25" s="10">
        <v>100</v>
      </c>
      <c r="D25" s="39">
        <v>45.25</v>
      </c>
      <c r="E25" s="39">
        <v>45.25</v>
      </c>
      <c r="F25" s="39">
        <f t="shared" ref="F25:F37" si="2">C25*(E25-D25)</f>
        <v>0</v>
      </c>
      <c r="G25" s="39">
        <f t="shared" ref="G25:G37" si="3">D25*C25</f>
        <v>4525</v>
      </c>
      <c r="H25" s="179">
        <f t="shared" ref="H25:H37" si="4">(E25-D25)/D25</f>
        <v>0</v>
      </c>
      <c r="I25" s="39"/>
      <c r="W25" s="130">
        <v>42800</v>
      </c>
      <c r="X25" s="10">
        <v>50.2</v>
      </c>
      <c r="Y25" s="10">
        <v>50.2</v>
      </c>
      <c r="Z25" s="10">
        <v>50.02</v>
      </c>
      <c r="AA25" s="10">
        <v>50.14</v>
      </c>
      <c r="AB25" s="93">
        <v>3400500</v>
      </c>
      <c r="AC25" s="10">
        <v>49.87</v>
      </c>
      <c r="AD25" s="2">
        <f t="shared" si="0"/>
        <v>0.17999999999999972</v>
      </c>
      <c r="AE25" s="134">
        <f t="shared" si="1"/>
        <v>-4.7894631810018184E-3</v>
      </c>
    </row>
    <row r="26" spans="1:31" x14ac:dyDescent="0.25">
      <c r="B26" s="164">
        <v>42549</v>
      </c>
      <c r="C26" s="10">
        <v>100</v>
      </c>
      <c r="D26" s="39">
        <v>45.25</v>
      </c>
      <c r="E26" s="39">
        <v>44.74</v>
      </c>
      <c r="F26" s="39">
        <f t="shared" si="2"/>
        <v>-50.999999999999801</v>
      </c>
      <c r="G26" s="39">
        <f t="shared" si="3"/>
        <v>4525</v>
      </c>
      <c r="H26" s="179">
        <f t="shared" si="4"/>
        <v>-1.1270718232044155E-2</v>
      </c>
      <c r="I26" s="39"/>
      <c r="W26" s="130">
        <v>42797</v>
      </c>
      <c r="X26" s="10">
        <v>50.11</v>
      </c>
      <c r="Y26" s="10">
        <v>50.45</v>
      </c>
      <c r="Z26" s="10">
        <v>50.05</v>
      </c>
      <c r="AA26" s="10">
        <v>50.38</v>
      </c>
      <c r="AB26" s="93">
        <v>4847800</v>
      </c>
      <c r="AC26" s="10">
        <v>50.11</v>
      </c>
      <c r="AD26" s="2">
        <f t="shared" si="0"/>
        <v>0.40000000000000568</v>
      </c>
      <c r="AE26" s="134">
        <f t="shared" si="1"/>
        <v>8.046670690001978E-3</v>
      </c>
    </row>
    <row r="27" spans="1:31" x14ac:dyDescent="0.25">
      <c r="B27" s="164">
        <v>42550</v>
      </c>
      <c r="C27" s="10">
        <v>100</v>
      </c>
      <c r="D27" s="39">
        <v>45.25</v>
      </c>
      <c r="E27" s="39">
        <v>45.65</v>
      </c>
      <c r="F27" s="39">
        <f t="shared" si="2"/>
        <v>39.999999999999858</v>
      </c>
      <c r="G27" s="39">
        <f t="shared" si="3"/>
        <v>4525</v>
      </c>
      <c r="H27" s="179">
        <f t="shared" si="4"/>
        <v>8.8397790055248313E-3</v>
      </c>
      <c r="I27" s="39"/>
      <c r="W27" s="130">
        <v>42796</v>
      </c>
      <c r="X27" s="10">
        <v>50.02</v>
      </c>
      <c r="Y27" s="10">
        <v>50.14</v>
      </c>
      <c r="Z27" s="10">
        <v>49.96</v>
      </c>
      <c r="AA27" s="10">
        <v>49.98</v>
      </c>
      <c r="AB27" s="93">
        <v>2195800</v>
      </c>
      <c r="AC27" s="10">
        <v>49.71</v>
      </c>
      <c r="AD27" s="2">
        <f t="shared" si="0"/>
        <v>0.17999999999999972</v>
      </c>
      <c r="AE27" s="134">
        <f t="shared" si="1"/>
        <v>-3.8076152304609145E-3</v>
      </c>
    </row>
    <row r="28" spans="1:31" x14ac:dyDescent="0.25">
      <c r="B28" s="164">
        <v>42552</v>
      </c>
      <c r="C28" s="10">
        <v>100</v>
      </c>
      <c r="D28" s="39">
        <v>45.25</v>
      </c>
      <c r="E28" s="39">
        <v>46.72</v>
      </c>
      <c r="F28" s="39">
        <f t="shared" si="2"/>
        <v>146.99999999999989</v>
      </c>
      <c r="G28" s="39">
        <f t="shared" si="3"/>
        <v>4525</v>
      </c>
      <c r="H28" s="179">
        <f t="shared" si="4"/>
        <v>3.2486187845303841E-2</v>
      </c>
      <c r="I28" s="39"/>
      <c r="W28" s="130">
        <v>42795</v>
      </c>
      <c r="X28" s="10">
        <v>49.98</v>
      </c>
      <c r="Y28" s="10">
        <v>50.32</v>
      </c>
      <c r="Z28" s="10">
        <v>49.96</v>
      </c>
      <c r="AA28" s="10">
        <v>50.17</v>
      </c>
      <c r="AB28" s="93">
        <v>3855500</v>
      </c>
      <c r="AC28" s="10">
        <v>49.9</v>
      </c>
      <c r="AD28" s="2">
        <f t="shared" si="0"/>
        <v>0.35999999999999943</v>
      </c>
      <c r="AE28" s="134">
        <f t="shared" si="1"/>
        <v>1.0530579181854849E-2</v>
      </c>
    </row>
    <row r="29" spans="1:31" x14ac:dyDescent="0.25">
      <c r="B29" s="164">
        <v>42556</v>
      </c>
      <c r="C29" s="10">
        <v>100</v>
      </c>
      <c r="D29" s="39">
        <v>45.25</v>
      </c>
      <c r="E29" s="39">
        <v>45.25</v>
      </c>
      <c r="F29" s="39">
        <f t="shared" si="2"/>
        <v>0</v>
      </c>
      <c r="G29" s="39">
        <f t="shared" si="3"/>
        <v>4525</v>
      </c>
      <c r="H29" s="179">
        <f t="shared" si="4"/>
        <v>0</v>
      </c>
      <c r="I29" s="39"/>
      <c r="W29" s="130">
        <v>42794</v>
      </c>
      <c r="X29" s="10">
        <v>49.66</v>
      </c>
      <c r="Y29" s="10">
        <v>49.84</v>
      </c>
      <c r="Z29" s="10">
        <v>49.59</v>
      </c>
      <c r="AA29" s="10">
        <v>49.65</v>
      </c>
      <c r="AB29" s="93">
        <v>3687600</v>
      </c>
      <c r="AC29" s="10">
        <v>49.38</v>
      </c>
      <c r="AD29" s="2">
        <f t="shared" si="0"/>
        <v>0.25</v>
      </c>
      <c r="AE29" s="134">
        <f t="shared" si="1"/>
        <v>-1.011531458628312E-3</v>
      </c>
    </row>
    <row r="30" spans="1:31" x14ac:dyDescent="0.25">
      <c r="B30" s="164">
        <v>42562</v>
      </c>
      <c r="C30" s="10">
        <v>100</v>
      </c>
      <c r="D30" s="39">
        <v>45.25</v>
      </c>
      <c r="E30" s="39">
        <v>46.34</v>
      </c>
      <c r="F30" s="39">
        <f t="shared" si="2"/>
        <v>109.00000000000034</v>
      </c>
      <c r="G30" s="39">
        <f t="shared" si="3"/>
        <v>4525</v>
      </c>
      <c r="H30" s="179">
        <f t="shared" si="4"/>
        <v>2.4088397790055324E-2</v>
      </c>
      <c r="I30" s="39"/>
      <c r="W30" s="130">
        <v>42793</v>
      </c>
      <c r="X30" s="10">
        <v>49.48</v>
      </c>
      <c r="Y30" s="10">
        <v>49.73</v>
      </c>
      <c r="Z30" s="10">
        <v>49.47</v>
      </c>
      <c r="AA30" s="10">
        <v>49.7</v>
      </c>
      <c r="AB30" s="93">
        <v>1937800</v>
      </c>
      <c r="AC30" s="10">
        <v>49.43</v>
      </c>
      <c r="AD30" s="2">
        <f t="shared" si="0"/>
        <v>0.25999999999999801</v>
      </c>
      <c r="AE30" s="134">
        <f t="shared" si="1"/>
        <v>2.4335834516324706E-3</v>
      </c>
    </row>
    <row r="31" spans="1:31" x14ac:dyDescent="0.25">
      <c r="B31" s="164">
        <v>42563</v>
      </c>
      <c r="C31" s="10">
        <v>100</v>
      </c>
      <c r="D31" s="39">
        <v>45.25</v>
      </c>
      <c r="E31" s="39">
        <v>47.02</v>
      </c>
      <c r="F31" s="39">
        <f t="shared" si="2"/>
        <v>177.00000000000031</v>
      </c>
      <c r="G31" s="39">
        <f t="shared" si="3"/>
        <v>4525</v>
      </c>
      <c r="H31" s="179">
        <f t="shared" si="4"/>
        <v>3.9116022099447582E-2</v>
      </c>
      <c r="I31" s="39"/>
      <c r="W31" s="130">
        <v>42790</v>
      </c>
      <c r="X31" s="10">
        <v>49.4</v>
      </c>
      <c r="Y31" s="10">
        <v>49.64</v>
      </c>
      <c r="Z31" s="10">
        <v>49.37</v>
      </c>
      <c r="AA31" s="10">
        <v>49.58</v>
      </c>
      <c r="AB31" s="93">
        <v>2722600</v>
      </c>
      <c r="AC31" s="10">
        <v>49.31</v>
      </c>
      <c r="AD31" s="2">
        <f t="shared" si="0"/>
        <v>0.27000000000000313</v>
      </c>
      <c r="AE31" s="134">
        <f t="shared" si="1"/>
        <v>-9.0434083601285131E-3</v>
      </c>
    </row>
    <row r="32" spans="1:31" x14ac:dyDescent="0.25">
      <c r="B32" s="164">
        <v>42566</v>
      </c>
      <c r="C32" s="10">
        <v>100</v>
      </c>
      <c r="D32" s="39">
        <v>45.25</v>
      </c>
      <c r="E32" s="39">
        <v>47.22</v>
      </c>
      <c r="F32" s="39">
        <f t="shared" si="2"/>
        <v>196.99999999999989</v>
      </c>
      <c r="G32" s="39">
        <f t="shared" si="3"/>
        <v>4525</v>
      </c>
      <c r="H32" s="179">
        <f t="shared" si="4"/>
        <v>4.3535911602209917E-2</v>
      </c>
      <c r="I32" s="39"/>
      <c r="W32" s="130">
        <v>42789</v>
      </c>
      <c r="X32" s="10">
        <v>50.06</v>
      </c>
      <c r="Y32" s="10">
        <v>50.1</v>
      </c>
      <c r="Z32" s="10">
        <v>49.9</v>
      </c>
      <c r="AA32" s="10">
        <v>50.03</v>
      </c>
      <c r="AB32" s="93">
        <v>2126800</v>
      </c>
      <c r="AC32" s="10">
        <v>49.76</v>
      </c>
      <c r="AD32" s="2">
        <f t="shared" si="0"/>
        <v>0.20000000000000284</v>
      </c>
      <c r="AE32" s="134">
        <f t="shared" si="1"/>
        <v>2.4174053182917099E-3</v>
      </c>
    </row>
    <row r="33" spans="2:31" x14ac:dyDescent="0.25">
      <c r="B33" s="164">
        <v>42570</v>
      </c>
      <c r="C33" s="10">
        <v>100</v>
      </c>
      <c r="D33" s="39">
        <v>45.25</v>
      </c>
      <c r="E33" s="39">
        <v>46.95</v>
      </c>
      <c r="F33" s="39">
        <f t="shared" si="2"/>
        <v>170.00000000000028</v>
      </c>
      <c r="G33" s="39">
        <f t="shared" si="3"/>
        <v>4525</v>
      </c>
      <c r="H33" s="179">
        <f t="shared" si="4"/>
        <v>3.7569060773480725E-2</v>
      </c>
      <c r="I33" s="39"/>
      <c r="W33" s="130">
        <v>42788</v>
      </c>
      <c r="X33" s="10">
        <v>49.63</v>
      </c>
      <c r="Y33" s="10">
        <v>49.94</v>
      </c>
      <c r="Z33" s="10">
        <v>49.57</v>
      </c>
      <c r="AA33" s="10">
        <v>49.91</v>
      </c>
      <c r="AB33" s="93">
        <v>4094600</v>
      </c>
      <c r="AC33" s="10">
        <v>49.64</v>
      </c>
      <c r="AD33" s="2">
        <f t="shared" si="0"/>
        <v>0.36999999999999744</v>
      </c>
      <c r="AE33" s="134">
        <f t="shared" si="1"/>
        <v>-2.0140986908356862E-4</v>
      </c>
    </row>
    <row r="34" spans="2:31" x14ac:dyDescent="0.25">
      <c r="B34" s="164">
        <v>42571</v>
      </c>
      <c r="C34" s="10">
        <v>100</v>
      </c>
      <c r="D34" s="39">
        <v>45.25</v>
      </c>
      <c r="E34" s="39">
        <v>47.4</v>
      </c>
      <c r="F34" s="39">
        <f t="shared" si="2"/>
        <v>214.99999999999986</v>
      </c>
      <c r="G34" s="39">
        <f t="shared" si="3"/>
        <v>4525</v>
      </c>
      <c r="H34" s="179">
        <f t="shared" si="4"/>
        <v>4.7513812154696099E-2</v>
      </c>
      <c r="I34" s="39"/>
      <c r="W34" s="130">
        <v>42787</v>
      </c>
      <c r="X34" s="10">
        <v>49.7</v>
      </c>
      <c r="Y34" s="10">
        <v>49.94</v>
      </c>
      <c r="Z34" s="10">
        <v>49.69</v>
      </c>
      <c r="AA34" s="10">
        <v>49.92</v>
      </c>
      <c r="AB34" s="93">
        <v>3164300</v>
      </c>
      <c r="AC34" s="10">
        <v>49.65</v>
      </c>
      <c r="AD34" s="2">
        <f t="shared" si="0"/>
        <v>0.25</v>
      </c>
      <c r="AE34" s="134">
        <f t="shared" si="1"/>
        <v>2.014504431908648E-4</v>
      </c>
    </row>
    <row r="35" spans="2:31" x14ac:dyDescent="0.25">
      <c r="B35" s="164">
        <v>42572</v>
      </c>
      <c r="C35" s="10">
        <v>100</v>
      </c>
      <c r="D35" s="39">
        <v>45.25</v>
      </c>
      <c r="E35" s="39">
        <v>47.26</v>
      </c>
      <c r="F35" s="39">
        <f t="shared" si="2"/>
        <v>200.9999999999998</v>
      </c>
      <c r="G35" s="39">
        <f t="shared" si="3"/>
        <v>4525</v>
      </c>
      <c r="H35" s="179">
        <f t="shared" si="4"/>
        <v>4.4419889502762384E-2</v>
      </c>
      <c r="I35" s="39"/>
      <c r="W35" s="130">
        <v>42783</v>
      </c>
      <c r="X35" s="10">
        <v>49.77</v>
      </c>
      <c r="Y35" s="10">
        <v>49.92</v>
      </c>
      <c r="Z35" s="10">
        <v>49.71</v>
      </c>
      <c r="AA35" s="10">
        <v>49.91</v>
      </c>
      <c r="AB35" s="93">
        <v>3813200</v>
      </c>
      <c r="AC35" s="10">
        <v>49.64</v>
      </c>
      <c r="AD35" s="2">
        <f t="shared" si="0"/>
        <v>0.21000000000000085</v>
      </c>
      <c r="AE35" s="134">
        <f t="shared" si="1"/>
        <v>-3.6130068245684432E-3</v>
      </c>
    </row>
    <row r="36" spans="2:31" x14ac:dyDescent="0.25">
      <c r="B36" s="164">
        <v>42576</v>
      </c>
      <c r="C36" s="10">
        <v>100</v>
      </c>
      <c r="D36" s="39">
        <v>45.25</v>
      </c>
      <c r="E36" s="39">
        <v>47.34</v>
      </c>
      <c r="F36" s="39">
        <f t="shared" si="2"/>
        <v>209.00000000000034</v>
      </c>
      <c r="G36" s="39">
        <f t="shared" si="3"/>
        <v>4525</v>
      </c>
      <c r="H36" s="179">
        <f t="shared" si="4"/>
        <v>4.6187845303867478E-2</v>
      </c>
      <c r="I36" s="39"/>
      <c r="W36" s="130">
        <v>42782</v>
      </c>
      <c r="X36" s="10">
        <v>49.96</v>
      </c>
      <c r="Y36" s="10">
        <v>50.09</v>
      </c>
      <c r="Z36" s="10">
        <v>49.93</v>
      </c>
      <c r="AA36" s="10">
        <v>50.09</v>
      </c>
      <c r="AB36" s="93">
        <v>2035500</v>
      </c>
      <c r="AC36" s="10">
        <v>49.82</v>
      </c>
      <c r="AD36" s="2">
        <f t="shared" si="0"/>
        <v>0.16000000000000369</v>
      </c>
      <c r="AE36" s="134">
        <f t="shared" si="1"/>
        <v>4.0306328093511201E-3</v>
      </c>
    </row>
    <row r="37" spans="2:31" x14ac:dyDescent="0.25">
      <c r="B37" s="164">
        <v>42577</v>
      </c>
      <c r="C37" s="10">
        <v>50</v>
      </c>
      <c r="D37" s="39">
        <v>43.000999999999998</v>
      </c>
      <c r="E37" s="39">
        <v>47.5</v>
      </c>
      <c r="F37" s="39">
        <f t="shared" si="2"/>
        <v>224.9500000000001</v>
      </c>
      <c r="G37" s="39">
        <f t="shared" si="3"/>
        <v>2150.0499999999997</v>
      </c>
      <c r="H37" s="179">
        <f t="shared" si="4"/>
        <v>0.10462547382619015</v>
      </c>
      <c r="I37" s="39"/>
      <c r="W37" s="130">
        <v>42781</v>
      </c>
      <c r="X37" s="10">
        <v>49.47</v>
      </c>
      <c r="Y37" s="10">
        <v>49.89</v>
      </c>
      <c r="Z37" s="10">
        <v>49.44</v>
      </c>
      <c r="AA37" s="10">
        <v>49.89</v>
      </c>
      <c r="AB37" s="93">
        <v>3167700</v>
      </c>
      <c r="AC37" s="10">
        <v>49.62</v>
      </c>
      <c r="AD37" s="2">
        <f t="shared" si="0"/>
        <v>0.45000000000000284</v>
      </c>
      <c r="AE37" s="134">
        <f t="shared" si="1"/>
        <v>4.6568131200648288E-3</v>
      </c>
    </row>
    <row r="38" spans="2:31" x14ac:dyDescent="0.25">
      <c r="B38" s="164">
        <v>42580</v>
      </c>
      <c r="C38" s="10">
        <v>0</v>
      </c>
      <c r="D38" s="39"/>
      <c r="E38" s="39"/>
      <c r="F38" s="39">
        <v>257.89999999999998</v>
      </c>
      <c r="G38" s="39"/>
      <c r="H38" s="179"/>
      <c r="I38" s="39"/>
      <c r="W38" s="130">
        <v>42780</v>
      </c>
      <c r="X38" s="10">
        <v>49.63</v>
      </c>
      <c r="Y38" s="10">
        <v>49.69</v>
      </c>
      <c r="Z38" s="10">
        <v>49.44</v>
      </c>
      <c r="AA38" s="10">
        <v>49.66</v>
      </c>
      <c r="AB38" s="93">
        <v>2379000</v>
      </c>
      <c r="AC38" s="10">
        <v>49.39</v>
      </c>
      <c r="AD38" s="2">
        <f t="shared" si="0"/>
        <v>0.25</v>
      </c>
      <c r="AE38" s="134">
        <f t="shared" si="1"/>
        <v>2.0251113811253774E-4</v>
      </c>
    </row>
    <row r="39" spans="2:31" x14ac:dyDescent="0.25">
      <c r="B39" s="164"/>
      <c r="C39" s="10"/>
      <c r="D39" s="39"/>
      <c r="E39" s="39"/>
      <c r="F39" s="39"/>
      <c r="G39" s="39"/>
      <c r="H39" s="179"/>
      <c r="I39" s="39"/>
      <c r="W39" s="130">
        <v>42779</v>
      </c>
      <c r="X39" s="10">
        <v>49.74</v>
      </c>
      <c r="Y39" s="10">
        <v>49.76</v>
      </c>
      <c r="Z39" s="10">
        <v>49.6</v>
      </c>
      <c r="AA39" s="10">
        <v>49.65</v>
      </c>
      <c r="AB39" s="93">
        <v>2474800</v>
      </c>
      <c r="AC39" s="10">
        <v>49.38</v>
      </c>
      <c r="AD39" s="2">
        <f t="shared" si="0"/>
        <v>0.15999999999999659</v>
      </c>
      <c r="AE39" s="134">
        <f t="shared" si="1"/>
        <v>3.6585365853658569E-3</v>
      </c>
    </row>
    <row r="40" spans="2:31" ht="20.25" thickBot="1" x14ac:dyDescent="0.35">
      <c r="B40" s="164"/>
      <c r="C40" s="10"/>
      <c r="D40" s="39"/>
      <c r="E40" s="39"/>
      <c r="F40" s="39"/>
      <c r="G40" s="39"/>
      <c r="H40" s="179"/>
      <c r="I40" s="39"/>
      <c r="O40" s="884" t="s">
        <v>78</v>
      </c>
      <c r="P40" s="884"/>
      <c r="W40" s="130">
        <v>42776</v>
      </c>
      <c r="X40" s="10">
        <v>49.3</v>
      </c>
      <c r="Y40" s="10">
        <v>49.53</v>
      </c>
      <c r="Z40" s="10">
        <v>49.27</v>
      </c>
      <c r="AA40" s="10">
        <v>49.47</v>
      </c>
      <c r="AB40" s="93">
        <v>2778800</v>
      </c>
      <c r="AC40" s="10">
        <v>49.2</v>
      </c>
      <c r="AD40" s="2">
        <f t="shared" si="0"/>
        <v>0.25999999999999801</v>
      </c>
      <c r="AE40" s="134">
        <f t="shared" si="1"/>
        <v>2.0329335230750978E-4</v>
      </c>
    </row>
    <row r="41" spans="2:31" ht="15.75" thickTop="1" x14ac:dyDescent="0.25">
      <c r="B41" s="164"/>
      <c r="C41" s="10"/>
      <c r="D41" s="39"/>
      <c r="E41" s="39"/>
      <c r="F41" s="39"/>
      <c r="G41" s="39"/>
      <c r="H41" s="179"/>
      <c r="I41" s="39"/>
      <c r="O41" s="81">
        <v>1.1000000000000001</v>
      </c>
      <c r="P41" s="81">
        <f>O41*$Q$4</f>
        <v>57.123000000000005</v>
      </c>
      <c r="Q41" s="2"/>
      <c r="W41" s="130">
        <v>42775</v>
      </c>
      <c r="X41" s="10">
        <v>49.44</v>
      </c>
      <c r="Y41" s="10">
        <v>49.57</v>
      </c>
      <c r="Z41" s="10">
        <v>49.37</v>
      </c>
      <c r="AA41" s="10">
        <v>49.46</v>
      </c>
      <c r="AB41" s="93">
        <v>3598000</v>
      </c>
      <c r="AC41" s="10">
        <v>49.19</v>
      </c>
      <c r="AD41" s="2">
        <f t="shared" si="0"/>
        <v>0.20000000000000284</v>
      </c>
      <c r="AE41" s="134">
        <f t="shared" si="1"/>
        <v>3.4679722562218629E-3</v>
      </c>
    </row>
    <row r="42" spans="2:31" ht="20.25" thickBot="1" x14ac:dyDescent="0.35">
      <c r="B42" s="164"/>
      <c r="C42" s="10"/>
      <c r="D42" s="39"/>
      <c r="E42" s="39"/>
      <c r="F42" s="39"/>
      <c r="G42" s="39"/>
      <c r="H42" s="179"/>
      <c r="I42" s="39"/>
      <c r="O42" s="81">
        <v>1.0900000000000001</v>
      </c>
      <c r="P42" s="81">
        <f t="shared" ref="P42:P61" si="5">O42*$Q$4</f>
        <v>56.603700000000003</v>
      </c>
      <c r="Q42" s="2"/>
      <c r="T42" s="89" t="s">
        <v>112</v>
      </c>
      <c r="W42" s="130">
        <v>42774</v>
      </c>
      <c r="X42" s="10">
        <v>49.09</v>
      </c>
      <c r="Y42" s="10">
        <v>49.3</v>
      </c>
      <c r="Z42" s="10">
        <v>48.99</v>
      </c>
      <c r="AA42" s="10">
        <v>49.29</v>
      </c>
      <c r="AB42" s="93">
        <v>1506200</v>
      </c>
      <c r="AC42" s="10">
        <v>49.02</v>
      </c>
      <c r="AD42" s="2">
        <f t="shared" si="0"/>
        <v>0.30999999999999517</v>
      </c>
      <c r="AE42" s="134">
        <f t="shared" si="1"/>
        <v>1.8393623543839777E-3</v>
      </c>
    </row>
    <row r="43" spans="2:31" ht="15.75" thickTop="1" x14ac:dyDescent="0.25">
      <c r="B43" s="164"/>
      <c r="C43" s="10"/>
      <c r="D43" s="39"/>
      <c r="E43" s="39"/>
      <c r="F43" s="39"/>
      <c r="G43" s="39"/>
      <c r="H43" s="179"/>
      <c r="I43" s="39"/>
      <c r="O43" s="81">
        <v>1.08</v>
      </c>
      <c r="P43" s="81">
        <f t="shared" si="5"/>
        <v>56.084400000000002</v>
      </c>
      <c r="Q43" s="2"/>
      <c r="T43" s="125" t="s">
        <v>97</v>
      </c>
      <c r="U43" s="96">
        <v>51.4</v>
      </c>
      <c r="W43" s="130">
        <v>42773</v>
      </c>
      <c r="X43" s="10">
        <v>49.07</v>
      </c>
      <c r="Y43" s="10">
        <v>49.22</v>
      </c>
      <c r="Z43" s="10">
        <v>49.07</v>
      </c>
      <c r="AA43" s="10">
        <v>49.2</v>
      </c>
      <c r="AB43" s="93">
        <v>2331600</v>
      </c>
      <c r="AC43" s="10">
        <v>48.93</v>
      </c>
      <c r="AD43" s="2">
        <f t="shared" si="0"/>
        <v>0.14999999999999858</v>
      </c>
      <c r="AE43" s="134">
        <f t="shared" si="1"/>
        <v>4.0891433244749642E-4</v>
      </c>
    </row>
    <row r="44" spans="2:31" x14ac:dyDescent="0.25">
      <c r="B44" s="164"/>
      <c r="C44" s="10"/>
      <c r="D44" s="39"/>
      <c r="E44" s="39"/>
      <c r="F44" s="39"/>
      <c r="G44" s="39"/>
      <c r="H44" s="179"/>
      <c r="I44" s="39"/>
      <c r="O44" s="81">
        <v>1.07</v>
      </c>
      <c r="P44" s="81">
        <f t="shared" si="5"/>
        <v>55.565100000000001</v>
      </c>
      <c r="Q44" s="2"/>
      <c r="T44" s="91" t="s">
        <v>98</v>
      </c>
      <c r="U44" s="86">
        <v>51.4</v>
      </c>
      <c r="W44" s="130">
        <v>42772</v>
      </c>
      <c r="X44" s="10">
        <v>49.15</v>
      </c>
      <c r="Y44" s="10">
        <v>49.23</v>
      </c>
      <c r="Z44" s="10">
        <v>49.03</v>
      </c>
      <c r="AA44" s="10">
        <v>49.18</v>
      </c>
      <c r="AB44" s="93">
        <v>2345600</v>
      </c>
      <c r="AC44" s="10">
        <v>48.91</v>
      </c>
      <c r="AD44" s="2">
        <f t="shared" si="0"/>
        <v>0.19999999999999574</v>
      </c>
      <c r="AE44" s="134">
        <f t="shared" si="1"/>
        <v>-9.5180234912921602E-3</v>
      </c>
    </row>
    <row r="45" spans="2:31" x14ac:dyDescent="0.25">
      <c r="B45" s="164"/>
      <c r="C45" s="10"/>
      <c r="D45" s="39"/>
      <c r="E45" s="39"/>
      <c r="F45" s="39"/>
      <c r="G45" s="39"/>
      <c r="H45" s="179"/>
      <c r="I45" s="39"/>
      <c r="O45" s="81">
        <v>1.06</v>
      </c>
      <c r="P45" s="81">
        <f t="shared" si="5"/>
        <v>55.0458</v>
      </c>
      <c r="Q45" s="2"/>
      <c r="T45" s="91" t="s">
        <v>99</v>
      </c>
      <c r="U45" s="86" t="s">
        <v>128</v>
      </c>
      <c r="W45" s="130">
        <v>42769</v>
      </c>
      <c r="X45" s="10">
        <v>49.62</v>
      </c>
      <c r="Y45" s="10">
        <v>49.76</v>
      </c>
      <c r="Z45" s="10">
        <v>49.55</v>
      </c>
      <c r="AA45" s="10">
        <v>49.65</v>
      </c>
      <c r="AB45" s="93">
        <v>1961400</v>
      </c>
      <c r="AC45" s="10">
        <v>49.38</v>
      </c>
      <c r="AD45" s="2">
        <f t="shared" si="0"/>
        <v>0.21000000000000085</v>
      </c>
      <c r="AE45" s="134">
        <f t="shared" si="1"/>
        <v>3.6585365853658569E-3</v>
      </c>
    </row>
    <row r="46" spans="2:31" x14ac:dyDescent="0.25">
      <c r="B46" s="164"/>
      <c r="C46" s="10"/>
      <c r="D46" s="39"/>
      <c r="E46" s="39"/>
      <c r="F46" s="39"/>
      <c r="G46" s="39"/>
      <c r="H46" s="179"/>
      <c r="I46" s="39"/>
      <c r="O46" s="81">
        <v>1.05</v>
      </c>
      <c r="P46" s="81">
        <f t="shared" si="5"/>
        <v>54.526499999999999</v>
      </c>
      <c r="Q46" s="2"/>
      <c r="T46" s="91" t="s">
        <v>100</v>
      </c>
      <c r="U46" s="86" t="s">
        <v>128</v>
      </c>
      <c r="W46" s="130">
        <v>42768</v>
      </c>
      <c r="X46" s="10">
        <v>49.58</v>
      </c>
      <c r="Y46" s="10">
        <v>49.65</v>
      </c>
      <c r="Z46" s="10">
        <v>49.36</v>
      </c>
      <c r="AA46" s="10">
        <v>49.47</v>
      </c>
      <c r="AB46" s="93">
        <v>2448500</v>
      </c>
      <c r="AC46" s="10">
        <v>49.2</v>
      </c>
      <c r="AD46" s="2">
        <f t="shared" si="0"/>
        <v>0.28999999999999915</v>
      </c>
      <c r="AE46" s="134">
        <f t="shared" si="1"/>
        <v>-8.1234768480908937E-4</v>
      </c>
    </row>
    <row r="47" spans="2:31" x14ac:dyDescent="0.25">
      <c r="B47" s="164"/>
      <c r="C47" s="10"/>
      <c r="D47" s="39"/>
      <c r="E47" s="39"/>
      <c r="F47" s="39"/>
      <c r="G47" s="39"/>
      <c r="H47" s="179"/>
      <c r="I47" s="39"/>
      <c r="O47" s="81">
        <v>1.04</v>
      </c>
      <c r="P47" s="81">
        <f t="shared" si="5"/>
        <v>54.007200000000005</v>
      </c>
      <c r="Q47" s="2"/>
      <c r="T47" s="91" t="s">
        <v>308</v>
      </c>
      <c r="U47" s="86">
        <v>51.32</v>
      </c>
      <c r="W47" s="130">
        <v>42767</v>
      </c>
      <c r="X47" s="10">
        <v>49.64</v>
      </c>
      <c r="Y47" s="10">
        <v>49.64</v>
      </c>
      <c r="Z47" s="10">
        <v>49.36</v>
      </c>
      <c r="AA47" s="10">
        <v>49.51</v>
      </c>
      <c r="AB47" s="93">
        <v>3632300</v>
      </c>
      <c r="AC47" s="10">
        <v>49.24</v>
      </c>
      <c r="AD47" s="2">
        <f t="shared" si="0"/>
        <v>0.28000000000000114</v>
      </c>
      <c r="AE47" s="134">
        <f t="shared" si="1"/>
        <v>3.0556121409655024E-3</v>
      </c>
    </row>
    <row r="48" spans="2:31" x14ac:dyDescent="0.25">
      <c r="B48" s="164"/>
      <c r="C48" s="10"/>
      <c r="D48" s="39"/>
      <c r="E48" s="39"/>
      <c r="F48" s="39"/>
      <c r="G48" s="39"/>
      <c r="H48" s="179"/>
      <c r="I48" s="39"/>
      <c r="O48" s="81">
        <v>1.03</v>
      </c>
      <c r="P48" s="81">
        <f t="shared" si="5"/>
        <v>53.487900000000003</v>
      </c>
      <c r="Q48" s="2"/>
      <c r="T48" s="91" t="s">
        <v>309</v>
      </c>
      <c r="U48" s="86" t="s">
        <v>488</v>
      </c>
      <c r="W48" s="130">
        <v>42766</v>
      </c>
      <c r="X48" s="10">
        <v>49.37</v>
      </c>
      <c r="Y48" s="10">
        <v>49.41</v>
      </c>
      <c r="Z48" s="10">
        <v>49.11</v>
      </c>
      <c r="AA48" s="10">
        <v>49.36</v>
      </c>
      <c r="AB48" s="93">
        <v>3646000</v>
      </c>
      <c r="AC48" s="10">
        <v>49.09</v>
      </c>
      <c r="AD48" s="2">
        <f t="shared" si="0"/>
        <v>0.29999999999999716</v>
      </c>
      <c r="AE48" s="134">
        <f t="shared" si="1"/>
        <v>4.7073270568973591E-3</v>
      </c>
    </row>
    <row r="49" spans="1:31" x14ac:dyDescent="0.25">
      <c r="B49" s="164"/>
      <c r="C49" s="10"/>
      <c r="D49" s="39"/>
      <c r="E49" s="39"/>
      <c r="F49" s="39"/>
      <c r="G49" s="39"/>
      <c r="H49" s="179"/>
      <c r="I49" s="39"/>
      <c r="O49" s="81">
        <v>1.02</v>
      </c>
      <c r="P49" s="81">
        <f t="shared" si="5"/>
        <v>52.968600000000002</v>
      </c>
      <c r="Q49" s="2"/>
      <c r="T49" s="91" t="s">
        <v>310</v>
      </c>
      <c r="U49" s="362">
        <v>3.5700000000000003E-2</v>
      </c>
      <c r="W49" s="130">
        <v>42765</v>
      </c>
      <c r="X49" s="10">
        <v>49.04</v>
      </c>
      <c r="Y49" s="10">
        <v>49.15</v>
      </c>
      <c r="Z49" s="10">
        <v>48.89</v>
      </c>
      <c r="AA49" s="10">
        <v>49.12</v>
      </c>
      <c r="AB49" s="93">
        <v>2517700</v>
      </c>
      <c r="AC49" s="10">
        <v>48.86</v>
      </c>
      <c r="AD49" s="2">
        <f t="shared" si="0"/>
        <v>0.25999999999999801</v>
      </c>
      <c r="AE49" s="134">
        <f t="shared" si="1"/>
        <v>-8.1201786439301094E-3</v>
      </c>
    </row>
    <row r="50" spans="1:31" x14ac:dyDescent="0.25">
      <c r="O50" s="81">
        <v>1.01</v>
      </c>
      <c r="P50" s="81">
        <f t="shared" si="5"/>
        <v>52.449300000000001</v>
      </c>
      <c r="Q50" s="2"/>
      <c r="T50" s="91"/>
      <c r="U50" s="86"/>
      <c r="W50" s="130">
        <v>42762</v>
      </c>
      <c r="X50" s="10">
        <v>49.54</v>
      </c>
      <c r="Y50" s="10">
        <v>49.61</v>
      </c>
      <c r="Z50" s="10">
        <v>49.46</v>
      </c>
      <c r="AA50" s="10">
        <v>49.53</v>
      </c>
      <c r="AB50" s="93">
        <v>1349100</v>
      </c>
      <c r="AC50" s="10">
        <v>49.26</v>
      </c>
      <c r="AD50" s="2">
        <f t="shared" si="0"/>
        <v>0.14999999999999858</v>
      </c>
      <c r="AE50" s="134">
        <f t="shared" si="1"/>
        <v>-2.0296326364943607E-4</v>
      </c>
    </row>
    <row r="51" spans="1:31" x14ac:dyDescent="0.25">
      <c r="O51" s="81">
        <v>1</v>
      </c>
      <c r="P51" s="81">
        <f t="shared" si="5"/>
        <v>51.93</v>
      </c>
      <c r="Q51" s="2"/>
      <c r="T51" s="91" t="s">
        <v>104</v>
      </c>
      <c r="U51" s="86" t="s">
        <v>580</v>
      </c>
      <c r="W51" s="130">
        <v>42761</v>
      </c>
      <c r="X51" s="10">
        <v>49.65</v>
      </c>
      <c r="Y51" s="10">
        <v>49.7</v>
      </c>
      <c r="Z51" s="10">
        <v>49.46</v>
      </c>
      <c r="AA51" s="10">
        <v>49.54</v>
      </c>
      <c r="AB51" s="93">
        <v>2366100</v>
      </c>
      <c r="AC51" s="10">
        <v>49.27</v>
      </c>
      <c r="AD51" s="2">
        <f t="shared" si="0"/>
        <v>0.24000000000000199</v>
      </c>
      <c r="AE51" s="134">
        <f t="shared" si="1"/>
        <v>-6.4529138939302122E-3</v>
      </c>
    </row>
    <row r="52" spans="1:31" x14ac:dyDescent="0.25">
      <c r="O52" s="81">
        <v>0.99</v>
      </c>
      <c r="P52" s="81">
        <f t="shared" si="5"/>
        <v>51.410699999999999</v>
      </c>
      <c r="Q52" s="2"/>
      <c r="T52" s="91" t="s">
        <v>105</v>
      </c>
      <c r="U52" s="86" t="s">
        <v>502</v>
      </c>
      <c r="W52" s="130">
        <v>42760</v>
      </c>
      <c r="X52" s="10">
        <v>49.64</v>
      </c>
      <c r="Y52" s="10">
        <v>49.88</v>
      </c>
      <c r="Z52" s="10">
        <v>49.63</v>
      </c>
      <c r="AA52" s="10">
        <v>49.86</v>
      </c>
      <c r="AB52" s="93">
        <v>2420900</v>
      </c>
      <c r="AC52" s="10">
        <v>49.59</v>
      </c>
      <c r="AD52" s="2">
        <f t="shared" si="0"/>
        <v>0.25</v>
      </c>
      <c r="AE52" s="134">
        <f t="shared" si="1"/>
        <v>1.2040816326530646E-2</v>
      </c>
    </row>
    <row r="53" spans="1:31" x14ac:dyDescent="0.25">
      <c r="L53" t="s">
        <v>65</v>
      </c>
      <c r="M53" s="2">
        <f>K71+M71-F71</f>
        <v>257.64999999999964</v>
      </c>
      <c r="O53" s="81">
        <v>0.98</v>
      </c>
      <c r="P53" s="81">
        <f t="shared" si="5"/>
        <v>50.891399999999997</v>
      </c>
      <c r="Q53" s="2"/>
      <c r="T53" s="91" t="s">
        <v>106</v>
      </c>
      <c r="U53" s="88">
        <v>3916048</v>
      </c>
      <c r="W53" s="130">
        <v>42759</v>
      </c>
      <c r="X53" s="10">
        <v>49.14</v>
      </c>
      <c r="Y53" s="10">
        <v>49.34</v>
      </c>
      <c r="Z53" s="10">
        <v>49.1</v>
      </c>
      <c r="AA53" s="10">
        <v>49.27</v>
      </c>
      <c r="AB53" s="93">
        <v>2249400</v>
      </c>
      <c r="AC53" s="10">
        <v>49</v>
      </c>
      <c r="AD53" s="2">
        <f t="shared" si="0"/>
        <v>0.24000000000000199</v>
      </c>
      <c r="AE53" s="134">
        <f t="shared" si="1"/>
        <v>2.2499488647984567E-3</v>
      </c>
    </row>
    <row r="54" spans="1:31" x14ac:dyDescent="0.25">
      <c r="A54" s="199" t="s">
        <v>1</v>
      </c>
      <c r="B54" s="199" t="s">
        <v>2</v>
      </c>
      <c r="C54" s="199" t="s">
        <v>4</v>
      </c>
      <c r="D54" s="200" t="s">
        <v>5</v>
      </c>
      <c r="E54" s="200" t="s">
        <v>94</v>
      </c>
      <c r="F54" s="200" t="s">
        <v>60</v>
      </c>
      <c r="G54" s="199" t="s">
        <v>3</v>
      </c>
      <c r="H54" s="199" t="s">
        <v>6</v>
      </c>
      <c r="I54" s="200" t="s">
        <v>7</v>
      </c>
      <c r="J54" s="200" t="s">
        <v>95</v>
      </c>
      <c r="K54" s="200" t="s">
        <v>61</v>
      </c>
      <c r="L54" s="199" t="s">
        <v>37</v>
      </c>
      <c r="M54" s="199" t="s">
        <v>38</v>
      </c>
      <c r="O54" s="81">
        <v>0.97</v>
      </c>
      <c r="P54" s="81">
        <f t="shared" si="5"/>
        <v>50.372099999999996</v>
      </c>
      <c r="T54" s="91" t="s">
        <v>109</v>
      </c>
      <c r="U54" s="88">
        <v>3019040</v>
      </c>
      <c r="W54" s="130">
        <v>42758</v>
      </c>
      <c r="X54" s="10">
        <v>49.02</v>
      </c>
      <c r="Y54" s="10">
        <v>49.2</v>
      </c>
      <c r="Z54" s="10">
        <v>48.89</v>
      </c>
      <c r="AA54" s="10">
        <v>49.16</v>
      </c>
      <c r="AB54" s="93">
        <v>4433300</v>
      </c>
      <c r="AC54" s="10">
        <v>48.89</v>
      </c>
      <c r="AD54" s="2">
        <f t="shared" si="0"/>
        <v>0.31000000000000227</v>
      </c>
      <c r="AE54" s="134">
        <f t="shared" si="1"/>
        <v>3.0775543701271335E-3</v>
      </c>
    </row>
    <row r="55" spans="1:31" x14ac:dyDescent="0.25">
      <c r="A55" s="201" t="s">
        <v>219</v>
      </c>
      <c r="B55" s="202">
        <v>42545</v>
      </c>
      <c r="C55" s="197">
        <v>100</v>
      </c>
      <c r="D55" s="198">
        <v>45.25</v>
      </c>
      <c r="E55" s="198">
        <v>0</v>
      </c>
      <c r="F55" s="198">
        <f>D55*C55+E55</f>
        <v>4525</v>
      </c>
      <c r="G55" s="202">
        <v>42577</v>
      </c>
      <c r="H55" s="203">
        <v>50</v>
      </c>
      <c r="I55" s="198">
        <v>47.5</v>
      </c>
      <c r="J55" s="198">
        <v>0.05</v>
      </c>
      <c r="K55" s="198">
        <f>H55*I55-J55</f>
        <v>2374.9499999999998</v>
      </c>
      <c r="L55" s="202" t="s">
        <v>229</v>
      </c>
      <c r="M55" s="197"/>
      <c r="O55" s="81">
        <v>0.96</v>
      </c>
      <c r="P55" s="81">
        <f t="shared" si="5"/>
        <v>49.852799999999995</v>
      </c>
      <c r="T55" s="91" t="s">
        <v>311</v>
      </c>
      <c r="U55" s="86">
        <v>15</v>
      </c>
      <c r="W55" s="130">
        <v>42755</v>
      </c>
      <c r="X55" s="10">
        <v>48.84</v>
      </c>
      <c r="Y55" s="10">
        <v>49.03</v>
      </c>
      <c r="Z55" s="10">
        <v>48.83</v>
      </c>
      <c r="AA55" s="10">
        <v>49</v>
      </c>
      <c r="AB55" s="93">
        <v>3698000</v>
      </c>
      <c r="AC55" s="10">
        <v>48.74</v>
      </c>
      <c r="AD55" s="2">
        <f t="shared" si="0"/>
        <v>0.20000000000000284</v>
      </c>
      <c r="AE55" s="134">
        <f t="shared" si="1"/>
        <v>5.5704559521354557E-3</v>
      </c>
    </row>
    <row r="56" spans="1:31" x14ac:dyDescent="0.25">
      <c r="A56" s="204" t="s">
        <v>71</v>
      </c>
      <c r="B56" s="202"/>
      <c r="C56" s="197"/>
      <c r="D56" s="198"/>
      <c r="E56" s="198"/>
      <c r="F56" s="198"/>
      <c r="G56" s="202">
        <v>42580</v>
      </c>
      <c r="H56" s="203">
        <v>50</v>
      </c>
      <c r="I56" s="198">
        <v>48.16</v>
      </c>
      <c r="J56" s="198">
        <v>0.3</v>
      </c>
      <c r="K56" s="198">
        <f>H56*I56-J56</f>
        <v>2407.6999999999998</v>
      </c>
      <c r="L56" s="197"/>
      <c r="M56" s="197"/>
      <c r="O56" s="81">
        <v>0.95</v>
      </c>
      <c r="P56" s="81">
        <f t="shared" si="5"/>
        <v>49.333500000000001</v>
      </c>
      <c r="T56" s="91" t="s">
        <v>312</v>
      </c>
      <c r="U56" s="86">
        <v>3.4</v>
      </c>
      <c r="W56" s="130">
        <v>42754</v>
      </c>
      <c r="X56" s="10">
        <v>48.73</v>
      </c>
      <c r="Y56" s="10">
        <v>48.82</v>
      </c>
      <c r="Z56" s="10">
        <v>48.56</v>
      </c>
      <c r="AA56" s="10">
        <v>48.73</v>
      </c>
      <c r="AB56" s="93">
        <v>3644800</v>
      </c>
      <c r="AC56" s="10">
        <v>48.47</v>
      </c>
      <c r="AD56" s="2">
        <f t="shared" si="0"/>
        <v>0.25999999999999801</v>
      </c>
      <c r="AE56" s="134">
        <f t="shared" si="1"/>
        <v>-2.0588840848260181E-3</v>
      </c>
    </row>
    <row r="57" spans="1:31" x14ac:dyDescent="0.25">
      <c r="A57" s="197"/>
      <c r="B57" s="202"/>
      <c r="C57" s="197"/>
      <c r="D57" s="198"/>
      <c r="E57" s="198"/>
      <c r="F57" s="198"/>
      <c r="G57" s="197"/>
      <c r="H57" s="203"/>
      <c r="I57" s="198"/>
      <c r="J57" s="198"/>
      <c r="K57" s="198"/>
      <c r="L57" s="197"/>
      <c r="M57" s="197"/>
      <c r="O57" s="81">
        <v>0.94</v>
      </c>
      <c r="P57" s="81">
        <f t="shared" si="5"/>
        <v>48.8142</v>
      </c>
      <c r="T57" s="91"/>
      <c r="U57" s="86"/>
      <c r="W57" s="130">
        <v>42753</v>
      </c>
      <c r="X57" s="10">
        <v>48.88</v>
      </c>
      <c r="Y57" s="10">
        <v>49</v>
      </c>
      <c r="Z57" s="10">
        <v>48.73</v>
      </c>
      <c r="AA57" s="10">
        <v>48.83</v>
      </c>
      <c r="AB57" s="93">
        <v>2705000</v>
      </c>
      <c r="AC57" s="10">
        <v>48.57</v>
      </c>
      <c r="AD57" s="2">
        <f t="shared" si="0"/>
        <v>0.27000000000000313</v>
      </c>
      <c r="AE57" s="134">
        <f t="shared" si="1"/>
        <v>-4.1008816895633515E-3</v>
      </c>
    </row>
    <row r="58" spans="1:31" x14ac:dyDescent="0.25">
      <c r="A58" s="197"/>
      <c r="B58" s="202"/>
      <c r="C58" s="197"/>
      <c r="D58" s="198"/>
      <c r="E58" s="198"/>
      <c r="F58" s="198"/>
      <c r="G58" s="197"/>
      <c r="H58" s="203"/>
      <c r="I58" s="198"/>
      <c r="J58" s="198"/>
      <c r="K58" s="198"/>
      <c r="L58" s="197"/>
      <c r="M58" s="197"/>
      <c r="O58" s="81">
        <v>0.93</v>
      </c>
      <c r="P58" s="81">
        <f t="shared" si="5"/>
        <v>48.294900000000005</v>
      </c>
      <c r="T58" s="91"/>
      <c r="U58" s="86"/>
      <c r="W58" s="130">
        <v>42752</v>
      </c>
      <c r="X58" s="10">
        <v>49.04</v>
      </c>
      <c r="Y58" s="10">
        <v>49.12</v>
      </c>
      <c r="Z58" s="10">
        <v>48.97</v>
      </c>
      <c r="AA58" s="10">
        <v>49.03</v>
      </c>
      <c r="AB58" s="93">
        <v>4648400</v>
      </c>
      <c r="AC58" s="10">
        <v>48.77</v>
      </c>
      <c r="AD58" s="2">
        <f t="shared" si="0"/>
        <v>0.14999999999999858</v>
      </c>
      <c r="AE58" s="134">
        <f t="shared" si="1"/>
        <v>0</v>
      </c>
    </row>
    <row r="59" spans="1:31" x14ac:dyDescent="0.25">
      <c r="A59" s="197"/>
      <c r="B59" s="202"/>
      <c r="C59" s="197"/>
      <c r="D59" s="198"/>
      <c r="E59" s="198"/>
      <c r="F59" s="198"/>
      <c r="G59" s="197"/>
      <c r="H59" s="203"/>
      <c r="I59" s="198"/>
      <c r="J59" s="198"/>
      <c r="K59" s="198"/>
      <c r="L59" s="197"/>
      <c r="M59" s="197"/>
      <c r="O59" s="81">
        <v>0.92</v>
      </c>
      <c r="P59" s="81">
        <f t="shared" si="5"/>
        <v>47.775600000000004</v>
      </c>
      <c r="W59" s="130">
        <v>42748</v>
      </c>
      <c r="X59" s="10">
        <v>49.03</v>
      </c>
      <c r="Y59" s="10">
        <v>49.09</v>
      </c>
      <c r="Z59" s="10">
        <v>48.89</v>
      </c>
      <c r="AA59" s="10">
        <v>49.03</v>
      </c>
      <c r="AB59" s="93">
        <v>2840200</v>
      </c>
      <c r="AC59" s="10">
        <v>48.77</v>
      </c>
      <c r="AD59" s="2">
        <f t="shared" si="0"/>
        <v>0.20000000000000284</v>
      </c>
      <c r="AE59" s="134">
        <f t="shared" si="1"/>
        <v>4.3245469522241731E-3</v>
      </c>
    </row>
    <row r="60" spans="1:31" x14ac:dyDescent="0.25">
      <c r="A60" s="197"/>
      <c r="B60" s="197"/>
      <c r="C60" s="197"/>
      <c r="D60" s="198"/>
      <c r="E60" s="198"/>
      <c r="F60" s="198"/>
      <c r="G60" s="197"/>
      <c r="H60" s="203"/>
      <c r="I60" s="198"/>
      <c r="J60" s="198"/>
      <c r="K60" s="198"/>
      <c r="L60" s="197"/>
      <c r="M60" s="197"/>
      <c r="O60" s="81">
        <v>0.91</v>
      </c>
      <c r="P60" s="81">
        <f t="shared" si="5"/>
        <v>47.256300000000003</v>
      </c>
      <c r="W60" s="130">
        <v>42747</v>
      </c>
      <c r="X60" s="10">
        <v>48.88</v>
      </c>
      <c r="Y60" s="10">
        <v>48.98</v>
      </c>
      <c r="Z60" s="10">
        <v>48.73</v>
      </c>
      <c r="AA60" s="10">
        <v>48.82</v>
      </c>
      <c r="AB60" s="93">
        <v>6744200</v>
      </c>
      <c r="AC60" s="10">
        <v>48.56</v>
      </c>
      <c r="AD60" s="2">
        <f t="shared" si="0"/>
        <v>0.25</v>
      </c>
      <c r="AE60" s="134">
        <f t="shared" si="1"/>
        <v>1.0307153164297311E-3</v>
      </c>
    </row>
    <row r="61" spans="1:31" x14ac:dyDescent="0.25">
      <c r="A61" s="197"/>
      <c r="B61" s="197"/>
      <c r="C61" s="197"/>
      <c r="D61" s="198"/>
      <c r="E61" s="198"/>
      <c r="F61" s="198"/>
      <c r="G61" s="197"/>
      <c r="H61" s="203"/>
      <c r="I61" s="198"/>
      <c r="J61" s="198"/>
      <c r="K61" s="198"/>
      <c r="L61" s="197"/>
      <c r="M61" s="197"/>
      <c r="O61" s="81">
        <v>0.9</v>
      </c>
      <c r="P61" s="81">
        <f t="shared" si="5"/>
        <v>46.737000000000002</v>
      </c>
      <c r="W61" s="130">
        <v>42746</v>
      </c>
      <c r="X61" s="10">
        <v>48.41</v>
      </c>
      <c r="Y61" s="10">
        <v>48.81</v>
      </c>
      <c r="Z61" s="10">
        <v>48.32</v>
      </c>
      <c r="AA61" s="10">
        <v>48.77</v>
      </c>
      <c r="AB61" s="93">
        <v>4145700</v>
      </c>
      <c r="AC61" s="10">
        <v>48.51</v>
      </c>
      <c r="AD61" s="2">
        <f t="shared" si="0"/>
        <v>0.49000000000000199</v>
      </c>
      <c r="AE61" s="134">
        <f t="shared" si="1"/>
        <v>5.180273518441858E-3</v>
      </c>
    </row>
    <row r="62" spans="1:31" x14ac:dyDescent="0.25">
      <c r="A62" s="197"/>
      <c r="B62" s="197"/>
      <c r="C62" s="197"/>
      <c r="D62" s="198"/>
      <c r="E62" s="198"/>
      <c r="F62" s="198"/>
      <c r="G62" s="197"/>
      <c r="H62" s="203"/>
      <c r="I62" s="198"/>
      <c r="J62" s="198"/>
      <c r="K62" s="198"/>
      <c r="L62" s="197"/>
      <c r="M62" s="197"/>
      <c r="W62" s="130">
        <v>42745</v>
      </c>
      <c r="X62" s="10">
        <v>48.55</v>
      </c>
      <c r="Y62" s="10">
        <v>48.71</v>
      </c>
      <c r="Z62" s="10">
        <v>48.52</v>
      </c>
      <c r="AA62" s="10">
        <v>48.52</v>
      </c>
      <c r="AB62" s="93">
        <v>2667900</v>
      </c>
      <c r="AC62" s="10">
        <v>48.26</v>
      </c>
      <c r="AD62" s="2">
        <f t="shared" si="0"/>
        <v>0.18999999999999773</v>
      </c>
      <c r="AE62" s="134">
        <f t="shared" si="1"/>
        <v>-2.0716801325881828E-4</v>
      </c>
    </row>
    <row r="63" spans="1:31" x14ac:dyDescent="0.25">
      <c r="A63" s="197"/>
      <c r="B63" s="197"/>
      <c r="C63" s="197"/>
      <c r="D63" s="198"/>
      <c r="E63" s="198"/>
      <c r="F63" s="198"/>
      <c r="G63" s="197"/>
      <c r="H63" s="203"/>
      <c r="I63" s="198"/>
      <c r="J63" s="198"/>
      <c r="K63" s="198"/>
      <c r="L63" s="197"/>
      <c r="M63" s="197"/>
      <c r="W63" s="130">
        <v>42744</v>
      </c>
      <c r="X63" s="10">
        <v>48.41</v>
      </c>
      <c r="Y63" s="10">
        <v>48.59</v>
      </c>
      <c r="Z63" s="10">
        <v>48.32</v>
      </c>
      <c r="AA63" s="10">
        <v>48.53</v>
      </c>
      <c r="AB63" s="93">
        <v>2341400</v>
      </c>
      <c r="AC63" s="10">
        <v>48.27</v>
      </c>
      <c r="AD63" s="2">
        <f t="shared" si="0"/>
        <v>0.27000000000000313</v>
      </c>
      <c r="AE63" s="134">
        <f t="shared" si="1"/>
        <v>-3.5094962840626076E-3</v>
      </c>
    </row>
    <row r="64" spans="1:31" x14ac:dyDescent="0.25">
      <c r="A64" s="197"/>
      <c r="B64" s="197"/>
      <c r="C64" s="197"/>
      <c r="D64" s="198"/>
      <c r="E64" s="198"/>
      <c r="F64" s="198"/>
      <c r="G64" s="197"/>
      <c r="H64" s="203"/>
      <c r="I64" s="198"/>
      <c r="J64" s="198"/>
      <c r="K64" s="198"/>
      <c r="L64" s="197"/>
      <c r="M64" s="197"/>
      <c r="W64" s="130">
        <v>42741</v>
      </c>
      <c r="X64" s="10">
        <v>48.68</v>
      </c>
      <c r="Y64" s="10">
        <v>48.82</v>
      </c>
      <c r="Z64" s="10">
        <v>48.62</v>
      </c>
      <c r="AA64" s="10">
        <v>48.7</v>
      </c>
      <c r="AB64" s="93">
        <v>2808900</v>
      </c>
      <c r="AC64" s="10">
        <v>48.44</v>
      </c>
      <c r="AD64" s="2">
        <f t="shared" si="0"/>
        <v>0.20000000000000284</v>
      </c>
      <c r="AE64" s="134">
        <f t="shared" si="1"/>
        <v>-4.9301561216105183E-3</v>
      </c>
    </row>
    <row r="65" spans="1:31" x14ac:dyDescent="0.25">
      <c r="A65" s="197"/>
      <c r="B65" s="197"/>
      <c r="C65" s="197"/>
      <c r="D65" s="198"/>
      <c r="E65" s="198"/>
      <c r="F65" s="198"/>
      <c r="G65" s="197"/>
      <c r="H65" s="203"/>
      <c r="I65" s="198"/>
      <c r="J65" s="198"/>
      <c r="K65" s="198"/>
      <c r="L65" s="197"/>
      <c r="M65" s="197"/>
      <c r="W65" s="130">
        <v>42740</v>
      </c>
      <c r="X65" s="10">
        <v>48.58</v>
      </c>
      <c r="Y65" s="10">
        <v>49</v>
      </c>
      <c r="Z65" s="10">
        <v>48.58</v>
      </c>
      <c r="AA65" s="10">
        <v>48.94</v>
      </c>
      <c r="AB65" s="93">
        <v>5206000</v>
      </c>
      <c r="AC65" s="10">
        <v>48.68</v>
      </c>
      <c r="AD65" s="2">
        <f t="shared" si="0"/>
        <v>0.42000000000000171</v>
      </c>
      <c r="AE65" s="134">
        <f t="shared" si="1"/>
        <v>9.121061359867344E-3</v>
      </c>
    </row>
    <row r="66" spans="1:31" x14ac:dyDescent="0.25">
      <c r="A66" s="197"/>
      <c r="B66" s="197"/>
      <c r="C66" s="197"/>
      <c r="D66" s="198"/>
      <c r="E66" s="198"/>
      <c r="F66" s="198"/>
      <c r="G66" s="197"/>
      <c r="H66" s="203"/>
      <c r="I66" s="198"/>
      <c r="J66" s="198"/>
      <c r="K66" s="198"/>
      <c r="L66" s="197"/>
      <c r="M66" s="197"/>
      <c r="W66" s="130">
        <v>42739</v>
      </c>
      <c r="X66" s="10">
        <v>48.21</v>
      </c>
      <c r="Y66" s="10">
        <v>48.5</v>
      </c>
      <c r="Z66" s="10">
        <v>48.13</v>
      </c>
      <c r="AA66" s="10">
        <v>48.5</v>
      </c>
      <c r="AB66" s="93">
        <v>2786200</v>
      </c>
      <c r="AC66" s="10">
        <v>48.24</v>
      </c>
      <c r="AD66" s="2">
        <f t="shared" si="0"/>
        <v>0.36999999999999744</v>
      </c>
      <c r="AE66" s="134">
        <f t="shared" si="1"/>
        <v>8.3612040133778098E-3</v>
      </c>
    </row>
    <row r="67" spans="1:31" x14ac:dyDescent="0.25">
      <c r="A67" s="197"/>
      <c r="B67" s="197"/>
      <c r="C67" s="197"/>
      <c r="D67" s="198"/>
      <c r="E67" s="198"/>
      <c r="F67" s="198"/>
      <c r="G67" s="197"/>
      <c r="H67" s="203"/>
      <c r="I67" s="198"/>
      <c r="J67" s="198"/>
      <c r="K67" s="198"/>
      <c r="L67" s="197"/>
      <c r="M67" s="197"/>
      <c r="W67" s="130">
        <v>42738</v>
      </c>
      <c r="X67" s="10">
        <v>48.01</v>
      </c>
      <c r="Y67" s="10">
        <v>48.14</v>
      </c>
      <c r="Z67" s="10">
        <v>47.94</v>
      </c>
      <c r="AA67" s="10">
        <v>48.1</v>
      </c>
      <c r="AB67" s="93">
        <v>3817400</v>
      </c>
      <c r="AC67" s="10">
        <v>47.84</v>
      </c>
      <c r="AD67" s="2">
        <f>Y67-Z67</f>
        <v>0.20000000000000284</v>
      </c>
      <c r="AE67" s="134" t="e">
        <f>AC67/#REF!-1</f>
        <v>#REF!</v>
      </c>
    </row>
    <row r="68" spans="1:31" x14ac:dyDescent="0.25">
      <c r="A68" s="197"/>
      <c r="B68" s="197"/>
      <c r="C68" s="197"/>
      <c r="D68" s="198"/>
      <c r="E68" s="198"/>
      <c r="F68" s="198"/>
      <c r="G68" s="197"/>
      <c r="H68" s="203"/>
      <c r="I68" s="198"/>
      <c r="J68" s="198"/>
      <c r="K68" s="198"/>
      <c r="L68" s="197"/>
      <c r="M68" s="197"/>
      <c r="W68" s="130">
        <v>42734</v>
      </c>
      <c r="X68" s="10">
        <v>48.11</v>
      </c>
      <c r="Y68" s="10">
        <v>48.21</v>
      </c>
      <c r="Z68" s="10">
        <v>47.83</v>
      </c>
      <c r="AA68" s="10">
        <v>47.94</v>
      </c>
      <c r="AB68" s="93">
        <v>4807600</v>
      </c>
      <c r="AC68" s="10">
        <v>47.68</v>
      </c>
      <c r="AD68" s="2" t="e">
        <f>#REF!-#REF!</f>
        <v>#REF!</v>
      </c>
      <c r="AE68" s="134" t="e">
        <f>#REF!/AC69-1</f>
        <v>#REF!</v>
      </c>
    </row>
    <row r="69" spans="1:31" x14ac:dyDescent="0.25">
      <c r="A69" s="197"/>
      <c r="B69" s="197"/>
      <c r="C69" s="197"/>
      <c r="D69" s="198"/>
      <c r="E69" s="198"/>
      <c r="F69" s="198"/>
      <c r="G69" s="197"/>
      <c r="H69" s="203"/>
      <c r="I69" s="198"/>
      <c r="J69" s="198"/>
      <c r="K69" s="198"/>
      <c r="L69" s="197"/>
      <c r="M69" s="197"/>
      <c r="W69" s="130" t="s">
        <v>120</v>
      </c>
      <c r="X69" s="10"/>
      <c r="Y69" s="10"/>
      <c r="Z69" s="10"/>
      <c r="AA69" s="10"/>
      <c r="AB69" s="93"/>
      <c r="AC69" s="10"/>
      <c r="AD69" s="2">
        <f>Y69-Z69</f>
        <v>0</v>
      </c>
      <c r="AE69" s="134" t="e">
        <f>AC69/AC70-1</f>
        <v>#DIV/0!</v>
      </c>
    </row>
    <row r="70" spans="1:31" x14ac:dyDescent="0.25">
      <c r="A70" s="197"/>
      <c r="B70" s="197"/>
      <c r="C70" s="197"/>
      <c r="D70" s="198"/>
      <c r="E70" s="198"/>
      <c r="F70" s="198"/>
      <c r="G70" s="197"/>
      <c r="H70" s="197"/>
      <c r="I70" s="198"/>
      <c r="J70" s="198"/>
      <c r="K70" s="198"/>
      <c r="L70" s="197"/>
      <c r="M70" s="197"/>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73" t="s">
        <v>191</v>
      </c>
      <c r="B72" s="374"/>
      <c r="C72" s="375">
        <f>SumByColor($A$19,C55:C70)</f>
        <v>0</v>
      </c>
      <c r="D72" s="375"/>
      <c r="E72" s="375"/>
      <c r="F72" s="376">
        <f>SumByColor($A$19,F55:F70)</f>
        <v>0</v>
      </c>
      <c r="G72" s="375"/>
      <c r="H72" s="375">
        <f>SumByColor($A$19,H55:H70)</f>
        <v>0</v>
      </c>
      <c r="I72" s="375"/>
      <c r="J72" s="375"/>
      <c r="K72" s="376">
        <f>SumByColor($A$19,K55:K70)</f>
        <v>0</v>
      </c>
      <c r="L72" s="375"/>
      <c r="M72" s="376">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082" priority="9">
      <formula>F39&gt;0</formula>
    </cfRule>
    <cfRule type="expression" dxfId="1081" priority="10">
      <formula>F39&lt;0</formula>
    </cfRule>
  </conditionalFormatting>
  <conditionalFormatting sqref="F25:F38">
    <cfRule type="expression" dxfId="1080" priority="7">
      <formula>F25&gt;0</formula>
    </cfRule>
    <cfRule type="expression" dxfId="1079" priority="8">
      <formula>F25&lt;0</formula>
    </cfRule>
  </conditionalFormatting>
  <conditionalFormatting sqref="H25:H38">
    <cfRule type="expression" dxfId="1078" priority="5">
      <formula>H25&gt;0</formula>
    </cfRule>
    <cfRule type="expression" dxfId="1077" priority="6">
      <formula>H25&lt;0</formula>
    </cfRule>
  </conditionalFormatting>
  <conditionalFormatting sqref="Q7">
    <cfRule type="expression" dxfId="1076" priority="3">
      <formula>Q7&gt;0</formula>
    </cfRule>
    <cfRule type="expression" dxfId="1075" priority="4">
      <formula>Q7&lt;0</formula>
    </cfRule>
  </conditionalFormatting>
  <conditionalFormatting sqref="Q8">
    <cfRule type="expression" dxfId="1074" priority="1">
      <formula>Q8&gt;0</formula>
    </cfRule>
    <cfRule type="expression" dxfId="1073"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798</v>
      </c>
      <c r="M2" s="3"/>
      <c r="O2" s="11" t="s">
        <v>57</v>
      </c>
      <c r="Q2">
        <f>C18-H18</f>
        <v>0</v>
      </c>
      <c r="T2" s="1"/>
      <c r="W2" s="134"/>
    </row>
    <row r="3" spans="1:23" x14ac:dyDescent="0.25">
      <c r="A3" s="22" t="s">
        <v>71</v>
      </c>
      <c r="B3" s="72"/>
      <c r="C3" s="4"/>
      <c r="D3" s="3"/>
      <c r="E3" s="3"/>
      <c r="F3" s="3"/>
      <c r="G3" s="72"/>
      <c r="H3" s="161"/>
      <c r="I3" s="3"/>
      <c r="J3" s="3"/>
      <c r="K3" s="3"/>
      <c r="L3" s="72"/>
      <c r="M3" s="3"/>
      <c r="O3" s="11" t="s">
        <v>58</v>
      </c>
      <c r="Q3" s="178">
        <f>IF(Q2=0, Q4, (F18-K18-M18)/Q2)</f>
        <v>532.98</v>
      </c>
      <c r="T3" s="1"/>
      <c r="W3" s="134"/>
    </row>
    <row r="4" spans="1:23" x14ac:dyDescent="0.25">
      <c r="B4" s="72"/>
      <c r="C4" s="4"/>
      <c r="D4" s="3"/>
      <c r="E4" s="3"/>
      <c r="F4" s="3"/>
      <c r="G4" s="72"/>
      <c r="H4" s="161"/>
      <c r="I4" s="3"/>
      <c r="J4" s="3"/>
      <c r="K4" s="3"/>
      <c r="L4" s="4"/>
      <c r="M4" s="4"/>
      <c r="O4" s="11" t="s">
        <v>66</v>
      </c>
      <c r="Q4" s="54">
        <v>532.98</v>
      </c>
      <c r="R4" s="425">
        <v>1.7899999999999999E-2</v>
      </c>
      <c r="T4" s="1"/>
      <c r="W4" s="134"/>
    </row>
    <row r="5" spans="1:23" x14ac:dyDescent="0.25">
      <c r="B5" s="72"/>
      <c r="C5" s="4"/>
      <c r="D5" s="3"/>
      <c r="E5" s="3"/>
      <c r="F5" s="3"/>
      <c r="G5" s="4"/>
      <c r="H5" s="161"/>
      <c r="I5" s="3"/>
      <c r="J5" s="3"/>
      <c r="K5" s="3"/>
      <c r="L5" s="4"/>
      <c r="M5" s="4"/>
      <c r="O5" s="11" t="s">
        <v>67</v>
      </c>
      <c r="Q5" s="3">
        <f>Q4*Q2</f>
        <v>0</v>
      </c>
      <c r="W5" s="134"/>
    </row>
    <row r="6" spans="1:23" x14ac:dyDescent="0.25">
      <c r="B6" s="72"/>
      <c r="C6" s="4"/>
      <c r="D6" s="3"/>
      <c r="E6" s="3"/>
      <c r="F6" s="3"/>
      <c r="G6" s="4"/>
      <c r="H6" s="161"/>
      <c r="I6" s="3"/>
      <c r="J6" s="3"/>
      <c r="K6" s="3"/>
      <c r="L6" s="4"/>
      <c r="M6" s="4"/>
      <c r="O6" s="11" t="s">
        <v>64</v>
      </c>
      <c r="Q6" s="2">
        <f>Q3*Q2</f>
        <v>0</v>
      </c>
      <c r="W6" s="134"/>
    </row>
    <row r="7" spans="1:23" x14ac:dyDescent="0.25">
      <c r="B7" s="4"/>
      <c r="C7" s="4"/>
      <c r="D7" s="3"/>
      <c r="E7" s="3"/>
      <c r="F7" s="3"/>
      <c r="G7" s="4"/>
      <c r="H7" s="161"/>
      <c r="I7" s="3"/>
      <c r="J7" s="3"/>
      <c r="K7" s="3"/>
      <c r="L7" s="4"/>
      <c r="M7" s="4"/>
      <c r="O7" s="11" t="s">
        <v>177</v>
      </c>
      <c r="Q7" s="2">
        <f>Q10+Q8</f>
        <v>1264.8599999999997</v>
      </c>
      <c r="R7">
        <v>0</v>
      </c>
      <c r="W7" s="134"/>
    </row>
    <row r="8" spans="1:23" x14ac:dyDescent="0.25">
      <c r="B8" s="4"/>
      <c r="C8" s="4"/>
      <c r="D8" s="3"/>
      <c r="E8" s="3"/>
      <c r="F8" s="3"/>
      <c r="G8" s="4"/>
      <c r="H8" s="161"/>
      <c r="I8" s="3"/>
      <c r="J8" s="3"/>
      <c r="K8" s="3"/>
      <c r="L8" s="4"/>
      <c r="M8" s="4"/>
      <c r="O8" s="11" t="s">
        <v>179</v>
      </c>
      <c r="P8" s="33"/>
      <c r="Q8" s="2">
        <f>K18+M18-F18+Q2*Q4</f>
        <v>0</v>
      </c>
      <c r="W8" s="134"/>
    </row>
    <row r="9" spans="1:23" x14ac:dyDescent="0.25">
      <c r="B9" s="4"/>
      <c r="C9" s="4"/>
      <c r="D9" s="3"/>
      <c r="E9" s="3"/>
      <c r="F9" s="3"/>
      <c r="G9" s="4"/>
      <c r="H9" s="161"/>
      <c r="I9" s="3"/>
      <c r="J9" s="3"/>
      <c r="K9" s="3"/>
      <c r="L9" s="4"/>
      <c r="M9" s="4"/>
      <c r="O9" s="11" t="s">
        <v>204</v>
      </c>
      <c r="Q9" s="134">
        <f>IF(Q2=0, 0, Q8/Q6)</f>
        <v>0</v>
      </c>
      <c r="W9" s="134"/>
    </row>
    <row r="10" spans="1:23" x14ac:dyDescent="0.25">
      <c r="H10" s="70"/>
      <c r="O10" s="11" t="s">
        <v>203</v>
      </c>
      <c r="P10" s="33"/>
      <c r="Q10" s="2">
        <f>M66</f>
        <v>1264.8599999999997</v>
      </c>
      <c r="W10" s="134"/>
    </row>
    <row r="11" spans="1:23" x14ac:dyDescent="0.25">
      <c r="H11" s="70"/>
      <c r="O11" s="11" t="s">
        <v>175</v>
      </c>
      <c r="P11" s="33"/>
      <c r="Q11" s="134">
        <v>0</v>
      </c>
      <c r="R11">
        <v>0</v>
      </c>
      <c r="W11" s="134"/>
    </row>
    <row r="12" spans="1:23" x14ac:dyDescent="0.25">
      <c r="H12" s="70"/>
      <c r="W12" s="134"/>
    </row>
    <row r="13" spans="1:23" x14ac:dyDescent="0.25">
      <c r="H13" s="70"/>
      <c r="W13" s="134"/>
    </row>
    <row r="14" spans="1:23" ht="20.25" thickBot="1" x14ac:dyDescent="0.35">
      <c r="H14" s="70"/>
      <c r="O14" s="884" t="s">
        <v>78</v>
      </c>
      <c r="P14" s="884"/>
      <c r="W14" s="134"/>
    </row>
    <row r="15" spans="1:23" ht="15.75" thickTop="1" x14ac:dyDescent="0.25">
      <c r="H15" s="70"/>
      <c r="O15" s="81">
        <v>1.1000000000000001</v>
      </c>
      <c r="P15" s="81">
        <f>O15*$Q$4</f>
        <v>586.27800000000002</v>
      </c>
      <c r="W15" s="134"/>
    </row>
    <row r="16" spans="1:23" x14ac:dyDescent="0.25">
      <c r="H16" s="70"/>
      <c r="O16" s="81">
        <v>1.0900000000000001</v>
      </c>
      <c r="P16" s="81">
        <f t="shared" ref="P16:P35" si="0">O16*$Q$4</f>
        <v>580.94820000000004</v>
      </c>
      <c r="W16" s="134"/>
    </row>
    <row r="17" spans="1:23" x14ac:dyDescent="0.25">
      <c r="O17" s="81">
        <v>1.08</v>
      </c>
      <c r="P17" s="81">
        <f t="shared" si="0"/>
        <v>575.61840000000007</v>
      </c>
      <c r="W17" s="134"/>
    </row>
    <row r="18" spans="1:23" x14ac:dyDescent="0.25">
      <c r="A18" s="31" t="s">
        <v>81</v>
      </c>
      <c r="B18" s="14"/>
      <c r="C18" s="14">
        <f>SUM(C2:C6)</f>
        <v>0</v>
      </c>
      <c r="D18" s="18"/>
      <c r="E18" s="18"/>
      <c r="F18" s="18">
        <f>SUM(F2:F6)</f>
        <v>0</v>
      </c>
      <c r="G18" s="14"/>
      <c r="H18" s="71">
        <f>SUM(H2:H5)</f>
        <v>0</v>
      </c>
      <c r="I18" s="18"/>
      <c r="J18" s="18"/>
      <c r="K18" s="18">
        <f>SUM(K2:K5)</f>
        <v>0</v>
      </c>
      <c r="L18" s="14"/>
      <c r="M18" s="18">
        <f>SUM(M2:M10)</f>
        <v>0</v>
      </c>
      <c r="O18" s="81">
        <v>1.07</v>
      </c>
      <c r="P18" s="81">
        <f t="shared" si="0"/>
        <v>570.28860000000009</v>
      </c>
      <c r="W18" s="134"/>
    </row>
    <row r="19" spans="1:23"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O19" s="81">
        <v>1.06</v>
      </c>
      <c r="P19" s="81">
        <f t="shared" si="0"/>
        <v>564.9588</v>
      </c>
      <c r="W19" s="134"/>
    </row>
    <row r="20" spans="1:23" x14ac:dyDescent="0.25">
      <c r="O20" s="81">
        <v>1.05</v>
      </c>
      <c r="P20" s="81">
        <f t="shared" si="0"/>
        <v>559.62900000000002</v>
      </c>
      <c r="W20" s="134"/>
    </row>
    <row r="21" spans="1:23" x14ac:dyDescent="0.25">
      <c r="O21" s="81">
        <v>1.04</v>
      </c>
      <c r="P21" s="81">
        <f t="shared" si="0"/>
        <v>554.29920000000004</v>
      </c>
      <c r="W21" s="134"/>
    </row>
    <row r="22" spans="1:23" x14ac:dyDescent="0.25">
      <c r="O22" s="81">
        <v>1.03</v>
      </c>
      <c r="P22" s="81">
        <f t="shared" si="0"/>
        <v>548.96940000000006</v>
      </c>
      <c r="W22" s="134"/>
    </row>
    <row r="23" spans="1:23" x14ac:dyDescent="0.25">
      <c r="O23" s="81">
        <v>1.02</v>
      </c>
      <c r="P23" s="81">
        <f t="shared" si="0"/>
        <v>543.63959999999997</v>
      </c>
      <c r="W23" s="134"/>
    </row>
    <row r="24" spans="1:23" x14ac:dyDescent="0.25">
      <c r="B24" s="162" t="s">
        <v>113</v>
      </c>
      <c r="C24" s="162" t="s">
        <v>145</v>
      </c>
      <c r="D24" s="163" t="s">
        <v>144</v>
      </c>
      <c r="E24" s="165" t="s">
        <v>146</v>
      </c>
      <c r="F24" s="165" t="s">
        <v>65</v>
      </c>
      <c r="G24" s="177" t="s">
        <v>150</v>
      </c>
      <c r="H24" s="177" t="s">
        <v>88</v>
      </c>
      <c r="I24" s="177" t="s">
        <v>153</v>
      </c>
      <c r="J24" s="177" t="s">
        <v>487</v>
      </c>
      <c r="K24" s="177" t="s">
        <v>177</v>
      </c>
      <c r="L24" s="177"/>
      <c r="O24" s="81">
        <v>1.01</v>
      </c>
      <c r="P24" s="81">
        <f t="shared" si="0"/>
        <v>538.3098</v>
      </c>
      <c r="W24" s="134"/>
    </row>
    <row r="25" spans="1:23" x14ac:dyDescent="0.25">
      <c r="B25" s="164">
        <v>43140</v>
      </c>
      <c r="C25" s="10">
        <v>10</v>
      </c>
      <c r="D25" s="39">
        <v>251.2</v>
      </c>
      <c r="E25" s="39">
        <v>255.46</v>
      </c>
      <c r="F25" s="39">
        <f>C25*(E25-D25)</f>
        <v>42.600000000000193</v>
      </c>
      <c r="G25" s="39">
        <f>D25*C25</f>
        <v>2512</v>
      </c>
      <c r="H25" s="179">
        <f>(E25-D25)/D25</f>
        <v>1.6958598726114726E-2</v>
      </c>
      <c r="I25" s="39"/>
      <c r="J25" s="39"/>
      <c r="K25" s="39"/>
      <c r="L25" s="155"/>
      <c r="O25" s="81">
        <v>1</v>
      </c>
      <c r="P25" s="81">
        <f t="shared" si="0"/>
        <v>532.98</v>
      </c>
      <c r="W25" s="134"/>
    </row>
    <row r="26" spans="1:23" x14ac:dyDescent="0.25">
      <c r="B26" s="164">
        <v>43151</v>
      </c>
      <c r="C26" s="10">
        <v>10</v>
      </c>
      <c r="D26" s="39">
        <v>251.2</v>
      </c>
      <c r="E26" s="39">
        <v>317.57</v>
      </c>
      <c r="F26" s="39">
        <f>C26*(E26-D26)</f>
        <v>663.7</v>
      </c>
      <c r="G26" s="39">
        <f>D26*C26</f>
        <v>2512</v>
      </c>
      <c r="H26" s="179">
        <f>(E26-D26)/D26</f>
        <v>0.26421178343949048</v>
      </c>
      <c r="I26" s="39"/>
      <c r="J26" s="39"/>
      <c r="K26" s="39">
        <v>1121</v>
      </c>
      <c r="L26" s="155"/>
      <c r="O26" s="81">
        <v>0.99</v>
      </c>
      <c r="P26" s="81">
        <f t="shared" si="0"/>
        <v>527.65020000000004</v>
      </c>
      <c r="W26" s="134"/>
    </row>
    <row r="27" spans="1:23" x14ac:dyDescent="0.25">
      <c r="B27" s="164">
        <v>43180</v>
      </c>
      <c r="C27" s="10">
        <v>0</v>
      </c>
      <c r="D27" s="39"/>
      <c r="E27" s="39"/>
      <c r="F27" s="39">
        <v>707.92</v>
      </c>
      <c r="G27" s="39"/>
      <c r="H27" s="179"/>
      <c r="I27" s="39"/>
      <c r="J27" s="39"/>
      <c r="K27" s="39">
        <v>1164.8599999999999</v>
      </c>
      <c r="L27" s="155"/>
      <c r="O27" s="81">
        <v>0.98</v>
      </c>
      <c r="P27" s="81">
        <f t="shared" si="0"/>
        <v>522.32040000000006</v>
      </c>
      <c r="W27" s="134"/>
    </row>
    <row r="28" spans="1:23" x14ac:dyDescent="0.25">
      <c r="B28" s="164"/>
      <c r="C28" s="10"/>
      <c r="D28" s="39"/>
      <c r="E28" s="39"/>
      <c r="F28" s="39"/>
      <c r="G28" s="39"/>
      <c r="H28" s="179"/>
      <c r="I28" s="39"/>
      <c r="J28" s="39"/>
      <c r="K28" s="39"/>
      <c r="L28" s="155"/>
      <c r="O28" s="81">
        <v>0.97</v>
      </c>
      <c r="P28" s="81">
        <f t="shared" si="0"/>
        <v>516.99059999999997</v>
      </c>
      <c r="W28" s="134"/>
    </row>
    <row r="29" spans="1:23" x14ac:dyDescent="0.25">
      <c r="B29" s="164"/>
      <c r="C29" s="10"/>
      <c r="D29" s="39"/>
      <c r="E29" s="39"/>
      <c r="F29" s="39"/>
      <c r="G29" s="39"/>
      <c r="H29" s="179"/>
      <c r="I29" s="39"/>
      <c r="J29" s="39"/>
      <c r="K29" s="39"/>
      <c r="L29" s="155"/>
      <c r="O29" s="81">
        <v>0.96</v>
      </c>
      <c r="P29" s="81">
        <f t="shared" si="0"/>
        <v>511.66079999999999</v>
      </c>
      <c r="W29" s="134"/>
    </row>
    <row r="30" spans="1:23" x14ac:dyDescent="0.25">
      <c r="B30" s="164"/>
      <c r="C30" s="10"/>
      <c r="D30" s="39"/>
      <c r="E30" s="39"/>
      <c r="F30" s="39"/>
      <c r="G30" s="39"/>
      <c r="H30" s="179"/>
      <c r="I30" s="39"/>
      <c r="J30" s="39"/>
      <c r="K30" s="39"/>
      <c r="L30" s="155"/>
      <c r="O30" s="81">
        <v>0.95</v>
      </c>
      <c r="P30" s="81">
        <f t="shared" si="0"/>
        <v>506.33100000000002</v>
      </c>
      <c r="W30" s="134"/>
    </row>
    <row r="31" spans="1:23" x14ac:dyDescent="0.25">
      <c r="B31" s="164"/>
      <c r="C31" s="10"/>
      <c r="D31" s="39"/>
      <c r="E31" s="39"/>
      <c r="F31" s="39"/>
      <c r="G31" s="39"/>
      <c r="H31" s="179"/>
      <c r="I31" s="39"/>
      <c r="J31" s="39"/>
      <c r="K31" s="39"/>
      <c r="L31" s="155"/>
      <c r="O31" s="81">
        <v>0.94</v>
      </c>
      <c r="P31" s="81">
        <f t="shared" si="0"/>
        <v>501.00119999999998</v>
      </c>
      <c r="W31" s="134"/>
    </row>
    <row r="32" spans="1:23" x14ac:dyDescent="0.25">
      <c r="B32" s="164"/>
      <c r="C32" s="10"/>
      <c r="D32" s="39"/>
      <c r="E32" s="39"/>
      <c r="F32" s="39"/>
      <c r="G32" s="39"/>
      <c r="H32" s="179"/>
      <c r="I32" s="39"/>
      <c r="J32" s="39"/>
      <c r="K32" s="39"/>
      <c r="L32" s="155"/>
      <c r="O32" s="81">
        <v>0.93</v>
      </c>
      <c r="P32" s="81">
        <f t="shared" si="0"/>
        <v>495.67140000000006</v>
      </c>
      <c r="W32" s="134"/>
    </row>
    <row r="33" spans="1:23" x14ac:dyDescent="0.25">
      <c r="A33" s="29"/>
      <c r="B33" s="164"/>
      <c r="C33" s="10"/>
      <c r="D33" s="39"/>
      <c r="E33" s="39"/>
      <c r="F33" s="39"/>
      <c r="G33" s="39"/>
      <c r="H33" s="179"/>
      <c r="I33" s="39"/>
      <c r="J33" s="39"/>
      <c r="K33" s="39"/>
      <c r="L33" s="39"/>
      <c r="O33" s="81">
        <v>0.92</v>
      </c>
      <c r="P33" s="81">
        <f t="shared" si="0"/>
        <v>490.34160000000003</v>
      </c>
      <c r="W33" s="134"/>
    </row>
    <row r="34" spans="1:23" x14ac:dyDescent="0.25">
      <c r="B34" s="164"/>
      <c r="C34" s="10"/>
      <c r="D34" s="39"/>
      <c r="E34" s="39"/>
      <c r="F34" s="39"/>
      <c r="G34" s="39"/>
      <c r="H34" s="179"/>
      <c r="I34" s="39"/>
      <c r="J34" s="39"/>
      <c r="K34" s="39"/>
      <c r="L34" s="155"/>
      <c r="O34" s="81">
        <v>0.91</v>
      </c>
      <c r="P34" s="81">
        <f t="shared" si="0"/>
        <v>485.01180000000005</v>
      </c>
      <c r="W34" s="134"/>
    </row>
    <row r="35" spans="1:23" x14ac:dyDescent="0.25">
      <c r="B35" s="164"/>
      <c r="C35" s="10"/>
      <c r="D35" s="39"/>
      <c r="E35" s="39"/>
      <c r="F35" s="39"/>
      <c r="G35" s="39"/>
      <c r="H35" s="179"/>
      <c r="I35" s="39"/>
      <c r="J35" s="39"/>
      <c r="K35" s="39"/>
      <c r="L35" s="155"/>
      <c r="O35" s="81">
        <v>0.9</v>
      </c>
      <c r="P35" s="81">
        <f t="shared" si="0"/>
        <v>479.68200000000002</v>
      </c>
      <c r="W35" s="134"/>
    </row>
    <row r="36" spans="1:23" x14ac:dyDescent="0.25">
      <c r="B36" s="164"/>
      <c r="C36" s="10"/>
      <c r="D36" s="39"/>
      <c r="E36" s="39"/>
      <c r="F36" s="39"/>
      <c r="G36" s="39"/>
      <c r="H36" s="179"/>
      <c r="I36" s="39"/>
      <c r="J36" s="39"/>
      <c r="K36" s="39"/>
      <c r="L36" s="39"/>
      <c r="W36" s="134"/>
    </row>
    <row r="37" spans="1:23" x14ac:dyDescent="0.25">
      <c r="B37" s="164"/>
      <c r="C37" s="10"/>
      <c r="D37" s="39"/>
      <c r="E37" s="39"/>
      <c r="F37" s="39"/>
      <c r="G37" s="39"/>
      <c r="H37" s="179"/>
      <c r="I37" s="39"/>
      <c r="J37" s="39"/>
      <c r="K37" s="39"/>
      <c r="L37" s="39"/>
      <c r="W37" s="134"/>
    </row>
    <row r="38" spans="1:23" x14ac:dyDescent="0.25">
      <c r="B38" s="164"/>
      <c r="C38" s="10"/>
      <c r="D38" s="39"/>
      <c r="E38" s="39"/>
      <c r="F38" s="39"/>
      <c r="G38" s="39"/>
      <c r="H38" s="179"/>
      <c r="I38" s="39"/>
      <c r="J38" s="39"/>
      <c r="K38" s="39"/>
      <c r="L38" s="39"/>
      <c r="W38" s="134"/>
    </row>
    <row r="39" spans="1:23" x14ac:dyDescent="0.25">
      <c r="B39" s="164"/>
      <c r="C39" s="10"/>
      <c r="D39" s="39"/>
      <c r="E39" s="39"/>
      <c r="F39" s="39"/>
      <c r="G39" s="39"/>
      <c r="H39" s="179"/>
      <c r="I39" s="39"/>
      <c r="J39" s="39"/>
      <c r="K39" s="39"/>
      <c r="L39" s="39"/>
      <c r="T39" s="134"/>
    </row>
    <row r="40" spans="1:23" x14ac:dyDescent="0.25">
      <c r="B40" s="164"/>
      <c r="C40" s="10"/>
      <c r="D40" s="39"/>
      <c r="E40" s="39"/>
      <c r="F40" s="39"/>
      <c r="G40" s="39"/>
      <c r="H40" s="179"/>
      <c r="I40" s="39"/>
      <c r="J40" s="39"/>
      <c r="K40" s="39"/>
      <c r="L40" s="39"/>
      <c r="T40" s="134"/>
    </row>
    <row r="41" spans="1:23" x14ac:dyDescent="0.25">
      <c r="B41" s="164"/>
      <c r="C41" s="10"/>
      <c r="D41" s="39"/>
      <c r="E41" s="39"/>
      <c r="F41" s="39"/>
      <c r="G41" s="39"/>
      <c r="H41" s="179"/>
      <c r="I41" s="39"/>
      <c r="J41" s="39"/>
      <c r="K41" s="39"/>
      <c r="L41" s="39"/>
      <c r="Q41" s="2"/>
      <c r="T41" s="134"/>
    </row>
    <row r="42" spans="1:23" x14ac:dyDescent="0.25">
      <c r="B42" s="164"/>
      <c r="C42" s="10"/>
      <c r="D42" s="39"/>
      <c r="E42" s="39"/>
      <c r="F42" s="39"/>
      <c r="G42" s="39"/>
      <c r="H42" s="179"/>
      <c r="I42" s="39"/>
      <c r="J42" s="39"/>
      <c r="K42" s="39"/>
      <c r="L42" s="39"/>
      <c r="Q42" s="2"/>
      <c r="T42" s="134"/>
    </row>
    <row r="43" spans="1:23" x14ac:dyDescent="0.25">
      <c r="B43" s="164"/>
      <c r="C43" s="10"/>
      <c r="D43" s="39"/>
      <c r="E43" s="39"/>
      <c r="F43" s="39"/>
      <c r="G43" s="39"/>
      <c r="H43" s="179"/>
      <c r="I43" s="39"/>
      <c r="J43" s="39"/>
      <c r="K43" s="39"/>
      <c r="L43" s="39"/>
      <c r="Q43" s="2"/>
      <c r="T43" s="134"/>
    </row>
    <row r="44" spans="1:23" x14ac:dyDescent="0.25">
      <c r="B44" s="164"/>
      <c r="C44" s="10"/>
      <c r="D44" s="39"/>
      <c r="E44" s="39"/>
      <c r="F44" s="39"/>
      <c r="G44" s="39"/>
      <c r="H44" s="179"/>
      <c r="I44" s="39"/>
      <c r="J44" s="39"/>
      <c r="K44" s="39"/>
      <c r="L44" s="39"/>
      <c r="Q44" s="2"/>
      <c r="T44" s="134"/>
    </row>
    <row r="45" spans="1:23" x14ac:dyDescent="0.25">
      <c r="B45" s="164"/>
      <c r="C45" s="10"/>
      <c r="D45" s="39"/>
      <c r="E45" s="39"/>
      <c r="F45" s="39"/>
      <c r="G45" s="39"/>
      <c r="H45" s="179"/>
      <c r="I45" s="39"/>
      <c r="J45" s="39"/>
      <c r="K45" s="39"/>
      <c r="L45" s="39"/>
      <c r="Q45" s="2"/>
      <c r="T45" s="134"/>
    </row>
    <row r="46" spans="1:23" x14ac:dyDescent="0.25">
      <c r="B46" s="164"/>
      <c r="C46" s="10"/>
      <c r="D46" s="39"/>
      <c r="E46" s="39"/>
      <c r="F46" s="39"/>
      <c r="G46" s="39"/>
      <c r="H46" s="179"/>
      <c r="I46" s="39"/>
      <c r="J46" s="39"/>
      <c r="K46" s="39"/>
      <c r="L46" s="39"/>
      <c r="Q46" s="2"/>
      <c r="T46" s="134"/>
    </row>
    <row r="47" spans="1:23" x14ac:dyDescent="0.25">
      <c r="B47" s="72"/>
      <c r="C47" s="4"/>
      <c r="D47" s="3"/>
      <c r="E47" s="3"/>
      <c r="F47" s="3"/>
      <c r="G47" s="3"/>
      <c r="H47" s="216"/>
      <c r="I47" s="214"/>
      <c r="Q47" s="2"/>
      <c r="T47" s="134"/>
    </row>
    <row r="48" spans="1:23" x14ac:dyDescent="0.25">
      <c r="B48" s="72"/>
      <c r="C48" s="4"/>
      <c r="D48" s="3"/>
      <c r="E48" s="3"/>
      <c r="F48" s="3"/>
      <c r="G48" s="3"/>
      <c r="H48" s="216"/>
      <c r="I48" s="3"/>
      <c r="Q48" s="2"/>
      <c r="T48" s="134"/>
    </row>
    <row r="49" spans="1:23" x14ac:dyDescent="0.25">
      <c r="B49" s="72"/>
      <c r="C49" s="4"/>
      <c r="D49" s="3"/>
      <c r="E49" s="3"/>
      <c r="F49" s="3"/>
      <c r="G49" s="3"/>
      <c r="H49" s="216"/>
      <c r="I49" s="3"/>
      <c r="Q49" s="2"/>
      <c r="T49" s="134"/>
    </row>
    <row r="50" spans="1:23" x14ac:dyDescent="0.25">
      <c r="B50" s="72"/>
      <c r="C50" s="4"/>
      <c r="D50" s="3"/>
      <c r="E50" s="3"/>
      <c r="F50" s="3"/>
      <c r="G50" s="3"/>
      <c r="H50" s="216"/>
      <c r="I50" s="3"/>
      <c r="Q50" s="2"/>
      <c r="T50" s="134"/>
    </row>
    <row r="51" spans="1:23" x14ac:dyDescent="0.25">
      <c r="B51" s="72"/>
      <c r="C51" s="4"/>
      <c r="D51" s="3"/>
      <c r="E51" s="3"/>
      <c r="F51" s="3"/>
      <c r="G51" s="3"/>
      <c r="H51" s="216"/>
      <c r="I51" s="3"/>
      <c r="Q51" s="2"/>
      <c r="T51" s="134"/>
    </row>
    <row r="52" spans="1:23" x14ac:dyDescent="0.25">
      <c r="B52" s="72"/>
      <c r="C52" s="4"/>
      <c r="D52" s="3"/>
      <c r="E52" s="3"/>
      <c r="F52" s="3"/>
      <c r="G52" s="3"/>
      <c r="H52" s="216"/>
      <c r="I52" s="3"/>
      <c r="Q52" s="2"/>
      <c r="T52" s="134"/>
    </row>
    <row r="53" spans="1:23" x14ac:dyDescent="0.25">
      <c r="B53" s="72"/>
      <c r="C53" s="4"/>
      <c r="D53" s="3"/>
      <c r="E53" s="3"/>
      <c r="F53" s="3"/>
      <c r="G53" s="3"/>
      <c r="H53" s="216"/>
      <c r="I53" s="3"/>
      <c r="Q53" s="2"/>
      <c r="T53" s="134"/>
    </row>
    <row r="54" spans="1:23" x14ac:dyDescent="0.25">
      <c r="A54" s="4"/>
      <c r="B54" s="72"/>
      <c r="C54" s="4"/>
      <c r="D54" s="3"/>
      <c r="E54" s="3"/>
      <c r="F54" s="3"/>
      <c r="G54" s="3"/>
      <c r="H54" s="216"/>
      <c r="I54" s="3"/>
      <c r="J54" s="3"/>
      <c r="K54" s="3"/>
      <c r="L54" s="4"/>
      <c r="T54" s="134"/>
    </row>
    <row r="55" spans="1:23" x14ac:dyDescent="0.25">
      <c r="A55" s="4"/>
      <c r="B55" s="72"/>
      <c r="C55" s="4"/>
      <c r="D55" s="3"/>
      <c r="E55" s="3"/>
      <c r="F55" s="3"/>
      <c r="G55" s="3"/>
      <c r="H55" s="216"/>
      <c r="I55" s="3"/>
      <c r="J55" s="3"/>
      <c r="K55" s="3"/>
      <c r="L55" s="4"/>
      <c r="T55" s="134"/>
    </row>
    <row r="56" spans="1:23" x14ac:dyDescent="0.25">
      <c r="A56" s="4"/>
      <c r="B56" s="72"/>
      <c r="C56" s="4"/>
      <c r="D56" s="3"/>
      <c r="E56" s="3"/>
      <c r="F56" s="3"/>
      <c r="G56" s="3"/>
      <c r="H56" s="216"/>
      <c r="I56" s="3"/>
      <c r="J56" s="3"/>
      <c r="K56" s="3"/>
      <c r="L56" s="4"/>
      <c r="T56" s="134"/>
    </row>
    <row r="57" spans="1:23" x14ac:dyDescent="0.25">
      <c r="A57" s="4"/>
      <c r="B57" s="72"/>
      <c r="C57" s="4"/>
      <c r="D57" s="3"/>
      <c r="E57" s="3"/>
      <c r="F57" s="3"/>
      <c r="G57" s="3"/>
      <c r="H57" s="216"/>
      <c r="I57" s="3"/>
      <c r="J57" s="3"/>
      <c r="K57" s="3"/>
      <c r="L57" s="4"/>
      <c r="T57" s="134"/>
    </row>
    <row r="58" spans="1:23" x14ac:dyDescent="0.25">
      <c r="A58" s="4"/>
      <c r="B58" s="72"/>
      <c r="C58" s="4"/>
      <c r="D58" s="3"/>
      <c r="E58" s="3"/>
      <c r="F58" s="3"/>
      <c r="G58" s="3"/>
      <c r="H58" s="216"/>
      <c r="I58" s="3"/>
      <c r="J58" s="3"/>
      <c r="K58" s="3"/>
      <c r="L58" s="4"/>
      <c r="T58" s="134"/>
    </row>
    <row r="59" spans="1:23" x14ac:dyDescent="0.25">
      <c r="A59" s="4"/>
      <c r="B59" s="72"/>
      <c r="C59" s="4"/>
      <c r="D59" s="3"/>
      <c r="E59" s="3"/>
      <c r="F59" s="3"/>
      <c r="G59" s="3"/>
      <c r="H59" s="216"/>
      <c r="I59" s="3"/>
      <c r="J59" s="3"/>
      <c r="K59" s="3"/>
      <c r="L59" s="4"/>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1264.8599999999997</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798</v>
      </c>
      <c r="B68" s="72">
        <v>43098</v>
      </c>
      <c r="C68" s="4">
        <v>10</v>
      </c>
      <c r="D68" s="3">
        <v>288.98</v>
      </c>
      <c r="E68" s="3">
        <v>-0.02</v>
      </c>
      <c r="F68" s="3">
        <f>C68*D68+E68</f>
        <v>2889.78</v>
      </c>
      <c r="G68" s="72">
        <v>43098</v>
      </c>
      <c r="H68" s="4">
        <v>10</v>
      </c>
      <c r="I68" s="3">
        <v>334.68</v>
      </c>
      <c r="J68" s="3">
        <v>0.08</v>
      </c>
      <c r="K68" s="3">
        <f>H68*I68-J68</f>
        <v>3346.7200000000003</v>
      </c>
      <c r="L68" s="72"/>
      <c r="M68" s="3"/>
      <c r="W68" s="134"/>
    </row>
    <row r="69" spans="1:23" x14ac:dyDescent="0.25">
      <c r="A69" s="444" t="s">
        <v>71</v>
      </c>
      <c r="B69" s="72">
        <v>43140</v>
      </c>
      <c r="C69" s="4">
        <v>10</v>
      </c>
      <c r="D69" s="3">
        <v>251.2</v>
      </c>
      <c r="E69" s="3">
        <v>0</v>
      </c>
      <c r="F69" s="3">
        <f>C69*D69+E69</f>
        <v>2512</v>
      </c>
      <c r="G69" s="72">
        <v>43180</v>
      </c>
      <c r="H69" s="4">
        <v>10</v>
      </c>
      <c r="I69" s="3">
        <v>332</v>
      </c>
      <c r="J69" s="3">
        <v>0.08</v>
      </c>
      <c r="K69" s="3">
        <f>H69*I69-J69</f>
        <v>3319.92</v>
      </c>
      <c r="L69" s="72"/>
      <c r="M69" s="427"/>
      <c r="W69" s="134"/>
    </row>
    <row r="70" spans="1:23" x14ac:dyDescent="0.25">
      <c r="A70" s="427"/>
      <c r="B70" s="426"/>
      <c r="C70" s="427"/>
      <c r="D70" s="429"/>
      <c r="E70" s="429"/>
      <c r="F70" s="429"/>
      <c r="G70" s="426"/>
      <c r="H70" s="443"/>
      <c r="I70" s="429"/>
      <c r="J70" s="429"/>
      <c r="K70" s="429"/>
      <c r="L70" s="427"/>
      <c r="M70" s="427"/>
    </row>
    <row r="71" spans="1:23" x14ac:dyDescent="0.25">
      <c r="A71" s="427"/>
      <c r="B71" s="426"/>
      <c r="C71" s="427"/>
      <c r="D71" s="429"/>
      <c r="E71" s="429"/>
      <c r="F71" s="429"/>
      <c r="G71" s="427"/>
      <c r="H71" s="443"/>
      <c r="I71" s="429"/>
      <c r="J71" s="429"/>
      <c r="K71" s="429"/>
      <c r="L71" s="427"/>
      <c r="M71" s="427"/>
    </row>
    <row r="72" spans="1:23" x14ac:dyDescent="0.25">
      <c r="A72" s="427"/>
      <c r="B72" s="426"/>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20</v>
      </c>
      <c r="D84" s="447"/>
      <c r="E84" s="447"/>
      <c r="F84" s="447">
        <f>SUM(F68:F72)</f>
        <v>5401.7800000000007</v>
      </c>
      <c r="G84" s="446"/>
      <c r="H84" s="468">
        <f>SUM(H68:H71)</f>
        <v>20</v>
      </c>
      <c r="I84" s="447"/>
      <c r="J84" s="447"/>
      <c r="K84" s="447">
        <f>SUM(K68:K71)</f>
        <v>6666.64</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c r="J88" s="39"/>
      <c r="K88" s="39"/>
    </row>
    <row r="89" spans="1:13" x14ac:dyDescent="0.25">
      <c r="B89" s="164">
        <v>43098</v>
      </c>
      <c r="C89" s="10">
        <v>10</v>
      </c>
      <c r="D89" s="39">
        <v>288.97800000000001</v>
      </c>
      <c r="E89" s="39">
        <v>289.02999999999997</v>
      </c>
      <c r="F89" s="39">
        <f>C89*(E89-D89)</f>
        <v>0.51999999999964075</v>
      </c>
      <c r="G89" s="39">
        <f>D89*C89</f>
        <v>2889.78</v>
      </c>
      <c r="H89" s="179">
        <f>(E89-D89)/D89</f>
        <v>1.7994449404440502E-4</v>
      </c>
      <c r="I89" s="39"/>
      <c r="J89" s="39"/>
      <c r="K89" s="39"/>
    </row>
    <row r="90" spans="1:13" x14ac:dyDescent="0.25">
      <c r="B90" s="164">
        <v>43105</v>
      </c>
      <c r="C90" s="10">
        <v>10</v>
      </c>
      <c r="D90" s="39">
        <v>288.97800000000001</v>
      </c>
      <c r="E90" s="39">
        <v>313.79000000000002</v>
      </c>
      <c r="F90" s="39">
        <f>C90*(E90-D90)</f>
        <v>248.12000000000012</v>
      </c>
      <c r="G90" s="39">
        <f>D90*C90</f>
        <v>2889.78</v>
      </c>
      <c r="H90" s="179">
        <f>(E90-D90)/D90</f>
        <v>8.5861207427555084E-2</v>
      </c>
      <c r="I90" s="39"/>
      <c r="J90" s="39"/>
      <c r="K90" s="39"/>
    </row>
    <row r="91" spans="1:13" x14ac:dyDescent="0.25">
      <c r="A91" s="1">
        <v>43129</v>
      </c>
      <c r="B91" s="164">
        <v>43108</v>
      </c>
      <c r="C91" s="10">
        <v>10</v>
      </c>
      <c r="D91" s="39">
        <v>288.97800000000001</v>
      </c>
      <c r="E91" s="39">
        <v>318.47000000000003</v>
      </c>
      <c r="F91" s="39">
        <f>C91*(E91-D91)</f>
        <v>294.92000000000019</v>
      </c>
      <c r="G91" s="39">
        <f>D91*C91</f>
        <v>2889.78</v>
      </c>
      <c r="H91" s="179">
        <f>(E91-D91)/D91</f>
        <v>0.10205621189156273</v>
      </c>
      <c r="I91" s="39"/>
      <c r="J91" s="39"/>
      <c r="K91" s="39"/>
    </row>
    <row r="92" spans="1:13" x14ac:dyDescent="0.25">
      <c r="B92" s="164">
        <v>43117</v>
      </c>
      <c r="C92" s="10">
        <v>10</v>
      </c>
      <c r="D92" s="39">
        <v>288.97800000000001</v>
      </c>
      <c r="E92" s="39">
        <v>334.63</v>
      </c>
      <c r="F92" s="39">
        <f>C92*(E92-D92)</f>
        <v>456.51999999999987</v>
      </c>
      <c r="G92" s="39">
        <f>D92*C92</f>
        <v>2889.78</v>
      </c>
      <c r="H92" s="179">
        <f>(E92-D92)/D92</f>
        <v>0.15797742388693944</v>
      </c>
      <c r="I92" s="39"/>
      <c r="J92" s="39"/>
      <c r="K92" s="39"/>
    </row>
    <row r="93" spans="1:13" x14ac:dyDescent="0.25">
      <c r="B93" s="164">
        <v>43129</v>
      </c>
      <c r="C93" s="10">
        <v>0</v>
      </c>
      <c r="D93" s="39"/>
      <c r="E93" s="39"/>
      <c r="F93" s="39">
        <v>456.94</v>
      </c>
      <c r="G93" s="39"/>
      <c r="H93" s="179"/>
      <c r="I93" s="39"/>
      <c r="J93" s="39"/>
      <c r="K93" s="39"/>
    </row>
    <row r="94" spans="1:13" x14ac:dyDescent="0.25">
      <c r="B94" s="164"/>
      <c r="C94" s="10"/>
      <c r="D94" s="39"/>
      <c r="E94" s="39"/>
      <c r="F94" s="39"/>
      <c r="G94" s="39"/>
      <c r="H94" s="179"/>
      <c r="I94" s="39"/>
      <c r="J94" s="39"/>
      <c r="K94" s="39"/>
    </row>
    <row r="95" spans="1:13" x14ac:dyDescent="0.25">
      <c r="B95" s="164"/>
      <c r="C95" s="10"/>
      <c r="D95" s="39"/>
      <c r="E95" s="39"/>
      <c r="F95" s="39"/>
      <c r="G95" s="39"/>
      <c r="H95" s="179"/>
      <c r="I95" s="39"/>
      <c r="J95" s="39"/>
      <c r="K95" s="39"/>
    </row>
    <row r="96" spans="1:13" x14ac:dyDescent="0.25">
      <c r="B96" s="164"/>
      <c r="C96" s="10"/>
      <c r="D96" s="39"/>
      <c r="E96" s="39"/>
      <c r="F96" s="39"/>
      <c r="G96" s="39"/>
      <c r="H96" s="179"/>
      <c r="I96" s="39"/>
      <c r="J96" s="39"/>
      <c r="K96" s="39"/>
    </row>
    <row r="97" spans="2:11" x14ac:dyDescent="0.25">
      <c r="B97" s="164"/>
      <c r="C97" s="10"/>
      <c r="D97" s="39"/>
      <c r="E97" s="39"/>
      <c r="F97" s="39"/>
      <c r="G97" s="39"/>
      <c r="H97" s="179"/>
      <c r="I97" s="39"/>
      <c r="J97" s="39"/>
      <c r="K97" s="39"/>
    </row>
    <row r="98" spans="2:11" x14ac:dyDescent="0.25">
      <c r="B98" s="164"/>
      <c r="C98" s="10"/>
      <c r="D98" s="39"/>
      <c r="E98" s="39"/>
      <c r="F98" s="39"/>
      <c r="G98" s="39"/>
      <c r="H98" s="179"/>
      <c r="I98" s="39"/>
      <c r="J98" s="39"/>
      <c r="K98" s="39"/>
    </row>
    <row r="99" spans="2:11" x14ac:dyDescent="0.25">
      <c r="B99" s="164"/>
      <c r="C99" s="10"/>
      <c r="D99" s="39"/>
      <c r="E99" s="39"/>
      <c r="F99" s="39"/>
      <c r="G99" s="39"/>
      <c r="H99" s="179"/>
      <c r="I99" s="39"/>
      <c r="J99" s="39"/>
      <c r="K99" s="39"/>
    </row>
    <row r="100" spans="2:11" x14ac:dyDescent="0.25">
      <c r="B100" s="164"/>
      <c r="C100" s="10"/>
      <c r="D100" s="39"/>
      <c r="E100" s="39"/>
      <c r="F100" s="39"/>
      <c r="G100" s="39"/>
      <c r="H100" s="179"/>
      <c r="I100" s="39"/>
      <c r="J100" s="39"/>
      <c r="K100" s="39"/>
    </row>
    <row r="101" spans="2:11" x14ac:dyDescent="0.25">
      <c r="B101" s="164"/>
      <c r="C101" s="10"/>
      <c r="D101" s="39"/>
      <c r="E101" s="39"/>
      <c r="F101" s="39"/>
      <c r="G101" s="39"/>
      <c r="H101" s="179"/>
      <c r="I101" s="39"/>
      <c r="J101" s="39"/>
      <c r="K101" s="39"/>
    </row>
    <row r="102" spans="2:11" x14ac:dyDescent="0.25">
      <c r="B102" s="164"/>
      <c r="C102" s="10"/>
      <c r="D102" s="39"/>
      <c r="E102" s="39"/>
      <c r="F102" s="39"/>
      <c r="G102" s="39"/>
      <c r="H102" s="179"/>
      <c r="I102" s="39"/>
      <c r="J102" s="39"/>
      <c r="K102" s="39"/>
    </row>
    <row r="103" spans="2:11" x14ac:dyDescent="0.25">
      <c r="B103" s="164"/>
      <c r="C103" s="10"/>
      <c r="D103" s="39"/>
      <c r="E103" s="39"/>
      <c r="F103" s="39"/>
      <c r="G103" s="39"/>
      <c r="H103" s="179"/>
      <c r="I103" s="39"/>
      <c r="J103" s="39"/>
      <c r="K103" s="39"/>
    </row>
    <row r="104" spans="2:11" x14ac:dyDescent="0.25">
      <c r="B104" s="164"/>
      <c r="C104" s="10"/>
      <c r="D104" s="39"/>
      <c r="E104" s="39"/>
      <c r="F104" s="39"/>
      <c r="G104" s="39"/>
      <c r="H104" s="179"/>
      <c r="I104" s="39"/>
      <c r="J104" s="39"/>
      <c r="K104" s="39"/>
    </row>
    <row r="105" spans="2:11" x14ac:dyDescent="0.25">
      <c r="B105" s="164"/>
      <c r="C105" s="10"/>
      <c r="D105" s="39"/>
      <c r="E105" s="39"/>
      <c r="F105" s="39"/>
      <c r="G105" s="39"/>
      <c r="H105" s="179"/>
      <c r="I105" s="39"/>
      <c r="J105" s="39"/>
      <c r="K105" s="39"/>
    </row>
    <row r="106" spans="2:11" x14ac:dyDescent="0.25">
      <c r="B106" s="164"/>
      <c r="C106" s="10"/>
      <c r="D106" s="39"/>
      <c r="E106" s="39"/>
      <c r="F106" s="39"/>
      <c r="G106" s="39"/>
      <c r="H106" s="179"/>
      <c r="I106" s="39"/>
      <c r="J106" s="39"/>
      <c r="K106" s="39"/>
    </row>
    <row r="107" spans="2:11" x14ac:dyDescent="0.25">
      <c r="B107" s="164"/>
      <c r="C107" s="10"/>
      <c r="D107" s="39"/>
      <c r="E107" s="39"/>
      <c r="F107" s="39"/>
      <c r="G107" s="39"/>
      <c r="H107" s="179"/>
      <c r="I107" s="39"/>
      <c r="J107" s="39"/>
      <c r="K107" s="39"/>
    </row>
    <row r="108" spans="2:11" x14ac:dyDescent="0.25">
      <c r="B108" s="164"/>
      <c r="C108" s="10"/>
      <c r="D108" s="39"/>
      <c r="E108" s="39"/>
      <c r="F108" s="39"/>
      <c r="G108" s="39"/>
      <c r="H108" s="179"/>
      <c r="I108" s="39"/>
      <c r="J108" s="39"/>
      <c r="K108" s="39"/>
    </row>
    <row r="109" spans="2:11" x14ac:dyDescent="0.25">
      <c r="B109" s="164"/>
      <c r="C109" s="10"/>
      <c r="D109" s="39"/>
      <c r="E109" s="39"/>
      <c r="F109" s="39"/>
      <c r="G109" s="39"/>
      <c r="H109" s="179"/>
      <c r="I109" s="39"/>
      <c r="J109" s="39"/>
      <c r="K109" s="39"/>
    </row>
    <row r="110" spans="2:11" x14ac:dyDescent="0.25">
      <c r="B110" s="164"/>
      <c r="C110" s="10"/>
      <c r="D110" s="39"/>
      <c r="E110" s="39"/>
      <c r="F110" s="39"/>
      <c r="G110" s="39"/>
      <c r="H110" s="179"/>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1072" priority="29">
      <formula>F29&gt;0</formula>
    </cfRule>
    <cfRule type="expression" dxfId="1071" priority="30">
      <formula>F29&lt;0</formula>
    </cfRule>
  </conditionalFormatting>
  <conditionalFormatting sqref="Q7">
    <cfRule type="expression" dxfId="1070" priority="27">
      <formula>Q7&gt;0</formula>
    </cfRule>
    <cfRule type="expression" dxfId="1069" priority="28">
      <formula>Q7&lt;0</formula>
    </cfRule>
  </conditionalFormatting>
  <conditionalFormatting sqref="Q8">
    <cfRule type="expression" dxfId="1068" priority="25">
      <formula>Q8&gt;0</formula>
    </cfRule>
    <cfRule type="expression" dxfId="1067" priority="26">
      <formula>Q8&lt;0</formula>
    </cfRule>
  </conditionalFormatting>
  <conditionalFormatting sqref="F96:F110">
    <cfRule type="expression" dxfId="1066" priority="19">
      <formula>F96&gt;0</formula>
    </cfRule>
    <cfRule type="expression" dxfId="1065" priority="20">
      <formula>F96&lt;0</formula>
    </cfRule>
  </conditionalFormatting>
  <conditionalFormatting sqref="H96:H110">
    <cfRule type="expression" dxfId="1064" priority="17">
      <formula>H96&gt;0</formula>
    </cfRule>
    <cfRule type="expression" dxfId="1063" priority="18">
      <formula>H96&lt;0</formula>
    </cfRule>
  </conditionalFormatting>
  <conditionalFormatting sqref="Q10">
    <cfRule type="expression" dxfId="1062" priority="15">
      <formula>Q10&gt;0</formula>
    </cfRule>
    <cfRule type="expression" dxfId="1061" priority="16">
      <formula>Q10&lt;0</formula>
    </cfRule>
  </conditionalFormatting>
  <conditionalFormatting sqref="L29:L38">
    <cfRule type="expression" dxfId="1060" priority="9">
      <formula>L29&gt;0</formula>
    </cfRule>
    <cfRule type="expression" dxfId="1059" priority="10">
      <formula>L29&lt;0</formula>
    </cfRule>
  </conditionalFormatting>
  <conditionalFormatting sqref="F27:F29 H27:H29 J25:K29">
    <cfRule type="expression" dxfId="1058" priority="7">
      <formula>F25&gt;0</formula>
    </cfRule>
    <cfRule type="expression" dxfId="1057" priority="8">
      <formula>F25&lt;0</formula>
    </cfRule>
  </conditionalFormatting>
  <conditionalFormatting sqref="L25:L29">
    <cfRule type="expression" dxfId="1056" priority="5">
      <formula>L25&gt;0</formula>
    </cfRule>
    <cfRule type="expression" dxfId="1055" priority="6">
      <formula>L25&lt;0</formula>
    </cfRule>
  </conditionalFormatting>
  <conditionalFormatting sqref="F25:F26">
    <cfRule type="expression" dxfId="1054" priority="3">
      <formula>F25&gt;0</formula>
    </cfRule>
    <cfRule type="expression" dxfId="1053" priority="4">
      <formula>F25&lt;0</formula>
    </cfRule>
  </conditionalFormatting>
  <conditionalFormatting sqref="H25:H26">
    <cfRule type="expression" dxfId="1052" priority="1">
      <formula>H25&gt;0</formula>
    </cfRule>
    <cfRule type="expression" dxfId="1051"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78"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824</v>
      </c>
      <c r="B2" s="368">
        <v>43105</v>
      </c>
      <c r="C2" s="7">
        <v>40</v>
      </c>
      <c r="D2" s="43">
        <v>90.08</v>
      </c>
      <c r="E2" s="43">
        <v>0</v>
      </c>
      <c r="F2" s="43">
        <f t="shared" ref="F2:F10" si="0">C2*D2+E2</f>
        <v>3603.2</v>
      </c>
      <c r="G2" s="368">
        <v>43213</v>
      </c>
      <c r="H2" s="7">
        <v>40</v>
      </c>
      <c r="I2" s="43">
        <v>86.55</v>
      </c>
      <c r="J2" s="43">
        <v>0.08</v>
      </c>
      <c r="K2" s="43">
        <f t="shared" ref="K2:K9" si="1">H2*I2-J2</f>
        <v>3461.92</v>
      </c>
      <c r="L2" s="72">
        <v>43146</v>
      </c>
      <c r="M2" s="43">
        <v>22.8</v>
      </c>
      <c r="O2" s="11" t="s">
        <v>57</v>
      </c>
      <c r="Q2" s="185">
        <f>C18-H18</f>
        <v>40</v>
      </c>
      <c r="T2" s="1"/>
      <c r="U2" t="s">
        <v>859</v>
      </c>
      <c r="W2" s="134"/>
    </row>
    <row r="3" spans="1:23" x14ac:dyDescent="0.25">
      <c r="A3" s="22" t="s">
        <v>71</v>
      </c>
      <c r="B3" s="368">
        <v>43172</v>
      </c>
      <c r="C3" s="7">
        <v>40</v>
      </c>
      <c r="D3" s="43">
        <v>89.88</v>
      </c>
      <c r="E3" s="43">
        <v>0</v>
      </c>
      <c r="F3" s="43">
        <f t="shared" si="0"/>
        <v>3595.2</v>
      </c>
      <c r="G3" s="368">
        <v>43217</v>
      </c>
      <c r="H3" s="80">
        <v>40</v>
      </c>
      <c r="I3" s="43">
        <v>87.38</v>
      </c>
      <c r="J3" s="43">
        <v>0.08</v>
      </c>
      <c r="K3" s="43">
        <f t="shared" si="1"/>
        <v>3495.12</v>
      </c>
      <c r="L3" s="72">
        <v>43236</v>
      </c>
      <c r="M3" s="43">
        <v>63</v>
      </c>
      <c r="O3" s="11" t="s">
        <v>58</v>
      </c>
      <c r="Q3" s="178">
        <f>IF(Q2=0, Q4, (F18-K18-M18)/Q2)</f>
        <v>66.57325000000003</v>
      </c>
      <c r="T3" s="1">
        <v>43114</v>
      </c>
      <c r="U3" t="s">
        <v>860</v>
      </c>
      <c r="W3" s="134"/>
    </row>
    <row r="4" spans="1:23" x14ac:dyDescent="0.25">
      <c r="B4" s="368">
        <v>43172</v>
      </c>
      <c r="C4" s="7">
        <v>20</v>
      </c>
      <c r="D4" s="43">
        <v>89.88</v>
      </c>
      <c r="E4" s="43">
        <v>0</v>
      </c>
      <c r="F4" s="43">
        <f t="shared" si="0"/>
        <v>1797.6</v>
      </c>
      <c r="G4" s="368">
        <v>43258</v>
      </c>
      <c r="H4" s="80">
        <v>60</v>
      </c>
      <c r="I4" s="43">
        <v>89.25</v>
      </c>
      <c r="J4" s="43">
        <v>7.0000000000000007E-2</v>
      </c>
      <c r="K4" s="43">
        <f t="shared" si="1"/>
        <v>5354.93</v>
      </c>
      <c r="L4" s="72">
        <v>43419</v>
      </c>
      <c r="M4" s="43">
        <v>25.2</v>
      </c>
      <c r="O4" s="11" t="s">
        <v>66</v>
      </c>
      <c r="Q4" s="54">
        <v>86.56</v>
      </c>
      <c r="R4" s="425">
        <v>6.1999999999999998E-3</v>
      </c>
      <c r="T4" s="1"/>
      <c r="W4" s="134"/>
    </row>
    <row r="5" spans="1:23" x14ac:dyDescent="0.25">
      <c r="B5" s="368">
        <v>43210</v>
      </c>
      <c r="C5" s="7">
        <v>40</v>
      </c>
      <c r="D5" s="43">
        <v>82.82</v>
      </c>
      <c r="E5" s="43">
        <v>0</v>
      </c>
      <c r="F5" s="43">
        <f t="shared" si="0"/>
        <v>3312.7999999999997</v>
      </c>
      <c r="G5" s="368">
        <v>43304</v>
      </c>
      <c r="H5" s="80">
        <v>40</v>
      </c>
      <c r="I5" s="43">
        <v>105.35</v>
      </c>
      <c r="J5" s="43">
        <v>0.05</v>
      </c>
      <c r="K5" s="43">
        <f t="shared" si="1"/>
        <v>4213.95</v>
      </c>
      <c r="L5" s="72">
        <v>43511</v>
      </c>
      <c r="M5" s="43">
        <v>25.2</v>
      </c>
      <c r="O5" s="11" t="s">
        <v>67</v>
      </c>
      <c r="Q5" s="3">
        <f>Q4*Q2</f>
        <v>3462.4</v>
      </c>
      <c r="T5" s="1">
        <v>43121</v>
      </c>
      <c r="U5" t="s">
        <v>877</v>
      </c>
      <c r="W5" s="134"/>
    </row>
    <row r="6" spans="1:23" x14ac:dyDescent="0.25">
      <c r="B6" s="368">
        <v>43216</v>
      </c>
      <c r="C6" s="7">
        <v>40</v>
      </c>
      <c r="D6" s="43">
        <v>84.8</v>
      </c>
      <c r="E6" s="43">
        <v>0</v>
      </c>
      <c r="F6" s="43">
        <f t="shared" si="0"/>
        <v>3392</v>
      </c>
      <c r="G6" s="368">
        <v>43362</v>
      </c>
      <c r="H6" s="80">
        <v>40</v>
      </c>
      <c r="I6" s="43">
        <v>109.28</v>
      </c>
      <c r="J6" s="43">
        <v>0.06</v>
      </c>
      <c r="K6" s="43">
        <f t="shared" si="1"/>
        <v>4371.1399999999994</v>
      </c>
      <c r="L6" s="4"/>
      <c r="M6" s="4"/>
      <c r="O6" s="11" t="s">
        <v>64</v>
      </c>
      <c r="Q6" s="2">
        <f>Q3*Q2</f>
        <v>2662.9300000000012</v>
      </c>
      <c r="W6" s="134"/>
    </row>
    <row r="7" spans="1:23" x14ac:dyDescent="0.25">
      <c r="B7" s="368">
        <v>43320</v>
      </c>
      <c r="C7" s="7">
        <v>40</v>
      </c>
      <c r="D7" s="43">
        <v>97.88</v>
      </c>
      <c r="E7" s="43">
        <v>0</v>
      </c>
      <c r="F7" s="43">
        <f t="shared" si="0"/>
        <v>3915.2</v>
      </c>
      <c r="G7" s="368">
        <v>43461</v>
      </c>
      <c r="H7" s="80">
        <v>4</v>
      </c>
      <c r="I7" s="43">
        <v>81.42</v>
      </c>
      <c r="J7" s="43">
        <v>0.01</v>
      </c>
      <c r="K7" s="43">
        <f t="shared" si="1"/>
        <v>325.67</v>
      </c>
      <c r="L7" s="4"/>
      <c r="M7" s="4"/>
      <c r="O7" s="11" t="s">
        <v>177</v>
      </c>
      <c r="Q7" s="2">
        <f>Q10+Q8</f>
        <v>799.4699999999998</v>
      </c>
      <c r="R7">
        <v>40</v>
      </c>
      <c r="T7" s="1">
        <v>43138</v>
      </c>
      <c r="U7" t="s">
        <v>957</v>
      </c>
      <c r="W7" s="134"/>
    </row>
    <row r="8" spans="1:23" x14ac:dyDescent="0.25">
      <c r="B8" s="368">
        <v>43368</v>
      </c>
      <c r="C8" s="4">
        <v>40</v>
      </c>
      <c r="D8" s="3">
        <v>105.88</v>
      </c>
      <c r="E8" s="3">
        <v>0</v>
      </c>
      <c r="F8" s="3">
        <f t="shared" si="0"/>
        <v>4235.2</v>
      </c>
      <c r="G8" s="368">
        <v>43472</v>
      </c>
      <c r="H8" s="80">
        <v>36</v>
      </c>
      <c r="I8" s="43">
        <v>83.25</v>
      </c>
      <c r="J8" s="43">
        <v>0.04</v>
      </c>
      <c r="K8" s="43">
        <f t="shared" si="1"/>
        <v>2996.96</v>
      </c>
      <c r="L8" s="4"/>
      <c r="M8" s="4"/>
      <c r="O8" s="11" t="s">
        <v>179</v>
      </c>
      <c r="P8" s="33"/>
      <c r="Q8" s="2">
        <f>K18+M18-F18+Q2*Q4</f>
        <v>799.4699999999998</v>
      </c>
      <c r="T8" s="1"/>
      <c r="U8" t="s">
        <v>958</v>
      </c>
      <c r="W8" s="134"/>
    </row>
    <row r="9" spans="1:23" x14ac:dyDescent="0.25">
      <c r="B9" s="72">
        <v>43441</v>
      </c>
      <c r="C9" s="7">
        <v>40</v>
      </c>
      <c r="D9" s="43">
        <v>84</v>
      </c>
      <c r="E9" s="43">
        <v>0</v>
      </c>
      <c r="F9" s="43">
        <f t="shared" si="0"/>
        <v>3360</v>
      </c>
      <c r="G9" s="368">
        <v>43483</v>
      </c>
      <c r="H9" s="80">
        <v>20</v>
      </c>
      <c r="I9" s="43">
        <v>89</v>
      </c>
      <c r="J9" s="43">
        <v>0.02</v>
      </c>
      <c r="K9" s="43">
        <f t="shared" si="1"/>
        <v>1779.98</v>
      </c>
      <c r="L9" s="4"/>
      <c r="M9" s="4"/>
      <c r="O9" s="11" t="s">
        <v>204</v>
      </c>
      <c r="Q9" s="134">
        <f>IF(Q2=0, 0, Q8/Q6)</f>
        <v>0.30022193598780272</v>
      </c>
      <c r="U9" t="s">
        <v>959</v>
      </c>
      <c r="W9" s="134"/>
    </row>
    <row r="10" spans="1:23" x14ac:dyDescent="0.25">
      <c r="B10" s="368">
        <v>43453</v>
      </c>
      <c r="C10" s="7">
        <v>20</v>
      </c>
      <c r="D10" s="43">
        <v>79.38</v>
      </c>
      <c r="E10" s="43">
        <v>0</v>
      </c>
      <c r="F10" s="43">
        <f t="shared" si="0"/>
        <v>1587.6</v>
      </c>
      <c r="H10" s="70"/>
      <c r="O10" s="11" t="s">
        <v>203</v>
      </c>
      <c r="P10" s="33"/>
      <c r="Q10" s="2">
        <f>M66</f>
        <v>0</v>
      </c>
      <c r="U10" t="s">
        <v>961</v>
      </c>
      <c r="W10" s="134"/>
    </row>
    <row r="11" spans="1:23" x14ac:dyDescent="0.25">
      <c r="H11" s="70"/>
      <c r="O11" s="11" t="s">
        <v>175</v>
      </c>
      <c r="P11" s="33"/>
      <c r="Q11" s="134">
        <f>R11*4/Q4</f>
        <v>2.6340110905730126E-2</v>
      </c>
      <c r="R11">
        <f>0.57</f>
        <v>0.56999999999999995</v>
      </c>
      <c r="W11" s="134"/>
    </row>
    <row r="12" spans="1:23" x14ac:dyDescent="0.25">
      <c r="H12" s="70"/>
      <c r="O12" s="11" t="s">
        <v>921</v>
      </c>
      <c r="Q12" s="1" t="s">
        <v>1377</v>
      </c>
      <c r="W12" s="134"/>
    </row>
    <row r="13" spans="1:23" x14ac:dyDescent="0.25">
      <c r="H13" s="70"/>
      <c r="O13" s="11" t="s">
        <v>947</v>
      </c>
      <c r="Q13" s="2">
        <f>Q4/4.76</f>
        <v>18.184873949579835</v>
      </c>
      <c r="T13" s="1">
        <v>43213</v>
      </c>
      <c r="U13" t="s">
        <v>960</v>
      </c>
      <c r="W13" s="134"/>
    </row>
    <row r="14" spans="1:23" x14ac:dyDescent="0.25">
      <c r="H14" s="70"/>
      <c r="U14" t="s">
        <v>998</v>
      </c>
      <c r="W14" s="134"/>
    </row>
    <row r="15" spans="1:23" x14ac:dyDescent="0.25">
      <c r="H15" s="70"/>
      <c r="U15" t="s">
        <v>999</v>
      </c>
      <c r="W15" s="134"/>
    </row>
    <row r="16" spans="1:23" x14ac:dyDescent="0.25">
      <c r="H16" s="70"/>
      <c r="W16" s="134"/>
    </row>
    <row r="17" spans="1:23" x14ac:dyDescent="0.25">
      <c r="T17" s="1">
        <v>43240</v>
      </c>
      <c r="U17" t="s">
        <v>1066</v>
      </c>
      <c r="W17" s="134"/>
    </row>
    <row r="18" spans="1:23" ht="20.25" thickBot="1" x14ac:dyDescent="0.35">
      <c r="A18" s="31" t="s">
        <v>81</v>
      </c>
      <c r="B18" s="14"/>
      <c r="C18" s="14">
        <f>SUM(C2:C10)</f>
        <v>320</v>
      </c>
      <c r="D18" s="18"/>
      <c r="E18" s="18"/>
      <c r="F18" s="18">
        <f>SUM(F2:F10)</f>
        <v>28798.799999999999</v>
      </c>
      <c r="G18" s="14"/>
      <c r="H18" s="71">
        <f>SUM(H2:H9)</f>
        <v>280</v>
      </c>
      <c r="I18" s="18"/>
      <c r="J18" s="18"/>
      <c r="K18" s="18">
        <f>SUM(K2:K9)</f>
        <v>25999.67</v>
      </c>
      <c r="L18" s="14"/>
      <c r="M18" s="18">
        <f>SUM(M2:M10)</f>
        <v>136.19999999999999</v>
      </c>
      <c r="O18" s="884" t="s">
        <v>78</v>
      </c>
      <c r="P18" s="884"/>
      <c r="W18" s="134"/>
    </row>
    <row r="19" spans="1:23" ht="16.5" thickTop="1" thickBot="1" x14ac:dyDescent="0.3">
      <c r="A19" s="277" t="s">
        <v>191</v>
      </c>
      <c r="B19" s="278"/>
      <c r="C19" s="279">
        <f>SumByColor($A$19,C2:C17)</f>
        <v>280</v>
      </c>
      <c r="D19" s="279"/>
      <c r="E19" s="279"/>
      <c r="F19" s="280">
        <f>SumByColor($A$19,F2:F17)</f>
        <v>24564</v>
      </c>
      <c r="G19" s="279"/>
      <c r="H19" s="279">
        <f>SumByColor($A$19,H2:H17)</f>
        <v>280</v>
      </c>
      <c r="I19" s="279"/>
      <c r="J19" s="279"/>
      <c r="K19" s="280">
        <f>SumByColor($A$19,K2:K17)</f>
        <v>26000</v>
      </c>
      <c r="L19" s="279"/>
      <c r="M19" s="280">
        <f>SumByColor($A$19,M2:M17)</f>
        <v>136</v>
      </c>
      <c r="O19" s="81">
        <v>1.1000000000000001</v>
      </c>
      <c r="P19" s="81">
        <f>O19*$Q$4</f>
        <v>95.216000000000008</v>
      </c>
      <c r="W19" s="134"/>
    </row>
    <row r="20" spans="1:23" x14ac:dyDescent="0.25">
      <c r="O20" s="81">
        <v>1.0900000000000001</v>
      </c>
      <c r="P20" s="81">
        <f t="shared" ref="P20:P39" si="2">O20*$Q$4</f>
        <v>94.350400000000008</v>
      </c>
      <c r="T20" s="1">
        <v>43304</v>
      </c>
      <c r="U20" s="405" t="s">
        <v>1188</v>
      </c>
      <c r="W20" s="134"/>
    </row>
    <row r="21" spans="1:23" x14ac:dyDescent="0.25">
      <c r="O21" s="81">
        <v>1.08</v>
      </c>
      <c r="P21" s="81">
        <f t="shared" si="2"/>
        <v>93.484800000000007</v>
      </c>
      <c r="W21" s="134"/>
    </row>
    <row r="22" spans="1:23" x14ac:dyDescent="0.25">
      <c r="O22" s="81">
        <v>1.07</v>
      </c>
      <c r="P22" s="81">
        <f t="shared" si="2"/>
        <v>92.619200000000006</v>
      </c>
      <c r="T22" s="156">
        <v>43306</v>
      </c>
      <c r="U22" t="s">
        <v>1189</v>
      </c>
      <c r="W22" s="134"/>
    </row>
    <row r="23" spans="1:23" x14ac:dyDescent="0.25">
      <c r="O23" s="81">
        <v>1.06</v>
      </c>
      <c r="P23" s="81">
        <f t="shared" si="2"/>
        <v>91.753600000000006</v>
      </c>
      <c r="W23" s="134"/>
    </row>
    <row r="24" spans="1:23" x14ac:dyDescent="0.25">
      <c r="B24" s="162" t="s">
        <v>113</v>
      </c>
      <c r="C24" s="162" t="s">
        <v>145</v>
      </c>
      <c r="D24" s="163" t="s">
        <v>144</v>
      </c>
      <c r="E24" s="165" t="s">
        <v>146</v>
      </c>
      <c r="F24" s="165" t="s">
        <v>65</v>
      </c>
      <c r="G24" s="177" t="s">
        <v>150</v>
      </c>
      <c r="H24" s="177" t="s">
        <v>88</v>
      </c>
      <c r="I24" s="177" t="s">
        <v>153</v>
      </c>
      <c r="J24" s="177" t="s">
        <v>487</v>
      </c>
      <c r="K24" s="177" t="s">
        <v>947</v>
      </c>
      <c r="L24" s="177" t="s">
        <v>149</v>
      </c>
      <c r="O24" s="81">
        <v>1.05</v>
      </c>
      <c r="P24" s="81">
        <f t="shared" si="2"/>
        <v>90.888000000000005</v>
      </c>
      <c r="W24" s="134"/>
    </row>
    <row r="25" spans="1:23" x14ac:dyDescent="0.25">
      <c r="B25" s="164">
        <v>43105</v>
      </c>
      <c r="C25" s="185">
        <v>40</v>
      </c>
      <c r="D25" s="186">
        <v>90.08</v>
      </c>
      <c r="E25" s="39">
        <v>92.41</v>
      </c>
      <c r="F25" s="39">
        <f t="shared" ref="F25:F40" si="3">C25*(E25-D25)</f>
        <v>93.199999999999932</v>
      </c>
      <c r="G25" s="39">
        <f t="shared" ref="G25:G40" si="4">D25*C25</f>
        <v>3603.2</v>
      </c>
      <c r="H25" s="179">
        <f t="shared" ref="H25:H40" si="5">(E25-D25)/D25</f>
        <v>2.5865896980461794E-2</v>
      </c>
      <c r="I25" s="39"/>
      <c r="J25" s="39"/>
      <c r="K25" s="39"/>
      <c r="L25" s="39">
        <v>93.199999999999932</v>
      </c>
      <c r="O25" s="81">
        <v>1.04</v>
      </c>
      <c r="P25" s="81">
        <f t="shared" si="2"/>
        <v>90.022400000000005</v>
      </c>
      <c r="W25" s="134"/>
    </row>
    <row r="26" spans="1:23" x14ac:dyDescent="0.25">
      <c r="B26" s="164">
        <v>43147</v>
      </c>
      <c r="C26" s="10">
        <v>40</v>
      </c>
      <c r="D26" s="39">
        <v>89.51</v>
      </c>
      <c r="E26" s="39">
        <v>98.85</v>
      </c>
      <c r="F26" s="39">
        <f t="shared" si="3"/>
        <v>373.59999999999957</v>
      </c>
      <c r="G26" s="39">
        <f t="shared" si="4"/>
        <v>3580.4</v>
      </c>
      <c r="H26" s="179">
        <f t="shared" si="5"/>
        <v>0.1043458831415483</v>
      </c>
      <c r="I26" s="39"/>
      <c r="J26" s="39"/>
      <c r="K26" s="39"/>
      <c r="L26" s="39">
        <v>373.59999999999957</v>
      </c>
      <c r="O26" s="81">
        <v>1.03</v>
      </c>
      <c r="P26" s="81">
        <f t="shared" si="2"/>
        <v>89.156800000000004</v>
      </c>
      <c r="W26" s="134"/>
    </row>
    <row r="27" spans="1:23" x14ac:dyDescent="0.25">
      <c r="B27" s="164">
        <v>43172</v>
      </c>
      <c r="C27" s="7">
        <v>100</v>
      </c>
      <c r="D27" s="43">
        <v>89.731999999999999</v>
      </c>
      <c r="E27" s="39">
        <v>89.35</v>
      </c>
      <c r="F27" s="39">
        <f t="shared" si="3"/>
        <v>-38.2000000000005</v>
      </c>
      <c r="G27" s="39">
        <f t="shared" si="4"/>
        <v>8973.2000000000007</v>
      </c>
      <c r="H27" s="179">
        <f t="shared" si="5"/>
        <v>-4.2571212053671486E-3</v>
      </c>
      <c r="I27" s="39"/>
      <c r="J27" s="39"/>
      <c r="K27" s="39"/>
      <c r="L27" s="652">
        <v>-38.2000000000005</v>
      </c>
      <c r="O27" s="81">
        <v>1.02</v>
      </c>
      <c r="P27" s="81">
        <f t="shared" si="2"/>
        <v>88.291200000000003</v>
      </c>
      <c r="W27" s="134"/>
    </row>
    <row r="28" spans="1:23" x14ac:dyDescent="0.25">
      <c r="B28" s="164">
        <v>43177</v>
      </c>
      <c r="C28" s="10">
        <v>100</v>
      </c>
      <c r="D28" s="39">
        <v>89.731999999999999</v>
      </c>
      <c r="E28" s="39">
        <v>87.74</v>
      </c>
      <c r="F28" s="39">
        <f t="shared" si="3"/>
        <v>-199.20000000000044</v>
      </c>
      <c r="G28" s="39">
        <f t="shared" si="4"/>
        <v>8973.2000000000007</v>
      </c>
      <c r="H28" s="179">
        <f t="shared" si="5"/>
        <v>-2.2199438327464054E-2</v>
      </c>
      <c r="I28" s="39"/>
      <c r="J28" s="39"/>
      <c r="K28" s="39"/>
      <c r="L28" s="652">
        <v>-199.20000000000044</v>
      </c>
      <c r="O28" s="81">
        <v>1.01</v>
      </c>
      <c r="P28" s="81">
        <f t="shared" si="2"/>
        <v>87.425600000000003</v>
      </c>
      <c r="W28" s="134"/>
    </row>
    <row r="29" spans="1:23" x14ac:dyDescent="0.25">
      <c r="B29" s="164">
        <v>43178</v>
      </c>
      <c r="C29" s="10">
        <v>100</v>
      </c>
      <c r="D29" s="39">
        <v>89.731999999999999</v>
      </c>
      <c r="E29" s="39">
        <v>86.45</v>
      </c>
      <c r="F29" s="39">
        <f t="shared" si="3"/>
        <v>-328.19999999999965</v>
      </c>
      <c r="G29" s="39">
        <f t="shared" si="4"/>
        <v>8973.2000000000007</v>
      </c>
      <c r="H29" s="179">
        <f t="shared" si="5"/>
        <v>-3.6575580617839748E-2</v>
      </c>
      <c r="I29" s="39"/>
      <c r="J29" s="39"/>
      <c r="K29" s="39"/>
      <c r="L29" s="652">
        <v>-328.19999999999965</v>
      </c>
      <c r="O29" s="81">
        <v>1</v>
      </c>
      <c r="P29" s="81">
        <f t="shared" si="2"/>
        <v>86.56</v>
      </c>
      <c r="W29" s="134"/>
    </row>
    <row r="30" spans="1:23" x14ac:dyDescent="0.25">
      <c r="B30" s="164">
        <v>43184</v>
      </c>
      <c r="C30" s="10">
        <v>100</v>
      </c>
      <c r="D30" s="39">
        <v>89.731999999999999</v>
      </c>
      <c r="E30" s="39">
        <v>84.22</v>
      </c>
      <c r="F30" s="39">
        <f t="shared" si="3"/>
        <v>-551.20000000000005</v>
      </c>
      <c r="G30" s="39">
        <f t="shared" si="4"/>
        <v>8973.2000000000007</v>
      </c>
      <c r="H30" s="179">
        <f t="shared" si="5"/>
        <v>-6.1427361476396387E-2</v>
      </c>
      <c r="I30" s="39"/>
      <c r="J30" s="39"/>
      <c r="K30" s="39"/>
      <c r="L30" s="652">
        <v>-551.20000000000005</v>
      </c>
      <c r="O30" s="81">
        <v>0.99</v>
      </c>
      <c r="P30" s="81">
        <f t="shared" si="2"/>
        <v>85.694400000000002</v>
      </c>
      <c r="W30" s="134"/>
    </row>
    <row r="31" spans="1:23" x14ac:dyDescent="0.25">
      <c r="B31" s="164">
        <v>43185</v>
      </c>
      <c r="C31" s="10">
        <v>100</v>
      </c>
      <c r="D31" s="39">
        <v>89.731999999999999</v>
      </c>
      <c r="E31" s="39">
        <v>85.08</v>
      </c>
      <c r="F31" s="39">
        <f t="shared" si="3"/>
        <v>-465.2000000000001</v>
      </c>
      <c r="G31" s="39">
        <f t="shared" si="4"/>
        <v>8973.2000000000007</v>
      </c>
      <c r="H31" s="179">
        <f t="shared" si="5"/>
        <v>-5.1843266616145869E-2</v>
      </c>
      <c r="I31" s="39"/>
      <c r="J31" s="39"/>
      <c r="K31" s="39"/>
      <c r="L31" s="652">
        <v>-465.2000000000001</v>
      </c>
      <c r="O31" s="81">
        <v>0.98</v>
      </c>
      <c r="P31" s="81">
        <f t="shared" si="2"/>
        <v>84.828800000000001</v>
      </c>
      <c r="W31" s="134"/>
    </row>
    <row r="32" spans="1:23" x14ac:dyDescent="0.25">
      <c r="B32" s="164">
        <v>43186</v>
      </c>
      <c r="C32" s="10">
        <v>100</v>
      </c>
      <c r="D32" s="39">
        <v>89.731999999999999</v>
      </c>
      <c r="E32" s="39">
        <v>84.07</v>
      </c>
      <c r="F32" s="39">
        <f t="shared" si="3"/>
        <v>-566.20000000000061</v>
      </c>
      <c r="G32" s="39">
        <f t="shared" si="4"/>
        <v>8973.2000000000007</v>
      </c>
      <c r="H32" s="179">
        <f t="shared" si="5"/>
        <v>-6.3099005928765731E-2</v>
      </c>
      <c r="I32" s="39"/>
      <c r="J32" s="39"/>
      <c r="K32" s="39"/>
      <c r="L32" s="652">
        <v>-566.20000000000061</v>
      </c>
      <c r="O32" s="81">
        <v>0.97</v>
      </c>
      <c r="P32" s="81">
        <f t="shared" si="2"/>
        <v>83.963200000000001</v>
      </c>
      <c r="W32" s="134"/>
    </row>
    <row r="33" spans="1:23" x14ac:dyDescent="0.25">
      <c r="A33" s="29"/>
      <c r="B33" s="164">
        <v>43198</v>
      </c>
      <c r="C33" s="10">
        <v>100</v>
      </c>
      <c r="D33" s="39">
        <v>89.731999999999999</v>
      </c>
      <c r="E33" s="39">
        <v>84.43</v>
      </c>
      <c r="F33" s="39">
        <f t="shared" si="3"/>
        <v>-530.19999999999925</v>
      </c>
      <c r="G33" s="39">
        <f t="shared" si="4"/>
        <v>8973.2000000000007</v>
      </c>
      <c r="H33" s="179">
        <f t="shared" si="5"/>
        <v>-5.9087059243079311E-2</v>
      </c>
      <c r="I33" s="39"/>
      <c r="J33" s="39">
        <v>36</v>
      </c>
      <c r="K33" s="39">
        <v>12.79</v>
      </c>
      <c r="L33" s="652">
        <v>-530.19999999999925</v>
      </c>
      <c r="O33" s="81">
        <v>0.96</v>
      </c>
      <c r="P33" s="81">
        <f t="shared" si="2"/>
        <v>83.0976</v>
      </c>
      <c r="W33" s="134"/>
    </row>
    <row r="34" spans="1:23" x14ac:dyDescent="0.25">
      <c r="A34">
        <v>100</v>
      </c>
      <c r="B34" s="164">
        <v>43210</v>
      </c>
      <c r="C34" s="10">
        <v>140</v>
      </c>
      <c r="D34" s="39">
        <v>87.757099999999994</v>
      </c>
      <c r="E34" s="39">
        <v>82.82</v>
      </c>
      <c r="F34" s="39">
        <f t="shared" si="3"/>
        <v>-691.19400000000019</v>
      </c>
      <c r="G34" s="39">
        <f t="shared" si="4"/>
        <v>12285.993999999999</v>
      </c>
      <c r="H34" s="179">
        <f t="shared" si="5"/>
        <v>-5.6258695877598519E-2</v>
      </c>
      <c r="I34" s="39"/>
      <c r="J34" s="39"/>
      <c r="K34" s="39">
        <v>12.55</v>
      </c>
      <c r="L34" s="652">
        <v>-691.19400000000019</v>
      </c>
      <c r="O34" s="81">
        <v>0.95</v>
      </c>
      <c r="P34" s="81">
        <f t="shared" si="2"/>
        <v>82.231999999999999</v>
      </c>
      <c r="W34" s="134"/>
    </row>
    <row r="35" spans="1:23" x14ac:dyDescent="0.25">
      <c r="A35">
        <v>60</v>
      </c>
      <c r="B35" s="164">
        <v>43213</v>
      </c>
      <c r="C35" s="7">
        <v>100</v>
      </c>
      <c r="D35" s="43">
        <v>88.240799999999993</v>
      </c>
      <c r="E35" s="39">
        <v>86.12</v>
      </c>
      <c r="F35" s="39">
        <f t="shared" si="3"/>
        <v>-212.07999999999885</v>
      </c>
      <c r="G35" s="39">
        <f t="shared" si="4"/>
        <v>8824.08</v>
      </c>
      <c r="H35" s="179">
        <f t="shared" si="5"/>
        <v>-2.4034233597156743E-2</v>
      </c>
      <c r="I35" s="39"/>
      <c r="J35" s="39"/>
      <c r="K35" s="39"/>
      <c r="L35" s="652">
        <v>-212.07999999999885</v>
      </c>
      <c r="O35" s="81">
        <v>0.94</v>
      </c>
      <c r="P35" s="81">
        <f t="shared" si="2"/>
        <v>81.366399999999999</v>
      </c>
      <c r="W35" s="134"/>
    </row>
    <row r="36" spans="1:23" x14ac:dyDescent="0.25">
      <c r="A36">
        <v>60</v>
      </c>
      <c r="B36" s="164">
        <v>43216</v>
      </c>
      <c r="C36" s="10">
        <v>140</v>
      </c>
      <c r="D36" s="39">
        <v>87.2577</v>
      </c>
      <c r="E36" s="39">
        <v>85.81</v>
      </c>
      <c r="F36" s="39">
        <f t="shared" si="3"/>
        <v>-202.67799999999966</v>
      </c>
      <c r="G36" s="39">
        <f t="shared" si="4"/>
        <v>12216.078</v>
      </c>
      <c r="H36" s="179">
        <f t="shared" si="5"/>
        <v>-1.6591085944277668E-2</v>
      </c>
      <c r="I36" s="39"/>
      <c r="J36" s="39"/>
      <c r="K36" s="39">
        <v>13</v>
      </c>
      <c r="L36" s="39">
        <v>-202.67799999999966</v>
      </c>
      <c r="O36" s="81">
        <v>0.93</v>
      </c>
      <c r="P36" s="81">
        <f t="shared" si="2"/>
        <v>80.500800000000012</v>
      </c>
      <c r="W36" s="134"/>
    </row>
    <row r="37" spans="1:23" x14ac:dyDescent="0.25">
      <c r="A37">
        <v>20</v>
      </c>
      <c r="B37" s="164">
        <v>43217</v>
      </c>
      <c r="C37" s="7">
        <v>100</v>
      </c>
      <c r="D37" s="43">
        <v>87.21</v>
      </c>
      <c r="E37" s="39">
        <v>87.38</v>
      </c>
      <c r="F37" s="39">
        <f t="shared" si="3"/>
        <v>17.000000000000171</v>
      </c>
      <c r="G37" s="39">
        <f t="shared" si="4"/>
        <v>8721</v>
      </c>
      <c r="H37" s="179">
        <f t="shared" si="5"/>
        <v>1.9493177387914426E-3</v>
      </c>
      <c r="I37" s="39"/>
      <c r="J37" s="39"/>
      <c r="K37" s="39">
        <v>13.24</v>
      </c>
      <c r="L37" s="39">
        <v>17.000000000000171</v>
      </c>
      <c r="O37" s="81">
        <v>0.92</v>
      </c>
      <c r="P37" s="81">
        <f t="shared" si="2"/>
        <v>79.635200000000012</v>
      </c>
      <c r="W37" s="134"/>
    </row>
    <row r="38" spans="1:23" x14ac:dyDescent="0.25">
      <c r="A38">
        <v>20</v>
      </c>
      <c r="B38" s="164">
        <v>43236</v>
      </c>
      <c r="C38" s="7">
        <v>100</v>
      </c>
      <c r="D38" s="43">
        <v>86.58</v>
      </c>
      <c r="E38" s="39">
        <v>88.28</v>
      </c>
      <c r="F38" s="39">
        <f t="shared" si="3"/>
        <v>170.00000000000028</v>
      </c>
      <c r="G38" s="39">
        <f t="shared" si="4"/>
        <v>8658</v>
      </c>
      <c r="H38" s="179">
        <f t="shared" si="5"/>
        <v>1.9635019635019669E-2</v>
      </c>
      <c r="I38" s="39">
        <v>86</v>
      </c>
      <c r="J38" s="39"/>
      <c r="K38" s="39">
        <v>13.38</v>
      </c>
      <c r="L38" s="39">
        <v>170.00000000000028</v>
      </c>
      <c r="O38" s="81">
        <v>0.91</v>
      </c>
      <c r="P38" s="81">
        <f t="shared" si="2"/>
        <v>78.769600000000011</v>
      </c>
      <c r="W38" s="134"/>
    </row>
    <row r="39" spans="1:23" x14ac:dyDescent="0.25">
      <c r="B39" s="164">
        <v>43258</v>
      </c>
      <c r="C39" s="185">
        <v>40</v>
      </c>
      <c r="D39" s="186">
        <v>82.575699999999998</v>
      </c>
      <c r="E39" s="39">
        <v>88.81</v>
      </c>
      <c r="F39" s="39">
        <f t="shared" si="3"/>
        <v>249.37200000000018</v>
      </c>
      <c r="G39" s="39">
        <f t="shared" si="4"/>
        <v>3303.0279999999998</v>
      </c>
      <c r="H39" s="179">
        <f t="shared" si="5"/>
        <v>7.5497997594934155E-2</v>
      </c>
      <c r="I39" s="39"/>
      <c r="J39" s="39"/>
      <c r="K39" s="39">
        <v>18.66</v>
      </c>
      <c r="L39" s="39">
        <v>249.37200000000018</v>
      </c>
      <c r="O39" s="81">
        <v>0.9</v>
      </c>
      <c r="P39" s="81">
        <f t="shared" si="2"/>
        <v>77.904000000000011</v>
      </c>
      <c r="T39" s="134"/>
    </row>
    <row r="40" spans="1:23" x14ac:dyDescent="0.25">
      <c r="A40">
        <v>40</v>
      </c>
      <c r="B40" s="164">
        <v>43303</v>
      </c>
      <c r="C40" s="10">
        <v>40</v>
      </c>
      <c r="D40" s="39">
        <v>82.58</v>
      </c>
      <c r="E40" s="39">
        <v>93.93</v>
      </c>
      <c r="F40" s="39">
        <f t="shared" si="3"/>
        <v>454.00000000000034</v>
      </c>
      <c r="G40" s="39">
        <f t="shared" si="4"/>
        <v>3303.2</v>
      </c>
      <c r="H40" s="179">
        <f t="shared" si="5"/>
        <v>0.13744248001937526</v>
      </c>
      <c r="I40" s="39"/>
      <c r="J40" s="39"/>
      <c r="K40" s="39">
        <v>19.73</v>
      </c>
      <c r="L40" s="39">
        <v>454.00000000000034</v>
      </c>
      <c r="T40" s="134"/>
    </row>
    <row r="41" spans="1:23" x14ac:dyDescent="0.25">
      <c r="A41">
        <v>0</v>
      </c>
      <c r="B41" s="164">
        <v>43304</v>
      </c>
      <c r="C41" s="10">
        <v>0</v>
      </c>
      <c r="D41" s="39">
        <v>82.58</v>
      </c>
      <c r="E41" s="39">
        <v>105.35</v>
      </c>
      <c r="F41" s="39">
        <f t="shared" ref="F41:F53" si="6">C41*(E41-D41)</f>
        <v>0</v>
      </c>
      <c r="G41" s="39">
        <f t="shared" ref="G41:G53" si="7">D41*C41</f>
        <v>0</v>
      </c>
      <c r="H41" s="179">
        <f t="shared" ref="H41:H53" si="8">(E41-D41)/D41</f>
        <v>0.27573262291111644</v>
      </c>
      <c r="I41" s="39"/>
      <c r="J41" s="39"/>
      <c r="K41" s="39">
        <v>22.13</v>
      </c>
      <c r="L41" s="39"/>
      <c r="Q41" s="2"/>
      <c r="T41" s="134"/>
    </row>
    <row r="42" spans="1:23" x14ac:dyDescent="0.25">
      <c r="A42">
        <v>0</v>
      </c>
      <c r="B42" s="164">
        <v>43320</v>
      </c>
      <c r="C42" s="185">
        <v>40</v>
      </c>
      <c r="D42" s="186">
        <v>75.106999999999999</v>
      </c>
      <c r="E42" s="39">
        <v>97.68</v>
      </c>
      <c r="F42" s="39">
        <f t="shared" si="6"/>
        <v>902.9200000000003</v>
      </c>
      <c r="G42" s="39">
        <f t="shared" si="7"/>
        <v>3004.2799999999997</v>
      </c>
      <c r="H42" s="179">
        <f t="shared" si="8"/>
        <v>0.30054455643282263</v>
      </c>
      <c r="I42" s="39"/>
      <c r="J42" s="39"/>
      <c r="K42" s="39">
        <v>20.91</v>
      </c>
      <c r="L42" s="39">
        <v>902.92</v>
      </c>
      <c r="Q42" s="2"/>
      <c r="T42" s="134"/>
    </row>
    <row r="43" spans="1:23" x14ac:dyDescent="0.25">
      <c r="B43" s="164">
        <v>43332</v>
      </c>
      <c r="C43" s="10">
        <v>40</v>
      </c>
      <c r="D43" s="39">
        <v>75.11</v>
      </c>
      <c r="E43" s="39">
        <v>99.65</v>
      </c>
      <c r="F43" s="39">
        <f t="shared" si="6"/>
        <v>981.60000000000025</v>
      </c>
      <c r="G43" s="39">
        <f t="shared" si="7"/>
        <v>3004.4</v>
      </c>
      <c r="H43" s="179">
        <f t="shared" si="8"/>
        <v>0.32672080947943027</v>
      </c>
      <c r="I43" s="39"/>
      <c r="J43" s="39"/>
      <c r="K43" s="39">
        <v>20.93</v>
      </c>
      <c r="L43" s="39"/>
      <c r="Q43" s="2"/>
      <c r="T43" s="134"/>
    </row>
    <row r="44" spans="1:23" x14ac:dyDescent="0.25">
      <c r="A44">
        <v>0</v>
      </c>
      <c r="B44" s="164">
        <v>43362</v>
      </c>
      <c r="C44" s="10">
        <v>0</v>
      </c>
      <c r="D44" s="39">
        <v>75.11</v>
      </c>
      <c r="E44" s="39">
        <v>108.99</v>
      </c>
      <c r="F44" s="39">
        <f t="shared" si="6"/>
        <v>0</v>
      </c>
      <c r="G44" s="39">
        <f t="shared" si="7"/>
        <v>0</v>
      </c>
      <c r="H44" s="179">
        <f t="shared" si="8"/>
        <v>0.45107176141658895</v>
      </c>
      <c r="I44" s="39"/>
      <c r="J44" s="39"/>
      <c r="K44" s="39">
        <v>22.9</v>
      </c>
      <c r="L44" s="39">
        <v>1366.86</v>
      </c>
      <c r="Q44" s="2"/>
      <c r="T44" s="134"/>
    </row>
    <row r="45" spans="1:23" x14ac:dyDescent="0.25">
      <c r="A45">
        <v>0</v>
      </c>
      <c r="B45" s="164">
        <v>43368</v>
      </c>
      <c r="C45" s="185">
        <v>40</v>
      </c>
      <c r="D45" s="186">
        <v>71.708500000000001</v>
      </c>
      <c r="E45" s="39">
        <v>105.56</v>
      </c>
      <c r="F45" s="39">
        <f t="shared" si="6"/>
        <v>1354.06</v>
      </c>
      <c r="G45" s="39">
        <f t="shared" si="7"/>
        <v>2868.34</v>
      </c>
      <c r="H45" s="179">
        <f t="shared" si="8"/>
        <v>0.4720709539315423</v>
      </c>
      <c r="I45" s="39"/>
      <c r="J45" s="39"/>
      <c r="K45" s="39">
        <v>22.18</v>
      </c>
      <c r="L45" s="39">
        <v>1354.06</v>
      </c>
      <c r="Q45" s="2"/>
      <c r="T45" s="134"/>
    </row>
    <row r="46" spans="1:23" x14ac:dyDescent="0.25">
      <c r="A46">
        <v>40</v>
      </c>
      <c r="B46" s="164">
        <v>43419</v>
      </c>
      <c r="C46" s="185">
        <v>40</v>
      </c>
      <c r="D46" s="186">
        <v>71.078500000000005</v>
      </c>
      <c r="E46" s="39">
        <v>97.56</v>
      </c>
      <c r="F46" s="39">
        <f t="shared" si="6"/>
        <v>1059.2599999999998</v>
      </c>
      <c r="G46" s="39">
        <f t="shared" si="7"/>
        <v>2843.1400000000003</v>
      </c>
      <c r="H46" s="179">
        <f t="shared" si="8"/>
        <v>0.3725669506250131</v>
      </c>
      <c r="I46" s="39"/>
      <c r="J46" s="39"/>
      <c r="K46" s="39">
        <v>20.5</v>
      </c>
      <c r="L46" s="39">
        <v>1059.26</v>
      </c>
      <c r="Q46" s="2"/>
      <c r="T46" s="134"/>
    </row>
    <row r="47" spans="1:23" x14ac:dyDescent="0.25">
      <c r="A47">
        <v>40</v>
      </c>
      <c r="B47" s="164">
        <v>43441</v>
      </c>
      <c r="C47" s="10">
        <v>80</v>
      </c>
      <c r="D47" s="39">
        <v>77.539299999999997</v>
      </c>
      <c r="E47" s="39">
        <v>83.93</v>
      </c>
      <c r="F47" s="39">
        <f t="shared" si="6"/>
        <v>511.25600000000077</v>
      </c>
      <c r="G47" s="39">
        <f t="shared" si="7"/>
        <v>6203.1440000000002</v>
      </c>
      <c r="H47" s="179">
        <f t="shared" si="8"/>
        <v>8.2418850827902887E-2</v>
      </c>
      <c r="I47" s="39"/>
      <c r="J47" s="39"/>
      <c r="K47" s="39">
        <v>17.63</v>
      </c>
      <c r="L47" s="39">
        <v>511.25</v>
      </c>
      <c r="Q47" s="2"/>
      <c r="T47" s="134"/>
    </row>
    <row r="48" spans="1:23" x14ac:dyDescent="0.25">
      <c r="B48" s="164">
        <v>43453</v>
      </c>
      <c r="C48" s="10">
        <v>100</v>
      </c>
      <c r="D48" s="39">
        <v>77.907399999999996</v>
      </c>
      <c r="E48" s="39">
        <v>80.5</v>
      </c>
      <c r="F48" s="39">
        <f t="shared" si="6"/>
        <v>259.26000000000045</v>
      </c>
      <c r="G48" s="39">
        <f t="shared" si="7"/>
        <v>7790.74</v>
      </c>
      <c r="H48" s="179">
        <f t="shared" si="8"/>
        <v>3.3277968459992306E-2</v>
      </c>
      <c r="I48" s="39"/>
      <c r="J48" s="39"/>
      <c r="K48" s="39"/>
      <c r="L48" s="39"/>
      <c r="Q48" s="2"/>
      <c r="T48" s="134"/>
    </row>
    <row r="49" spans="1:23" x14ac:dyDescent="0.25">
      <c r="A49">
        <v>36</v>
      </c>
      <c r="B49" s="164">
        <v>43464</v>
      </c>
      <c r="C49" s="10">
        <v>96</v>
      </c>
      <c r="D49" s="39">
        <v>77.761099999999999</v>
      </c>
      <c r="E49" s="39">
        <v>81.13</v>
      </c>
      <c r="F49" s="39">
        <f t="shared" si="6"/>
        <v>323.41439999999966</v>
      </c>
      <c r="G49" s="39">
        <f t="shared" si="7"/>
        <v>7465.0655999999999</v>
      </c>
      <c r="H49" s="179">
        <f t="shared" si="8"/>
        <v>4.3323718414477116E-2</v>
      </c>
      <c r="I49" s="39"/>
      <c r="J49" s="39"/>
      <c r="K49" s="39">
        <v>17.04</v>
      </c>
      <c r="L49" s="39"/>
      <c r="Q49" s="2"/>
      <c r="T49" s="134"/>
    </row>
    <row r="50" spans="1:23" x14ac:dyDescent="0.25">
      <c r="A50">
        <v>40</v>
      </c>
      <c r="B50" s="164">
        <v>43472</v>
      </c>
      <c r="C50" s="10">
        <v>60</v>
      </c>
      <c r="D50" s="39">
        <v>74.468500000000006</v>
      </c>
      <c r="E50" s="39">
        <v>83.29</v>
      </c>
      <c r="F50" s="39">
        <f t="shared" si="6"/>
        <v>529.29</v>
      </c>
      <c r="G50" s="39">
        <f t="shared" si="7"/>
        <v>4468.1100000000006</v>
      </c>
      <c r="H50" s="179">
        <f t="shared" si="8"/>
        <v>0.11845948286859544</v>
      </c>
      <c r="I50" s="39"/>
      <c r="J50" s="39"/>
      <c r="K50" s="39">
        <v>17.5</v>
      </c>
      <c r="L50" s="39"/>
      <c r="Q50" s="2"/>
      <c r="T50" s="134"/>
    </row>
    <row r="51" spans="1:23" x14ac:dyDescent="0.25">
      <c r="A51">
        <v>40</v>
      </c>
      <c r="B51" s="164">
        <v>43483</v>
      </c>
      <c r="C51" s="185">
        <v>40</v>
      </c>
      <c r="D51" s="186">
        <v>67.203299999999999</v>
      </c>
      <c r="E51" s="39">
        <v>89</v>
      </c>
      <c r="F51" s="39">
        <f t="shared" si="6"/>
        <v>871.86800000000005</v>
      </c>
      <c r="G51" s="39">
        <f t="shared" si="7"/>
        <v>2688.1320000000001</v>
      </c>
      <c r="H51" s="179">
        <f t="shared" si="8"/>
        <v>0.32433972736457883</v>
      </c>
      <c r="I51" s="39"/>
      <c r="J51" s="39"/>
      <c r="K51" s="39">
        <v>18.57</v>
      </c>
      <c r="L51" s="39">
        <v>871.87</v>
      </c>
      <c r="Q51" s="2"/>
      <c r="T51" s="134"/>
    </row>
    <row r="52" spans="1:23" x14ac:dyDescent="0.25">
      <c r="A52">
        <v>40</v>
      </c>
      <c r="B52" s="164">
        <v>43511</v>
      </c>
      <c r="C52" s="10">
        <v>40</v>
      </c>
      <c r="D52" s="39">
        <v>66.573300000000003</v>
      </c>
      <c r="E52" s="39">
        <v>86.4</v>
      </c>
      <c r="F52" s="39">
        <f t="shared" si="6"/>
        <v>793.0680000000001</v>
      </c>
      <c r="G52" s="39">
        <f t="shared" si="7"/>
        <v>2662.9320000000002</v>
      </c>
      <c r="H52" s="179">
        <f t="shared" si="8"/>
        <v>0.29781759353975246</v>
      </c>
      <c r="I52" s="39"/>
      <c r="J52" s="39"/>
      <c r="K52" s="39">
        <v>18.149999999999999</v>
      </c>
      <c r="L52" s="39"/>
      <c r="Q52" s="2"/>
      <c r="T52" s="134"/>
    </row>
    <row r="53" spans="1:23" x14ac:dyDescent="0.25">
      <c r="A53">
        <v>40</v>
      </c>
      <c r="B53" s="164">
        <v>43535</v>
      </c>
      <c r="C53" s="10">
        <v>40</v>
      </c>
      <c r="D53" s="39">
        <v>66.569999999999993</v>
      </c>
      <c r="E53" s="39">
        <v>87.08</v>
      </c>
      <c r="F53" s="39">
        <f t="shared" si="6"/>
        <v>820.4000000000002</v>
      </c>
      <c r="G53" s="39">
        <f t="shared" si="7"/>
        <v>2662.7999999999997</v>
      </c>
      <c r="H53" s="179">
        <f t="shared" si="8"/>
        <v>0.30809674027339651</v>
      </c>
      <c r="I53" s="39"/>
      <c r="J53" s="39"/>
      <c r="K53" s="39">
        <v>18.29</v>
      </c>
      <c r="L53" s="39"/>
      <c r="Q53" s="2"/>
      <c r="T53" s="134"/>
    </row>
    <row r="54" spans="1:23" x14ac:dyDescent="0.25">
      <c r="A54" s="4"/>
      <c r="B54" s="164"/>
      <c r="C54" s="10"/>
      <c r="D54" s="39"/>
      <c r="E54" s="39"/>
      <c r="F54" s="39"/>
      <c r="G54" s="39"/>
      <c r="H54" s="179"/>
      <c r="I54" s="39"/>
      <c r="J54" s="39"/>
      <c r="K54" s="39"/>
      <c r="L54" s="39"/>
      <c r="T54" s="134"/>
    </row>
    <row r="55" spans="1:23" x14ac:dyDescent="0.25">
      <c r="A55" s="4"/>
      <c r="B55" s="164"/>
      <c r="C55" s="10"/>
      <c r="D55" s="39"/>
      <c r="E55" s="39"/>
      <c r="F55" s="39"/>
      <c r="G55" s="39"/>
      <c r="H55" s="179"/>
      <c r="I55" s="39"/>
      <c r="J55" s="39"/>
      <c r="K55" s="39"/>
      <c r="L55" s="39"/>
      <c r="T55" s="134"/>
    </row>
    <row r="56" spans="1:23" x14ac:dyDescent="0.25">
      <c r="A56" s="4"/>
      <c r="B56" s="164"/>
      <c r="C56" s="10"/>
      <c r="D56" s="39"/>
      <c r="E56" s="39"/>
      <c r="F56" s="39"/>
      <c r="G56" s="39"/>
      <c r="H56" s="179"/>
      <c r="I56" s="39"/>
      <c r="J56" s="39"/>
      <c r="K56" s="39"/>
      <c r="L56" s="39"/>
      <c r="T56" s="134"/>
    </row>
    <row r="57" spans="1:23" x14ac:dyDescent="0.25">
      <c r="A57" s="4"/>
      <c r="B57" s="164"/>
      <c r="C57" s="10"/>
      <c r="D57" s="39"/>
      <c r="E57" s="39"/>
      <c r="F57" s="39"/>
      <c r="G57" s="39"/>
      <c r="H57" s="179"/>
      <c r="I57" s="39"/>
      <c r="J57" s="39"/>
      <c r="K57" s="39"/>
      <c r="L57" s="39"/>
      <c r="T57" s="134"/>
    </row>
    <row r="58" spans="1:23" x14ac:dyDescent="0.25">
      <c r="A58" s="4"/>
      <c r="B58" s="164"/>
      <c r="C58" s="10"/>
      <c r="D58" s="39"/>
      <c r="E58" s="39"/>
      <c r="F58" s="39"/>
      <c r="G58" s="39"/>
      <c r="H58" s="179"/>
      <c r="I58" s="39"/>
      <c r="J58" s="39"/>
      <c r="K58" s="39"/>
      <c r="L58" s="39"/>
      <c r="T58" s="134"/>
    </row>
    <row r="59" spans="1:23" x14ac:dyDescent="0.25">
      <c r="A59" s="4"/>
      <c r="B59" s="164"/>
      <c r="C59" s="10"/>
      <c r="D59" s="39"/>
      <c r="E59" s="39"/>
      <c r="F59" s="39"/>
      <c r="G59" s="39"/>
      <c r="H59" s="179"/>
      <c r="I59" s="39"/>
      <c r="J59" s="39"/>
      <c r="K59" s="39"/>
      <c r="L59" s="39"/>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0</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824</v>
      </c>
      <c r="B68" s="426"/>
      <c r="C68" s="427"/>
      <c r="D68" s="429"/>
      <c r="E68" s="429"/>
      <c r="F68" s="429"/>
      <c r="G68" s="426"/>
      <c r="H68" s="443"/>
      <c r="I68" s="429"/>
      <c r="J68" s="429"/>
      <c r="K68" s="429"/>
      <c r="L68" s="426"/>
      <c r="M68" s="429"/>
      <c r="W68" s="134"/>
    </row>
    <row r="69" spans="1:23" x14ac:dyDescent="0.25">
      <c r="A69" s="444" t="s">
        <v>71</v>
      </c>
      <c r="B69" s="426"/>
      <c r="C69" s="427"/>
      <c r="D69" s="429"/>
      <c r="E69" s="429"/>
      <c r="F69" s="429"/>
      <c r="G69" s="426"/>
      <c r="H69" s="443"/>
      <c r="I69" s="429"/>
      <c r="J69" s="429"/>
      <c r="K69" s="429"/>
      <c r="L69" s="427"/>
      <c r="M69" s="427"/>
      <c r="W69" s="134"/>
    </row>
    <row r="70" spans="1:23" x14ac:dyDescent="0.25">
      <c r="A70" s="427"/>
      <c r="B70" s="426"/>
      <c r="C70" s="427"/>
      <c r="D70" s="429"/>
      <c r="E70" s="429"/>
      <c r="F70" s="429"/>
      <c r="G70" s="426"/>
      <c r="H70" s="443"/>
      <c r="I70" s="429"/>
      <c r="J70" s="429"/>
      <c r="K70" s="429"/>
      <c r="L70" s="427"/>
      <c r="M70" s="427"/>
    </row>
    <row r="71" spans="1:23" x14ac:dyDescent="0.25">
      <c r="A71" s="427"/>
      <c r="B71" s="426"/>
      <c r="C71" s="427"/>
      <c r="D71" s="429"/>
      <c r="E71" s="429"/>
      <c r="F71" s="429"/>
      <c r="G71" s="427"/>
      <c r="H71" s="443"/>
      <c r="I71" s="429"/>
      <c r="J71" s="429"/>
      <c r="K71" s="429"/>
      <c r="L71" s="427"/>
      <c r="M71" s="427"/>
    </row>
    <row r="72" spans="1:23" x14ac:dyDescent="0.25">
      <c r="A72" s="427"/>
      <c r="B72" s="426"/>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18:P18"/>
  </mergeCells>
  <conditionalFormatting sqref="O19:O39">
    <cfRule type="colorScale" priority="43">
      <colorScale>
        <cfvo type="min"/>
        <cfvo type="percentile" val="50"/>
        <cfvo type="max"/>
        <color rgb="FFF8696B"/>
        <color rgb="FFFFEB84"/>
        <color rgb="FF63BE7B"/>
      </colorScale>
    </cfRule>
  </conditionalFormatting>
  <conditionalFormatting sqref="P19:P39">
    <cfRule type="colorScale" priority="42">
      <colorScale>
        <cfvo type="min"/>
        <cfvo type="percentile" val="50"/>
        <cfvo type="max"/>
        <color rgb="FFF8696B"/>
        <color rgb="FFFFEB84"/>
        <color rgb="FF63BE7B"/>
      </colorScale>
    </cfRule>
  </conditionalFormatting>
  <conditionalFormatting sqref="W1:W38 W60:W69 T39:T59">
    <cfRule type="iconSet" priority="41">
      <iconSet iconSet="3Arrows">
        <cfvo type="percent" val="0"/>
        <cfvo type="num" val="0"/>
        <cfvo type="num" val="0"/>
      </iconSet>
    </cfRule>
  </conditionalFormatting>
  <conditionalFormatting sqref="F60:F63 H60:H63">
    <cfRule type="expression" dxfId="1050" priority="39">
      <formula>F60&gt;0</formula>
    </cfRule>
    <cfRule type="expression" dxfId="1049" priority="40">
      <formula>F60&lt;0</formula>
    </cfRule>
  </conditionalFormatting>
  <conditionalFormatting sqref="Q7">
    <cfRule type="expression" dxfId="1048" priority="37">
      <formula>Q7&gt;0</formula>
    </cfRule>
    <cfRule type="expression" dxfId="1047" priority="38">
      <formula>Q7&lt;0</formula>
    </cfRule>
  </conditionalFormatting>
  <conditionalFormatting sqref="Q8">
    <cfRule type="expression" dxfId="1046" priority="35">
      <formula>Q8&gt;0</formula>
    </cfRule>
    <cfRule type="expression" dxfId="1045" priority="36">
      <formula>Q8&lt;0</formula>
    </cfRule>
  </conditionalFormatting>
  <conditionalFormatting sqref="F25:F29 F34:F59">
    <cfRule type="expression" dxfId="1044" priority="33">
      <formula>F25&gt;0</formula>
    </cfRule>
    <cfRule type="expression" dxfId="1043" priority="34">
      <formula>F25&lt;0</formula>
    </cfRule>
  </conditionalFormatting>
  <conditionalFormatting sqref="H25:H29 H34:H59">
    <cfRule type="expression" dxfId="1042" priority="31">
      <formula>H25&gt;0</formula>
    </cfRule>
    <cfRule type="expression" dxfId="1041" priority="32">
      <formula>H25&lt;0</formula>
    </cfRule>
  </conditionalFormatting>
  <conditionalFormatting sqref="F89:F110">
    <cfRule type="expression" dxfId="1040" priority="29">
      <formula>F89&gt;0</formula>
    </cfRule>
    <cfRule type="expression" dxfId="1039" priority="30">
      <formula>F89&lt;0</formula>
    </cfRule>
  </conditionalFormatting>
  <conditionalFormatting sqref="H89:H110">
    <cfRule type="expression" dxfId="1038" priority="27">
      <formula>H89&gt;0</formula>
    </cfRule>
    <cfRule type="expression" dxfId="1037" priority="28">
      <formula>H89&lt;0</formula>
    </cfRule>
  </conditionalFormatting>
  <conditionalFormatting sqref="Q10">
    <cfRule type="expression" dxfId="1036" priority="25">
      <formula>Q10&gt;0</formula>
    </cfRule>
    <cfRule type="expression" dxfId="1035" priority="26">
      <formula>Q10&lt;0</formula>
    </cfRule>
  </conditionalFormatting>
  <conditionalFormatting sqref="J25:J32 J34:J38">
    <cfRule type="expression" dxfId="1034" priority="23">
      <formula>J25&gt;0</formula>
    </cfRule>
    <cfRule type="expression" dxfId="1033" priority="24">
      <formula>J25&lt;0</formula>
    </cfRule>
  </conditionalFormatting>
  <conditionalFormatting sqref="K25:K30">
    <cfRule type="expression" dxfId="1032" priority="21">
      <formula>K25&gt;0</formula>
    </cfRule>
    <cfRule type="expression" dxfId="1031" priority="22">
      <formula>K25&lt;0</formula>
    </cfRule>
  </conditionalFormatting>
  <conditionalFormatting sqref="L25:L38">
    <cfRule type="expression" dxfId="1030" priority="19">
      <formula>L25&gt;0</formula>
    </cfRule>
    <cfRule type="expression" dxfId="1029" priority="20">
      <formula>L25&lt;0</formula>
    </cfRule>
  </conditionalFormatting>
  <conditionalFormatting sqref="F30:F33">
    <cfRule type="expression" dxfId="1028" priority="17">
      <formula>F30&gt;0</formula>
    </cfRule>
    <cfRule type="expression" dxfId="1027" priority="18">
      <formula>F30&lt;0</formula>
    </cfRule>
  </conditionalFormatting>
  <conditionalFormatting sqref="H30:H33">
    <cfRule type="expression" dxfId="1026" priority="15">
      <formula>H30&gt;0</formula>
    </cfRule>
    <cfRule type="expression" dxfId="1025" priority="16">
      <formula>H30&lt;0</formula>
    </cfRule>
  </conditionalFormatting>
  <conditionalFormatting sqref="L39:L44">
    <cfRule type="expression" dxfId="1024" priority="7">
      <formula>L39&gt;0</formula>
    </cfRule>
    <cfRule type="expression" dxfId="1023" priority="8">
      <formula>L39&lt;0</formula>
    </cfRule>
  </conditionalFormatting>
  <conditionalFormatting sqref="L45:L46">
    <cfRule type="expression" dxfId="1022" priority="5">
      <formula>L45&gt;0</formula>
    </cfRule>
    <cfRule type="expression" dxfId="1021" priority="6">
      <formula>L45&lt;0</formula>
    </cfRule>
  </conditionalFormatting>
  <conditionalFormatting sqref="L47">
    <cfRule type="expression" dxfId="1020" priority="3">
      <formula>L47&gt;0</formula>
    </cfRule>
    <cfRule type="expression" dxfId="1019" priority="4">
      <formula>L47&lt;0</formula>
    </cfRule>
  </conditionalFormatting>
  <conditionalFormatting sqref="L51">
    <cfRule type="expression" dxfId="1018" priority="1">
      <formula>L51&gt;0</formula>
    </cfRule>
    <cfRule type="expression" dxfId="1017" priority="2">
      <formula>L51&lt;0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709</v>
      </c>
      <c r="B2" s="368">
        <v>43504</v>
      </c>
      <c r="C2" s="7">
        <v>100</v>
      </c>
      <c r="D2" s="43">
        <v>59.01</v>
      </c>
      <c r="E2" s="43">
        <v>0</v>
      </c>
      <c r="F2" s="43">
        <f>C2*D2+E2</f>
        <v>5901</v>
      </c>
      <c r="G2" s="368">
        <v>43545</v>
      </c>
      <c r="H2" s="7">
        <v>100</v>
      </c>
      <c r="I2" s="43">
        <v>61.3</v>
      </c>
      <c r="J2" s="43">
        <v>0.08</v>
      </c>
      <c r="K2" s="43">
        <f>H2*I2-J2</f>
        <v>6129.92</v>
      </c>
      <c r="L2" s="72"/>
      <c r="M2" s="3"/>
      <c r="O2" s="11" t="s">
        <v>57</v>
      </c>
      <c r="Q2">
        <f>C18-H18</f>
        <v>100</v>
      </c>
      <c r="U2" t="s">
        <v>994</v>
      </c>
      <c r="W2" s="134"/>
    </row>
    <row r="3" spans="1:23" x14ac:dyDescent="0.25">
      <c r="A3" s="22" t="s">
        <v>71</v>
      </c>
      <c r="B3" s="404">
        <v>43546</v>
      </c>
      <c r="C3" s="4">
        <v>100</v>
      </c>
      <c r="D3" s="3">
        <v>60.25</v>
      </c>
      <c r="E3" s="3">
        <v>0</v>
      </c>
      <c r="F3" s="3">
        <f>C3*D3+E3</f>
        <v>6025</v>
      </c>
      <c r="G3" s="72"/>
      <c r="H3" s="4"/>
      <c r="I3" s="3"/>
      <c r="J3" s="3"/>
      <c r="K3" s="3"/>
      <c r="L3" s="72"/>
      <c r="M3" s="3"/>
      <c r="O3" s="11" t="s">
        <v>58</v>
      </c>
      <c r="Q3" s="178">
        <f>IF(Q2=0, Q4, (F18-K18-M18)/Q2)</f>
        <v>57.960799999999999</v>
      </c>
      <c r="W3" s="134"/>
    </row>
    <row r="4" spans="1:23" x14ac:dyDescent="0.25">
      <c r="B4" s="72"/>
      <c r="C4" s="4"/>
      <c r="D4" s="3"/>
      <c r="E4" s="3"/>
      <c r="F4" s="3"/>
      <c r="G4" s="72"/>
      <c r="H4" s="161"/>
      <c r="I4" s="3"/>
      <c r="J4" s="3"/>
      <c r="K4" s="3"/>
      <c r="L4" s="4"/>
      <c r="M4" s="4"/>
      <c r="O4" s="11" t="s">
        <v>66</v>
      </c>
      <c r="Q4" s="54">
        <v>62.73</v>
      </c>
      <c r="R4" s="425">
        <v>2.23E-2</v>
      </c>
      <c r="W4" s="134"/>
    </row>
    <row r="5" spans="1:23" x14ac:dyDescent="0.25">
      <c r="B5" s="72"/>
      <c r="C5" s="4"/>
      <c r="D5" s="3"/>
      <c r="E5" s="3"/>
      <c r="F5" s="3"/>
      <c r="G5" s="72"/>
      <c r="H5" s="161"/>
      <c r="I5" s="3"/>
      <c r="J5" s="3"/>
      <c r="K5" s="3"/>
      <c r="L5" s="4"/>
      <c r="M5" s="4"/>
      <c r="O5" s="11" t="s">
        <v>67</v>
      </c>
      <c r="Q5" s="3">
        <f>Q4*Q2</f>
        <v>6273</v>
      </c>
      <c r="W5" s="134"/>
    </row>
    <row r="6" spans="1:23" x14ac:dyDescent="0.25">
      <c r="B6" s="72"/>
      <c r="C6" s="4"/>
      <c r="D6" s="3"/>
      <c r="E6" s="3"/>
      <c r="F6" s="3"/>
      <c r="G6" s="72"/>
      <c r="H6" s="161"/>
      <c r="I6" s="3"/>
      <c r="J6" s="3"/>
      <c r="K6" s="3"/>
      <c r="L6" s="4"/>
      <c r="M6" s="4"/>
      <c r="O6" s="11" t="s">
        <v>64</v>
      </c>
      <c r="Q6" s="2">
        <f>Q3*Q2</f>
        <v>5796.08</v>
      </c>
      <c r="T6" s="1">
        <v>43097</v>
      </c>
      <c r="U6" t="s">
        <v>788</v>
      </c>
      <c r="W6" s="134"/>
    </row>
    <row r="7" spans="1:23" x14ac:dyDescent="0.25">
      <c r="B7" s="72"/>
      <c r="C7" s="4"/>
      <c r="D7" s="3"/>
      <c r="E7" s="3"/>
      <c r="F7" s="3"/>
      <c r="G7" s="4"/>
      <c r="H7" s="161"/>
      <c r="I7" s="3"/>
      <c r="J7" s="3"/>
      <c r="K7" s="3"/>
      <c r="L7" s="4"/>
      <c r="M7" s="4"/>
      <c r="O7" s="11" t="s">
        <v>177</v>
      </c>
      <c r="Q7" s="2">
        <f>Q10+Q8</f>
        <v>1517.639999999994</v>
      </c>
      <c r="R7" s="29">
        <v>43577</v>
      </c>
      <c r="T7" s="1">
        <v>43096</v>
      </c>
      <c r="U7" t="s">
        <v>787</v>
      </c>
      <c r="W7" s="134"/>
    </row>
    <row r="8" spans="1:23" x14ac:dyDescent="0.25">
      <c r="B8" s="72"/>
      <c r="C8" s="4"/>
      <c r="D8" s="3"/>
      <c r="E8" s="3"/>
      <c r="F8" s="3"/>
      <c r="G8" s="4"/>
      <c r="H8" s="161"/>
      <c r="I8" s="3"/>
      <c r="J8" s="3"/>
      <c r="K8" s="3"/>
      <c r="L8" s="4"/>
      <c r="M8" s="4"/>
      <c r="O8" s="11" t="s">
        <v>179</v>
      </c>
      <c r="P8" s="33"/>
      <c r="Q8" s="2">
        <f>K18+M18-F18+Q2*Q4</f>
        <v>476.92000000000007</v>
      </c>
      <c r="T8" s="1"/>
      <c r="U8" t="s">
        <v>791</v>
      </c>
      <c r="W8" s="134"/>
    </row>
    <row r="9" spans="1:23" x14ac:dyDescent="0.25">
      <c r="G9" s="4"/>
      <c r="H9" s="161"/>
      <c r="I9" s="3"/>
      <c r="J9" s="3"/>
      <c r="K9" s="3"/>
      <c r="L9" s="4"/>
      <c r="M9" s="4"/>
      <c r="O9" s="11" t="s">
        <v>204</v>
      </c>
      <c r="Q9" s="134">
        <f>IF(Q2=0, 0, Q8/Q6)</f>
        <v>8.2283198299540394E-2</v>
      </c>
      <c r="U9" t="s">
        <v>789</v>
      </c>
      <c r="W9" s="134"/>
    </row>
    <row r="10" spans="1:23" x14ac:dyDescent="0.25">
      <c r="H10" s="70"/>
      <c r="O10" s="11" t="s">
        <v>203</v>
      </c>
      <c r="P10" s="33"/>
      <c r="Q10" s="2">
        <f>M41</f>
        <v>1040.7199999999939</v>
      </c>
      <c r="U10" t="s">
        <v>790</v>
      </c>
      <c r="W10" s="134"/>
    </row>
    <row r="11" spans="1:23" x14ac:dyDescent="0.25">
      <c r="H11" s="70"/>
      <c r="O11" s="11" t="s">
        <v>175</v>
      </c>
      <c r="P11" s="33"/>
      <c r="Q11" s="134">
        <v>0</v>
      </c>
      <c r="W11" s="134"/>
    </row>
    <row r="12" spans="1:23" x14ac:dyDescent="0.25">
      <c r="H12" s="70"/>
      <c r="O12" s="11" t="s">
        <v>921</v>
      </c>
      <c r="Q12" s="1" t="s">
        <v>1182</v>
      </c>
      <c r="T12" s="1">
        <v>43114</v>
      </c>
      <c r="U12" t="s">
        <v>841</v>
      </c>
      <c r="W12" s="134"/>
    </row>
    <row r="13" spans="1:23" x14ac:dyDescent="0.25">
      <c r="H13" s="70"/>
      <c r="O13" s="11" t="s">
        <v>947</v>
      </c>
      <c r="Q13" s="2">
        <f>Q4/(3.42)</f>
        <v>18.342105263157894</v>
      </c>
      <c r="U13" t="s">
        <v>842</v>
      </c>
      <c r="W13" s="134"/>
    </row>
    <row r="14" spans="1:23" x14ac:dyDescent="0.25">
      <c r="H14" s="70"/>
      <c r="U14" t="s">
        <v>844</v>
      </c>
      <c r="W14" s="134"/>
    </row>
    <row r="15" spans="1:23" x14ac:dyDescent="0.25">
      <c r="H15" s="70"/>
      <c r="W15" s="134"/>
    </row>
    <row r="16" spans="1:23" ht="20.25" thickBot="1" x14ac:dyDescent="0.35">
      <c r="H16" s="70"/>
      <c r="O16" s="884" t="s">
        <v>78</v>
      </c>
      <c r="P16" s="884"/>
      <c r="T16" s="1">
        <v>43151</v>
      </c>
      <c r="U16" t="s">
        <v>82</v>
      </c>
      <c r="W16" s="134"/>
    </row>
    <row r="17" spans="1:23" ht="15.75" thickTop="1" x14ac:dyDescent="0.25">
      <c r="O17" s="81">
        <v>1.1000000000000001</v>
      </c>
      <c r="P17" s="81">
        <f>O17*$Q$4</f>
        <v>69.003</v>
      </c>
      <c r="Q17" s="2"/>
      <c r="U17" t="s">
        <v>946</v>
      </c>
      <c r="W17" s="134"/>
    </row>
    <row r="18" spans="1:23" x14ac:dyDescent="0.25">
      <c r="A18" s="31" t="s">
        <v>81</v>
      </c>
      <c r="B18" s="14"/>
      <c r="C18" s="14">
        <f>SUM(C2:C8)</f>
        <v>200</v>
      </c>
      <c r="D18" s="18"/>
      <c r="E18" s="18"/>
      <c r="F18" s="18">
        <f>SUM(F2:F8)</f>
        <v>11926</v>
      </c>
      <c r="G18" s="14"/>
      <c r="H18" s="71">
        <f>SUM(H2:H6)</f>
        <v>100</v>
      </c>
      <c r="I18" s="18"/>
      <c r="J18" s="18"/>
      <c r="K18" s="18">
        <f>SUM(K2:K6)</f>
        <v>6129.92</v>
      </c>
      <c r="L18" s="14"/>
      <c r="M18" s="18">
        <f>SUM(M2:M10)</f>
        <v>0</v>
      </c>
      <c r="O18" s="81">
        <v>1.0900000000000001</v>
      </c>
      <c r="P18" s="81">
        <f t="shared" ref="P18:P37" si="0">O18*$Q$4</f>
        <v>68.375699999999995</v>
      </c>
      <c r="Q18" s="2"/>
      <c r="W18" s="134"/>
    </row>
    <row r="19" spans="1:23" ht="15.75" thickBot="1" x14ac:dyDescent="0.3">
      <c r="A19" s="277" t="s">
        <v>191</v>
      </c>
      <c r="B19" s="278"/>
      <c r="C19" s="279">
        <f>SumByColor($A$19,C2:C17)</f>
        <v>100</v>
      </c>
      <c r="D19" s="279"/>
      <c r="E19" s="279"/>
      <c r="F19" s="280">
        <f>SumByColor($A$19,F2:F17)</f>
        <v>5901</v>
      </c>
      <c r="G19" s="279"/>
      <c r="H19" s="279">
        <f>SumByColor($A$19,H2:H17)</f>
        <v>100</v>
      </c>
      <c r="I19" s="279"/>
      <c r="J19" s="279"/>
      <c r="K19" s="280">
        <f>SumByColor($A$19,K2:K17)</f>
        <v>6130</v>
      </c>
      <c r="L19" s="279"/>
      <c r="M19" s="280">
        <f>SumByColor($A$19,M2:M17)</f>
        <v>0</v>
      </c>
      <c r="O19" s="81">
        <v>1.08</v>
      </c>
      <c r="P19" s="81">
        <f t="shared" si="0"/>
        <v>67.748400000000004</v>
      </c>
      <c r="Q19" s="2"/>
      <c r="T19" s="1">
        <v>43228</v>
      </c>
      <c r="U19" t="s">
        <v>82</v>
      </c>
      <c r="W19" s="134"/>
    </row>
    <row r="20" spans="1:23" x14ac:dyDescent="0.25">
      <c r="O20" s="81">
        <v>1.07</v>
      </c>
      <c r="P20" s="81">
        <f t="shared" si="0"/>
        <v>67.121099999999998</v>
      </c>
      <c r="Q20" s="2"/>
      <c r="W20" s="134"/>
    </row>
    <row r="21" spans="1:23" x14ac:dyDescent="0.25">
      <c r="O21" s="81">
        <v>1.06</v>
      </c>
      <c r="P21" s="81">
        <f t="shared" si="0"/>
        <v>66.493799999999993</v>
      </c>
      <c r="Q21" s="2"/>
      <c r="T21" s="1">
        <v>43283</v>
      </c>
      <c r="U21" t="s">
        <v>1118</v>
      </c>
      <c r="W21" s="134"/>
    </row>
    <row r="22" spans="1:23" x14ac:dyDescent="0.25">
      <c r="O22" s="81">
        <v>1.05</v>
      </c>
      <c r="P22" s="81">
        <f t="shared" si="0"/>
        <v>65.866500000000002</v>
      </c>
      <c r="Q22" s="2"/>
      <c r="W22" s="134"/>
    </row>
    <row r="23" spans="1:23" x14ac:dyDescent="0.25">
      <c r="O23" s="81">
        <v>1.04</v>
      </c>
      <c r="P23" s="81">
        <f t="shared" si="0"/>
        <v>65.239199999999997</v>
      </c>
      <c r="Q23" s="2"/>
      <c r="T23" s="1">
        <v>43318</v>
      </c>
      <c r="U23" t="s">
        <v>1207</v>
      </c>
      <c r="W23" s="134"/>
    </row>
    <row r="24" spans="1:23" x14ac:dyDescent="0.25">
      <c r="B24" s="162" t="s">
        <v>113</v>
      </c>
      <c r="C24" s="162" t="s">
        <v>145</v>
      </c>
      <c r="D24" s="163" t="s">
        <v>144</v>
      </c>
      <c r="E24" s="165" t="s">
        <v>146</v>
      </c>
      <c r="F24" s="165" t="s">
        <v>65</v>
      </c>
      <c r="G24" s="177" t="s">
        <v>150</v>
      </c>
      <c r="H24" s="177" t="s">
        <v>88</v>
      </c>
      <c r="I24" s="177" t="s">
        <v>153</v>
      </c>
      <c r="J24" s="177" t="s">
        <v>487</v>
      </c>
      <c r="K24" s="177" t="s">
        <v>149</v>
      </c>
      <c r="L24" s="177" t="s">
        <v>947</v>
      </c>
      <c r="M24" s="177"/>
      <c r="O24" s="81">
        <v>1.03</v>
      </c>
      <c r="P24" s="81">
        <f t="shared" si="0"/>
        <v>64.611899999999991</v>
      </c>
      <c r="Q24" s="2"/>
      <c r="U24" t="s">
        <v>1208</v>
      </c>
      <c r="W24" s="134"/>
    </row>
    <row r="25" spans="1:23" x14ac:dyDescent="0.25">
      <c r="B25" s="164">
        <v>43504</v>
      </c>
      <c r="C25" s="10">
        <v>100</v>
      </c>
      <c r="D25" s="39">
        <v>59.01</v>
      </c>
      <c r="E25" s="39">
        <v>59.15</v>
      </c>
      <c r="F25" s="39">
        <f>C25*(E25-D25)</f>
        <v>14.000000000000057</v>
      </c>
      <c r="G25" s="39">
        <f>D25*C25</f>
        <v>5901</v>
      </c>
      <c r="H25" s="179">
        <f>(E25-D25)/D25</f>
        <v>2.3724792408066527E-3</v>
      </c>
      <c r="I25" s="39"/>
      <c r="J25" s="39"/>
      <c r="K25" s="39">
        <f>$Q$10+F25</f>
        <v>1054.7199999999939</v>
      </c>
      <c r="L25" s="39"/>
      <c r="M25" s="39"/>
      <c r="O25" s="81">
        <v>1.02</v>
      </c>
      <c r="P25" s="81">
        <f t="shared" si="0"/>
        <v>63.9846</v>
      </c>
      <c r="Q25" s="2"/>
      <c r="W25" s="134"/>
    </row>
    <row r="26" spans="1:23" x14ac:dyDescent="0.25">
      <c r="B26" s="164">
        <v>43535</v>
      </c>
      <c r="C26" s="10">
        <v>100</v>
      </c>
      <c r="D26" s="39">
        <v>59.01</v>
      </c>
      <c r="E26" s="39">
        <v>59.93</v>
      </c>
      <c r="F26" s="39">
        <f>C26*(E26-D26)</f>
        <v>92.000000000000171</v>
      </c>
      <c r="G26" s="39">
        <f>D26*C26</f>
        <v>5901</v>
      </c>
      <c r="H26" s="179">
        <f>(E26-D26)/D26</f>
        <v>1.5590577868157969E-2</v>
      </c>
      <c r="I26" s="39"/>
      <c r="J26" s="39"/>
      <c r="K26" s="39">
        <f>$Q$10+F26</f>
        <v>1132.7199999999941</v>
      </c>
      <c r="L26" s="39">
        <v>17.52</v>
      </c>
      <c r="M26" s="39"/>
      <c r="O26" s="81">
        <v>1.01</v>
      </c>
      <c r="P26" s="81">
        <f t="shared" si="0"/>
        <v>63.357299999999995</v>
      </c>
      <c r="Q26" s="2"/>
      <c r="T26" s="1">
        <v>43504</v>
      </c>
      <c r="U26" t="s">
        <v>1371</v>
      </c>
      <c r="W26" s="134"/>
    </row>
    <row r="27" spans="1:23" x14ac:dyDescent="0.25">
      <c r="B27" s="164">
        <v>43545</v>
      </c>
      <c r="C27" s="10">
        <v>0</v>
      </c>
      <c r="D27" s="39">
        <v>59.01</v>
      </c>
      <c r="E27" s="39">
        <v>61.22</v>
      </c>
      <c r="F27" s="39"/>
      <c r="G27" s="39">
        <f>D27*C27</f>
        <v>0</v>
      </c>
      <c r="H27" s="179">
        <f>(E27-D27)/D27</f>
        <v>3.7451279444162024E-2</v>
      </c>
      <c r="I27" s="39"/>
      <c r="J27" s="39"/>
      <c r="K27" s="778">
        <v>1269.6400000000001</v>
      </c>
      <c r="L27" s="39">
        <v>17.899999999999999</v>
      </c>
      <c r="M27" s="39"/>
      <c r="O27" s="81">
        <v>1</v>
      </c>
      <c r="P27" s="81">
        <f t="shared" si="0"/>
        <v>62.73</v>
      </c>
      <c r="Q27" s="2"/>
      <c r="W27" s="134"/>
    </row>
    <row r="28" spans="1:23" x14ac:dyDescent="0.25">
      <c r="B28" s="164">
        <v>43546</v>
      </c>
      <c r="C28" s="10">
        <v>100</v>
      </c>
      <c r="D28" s="39">
        <v>57.960799999999999</v>
      </c>
      <c r="E28" s="39">
        <v>59.8</v>
      </c>
      <c r="F28" s="39">
        <f>C28*(E28-D28)</f>
        <v>183.91999999999982</v>
      </c>
      <c r="G28" s="39">
        <f>D28*C28</f>
        <v>5796.08</v>
      </c>
      <c r="H28" s="179">
        <f>(E28-D28)/D28</f>
        <v>3.1731791141599117E-2</v>
      </c>
      <c r="I28" s="39"/>
      <c r="J28" s="39"/>
      <c r="K28" s="39">
        <f>$Q$10+F28</f>
        <v>1224.6399999999937</v>
      </c>
      <c r="L28" s="39">
        <v>17.489999999999998</v>
      </c>
      <c r="M28" s="39"/>
      <c r="O28" s="81">
        <v>0.99</v>
      </c>
      <c r="P28" s="81">
        <f t="shared" si="0"/>
        <v>62.102699999999999</v>
      </c>
      <c r="Q28" s="2"/>
      <c r="W28" s="134"/>
    </row>
    <row r="29" spans="1:23" x14ac:dyDescent="0.25">
      <c r="A29" s="4"/>
      <c r="B29" s="164"/>
      <c r="C29" s="10"/>
      <c r="D29" s="39"/>
      <c r="E29" s="39"/>
      <c r="F29" s="39"/>
      <c r="G29" s="39"/>
      <c r="H29" s="179"/>
      <c r="I29" s="39"/>
      <c r="J29" s="39"/>
      <c r="K29" s="39"/>
      <c r="L29" s="39"/>
      <c r="M29" s="39"/>
      <c r="O29" s="81">
        <v>0.98</v>
      </c>
      <c r="P29" s="81">
        <f t="shared" si="0"/>
        <v>61.475399999999993</v>
      </c>
      <c r="Q29" s="2"/>
      <c r="W29" s="134"/>
    </row>
    <row r="30" spans="1:23" x14ac:dyDescent="0.25">
      <c r="A30" s="4"/>
      <c r="B30" s="164"/>
      <c r="C30" s="10"/>
      <c r="D30" s="39"/>
      <c r="E30" s="39"/>
      <c r="F30" s="39"/>
      <c r="G30" s="39"/>
      <c r="H30" s="179"/>
      <c r="I30" s="39"/>
      <c r="J30" s="39"/>
      <c r="K30" s="39"/>
      <c r="L30" s="39"/>
      <c r="M30" s="39"/>
      <c r="O30" s="81">
        <v>0.97</v>
      </c>
      <c r="P30" s="81">
        <f t="shared" si="0"/>
        <v>60.848099999999995</v>
      </c>
      <c r="W30" s="134"/>
    </row>
    <row r="31" spans="1:23" x14ac:dyDescent="0.25">
      <c r="A31" s="4"/>
      <c r="B31" s="164"/>
      <c r="C31" s="10"/>
      <c r="D31" s="39"/>
      <c r="E31" s="39"/>
      <c r="F31" s="39"/>
      <c r="G31" s="39"/>
      <c r="H31" s="179"/>
      <c r="I31" s="39"/>
      <c r="J31" s="39"/>
      <c r="K31" s="39"/>
      <c r="L31" s="39"/>
      <c r="M31" s="39"/>
      <c r="O31" s="81">
        <v>0.96</v>
      </c>
      <c r="P31" s="81">
        <f t="shared" si="0"/>
        <v>60.220799999999997</v>
      </c>
      <c r="W31" s="134"/>
    </row>
    <row r="32" spans="1:23" x14ac:dyDescent="0.25">
      <c r="A32" s="4"/>
      <c r="B32" s="164"/>
      <c r="C32" s="10"/>
      <c r="D32" s="39"/>
      <c r="E32" s="39"/>
      <c r="F32" s="39"/>
      <c r="G32" s="39"/>
      <c r="H32" s="179"/>
      <c r="I32" s="39"/>
      <c r="J32" s="39"/>
      <c r="K32" s="39"/>
      <c r="L32" s="39"/>
      <c r="M32" s="39"/>
      <c r="O32" s="81">
        <v>0.95</v>
      </c>
      <c r="P32" s="81">
        <f t="shared" si="0"/>
        <v>59.593499999999992</v>
      </c>
      <c r="W32" s="134"/>
    </row>
    <row r="33" spans="1:23" x14ac:dyDescent="0.25">
      <c r="A33" s="4"/>
      <c r="B33" s="164"/>
      <c r="C33" s="10"/>
      <c r="D33" s="39"/>
      <c r="E33" s="39"/>
      <c r="F33" s="39"/>
      <c r="G33" s="39"/>
      <c r="H33" s="179"/>
      <c r="I33" s="39"/>
      <c r="J33" s="39"/>
      <c r="K33" s="39"/>
      <c r="L33" s="39"/>
      <c r="M33" s="39"/>
      <c r="O33" s="81">
        <v>0.94</v>
      </c>
      <c r="P33" s="81">
        <f t="shared" si="0"/>
        <v>58.966199999999994</v>
      </c>
      <c r="W33" s="134"/>
    </row>
    <row r="34" spans="1:23" x14ac:dyDescent="0.25">
      <c r="A34" s="4"/>
      <c r="B34" s="164"/>
      <c r="C34" s="10"/>
      <c r="D34" s="39"/>
      <c r="E34" s="39"/>
      <c r="F34" s="39"/>
      <c r="G34" s="39"/>
      <c r="H34" s="179"/>
      <c r="I34" s="39"/>
      <c r="J34" s="39"/>
      <c r="K34" s="39"/>
      <c r="L34" s="39"/>
      <c r="M34" s="39"/>
      <c r="O34" s="81">
        <v>0.93</v>
      </c>
      <c r="P34" s="81">
        <f t="shared" si="0"/>
        <v>58.338900000000002</v>
      </c>
      <c r="W34" s="134"/>
    </row>
    <row r="35" spans="1:23" x14ac:dyDescent="0.25">
      <c r="A35" s="4"/>
      <c r="B35" s="164"/>
      <c r="C35" s="10"/>
      <c r="D35" s="39"/>
      <c r="E35" s="39"/>
      <c r="F35" s="39"/>
      <c r="G35" s="39"/>
      <c r="H35" s="179"/>
      <c r="I35" s="39"/>
      <c r="J35" s="39"/>
      <c r="K35" s="39"/>
      <c r="L35" s="39"/>
      <c r="M35" s="39"/>
      <c r="O35" s="81">
        <v>0.92</v>
      </c>
      <c r="P35" s="81">
        <f t="shared" si="0"/>
        <v>57.711599999999997</v>
      </c>
      <c r="W35" s="134"/>
    </row>
    <row r="36" spans="1:23" x14ac:dyDescent="0.25">
      <c r="A36" s="4"/>
      <c r="B36" s="164"/>
      <c r="C36" s="10"/>
      <c r="D36" s="39"/>
      <c r="E36" s="39"/>
      <c r="F36" s="39"/>
      <c r="G36" s="39"/>
      <c r="H36" s="179"/>
      <c r="I36" s="39"/>
      <c r="J36" s="39"/>
      <c r="K36" s="39"/>
      <c r="L36" s="39"/>
      <c r="M36" s="39"/>
      <c r="O36" s="81">
        <v>0.91</v>
      </c>
      <c r="P36" s="81">
        <f t="shared" si="0"/>
        <v>57.084299999999999</v>
      </c>
      <c r="W36" s="134"/>
    </row>
    <row r="37" spans="1:23" x14ac:dyDescent="0.25">
      <c r="A37" s="4"/>
      <c r="B37" s="164"/>
      <c r="C37" s="10"/>
      <c r="D37" s="39"/>
      <c r="E37" s="39"/>
      <c r="F37" s="39"/>
      <c r="G37" s="39"/>
      <c r="H37" s="179"/>
      <c r="I37" s="39"/>
      <c r="J37" s="39"/>
      <c r="K37" s="39"/>
      <c r="L37" s="39"/>
      <c r="M37" s="39"/>
      <c r="O37" s="81">
        <v>0.9</v>
      </c>
      <c r="P37" s="81">
        <f t="shared" si="0"/>
        <v>56.457000000000001</v>
      </c>
      <c r="W37" s="134"/>
    </row>
    <row r="38" spans="1:23" x14ac:dyDescent="0.25">
      <c r="A38" s="4"/>
      <c r="B38" s="164"/>
      <c r="C38" s="10"/>
      <c r="D38" s="39"/>
      <c r="E38" s="39"/>
      <c r="F38" s="39"/>
      <c r="G38" s="39"/>
      <c r="H38" s="179"/>
      <c r="I38" s="39"/>
      <c r="J38" s="39"/>
      <c r="K38" s="39"/>
      <c r="L38" s="39"/>
      <c r="M38" s="39"/>
      <c r="W38" s="134"/>
    </row>
    <row r="39" spans="1:23" x14ac:dyDescent="0.25">
      <c r="A39" s="4"/>
      <c r="B39" s="4"/>
      <c r="C39" s="4"/>
      <c r="D39" s="3"/>
      <c r="E39" s="3"/>
      <c r="F39" s="3"/>
      <c r="G39" s="4"/>
      <c r="H39" s="4"/>
      <c r="I39" s="3"/>
      <c r="J39" s="3"/>
      <c r="K39" s="3"/>
      <c r="L39" s="4"/>
      <c r="T39" s="134"/>
    </row>
    <row r="40" spans="1:23" x14ac:dyDescent="0.25">
      <c r="A40" s="4"/>
      <c r="B40" s="4"/>
      <c r="C40" s="4"/>
      <c r="D40" s="3"/>
      <c r="E40" s="3"/>
      <c r="F40" s="3"/>
      <c r="G40" s="4"/>
      <c r="H40" s="4"/>
      <c r="I40" s="3"/>
      <c r="J40" s="3"/>
      <c r="K40" s="3"/>
      <c r="L40" s="4"/>
      <c r="T40" s="134"/>
    </row>
    <row r="41" spans="1:23" x14ac:dyDescent="0.25">
      <c r="A41" s="4"/>
      <c r="B41" s="4"/>
      <c r="C41" s="4"/>
      <c r="D41" s="3"/>
      <c r="E41" s="3"/>
      <c r="F41" s="3"/>
      <c r="G41" s="4"/>
      <c r="H41" s="4"/>
      <c r="I41" s="3"/>
      <c r="J41" s="3"/>
      <c r="K41" s="3"/>
      <c r="L41" s="4" t="s">
        <v>65</v>
      </c>
      <c r="M41" s="2">
        <f>M59+K59-F59</f>
        <v>1040.7199999999939</v>
      </c>
      <c r="T41" s="134"/>
    </row>
    <row r="42" spans="1:23" x14ac:dyDescent="0.25">
      <c r="A42" s="440" t="s">
        <v>1</v>
      </c>
      <c r="B42" s="440" t="s">
        <v>2</v>
      </c>
      <c r="C42" s="440" t="s">
        <v>4</v>
      </c>
      <c r="D42" s="441" t="s">
        <v>5</v>
      </c>
      <c r="E42" s="441" t="s">
        <v>94</v>
      </c>
      <c r="F42" s="441" t="s">
        <v>60</v>
      </c>
      <c r="G42" s="440" t="s">
        <v>3</v>
      </c>
      <c r="H42" s="440" t="s">
        <v>6</v>
      </c>
      <c r="I42" s="441" t="s">
        <v>7</v>
      </c>
      <c r="J42" s="441" t="s">
        <v>95</v>
      </c>
      <c r="K42" s="441" t="s">
        <v>61</v>
      </c>
      <c r="L42" s="440" t="s">
        <v>37</v>
      </c>
      <c r="M42" s="440" t="s">
        <v>38</v>
      </c>
      <c r="T42" s="134"/>
    </row>
    <row r="43" spans="1:23" x14ac:dyDescent="0.25">
      <c r="A43" s="442" t="s">
        <v>709</v>
      </c>
      <c r="B43" s="368">
        <v>42996</v>
      </c>
      <c r="C43" s="7">
        <v>50</v>
      </c>
      <c r="D43" s="43">
        <v>80.67</v>
      </c>
      <c r="E43" s="43">
        <v>0</v>
      </c>
      <c r="F43" s="43">
        <f t="shared" ref="F43:F49" si="1">C43*D43+E43</f>
        <v>4033.5</v>
      </c>
      <c r="G43" s="368">
        <v>43069</v>
      </c>
      <c r="H43" s="7">
        <v>50</v>
      </c>
      <c r="I43" s="43">
        <v>71.39</v>
      </c>
      <c r="J43" s="43">
        <v>0.08</v>
      </c>
      <c r="K43" s="43">
        <f>H43*I43-J43</f>
        <v>3569.42</v>
      </c>
      <c r="L43" s="72"/>
      <c r="M43" s="3"/>
      <c r="T43" s="134"/>
    </row>
    <row r="44" spans="1:23" x14ac:dyDescent="0.25">
      <c r="A44" s="444" t="s">
        <v>71</v>
      </c>
      <c r="B44" s="368">
        <v>43035</v>
      </c>
      <c r="C44" s="7">
        <v>50</v>
      </c>
      <c r="D44" s="43">
        <v>78.180000000000007</v>
      </c>
      <c r="E44" s="43">
        <v>0</v>
      </c>
      <c r="F44" s="43">
        <f t="shared" si="1"/>
        <v>3909.0000000000005</v>
      </c>
      <c r="G44" s="368">
        <v>43105</v>
      </c>
      <c r="H44" s="80">
        <v>50</v>
      </c>
      <c r="I44" s="43">
        <v>73.28</v>
      </c>
      <c r="J44" s="43">
        <v>0.08</v>
      </c>
      <c r="K44" s="43">
        <f>H44*I44-J44</f>
        <v>3663.92</v>
      </c>
      <c r="L44" s="72"/>
      <c r="M44" s="3"/>
      <c r="T44" s="134"/>
    </row>
    <row r="45" spans="1:23" x14ac:dyDescent="0.25">
      <c r="A45" s="427"/>
      <c r="B45" s="368">
        <v>43045</v>
      </c>
      <c r="C45" s="7">
        <v>50</v>
      </c>
      <c r="D45" s="43">
        <v>70.319999999999993</v>
      </c>
      <c r="E45" s="43">
        <v>0</v>
      </c>
      <c r="F45" s="43">
        <f t="shared" si="1"/>
        <v>3515.9999999999995</v>
      </c>
      <c r="G45" s="368">
        <v>43117</v>
      </c>
      <c r="H45" s="80">
        <v>50</v>
      </c>
      <c r="I45" s="43">
        <v>76.680000000000007</v>
      </c>
      <c r="J45" s="43">
        <v>0.09</v>
      </c>
      <c r="K45" s="43">
        <f>H45*I45-J45</f>
        <v>3833.9100000000003</v>
      </c>
      <c r="L45" s="4"/>
      <c r="M45" s="4"/>
      <c r="T45" s="134"/>
    </row>
    <row r="46" spans="1:23" x14ac:dyDescent="0.25">
      <c r="A46" s="427"/>
      <c r="B46" s="368">
        <v>43059</v>
      </c>
      <c r="C46" s="7">
        <v>50</v>
      </c>
      <c r="D46" s="43">
        <v>66.78</v>
      </c>
      <c r="E46" s="43">
        <v>0</v>
      </c>
      <c r="F46" s="43">
        <f t="shared" si="1"/>
        <v>3339</v>
      </c>
      <c r="G46" s="368">
        <v>43126</v>
      </c>
      <c r="H46" s="80">
        <v>50</v>
      </c>
      <c r="I46" s="43">
        <v>78.8</v>
      </c>
      <c r="J46" s="43">
        <v>0.09</v>
      </c>
      <c r="K46" s="43">
        <f>H46*I46-J46</f>
        <v>3939.91</v>
      </c>
      <c r="L46" s="4"/>
      <c r="M46" s="4"/>
      <c r="T46" s="134"/>
    </row>
    <row r="47" spans="1:23" x14ac:dyDescent="0.25">
      <c r="A47" s="427"/>
      <c r="B47" s="368">
        <v>43118</v>
      </c>
      <c r="C47" s="7">
        <v>50</v>
      </c>
      <c r="D47" s="43">
        <v>75.28</v>
      </c>
      <c r="E47" s="43">
        <v>0</v>
      </c>
      <c r="F47" s="43">
        <f t="shared" si="1"/>
        <v>3764</v>
      </c>
      <c r="G47" s="368">
        <v>43213</v>
      </c>
      <c r="H47" s="80">
        <v>200</v>
      </c>
      <c r="I47" s="43">
        <v>73.680000000000007</v>
      </c>
      <c r="J47" s="43">
        <v>0.34</v>
      </c>
      <c r="K47" s="43">
        <f>H47*I47-J47</f>
        <v>14735.660000000002</v>
      </c>
      <c r="L47" s="4"/>
      <c r="M47" s="4"/>
      <c r="T47" s="134"/>
    </row>
    <row r="48" spans="1:23" x14ac:dyDescent="0.25">
      <c r="A48" s="427"/>
      <c r="B48" s="368">
        <v>43131</v>
      </c>
      <c r="C48" s="7">
        <v>50</v>
      </c>
      <c r="D48" s="43">
        <v>77.680000000000007</v>
      </c>
      <c r="E48" s="43">
        <v>0</v>
      </c>
      <c r="F48" s="43">
        <f t="shared" si="1"/>
        <v>3884.0000000000005</v>
      </c>
      <c r="G48" s="4"/>
      <c r="H48" s="161"/>
      <c r="I48" s="3"/>
      <c r="J48" s="3"/>
      <c r="K48" s="3"/>
      <c r="L48" s="4"/>
      <c r="M48" s="4"/>
      <c r="T48" s="134"/>
    </row>
    <row r="49" spans="1:23" x14ac:dyDescent="0.25">
      <c r="A49" s="427"/>
      <c r="B49" s="368">
        <v>43151</v>
      </c>
      <c r="C49" s="7">
        <v>100</v>
      </c>
      <c r="D49" s="43">
        <v>68.38</v>
      </c>
      <c r="E49" s="43">
        <v>0</v>
      </c>
      <c r="F49" s="43">
        <f t="shared" si="1"/>
        <v>6838</v>
      </c>
      <c r="G49" s="4"/>
      <c r="H49" s="161"/>
      <c r="I49" s="3"/>
      <c r="J49" s="3"/>
      <c r="K49" s="3"/>
      <c r="L49" s="4"/>
      <c r="M49" s="4"/>
      <c r="T49" s="134"/>
    </row>
    <row r="50" spans="1:23" x14ac:dyDescent="0.25">
      <c r="A50" s="427"/>
      <c r="B50" s="427"/>
      <c r="C50" s="427"/>
      <c r="D50" s="429"/>
      <c r="E50" s="429"/>
      <c r="F50" s="429"/>
      <c r="G50" s="427"/>
      <c r="H50" s="443"/>
      <c r="I50" s="429"/>
      <c r="J50" s="429"/>
      <c r="K50" s="429"/>
      <c r="L50" s="427"/>
      <c r="M50" s="427"/>
      <c r="T50" s="134"/>
    </row>
    <row r="51" spans="1:23" x14ac:dyDescent="0.25">
      <c r="A51" s="427"/>
      <c r="B51" s="368">
        <v>43251</v>
      </c>
      <c r="C51" s="7">
        <v>50</v>
      </c>
      <c r="D51" s="43">
        <v>69.36</v>
      </c>
      <c r="E51" s="43">
        <v>0</v>
      </c>
      <c r="F51" s="43">
        <f>C51*D51+E51</f>
        <v>3468</v>
      </c>
      <c r="G51" s="368">
        <v>43284</v>
      </c>
      <c r="H51" s="7">
        <v>50</v>
      </c>
      <c r="I51" s="43">
        <v>74.47</v>
      </c>
      <c r="J51" s="43">
        <v>0.05</v>
      </c>
      <c r="K51" s="43">
        <f>H51*I51-J51</f>
        <v>3723.45</v>
      </c>
      <c r="L51" s="72"/>
      <c r="M51" s="3"/>
      <c r="T51" s="134"/>
    </row>
    <row r="52" spans="1:23" x14ac:dyDescent="0.25">
      <c r="A52" s="427"/>
      <c r="B52" s="368">
        <v>43251</v>
      </c>
      <c r="C52" s="7">
        <v>50</v>
      </c>
      <c r="D52" s="43">
        <v>69.36</v>
      </c>
      <c r="E52" s="43">
        <v>0</v>
      </c>
      <c r="F52" s="43">
        <f>C52*D52+E52</f>
        <v>3468</v>
      </c>
      <c r="G52" s="368">
        <v>43287</v>
      </c>
      <c r="H52" s="7">
        <v>50</v>
      </c>
      <c r="I52" s="43">
        <v>75.88</v>
      </c>
      <c r="J52" s="43">
        <v>0.05</v>
      </c>
      <c r="K52" s="43">
        <f>H52*I52-J52</f>
        <v>3793.95</v>
      </c>
      <c r="L52" s="72"/>
      <c r="M52" s="3"/>
      <c r="T52" s="134"/>
    </row>
    <row r="53" spans="1:23" x14ac:dyDescent="0.25">
      <c r="A53" s="427"/>
      <c r="B53" s="427"/>
      <c r="C53" s="427"/>
      <c r="D53" s="429"/>
      <c r="E53" s="429"/>
      <c r="F53" s="429"/>
      <c r="G53" s="427"/>
      <c r="H53" s="443"/>
      <c r="I53" s="429"/>
      <c r="J53" s="429"/>
      <c r="K53" s="429"/>
      <c r="L53" s="427"/>
      <c r="M53" s="427"/>
      <c r="T53" s="134"/>
    </row>
    <row r="54" spans="1:23" x14ac:dyDescent="0.25">
      <c r="A54" s="427"/>
      <c r="B54" s="427"/>
      <c r="C54" s="427"/>
      <c r="D54" s="429"/>
      <c r="E54" s="429"/>
      <c r="F54" s="429"/>
      <c r="G54" s="427"/>
      <c r="H54" s="443"/>
      <c r="I54" s="429"/>
      <c r="J54" s="429"/>
      <c r="K54" s="429"/>
      <c r="L54" s="427"/>
      <c r="M54" s="427"/>
      <c r="T54" s="134"/>
    </row>
    <row r="55" spans="1:23" x14ac:dyDescent="0.25">
      <c r="A55" s="427"/>
      <c r="B55" s="427"/>
      <c r="C55" s="427"/>
      <c r="D55" s="429"/>
      <c r="E55" s="429"/>
      <c r="F55" s="429"/>
      <c r="G55" s="427"/>
      <c r="H55" s="443"/>
      <c r="I55" s="429"/>
      <c r="J55" s="429"/>
      <c r="K55" s="429"/>
      <c r="L55" s="427"/>
      <c r="M55" s="427"/>
      <c r="T55" s="134"/>
    </row>
    <row r="56" spans="1:23" x14ac:dyDescent="0.25">
      <c r="A56" s="427"/>
      <c r="B56" s="427"/>
      <c r="C56" s="427"/>
      <c r="D56" s="429"/>
      <c r="E56" s="429"/>
      <c r="F56" s="429"/>
      <c r="G56" s="427"/>
      <c r="H56" s="443"/>
      <c r="I56" s="429"/>
      <c r="J56" s="429"/>
      <c r="K56" s="429"/>
      <c r="L56" s="427"/>
      <c r="M56" s="427"/>
      <c r="T56" s="134"/>
    </row>
    <row r="57" spans="1:23" x14ac:dyDescent="0.25">
      <c r="A57" s="427"/>
      <c r="B57" s="427"/>
      <c r="C57" s="427"/>
      <c r="D57" s="429"/>
      <c r="E57" s="429"/>
      <c r="F57" s="429"/>
      <c r="G57" s="427"/>
      <c r="H57" s="443"/>
      <c r="I57" s="429"/>
      <c r="J57" s="429"/>
      <c r="K57" s="429"/>
      <c r="L57" s="427"/>
      <c r="M57" s="427"/>
      <c r="T57" s="134"/>
    </row>
    <row r="58" spans="1:23" x14ac:dyDescent="0.25">
      <c r="A58" s="427"/>
      <c r="B58" s="427"/>
      <c r="C58" s="427"/>
      <c r="D58" s="429"/>
      <c r="E58" s="429"/>
      <c r="F58" s="429"/>
      <c r="G58" s="427"/>
      <c r="H58" s="427"/>
      <c r="I58" s="429"/>
      <c r="J58" s="429"/>
      <c r="K58" s="429"/>
      <c r="L58" s="427"/>
      <c r="M58" s="427"/>
      <c r="T58" s="134"/>
    </row>
    <row r="59" spans="1:23" x14ac:dyDescent="0.25">
      <c r="A59" s="445" t="s">
        <v>81</v>
      </c>
      <c r="B59" s="446"/>
      <c r="C59" s="446">
        <f>SUM(C43:C58)</f>
        <v>500</v>
      </c>
      <c r="D59" s="447"/>
      <c r="E59" s="447"/>
      <c r="F59" s="447">
        <f>SUM(F43:F58)</f>
        <v>36219.5</v>
      </c>
      <c r="G59" s="446"/>
      <c r="H59" s="468">
        <f>SUM(H43:H58)</f>
        <v>500</v>
      </c>
      <c r="I59" s="447"/>
      <c r="J59" s="447"/>
      <c r="K59" s="447">
        <f>SUM(K43:K58)</f>
        <v>37260.219999999994</v>
      </c>
      <c r="L59" s="446"/>
      <c r="M59" s="447">
        <f>SUM(M43:M51)</f>
        <v>0</v>
      </c>
      <c r="T59" s="134"/>
    </row>
    <row r="60" spans="1:23" ht="15.75" thickBot="1" x14ac:dyDescent="0.3">
      <c r="A60" s="448" t="s">
        <v>191</v>
      </c>
      <c r="B60" s="449"/>
      <c r="C60" s="450">
        <f>SumByColor($A$19,C43:C58)</f>
        <v>500</v>
      </c>
      <c r="D60" s="450"/>
      <c r="E60" s="450"/>
      <c r="F60" s="451">
        <f>SumByColor($A$19,F43:F58)</f>
        <v>36220</v>
      </c>
      <c r="G60" s="450"/>
      <c r="H60" s="450">
        <f>SumByColor($A$19,H43:H58)</f>
        <v>500</v>
      </c>
      <c r="I60" s="450"/>
      <c r="J60" s="450"/>
      <c r="K60" s="451">
        <f>SumByColor($A$19,K44:K58)</f>
        <v>33691</v>
      </c>
      <c r="L60" s="450"/>
      <c r="M60" s="451">
        <f>SumByColor($A$19,M43:M58)</f>
        <v>0</v>
      </c>
      <c r="W60" s="134"/>
    </row>
    <row r="61" spans="1:23" x14ac:dyDescent="0.25">
      <c r="W61" s="134"/>
    </row>
    <row r="62" spans="1:23" x14ac:dyDescent="0.25">
      <c r="W62" s="134"/>
    </row>
    <row r="63" spans="1:23" x14ac:dyDescent="0.25">
      <c r="W63" s="134"/>
    </row>
    <row r="64" spans="1:23" x14ac:dyDescent="0.25">
      <c r="A64" s="298"/>
      <c r="B64" s="414" t="s">
        <v>113</v>
      </c>
      <c r="C64" s="414" t="s">
        <v>145</v>
      </c>
      <c r="D64" s="415" t="s">
        <v>144</v>
      </c>
      <c r="E64" s="416" t="s">
        <v>146</v>
      </c>
      <c r="F64" s="416" t="s">
        <v>65</v>
      </c>
      <c r="G64" s="418" t="s">
        <v>150</v>
      </c>
      <c r="H64" s="418" t="s">
        <v>88</v>
      </c>
      <c r="I64" s="418" t="s">
        <v>153</v>
      </c>
      <c r="J64" s="418" t="s">
        <v>487</v>
      </c>
      <c r="K64" s="418"/>
      <c r="L64" s="418" t="s">
        <v>947</v>
      </c>
      <c r="M64" s="418" t="s">
        <v>149</v>
      </c>
      <c r="N64" s="298"/>
      <c r="W64" s="134"/>
    </row>
    <row r="65" spans="1:23" x14ac:dyDescent="0.25">
      <c r="A65" s="298"/>
      <c r="B65" s="297">
        <v>43028</v>
      </c>
      <c r="C65" s="298">
        <v>50</v>
      </c>
      <c r="D65" s="299">
        <v>80.67</v>
      </c>
      <c r="E65" s="299">
        <v>84.59</v>
      </c>
      <c r="F65" s="299">
        <f t="shared" ref="F65:F88" si="2">C65*(E65-D65)</f>
        <v>196.00000000000009</v>
      </c>
      <c r="G65" s="299">
        <f t="shared" ref="G65:G88" si="3">D65*C65</f>
        <v>4033.5</v>
      </c>
      <c r="H65" s="300">
        <f t="shared" ref="H65:H88" si="4">(E65-D65)/D65</f>
        <v>4.8593033345729536E-2</v>
      </c>
      <c r="I65" s="299"/>
      <c r="J65" s="299"/>
      <c r="K65" s="299"/>
      <c r="L65" s="299"/>
      <c r="M65" s="299"/>
      <c r="N65" s="298"/>
      <c r="W65" s="134"/>
    </row>
    <row r="66" spans="1:23" x14ac:dyDescent="0.25">
      <c r="A66" s="298"/>
      <c r="B66" s="297">
        <v>43035</v>
      </c>
      <c r="C66" s="298">
        <v>100</v>
      </c>
      <c r="D66" s="299">
        <v>79.424999999999997</v>
      </c>
      <c r="E66" s="299">
        <v>81.47</v>
      </c>
      <c r="F66" s="299">
        <f t="shared" si="2"/>
        <v>204.50000000000017</v>
      </c>
      <c r="G66" s="299">
        <f t="shared" si="3"/>
        <v>7942.5</v>
      </c>
      <c r="H66" s="300">
        <f t="shared" si="4"/>
        <v>2.574756059175325E-2</v>
      </c>
      <c r="I66" s="299"/>
      <c r="J66" s="299"/>
      <c r="K66" s="299"/>
      <c r="L66" s="299"/>
      <c r="M66" s="299"/>
      <c r="N66" s="298"/>
      <c r="W66" s="134"/>
    </row>
    <row r="67" spans="1:23" x14ac:dyDescent="0.25">
      <c r="A67" s="298"/>
      <c r="B67" s="297">
        <v>43059</v>
      </c>
      <c r="C67" s="298">
        <v>200</v>
      </c>
      <c r="D67" s="299">
        <v>73.987499999999997</v>
      </c>
      <c r="E67" s="299">
        <v>66.78</v>
      </c>
      <c r="F67" s="299">
        <f t="shared" si="2"/>
        <v>-1441.4999999999991</v>
      </c>
      <c r="G67" s="299">
        <f t="shared" si="3"/>
        <v>14797.5</v>
      </c>
      <c r="H67" s="300">
        <f t="shared" si="4"/>
        <v>-9.741510390268622E-2</v>
      </c>
      <c r="I67" s="299"/>
      <c r="J67" s="299"/>
      <c r="K67" s="299"/>
      <c r="L67" s="628"/>
      <c r="M67" s="628"/>
      <c r="N67" s="298"/>
      <c r="W67" s="134"/>
    </row>
    <row r="68" spans="1:23" x14ac:dyDescent="0.25">
      <c r="A68" s="298">
        <v>50</v>
      </c>
      <c r="B68" s="297">
        <v>43069</v>
      </c>
      <c r="C68" s="298">
        <v>150</v>
      </c>
      <c r="D68" s="299">
        <v>74.853899999999996</v>
      </c>
      <c r="E68" s="299">
        <v>71.45</v>
      </c>
      <c r="F68" s="299">
        <f t="shared" si="2"/>
        <v>-510.58499999999896</v>
      </c>
      <c r="G68" s="299">
        <f t="shared" si="3"/>
        <v>11228.084999999999</v>
      </c>
      <c r="H68" s="300">
        <f t="shared" si="4"/>
        <v>-4.5473916522719503E-2</v>
      </c>
      <c r="I68" s="299">
        <v>74.3</v>
      </c>
      <c r="J68" s="299"/>
      <c r="K68" s="299"/>
      <c r="L68" s="628"/>
      <c r="M68" s="628"/>
      <c r="N68" s="298"/>
      <c r="W68" s="134"/>
    </row>
    <row r="69" spans="1:23" x14ac:dyDescent="0.25">
      <c r="A69" s="298">
        <v>50</v>
      </c>
      <c r="B69" s="297">
        <v>43075</v>
      </c>
      <c r="C69" s="298">
        <v>150</v>
      </c>
      <c r="D69" s="299">
        <v>74.853899999999996</v>
      </c>
      <c r="E69" s="299">
        <v>67.58</v>
      </c>
      <c r="F69" s="299">
        <f t="shared" si="2"/>
        <v>-1091.0849999999996</v>
      </c>
      <c r="G69" s="299">
        <f t="shared" si="3"/>
        <v>11228.084999999999</v>
      </c>
      <c r="H69" s="300">
        <f t="shared" si="4"/>
        <v>-9.7174629511621952E-2</v>
      </c>
      <c r="I69" s="299"/>
      <c r="J69" s="299"/>
      <c r="K69" s="299"/>
      <c r="L69" s="628"/>
      <c r="M69" s="628"/>
      <c r="N69" s="298"/>
      <c r="W69" s="134"/>
    </row>
    <row r="70" spans="1:23" x14ac:dyDescent="0.25">
      <c r="A70" s="298">
        <v>150</v>
      </c>
      <c r="B70" s="297">
        <v>43096</v>
      </c>
      <c r="C70" s="298">
        <v>150</v>
      </c>
      <c r="D70" s="299">
        <v>74.853899999999996</v>
      </c>
      <c r="E70" s="299">
        <v>70.459999999999994</v>
      </c>
      <c r="F70" s="299">
        <f t="shared" si="2"/>
        <v>-659.08500000000026</v>
      </c>
      <c r="G70" s="299">
        <f t="shared" si="3"/>
        <v>11228.084999999999</v>
      </c>
      <c r="H70" s="300">
        <f t="shared" si="4"/>
        <v>-5.8699680310578373E-2</v>
      </c>
      <c r="I70" s="299">
        <v>74.3</v>
      </c>
      <c r="J70" s="299">
        <v>49.12</v>
      </c>
      <c r="K70" s="299"/>
      <c r="L70" s="628"/>
      <c r="M70" s="628"/>
      <c r="N70" s="298"/>
    </row>
    <row r="71" spans="1:23" x14ac:dyDescent="0.25">
      <c r="A71" s="298">
        <v>100</v>
      </c>
      <c r="B71" s="297">
        <v>43105</v>
      </c>
      <c r="C71" s="298">
        <v>100</v>
      </c>
      <c r="D71" s="299">
        <v>75.641599999999997</v>
      </c>
      <c r="E71" s="299">
        <v>73.28</v>
      </c>
      <c r="F71" s="299">
        <f t="shared" si="2"/>
        <v>-236.15999999999957</v>
      </c>
      <c r="G71" s="299">
        <f t="shared" si="3"/>
        <v>7564.16</v>
      </c>
      <c r="H71" s="300">
        <f t="shared" si="4"/>
        <v>-3.1220915475082437E-2</v>
      </c>
      <c r="I71" s="299">
        <f>D71*0.99</f>
        <v>74.885183999999995</v>
      </c>
      <c r="J71" s="299"/>
      <c r="K71" s="299"/>
      <c r="L71" s="628"/>
      <c r="M71" s="628"/>
      <c r="N71" s="298"/>
    </row>
    <row r="72" spans="1:23" x14ac:dyDescent="0.25">
      <c r="A72" s="298">
        <v>100</v>
      </c>
      <c r="B72" s="297">
        <v>43108</v>
      </c>
      <c r="C72" s="298">
        <v>100</v>
      </c>
      <c r="D72" s="299">
        <v>75.641599999999997</v>
      </c>
      <c r="E72" s="299">
        <v>74.34</v>
      </c>
      <c r="F72" s="299">
        <f t="shared" si="2"/>
        <v>-130.15999999999934</v>
      </c>
      <c r="G72" s="299">
        <f t="shared" si="3"/>
        <v>7564.16</v>
      </c>
      <c r="H72" s="300">
        <f t="shared" si="4"/>
        <v>-1.7207462560284201E-2</v>
      </c>
      <c r="I72" s="299"/>
      <c r="J72" s="299"/>
      <c r="K72" s="299"/>
      <c r="L72" s="628"/>
      <c r="M72" s="628"/>
      <c r="N72" s="298"/>
    </row>
    <row r="73" spans="1:23" x14ac:dyDescent="0.25">
      <c r="A73" s="298">
        <v>100</v>
      </c>
      <c r="B73" s="297">
        <v>43110</v>
      </c>
      <c r="C73" s="298">
        <v>100</v>
      </c>
      <c r="D73" s="299">
        <v>75.641599999999997</v>
      </c>
      <c r="E73" s="299">
        <v>72.790000000000006</v>
      </c>
      <c r="F73" s="299">
        <f t="shared" si="2"/>
        <v>-285.15999999999906</v>
      </c>
      <c r="G73" s="299">
        <f t="shared" si="3"/>
        <v>7564.16</v>
      </c>
      <c r="H73" s="300">
        <f t="shared" si="4"/>
        <v>-3.7698832388526823E-2</v>
      </c>
      <c r="I73" s="299"/>
      <c r="J73" s="299"/>
      <c r="K73" s="299"/>
      <c r="L73" s="628"/>
      <c r="M73" s="628"/>
      <c r="N73" s="298"/>
    </row>
    <row r="74" spans="1:23" x14ac:dyDescent="0.25">
      <c r="A74" s="298">
        <v>100</v>
      </c>
      <c r="B74" s="297">
        <v>43112</v>
      </c>
      <c r="C74" s="298">
        <v>100</v>
      </c>
      <c r="D74" s="299">
        <v>75.641599999999997</v>
      </c>
      <c r="E74" s="299">
        <v>74.84</v>
      </c>
      <c r="F74" s="299">
        <f t="shared" si="2"/>
        <v>-80.159999999999343</v>
      </c>
      <c r="G74" s="299">
        <f t="shared" si="3"/>
        <v>7564.16</v>
      </c>
      <c r="H74" s="300">
        <f t="shared" si="4"/>
        <v>-1.0597343260851086E-2</v>
      </c>
      <c r="I74" s="299"/>
      <c r="J74" s="299">
        <v>65</v>
      </c>
      <c r="K74" s="419" t="s">
        <v>843</v>
      </c>
      <c r="L74" s="628"/>
      <c r="M74" s="628"/>
      <c r="N74" s="298"/>
    </row>
    <row r="75" spans="1:23" x14ac:dyDescent="0.25">
      <c r="A75" s="298">
        <v>50</v>
      </c>
      <c r="B75" s="297">
        <v>43117</v>
      </c>
      <c r="C75" s="298">
        <v>50</v>
      </c>
      <c r="D75" s="299">
        <v>74.605000000000004</v>
      </c>
      <c r="E75" s="299">
        <v>76.680000000000007</v>
      </c>
      <c r="F75" s="299">
        <f t="shared" si="2"/>
        <v>103.75000000000014</v>
      </c>
      <c r="G75" s="299">
        <f t="shared" si="3"/>
        <v>3730.25</v>
      </c>
      <c r="H75" s="300">
        <f t="shared" si="4"/>
        <v>2.7813149252731088E-2</v>
      </c>
      <c r="I75" s="299"/>
      <c r="J75" s="299">
        <v>70</v>
      </c>
      <c r="K75" s="419" t="s">
        <v>868</v>
      </c>
      <c r="L75" s="628"/>
      <c r="M75" s="628"/>
      <c r="N75" s="298"/>
    </row>
    <row r="76" spans="1:23" x14ac:dyDescent="0.25">
      <c r="A76" s="298">
        <v>50</v>
      </c>
      <c r="B76" s="297">
        <v>43118</v>
      </c>
      <c r="C76" s="298">
        <v>100</v>
      </c>
      <c r="D76" s="299">
        <v>74.942499999999995</v>
      </c>
      <c r="E76" s="299">
        <v>74.62</v>
      </c>
      <c r="F76" s="299">
        <f t="shared" si="2"/>
        <v>-32.249999999999091</v>
      </c>
      <c r="G76" s="299">
        <f t="shared" si="3"/>
        <v>7494.25</v>
      </c>
      <c r="H76" s="300">
        <f t="shared" si="4"/>
        <v>-4.3032991960501839E-3</v>
      </c>
      <c r="I76" s="299"/>
      <c r="J76" s="299"/>
      <c r="K76" s="299"/>
      <c r="L76" s="299"/>
      <c r="M76" s="299"/>
      <c r="N76" s="298"/>
    </row>
    <row r="77" spans="1:23" x14ac:dyDescent="0.25">
      <c r="A77" s="298">
        <v>50</v>
      </c>
      <c r="B77" s="297">
        <v>43121</v>
      </c>
      <c r="C77" s="298">
        <v>100</v>
      </c>
      <c r="D77" s="299">
        <v>74.94</v>
      </c>
      <c r="E77" s="299">
        <v>75.959999999999994</v>
      </c>
      <c r="F77" s="299">
        <f t="shared" si="2"/>
        <v>101.9999999999996</v>
      </c>
      <c r="G77" s="299">
        <f t="shared" si="3"/>
        <v>7494</v>
      </c>
      <c r="H77" s="300">
        <f t="shared" si="4"/>
        <v>1.3610888710968723E-2</v>
      </c>
      <c r="I77" s="299"/>
      <c r="J77" s="299"/>
      <c r="K77" s="299"/>
      <c r="L77" s="299"/>
      <c r="M77" s="299"/>
      <c r="N77" s="298"/>
    </row>
    <row r="78" spans="1:23" x14ac:dyDescent="0.25">
      <c r="A78" s="298">
        <v>0</v>
      </c>
      <c r="B78" s="297">
        <v>43126</v>
      </c>
      <c r="C78" s="298">
        <v>50</v>
      </c>
      <c r="D78" s="299">
        <v>71.09</v>
      </c>
      <c r="E78" s="299">
        <v>78.930000000000007</v>
      </c>
      <c r="F78" s="299">
        <f t="shared" si="2"/>
        <v>392.00000000000017</v>
      </c>
      <c r="G78" s="299">
        <f t="shared" si="3"/>
        <v>3554.5</v>
      </c>
      <c r="H78" s="300">
        <f t="shared" si="4"/>
        <v>0.1102827401884935</v>
      </c>
      <c r="I78" s="299"/>
      <c r="J78" s="299"/>
      <c r="K78" s="299"/>
      <c r="L78" s="299"/>
      <c r="M78" s="299"/>
      <c r="N78" s="298"/>
    </row>
    <row r="79" spans="1:23" x14ac:dyDescent="0.25">
      <c r="A79" s="298"/>
      <c r="B79" s="297">
        <v>43131</v>
      </c>
      <c r="C79" s="298">
        <v>100</v>
      </c>
      <c r="D79" s="299">
        <v>74.383399999999995</v>
      </c>
      <c r="E79" s="299">
        <v>75.680000000000007</v>
      </c>
      <c r="F79" s="299">
        <f t="shared" si="2"/>
        <v>129.66000000000122</v>
      </c>
      <c r="G79" s="299">
        <f t="shared" si="3"/>
        <v>7438.3399999999992</v>
      </c>
      <c r="H79" s="300">
        <f t="shared" si="4"/>
        <v>1.7431308598424008E-2</v>
      </c>
      <c r="I79" s="299" t="s">
        <v>891</v>
      </c>
      <c r="J79" s="299"/>
      <c r="K79" s="299"/>
      <c r="L79" s="299"/>
      <c r="M79" s="299"/>
      <c r="N79" s="298"/>
    </row>
    <row r="80" spans="1:23" x14ac:dyDescent="0.25">
      <c r="A80" s="298">
        <v>0</v>
      </c>
      <c r="B80" s="297">
        <v>43146</v>
      </c>
      <c r="C80" s="298">
        <v>100</v>
      </c>
      <c r="D80" s="299">
        <v>74.38</v>
      </c>
      <c r="E80" s="299">
        <v>68.38</v>
      </c>
      <c r="F80" s="299">
        <f t="shared" si="2"/>
        <v>-600</v>
      </c>
      <c r="G80" s="299">
        <f t="shared" si="3"/>
        <v>7438</v>
      </c>
      <c r="H80" s="300">
        <f t="shared" si="4"/>
        <v>-8.0666845926324282E-2</v>
      </c>
      <c r="I80" s="299"/>
      <c r="J80" s="299"/>
      <c r="K80" s="299"/>
      <c r="L80" s="299"/>
      <c r="M80" s="299"/>
      <c r="N80" s="298"/>
    </row>
    <row r="81" spans="1:14" x14ac:dyDescent="0.25">
      <c r="A81" s="298">
        <v>50</v>
      </c>
      <c r="B81" s="297">
        <v>43151</v>
      </c>
      <c r="C81" s="298">
        <v>200</v>
      </c>
      <c r="D81" s="299">
        <v>71.381699999999995</v>
      </c>
      <c r="E81" s="299">
        <v>67.97</v>
      </c>
      <c r="F81" s="299">
        <f t="shared" si="2"/>
        <v>-682.33999999999924</v>
      </c>
      <c r="G81" s="299">
        <f t="shared" si="3"/>
        <v>14276.339999999998</v>
      </c>
      <c r="H81" s="300">
        <f t="shared" si="4"/>
        <v>-4.7795163186082658E-2</v>
      </c>
      <c r="I81" s="299">
        <v>71</v>
      </c>
      <c r="J81" s="299"/>
      <c r="K81" s="299"/>
      <c r="L81" s="299"/>
      <c r="M81" s="299"/>
      <c r="N81" s="298"/>
    </row>
    <row r="82" spans="1:14" x14ac:dyDescent="0.25">
      <c r="A82" s="298">
        <v>100</v>
      </c>
      <c r="B82" s="297">
        <v>43163</v>
      </c>
      <c r="C82" s="298">
        <v>200</v>
      </c>
      <c r="D82" s="299">
        <v>71.38</v>
      </c>
      <c r="E82" s="299">
        <v>65.19</v>
      </c>
      <c r="F82" s="299">
        <f t="shared" si="2"/>
        <v>-1237.9999999999995</v>
      </c>
      <c r="G82" s="299">
        <f t="shared" si="3"/>
        <v>14276</v>
      </c>
      <c r="H82" s="300">
        <f t="shared" si="4"/>
        <v>-8.6718968898851195E-2</v>
      </c>
      <c r="I82" s="299"/>
      <c r="J82" s="299"/>
      <c r="K82" s="299"/>
      <c r="L82" s="299"/>
      <c r="M82" s="299"/>
      <c r="N82" s="298"/>
    </row>
    <row r="83" spans="1:14" x14ac:dyDescent="0.25">
      <c r="A83" s="298">
        <v>100</v>
      </c>
      <c r="B83" s="297">
        <v>43168</v>
      </c>
      <c r="C83" s="298">
        <v>200</v>
      </c>
      <c r="D83" s="299">
        <v>71.38</v>
      </c>
      <c r="E83" s="299">
        <v>68.430000000000007</v>
      </c>
      <c r="F83" s="299">
        <f t="shared" si="2"/>
        <v>-589.99999999999773</v>
      </c>
      <c r="G83" s="299">
        <f t="shared" si="3"/>
        <v>14276</v>
      </c>
      <c r="H83" s="300">
        <f t="shared" si="4"/>
        <v>-4.1328103110114721E-2</v>
      </c>
      <c r="I83" s="299"/>
      <c r="J83" s="299"/>
      <c r="K83" s="299"/>
      <c r="L83" s="299"/>
      <c r="M83" s="299"/>
      <c r="N83" s="298"/>
    </row>
    <row r="84" spans="1:14" x14ac:dyDescent="0.25">
      <c r="A84" s="298">
        <v>200</v>
      </c>
      <c r="B84" s="297">
        <v>43184</v>
      </c>
      <c r="C84" s="298">
        <v>200</v>
      </c>
      <c r="D84" s="299">
        <v>71.38</v>
      </c>
      <c r="E84" s="299">
        <v>64.59</v>
      </c>
      <c r="F84" s="299">
        <f t="shared" si="2"/>
        <v>-1357.9999999999984</v>
      </c>
      <c r="G84" s="299">
        <f t="shared" si="3"/>
        <v>14276</v>
      </c>
      <c r="H84" s="300">
        <f t="shared" si="4"/>
        <v>-9.512468478565414E-2</v>
      </c>
      <c r="I84" s="299"/>
      <c r="J84" s="299"/>
      <c r="K84" s="299"/>
      <c r="L84" s="299"/>
      <c r="M84" s="299"/>
      <c r="N84" s="298"/>
    </row>
    <row r="85" spans="1:14" x14ac:dyDescent="0.25">
      <c r="A85" s="298">
        <v>200</v>
      </c>
      <c r="B85" s="297">
        <v>43185</v>
      </c>
      <c r="C85" s="298">
        <v>200</v>
      </c>
      <c r="D85" s="299">
        <v>71.38</v>
      </c>
      <c r="E85" s="299">
        <v>65.540000000000006</v>
      </c>
      <c r="F85" s="299">
        <f t="shared" si="2"/>
        <v>-1167.9999999999977</v>
      </c>
      <c r="G85" s="299">
        <f t="shared" si="3"/>
        <v>14276</v>
      </c>
      <c r="H85" s="300">
        <f t="shared" si="4"/>
        <v>-8.1815634631549311E-2</v>
      </c>
      <c r="I85" s="299">
        <v>71</v>
      </c>
      <c r="J85" s="299"/>
      <c r="K85" s="299"/>
      <c r="L85" s="299"/>
      <c r="M85" s="299"/>
      <c r="N85" s="298"/>
    </row>
    <row r="86" spans="1:14" x14ac:dyDescent="0.25">
      <c r="A86" s="298">
        <v>200</v>
      </c>
      <c r="B86" s="297">
        <v>43186</v>
      </c>
      <c r="C86" s="298">
        <v>200</v>
      </c>
      <c r="D86" s="299">
        <v>71.38</v>
      </c>
      <c r="E86" s="299">
        <v>65.08</v>
      </c>
      <c r="F86" s="299">
        <f t="shared" si="2"/>
        <v>-1259.9999999999995</v>
      </c>
      <c r="G86" s="299">
        <f t="shared" si="3"/>
        <v>14276</v>
      </c>
      <c r="H86" s="300">
        <f t="shared" si="4"/>
        <v>-8.8260016811431738E-2</v>
      </c>
      <c r="I86" s="299"/>
      <c r="J86" s="299"/>
      <c r="K86" s="299"/>
      <c r="L86" s="299"/>
      <c r="M86" s="299"/>
      <c r="N86" s="298"/>
    </row>
    <row r="87" spans="1:14" x14ac:dyDescent="0.25">
      <c r="A87" s="298">
        <v>200</v>
      </c>
      <c r="B87" s="297">
        <v>43196</v>
      </c>
      <c r="C87" s="298">
        <v>200</v>
      </c>
      <c r="D87" s="299">
        <v>71.38</v>
      </c>
      <c r="E87" s="299">
        <v>66.78</v>
      </c>
      <c r="F87" s="299">
        <f t="shared" si="2"/>
        <v>-919.99999999999886</v>
      </c>
      <c r="G87" s="299">
        <f t="shared" si="3"/>
        <v>14276</v>
      </c>
      <c r="H87" s="300">
        <f t="shared" si="4"/>
        <v>-6.4443821798823131E-2</v>
      </c>
      <c r="I87" s="299"/>
      <c r="J87" s="299">
        <v>47</v>
      </c>
      <c r="K87" s="299"/>
      <c r="L87" s="299">
        <v>16.350000000000001</v>
      </c>
      <c r="M87" s="299"/>
      <c r="N87" s="298"/>
    </row>
    <row r="88" spans="1:14" x14ac:dyDescent="0.25">
      <c r="A88" s="298">
        <v>200</v>
      </c>
      <c r="B88" s="297">
        <v>43212</v>
      </c>
      <c r="C88" s="298">
        <v>200</v>
      </c>
      <c r="D88" s="299">
        <v>71.38</v>
      </c>
      <c r="E88" s="299">
        <v>69.069999999999993</v>
      </c>
      <c r="F88" s="299">
        <f t="shared" si="2"/>
        <v>-462.00000000000045</v>
      </c>
      <c r="G88" s="299">
        <f t="shared" si="3"/>
        <v>14276</v>
      </c>
      <c r="H88" s="300">
        <f t="shared" si="4"/>
        <v>-3.2362006164191687E-2</v>
      </c>
      <c r="I88" s="299"/>
      <c r="J88" s="299">
        <v>52.58</v>
      </c>
      <c r="K88" s="299"/>
      <c r="L88" s="299"/>
      <c r="M88" s="299"/>
      <c r="N88" s="298"/>
    </row>
    <row r="89" spans="1:14" x14ac:dyDescent="0.25">
      <c r="A89" s="298">
        <v>0</v>
      </c>
      <c r="B89" s="297">
        <v>43213</v>
      </c>
      <c r="C89" s="298">
        <v>0</v>
      </c>
      <c r="D89" s="299"/>
      <c r="E89" s="299">
        <v>73.790000000000006</v>
      </c>
      <c r="F89" s="299">
        <v>459.32</v>
      </c>
      <c r="G89" s="299"/>
      <c r="H89" s="300"/>
      <c r="I89" s="299"/>
      <c r="J89" s="299"/>
      <c r="K89" s="299"/>
      <c r="L89" s="299"/>
      <c r="M89" s="299"/>
      <c r="N89" s="298"/>
    </row>
    <row r="91" spans="1:14" x14ac:dyDescent="0.25">
      <c r="B91" s="162" t="s">
        <v>113</v>
      </c>
      <c r="C91" s="162" t="s">
        <v>145</v>
      </c>
      <c r="D91" s="163" t="s">
        <v>144</v>
      </c>
      <c r="E91" s="165" t="s">
        <v>146</v>
      </c>
      <c r="F91" s="165" t="s">
        <v>65</v>
      </c>
      <c r="G91" s="177" t="s">
        <v>150</v>
      </c>
      <c r="H91" s="177" t="s">
        <v>88</v>
      </c>
      <c r="I91" s="177" t="s">
        <v>153</v>
      </c>
      <c r="J91" s="177" t="s">
        <v>487</v>
      </c>
      <c r="K91" s="177"/>
      <c r="L91" s="177" t="s">
        <v>947</v>
      </c>
      <c r="M91" s="177" t="s">
        <v>149</v>
      </c>
    </row>
    <row r="92" spans="1:14" x14ac:dyDescent="0.25">
      <c r="B92" s="164">
        <v>43251</v>
      </c>
      <c r="C92" s="10">
        <v>100</v>
      </c>
      <c r="D92" s="39">
        <v>69.36</v>
      </c>
      <c r="E92" s="39">
        <v>69.2</v>
      </c>
      <c r="F92" s="39">
        <f>C92*(E92-D92)</f>
        <v>-15.999999999999659</v>
      </c>
      <c r="G92" s="39">
        <f>D92*C92</f>
        <v>6936</v>
      </c>
      <c r="H92" s="179">
        <f>(E92-D92)/D92</f>
        <v>-2.3068050749711156E-3</v>
      </c>
      <c r="I92" s="39"/>
      <c r="J92" s="39"/>
      <c r="K92" s="39"/>
      <c r="L92" s="39"/>
      <c r="M92" s="39"/>
    </row>
    <row r="93" spans="1:14" x14ac:dyDescent="0.25">
      <c r="B93" s="164">
        <v>43278</v>
      </c>
      <c r="C93" s="10">
        <v>100</v>
      </c>
      <c r="D93" s="39">
        <v>69.36</v>
      </c>
      <c r="E93" s="39">
        <v>73.8</v>
      </c>
      <c r="F93" s="39">
        <f>C93*(E93-D93)</f>
        <v>443.99999999999977</v>
      </c>
      <c r="G93" s="39">
        <f>D93*C93</f>
        <v>6936</v>
      </c>
      <c r="H93" s="179">
        <f>(E93-D93)/D93</f>
        <v>6.4013840830449795E-2</v>
      </c>
      <c r="I93" s="39"/>
      <c r="J93" s="39"/>
      <c r="K93" s="39"/>
      <c r="L93" s="39"/>
      <c r="M93" s="39"/>
    </row>
    <row r="94" spans="1:14" x14ac:dyDescent="0.25">
      <c r="A94">
        <v>50</v>
      </c>
      <c r="B94" s="164">
        <v>43284</v>
      </c>
      <c r="C94" s="10">
        <v>50</v>
      </c>
      <c r="D94" s="39">
        <v>64.251000000000005</v>
      </c>
      <c r="E94" s="39">
        <v>74.47</v>
      </c>
      <c r="F94" s="39">
        <f>C94*(E94-D94)</f>
        <v>510.9499999999997</v>
      </c>
      <c r="G94" s="39">
        <f>D94*C94</f>
        <v>3212.55</v>
      </c>
      <c r="H94" s="179">
        <f>(E94-D94)/D94</f>
        <v>0.15904810820065046</v>
      </c>
      <c r="I94" s="39"/>
      <c r="J94" s="39"/>
      <c r="K94" s="39"/>
      <c r="L94" s="39">
        <v>18.23</v>
      </c>
      <c r="M94" s="39">
        <v>970</v>
      </c>
    </row>
    <row r="95" spans="1:14" x14ac:dyDescent="0.25">
      <c r="B95" s="164">
        <v>43287</v>
      </c>
      <c r="C95" s="10">
        <v>0</v>
      </c>
      <c r="D95" s="39"/>
      <c r="E95" s="39"/>
      <c r="F95" s="39">
        <v>581.4</v>
      </c>
      <c r="G95" s="39"/>
      <c r="H95" s="179"/>
      <c r="I95" s="39"/>
      <c r="J95" s="39"/>
      <c r="K95" s="39"/>
      <c r="L95" s="39">
        <v>18.600000000000001</v>
      </c>
      <c r="M95" s="39">
        <v>1040.72</v>
      </c>
    </row>
    <row r="96" spans="1:14" x14ac:dyDescent="0.25">
      <c r="A96" s="4"/>
      <c r="B96" s="164"/>
      <c r="C96" s="10"/>
      <c r="D96" s="39"/>
      <c r="E96" s="39"/>
      <c r="F96" s="39"/>
      <c r="G96" s="39"/>
      <c r="H96" s="179"/>
      <c r="I96" s="39"/>
      <c r="J96" s="39"/>
      <c r="K96" s="39"/>
      <c r="L96" s="39"/>
      <c r="M96" s="39"/>
    </row>
    <row r="97" spans="1:13" x14ac:dyDescent="0.25">
      <c r="A97" s="4"/>
      <c r="B97" s="164"/>
      <c r="C97" s="10"/>
      <c r="D97" s="39"/>
      <c r="E97" s="39"/>
      <c r="F97" s="39"/>
      <c r="G97" s="39"/>
      <c r="H97" s="179"/>
      <c r="I97" s="39"/>
      <c r="J97" s="39"/>
      <c r="K97" s="39"/>
      <c r="L97" s="39"/>
      <c r="M97" s="39"/>
    </row>
    <row r="98" spans="1:13" x14ac:dyDescent="0.25">
      <c r="A98" s="4"/>
      <c r="B98" s="164"/>
      <c r="C98" s="10"/>
      <c r="D98" s="39"/>
      <c r="E98" s="39"/>
      <c r="F98" s="39"/>
      <c r="G98" s="39"/>
      <c r="H98" s="179"/>
      <c r="I98" s="39"/>
      <c r="J98" s="39"/>
      <c r="K98" s="39"/>
      <c r="L98" s="39"/>
      <c r="M98" s="39"/>
    </row>
    <row r="99" spans="1:13" x14ac:dyDescent="0.25">
      <c r="A99" s="4"/>
      <c r="B99" s="164"/>
      <c r="C99" s="10"/>
      <c r="D99" s="39"/>
      <c r="E99" s="39"/>
      <c r="F99" s="39"/>
      <c r="G99" s="39"/>
      <c r="H99" s="179"/>
      <c r="I99" s="39"/>
      <c r="J99" s="39"/>
      <c r="K99" s="39"/>
      <c r="L99" s="39"/>
      <c r="M99" s="39"/>
    </row>
    <row r="100" spans="1:13" x14ac:dyDescent="0.25">
      <c r="A100" s="4"/>
      <c r="B100" s="164"/>
      <c r="C100" s="10"/>
      <c r="D100" s="39"/>
      <c r="E100" s="39"/>
      <c r="F100" s="39"/>
      <c r="G100" s="39"/>
      <c r="H100" s="179"/>
      <c r="I100" s="39"/>
      <c r="J100" s="39"/>
      <c r="K100" s="39"/>
      <c r="L100" s="39"/>
      <c r="M100" s="39"/>
    </row>
    <row r="101" spans="1:13" x14ac:dyDescent="0.25">
      <c r="A101" s="4"/>
      <c r="B101" s="164"/>
      <c r="C101" s="10"/>
      <c r="D101" s="39"/>
      <c r="E101" s="39"/>
      <c r="F101" s="39"/>
      <c r="G101" s="39"/>
      <c r="H101" s="179"/>
      <c r="I101" s="39"/>
      <c r="J101" s="39"/>
      <c r="K101" s="39"/>
      <c r="L101" s="39"/>
      <c r="M101" s="39"/>
    </row>
    <row r="102" spans="1:13" x14ac:dyDescent="0.25">
      <c r="A102" s="4"/>
      <c r="B102" s="164"/>
      <c r="C102" s="10"/>
      <c r="D102" s="39"/>
      <c r="E102" s="39"/>
      <c r="F102" s="39"/>
      <c r="G102" s="39"/>
      <c r="H102" s="179"/>
      <c r="I102" s="39"/>
      <c r="J102" s="39"/>
      <c r="K102" s="39"/>
      <c r="L102" s="39"/>
      <c r="M102" s="39"/>
    </row>
    <row r="103" spans="1:13" x14ac:dyDescent="0.25">
      <c r="A103" s="4"/>
      <c r="B103" s="164"/>
      <c r="C103" s="10"/>
      <c r="D103" s="39"/>
      <c r="E103" s="39"/>
      <c r="F103" s="39"/>
      <c r="G103" s="39"/>
      <c r="H103" s="179"/>
      <c r="I103" s="39"/>
      <c r="J103" s="39"/>
      <c r="K103" s="39"/>
      <c r="L103" s="39"/>
      <c r="M103" s="39"/>
    </row>
    <row r="104" spans="1:13" x14ac:dyDescent="0.25">
      <c r="A104" s="4"/>
      <c r="B104" s="164"/>
      <c r="C104" s="10"/>
      <c r="D104" s="39"/>
      <c r="E104" s="39"/>
      <c r="F104" s="39"/>
      <c r="G104" s="39"/>
      <c r="H104" s="179"/>
      <c r="I104" s="39"/>
      <c r="J104" s="39"/>
      <c r="K104" s="39"/>
      <c r="L104" s="39"/>
      <c r="M104" s="39"/>
    </row>
    <row r="105" spans="1:13" x14ac:dyDescent="0.25">
      <c r="A105" s="4"/>
      <c r="B105" s="164"/>
      <c r="C105" s="10"/>
      <c r="D105" s="39"/>
      <c r="E105" s="39"/>
      <c r="F105" s="39"/>
      <c r="G105" s="39"/>
      <c r="H105" s="179"/>
      <c r="I105" s="39"/>
      <c r="J105" s="39"/>
      <c r="K105" s="39"/>
      <c r="L105" s="39"/>
      <c r="M105" s="39"/>
    </row>
  </sheetData>
  <mergeCells count="1">
    <mergeCell ref="O16:P16"/>
  </mergeCells>
  <conditionalFormatting sqref="O17:O37">
    <cfRule type="colorScale" priority="74">
      <colorScale>
        <cfvo type="min"/>
        <cfvo type="percentile" val="50"/>
        <cfvo type="max"/>
        <color rgb="FFF8696B"/>
        <color rgb="FFFFEB84"/>
        <color rgb="FF63BE7B"/>
      </colorScale>
    </cfRule>
  </conditionalFormatting>
  <conditionalFormatting sqref="P17:P37">
    <cfRule type="colorScale" priority="73">
      <colorScale>
        <cfvo type="min"/>
        <cfvo type="percentile" val="50"/>
        <cfvo type="max"/>
        <color rgb="FFF8696B"/>
        <color rgb="FFFFEB84"/>
        <color rgb="FF63BE7B"/>
      </colorScale>
    </cfRule>
  </conditionalFormatting>
  <conditionalFormatting sqref="W1:W38 W60:W69 T39:T59">
    <cfRule type="iconSet" priority="71">
      <iconSet iconSet="3Arrows">
        <cfvo type="percent" val="0"/>
        <cfvo type="num" val="0"/>
        <cfvo type="num" val="0"/>
      </iconSet>
    </cfRule>
  </conditionalFormatting>
  <conditionalFormatting sqref="Q7">
    <cfRule type="expression" dxfId="1016" priority="67">
      <formula>Q7&gt;0</formula>
    </cfRule>
    <cfRule type="expression" dxfId="1015" priority="68">
      <formula>Q7&lt;0</formula>
    </cfRule>
  </conditionalFormatting>
  <conditionalFormatting sqref="Q8">
    <cfRule type="expression" dxfId="1014" priority="65">
      <formula>Q8&gt;0</formula>
    </cfRule>
    <cfRule type="expression" dxfId="1013" priority="66">
      <formula>Q8&lt;0</formula>
    </cfRule>
  </conditionalFormatting>
  <conditionalFormatting sqref="F27 F29:F38">
    <cfRule type="expression" dxfId="1012" priority="63">
      <formula>F27&gt;0</formula>
    </cfRule>
    <cfRule type="expression" dxfId="1011" priority="64">
      <formula>F27&lt;0</formula>
    </cfRule>
  </conditionalFormatting>
  <conditionalFormatting sqref="H29:H38">
    <cfRule type="expression" dxfId="1010" priority="61">
      <formula>H29&gt;0</formula>
    </cfRule>
    <cfRule type="expression" dxfId="1009" priority="62">
      <formula>H29&lt;0</formula>
    </cfRule>
  </conditionalFormatting>
  <conditionalFormatting sqref="H25:H27">
    <cfRule type="expression" dxfId="1008" priority="41">
      <formula>H25&gt;0</formula>
    </cfRule>
    <cfRule type="expression" dxfId="1007" priority="42">
      <formula>H25&lt;0</formula>
    </cfRule>
  </conditionalFormatting>
  <conditionalFormatting sqref="Q10">
    <cfRule type="expression" dxfId="1006" priority="55">
      <formula>Q10&gt;0</formula>
    </cfRule>
    <cfRule type="expression" dxfId="1005" priority="56">
      <formula>Q10&lt;0</formula>
    </cfRule>
  </conditionalFormatting>
  <conditionalFormatting sqref="F25:F26">
    <cfRule type="expression" dxfId="1004" priority="43">
      <formula>F25&gt;0</formula>
    </cfRule>
    <cfRule type="expression" dxfId="1003" priority="44">
      <formula>F25&lt;0</formula>
    </cfRule>
  </conditionalFormatting>
  <conditionalFormatting sqref="J65:K72">
    <cfRule type="expression" dxfId="1002" priority="37">
      <formula>J65&gt;0</formula>
    </cfRule>
    <cfRule type="expression" dxfId="1001" priority="38">
      <formula>J65&lt;0</formula>
    </cfRule>
  </conditionalFormatting>
  <conditionalFormatting sqref="F65:F83 F89">
    <cfRule type="expression" dxfId="1000" priority="35">
      <formula>F65&gt;0</formula>
    </cfRule>
    <cfRule type="expression" dxfId="999" priority="36">
      <formula>F65&lt;0</formula>
    </cfRule>
  </conditionalFormatting>
  <conditionalFormatting sqref="H65:H83 H89">
    <cfRule type="expression" dxfId="998" priority="33">
      <formula>H65&gt;0</formula>
    </cfRule>
    <cfRule type="expression" dxfId="997" priority="34">
      <formula>H65&lt;0</formula>
    </cfRule>
  </conditionalFormatting>
  <conditionalFormatting sqref="J76:J78">
    <cfRule type="expression" dxfId="996" priority="31">
      <formula>J76&gt;0</formula>
    </cfRule>
    <cfRule type="expression" dxfId="995" priority="32">
      <formula>J76&lt;0</formula>
    </cfRule>
  </conditionalFormatting>
  <conditionalFormatting sqref="K76:K78">
    <cfRule type="expression" dxfId="994" priority="29">
      <formula>K76&gt;0</formula>
    </cfRule>
    <cfRule type="expression" dxfId="993" priority="30">
      <formula>K76&lt;0</formula>
    </cfRule>
  </conditionalFormatting>
  <conditionalFormatting sqref="L65:L78">
    <cfRule type="expression" dxfId="992" priority="27">
      <formula>L65&gt;0</formula>
    </cfRule>
    <cfRule type="expression" dxfId="991" priority="28">
      <formula>L65&lt;0</formula>
    </cfRule>
  </conditionalFormatting>
  <conditionalFormatting sqref="F84:F88">
    <cfRule type="expression" dxfId="990" priority="25">
      <formula>F84&gt;0</formula>
    </cfRule>
    <cfRule type="expression" dxfId="989" priority="26">
      <formula>F84&lt;0</formula>
    </cfRule>
  </conditionalFormatting>
  <conditionalFormatting sqref="H84:H88">
    <cfRule type="expression" dxfId="988" priority="23">
      <formula>H84&gt;0</formula>
    </cfRule>
    <cfRule type="expression" dxfId="987" priority="24">
      <formula>H84&lt;0</formula>
    </cfRule>
  </conditionalFormatting>
  <conditionalFormatting sqref="M65:M78">
    <cfRule type="expression" dxfId="986" priority="21">
      <formula>M65&gt;0</formula>
    </cfRule>
    <cfRule type="expression" dxfId="985" priority="22">
      <formula>M65&lt;0</formula>
    </cfRule>
  </conditionalFormatting>
  <conditionalFormatting sqref="M26:M31">
    <cfRule type="expression" dxfId="984" priority="19">
      <formula>M26&gt;0</formula>
    </cfRule>
    <cfRule type="expression" dxfId="983" priority="20">
      <formula>M26&lt;0</formula>
    </cfRule>
  </conditionalFormatting>
  <conditionalFormatting sqref="F93:F105">
    <cfRule type="expression" dxfId="982" priority="17">
      <formula>F93&gt;0</formula>
    </cfRule>
    <cfRule type="expression" dxfId="981" priority="18">
      <formula>F93&lt;0</formula>
    </cfRule>
  </conditionalFormatting>
  <conditionalFormatting sqref="H93:H105">
    <cfRule type="expression" dxfId="980" priority="15">
      <formula>H93&gt;0</formula>
    </cfRule>
    <cfRule type="expression" dxfId="979" priority="16">
      <formula>H93&lt;0</formula>
    </cfRule>
  </conditionalFormatting>
  <conditionalFormatting sqref="H92">
    <cfRule type="expression" dxfId="978" priority="11">
      <formula>H92&gt;0</formula>
    </cfRule>
    <cfRule type="expression" dxfId="977" priority="12">
      <formula>H92&lt;0</formula>
    </cfRule>
  </conditionalFormatting>
  <conditionalFormatting sqref="F92">
    <cfRule type="expression" dxfId="976" priority="13">
      <formula>F92&gt;0</formula>
    </cfRule>
    <cfRule type="expression" dxfId="975" priority="14">
      <formula>F92&lt;0</formula>
    </cfRule>
  </conditionalFormatting>
  <conditionalFormatting sqref="M93:M98">
    <cfRule type="expression" dxfId="974" priority="9">
      <formula>M93&gt;0</formula>
    </cfRule>
    <cfRule type="expression" dxfId="973" priority="10">
      <formula>M93&lt;0</formula>
    </cfRule>
  </conditionalFormatting>
  <conditionalFormatting sqref="K25:K27">
    <cfRule type="expression" dxfId="972" priority="7">
      <formula>K25&gt;0</formula>
    </cfRule>
    <cfRule type="expression" dxfId="971" priority="8">
      <formula>K25&lt;0</formula>
    </cfRule>
  </conditionalFormatting>
  <conditionalFormatting sqref="K28">
    <cfRule type="expression" dxfId="970" priority="5">
      <formula>K28&gt;0</formula>
    </cfRule>
    <cfRule type="expression" dxfId="969" priority="6">
      <formula>K28&lt;0</formula>
    </cfRule>
  </conditionalFormatting>
  <conditionalFormatting sqref="H28">
    <cfRule type="expression" dxfId="968" priority="1">
      <formula>H28&gt;0</formula>
    </cfRule>
    <cfRule type="expression" dxfId="967" priority="2">
      <formula>H28&lt;0</formula>
    </cfRule>
  </conditionalFormatting>
  <conditionalFormatting sqref="F28">
    <cfRule type="expression" dxfId="966" priority="3">
      <formula>F28&gt;0</formula>
    </cfRule>
    <cfRule type="expression" dxfId="965" priority="4">
      <formula>F28&lt;0</formula>
    </cfRule>
  </conditionalFormatting>
  <hyperlinks>
    <hyperlink ref="A3" location="ACTIVE!A1" display="Back"/>
    <hyperlink ref="A44" location="ACTIVE!A1" display="Back"/>
  </hyperlinks>
  <pageMargins left="0.7" right="0.7" top="0.75" bottom="0.75" header="0.3" footer="0.3"/>
  <pageSetup orientation="portrait" r:id="rId1"/>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32"/>
  <sheetViews>
    <sheetView workbookViewId="0">
      <pane ySplit="1" topLeftCell="A53" activePane="bottomLeft" state="frozen"/>
      <selection activeCell="A2" sqref="A2"/>
      <selection pane="bottomLeft" activeCell="C21" sqref="C21"/>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799</v>
      </c>
      <c r="B2" s="368">
        <v>43098</v>
      </c>
      <c r="C2" s="4">
        <v>50</v>
      </c>
      <c r="D2" s="3">
        <v>36.380000000000003</v>
      </c>
      <c r="E2" s="3">
        <v>0</v>
      </c>
      <c r="F2" s="3">
        <f>C2*D2+E2</f>
        <v>1819.0000000000002</v>
      </c>
      <c r="G2" s="368">
        <v>43161</v>
      </c>
      <c r="H2" s="7">
        <v>200</v>
      </c>
      <c r="I2" s="43">
        <v>24.95</v>
      </c>
      <c r="J2" s="43">
        <v>0.12</v>
      </c>
      <c r="K2" s="43">
        <f t="shared" ref="K2:K14" si="0">H2*I2-J2</f>
        <v>4989.88</v>
      </c>
      <c r="L2" s="72">
        <v>43129</v>
      </c>
      <c r="M2" s="43">
        <v>26</v>
      </c>
      <c r="O2" s="11" t="s">
        <v>57</v>
      </c>
      <c r="Q2" s="359">
        <f>C24-H24</f>
        <v>300</v>
      </c>
      <c r="W2" s="134"/>
      <c r="X2" s="660">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465</v>
      </c>
      <c r="AJ2">
        <f>$Q$2*$Q$4</f>
        <v>6738</v>
      </c>
      <c r="AK2">
        <f ca="1">AJ2*EXP(-$X$2 * AI2/365.25)</f>
        <v>26647.938959913925</v>
      </c>
      <c r="AM2" s="2">
        <f>Q10</f>
        <v>0</v>
      </c>
      <c r="AO2">
        <f ca="1" xml:space="preserve"> (SUM(AB:AB) - SUM(AE:AE) - SUM(AH:AH) - SUM(AK:AK))/SUM(AB:AB)</f>
        <v>-1.2951135111793082</v>
      </c>
    </row>
    <row r="3" spans="1:41" x14ac:dyDescent="0.25">
      <c r="A3" s="22" t="s">
        <v>71</v>
      </c>
      <c r="B3" s="368">
        <v>43098</v>
      </c>
      <c r="C3" s="4">
        <v>50</v>
      </c>
      <c r="D3" s="3">
        <v>36.119999999999997</v>
      </c>
      <c r="E3" s="3">
        <v>0</v>
      </c>
      <c r="F3" s="3">
        <f>C3*D3+E3</f>
        <v>1805.9999999999998</v>
      </c>
      <c r="G3" s="368">
        <v>43182</v>
      </c>
      <c r="H3" s="80">
        <v>97</v>
      </c>
      <c r="I3" s="43">
        <v>22.71</v>
      </c>
      <c r="J3" s="43">
        <v>0.53</v>
      </c>
      <c r="K3" s="43">
        <f t="shared" si="0"/>
        <v>2202.3399999999997</v>
      </c>
      <c r="L3" s="72">
        <v>43219</v>
      </c>
      <c r="M3" s="43">
        <v>130</v>
      </c>
      <c r="O3" s="11" t="s">
        <v>58</v>
      </c>
      <c r="Q3" s="178">
        <f>IF(Q2=0, Q4, (F24-K24-M24)/Q2)</f>
        <v>29.412966666666641</v>
      </c>
      <c r="U3" t="s">
        <v>992</v>
      </c>
      <c r="W3" s="134"/>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465</v>
      </c>
      <c r="AJ3">
        <f t="shared" ref="AJ3:AJ17" si="11">$Q$2*$Q$4</f>
        <v>6738</v>
      </c>
    </row>
    <row r="4" spans="1:41" x14ac:dyDescent="0.25">
      <c r="B4" s="368">
        <v>43130</v>
      </c>
      <c r="C4" s="4">
        <v>100</v>
      </c>
      <c r="D4" s="3">
        <v>36.68</v>
      </c>
      <c r="E4" s="3">
        <v>0</v>
      </c>
      <c r="F4" s="3">
        <f>C4*D4+E4</f>
        <v>3668</v>
      </c>
      <c r="G4" s="368">
        <v>43196</v>
      </c>
      <c r="H4" s="80">
        <v>100</v>
      </c>
      <c r="I4" s="43">
        <v>22.98</v>
      </c>
      <c r="J4" s="43">
        <v>0.05</v>
      </c>
      <c r="K4" s="43">
        <f t="shared" si="0"/>
        <v>2297.9499999999998</v>
      </c>
      <c r="L4" s="72">
        <v>43308</v>
      </c>
      <c r="M4" s="43">
        <v>104</v>
      </c>
      <c r="O4" s="11" t="s">
        <v>66</v>
      </c>
      <c r="Q4" s="54">
        <v>22.46</v>
      </c>
      <c r="R4" s="425">
        <v>1.26E-2</v>
      </c>
      <c r="U4" t="s">
        <v>993</v>
      </c>
      <c r="W4" s="134"/>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465</v>
      </c>
      <c r="AJ4">
        <f t="shared" si="11"/>
        <v>6738</v>
      </c>
    </row>
    <row r="5" spans="1:41" x14ac:dyDescent="0.25">
      <c r="B5" s="368">
        <v>43132</v>
      </c>
      <c r="C5" s="4">
        <v>97</v>
      </c>
      <c r="D5" s="3">
        <v>35.22</v>
      </c>
      <c r="E5" s="3">
        <v>0</v>
      </c>
      <c r="F5" s="3">
        <f>C5*D5+E5</f>
        <v>3416.3399999999997</v>
      </c>
      <c r="G5" s="368">
        <v>43217</v>
      </c>
      <c r="H5" s="80">
        <v>100</v>
      </c>
      <c r="I5" s="43">
        <v>23.89</v>
      </c>
      <c r="J5" s="43">
        <v>0.06</v>
      </c>
      <c r="K5" s="43">
        <f t="shared" si="0"/>
        <v>2388.94</v>
      </c>
      <c r="L5" s="72">
        <v>43399</v>
      </c>
      <c r="M5" s="43">
        <v>78</v>
      </c>
      <c r="O5" s="11" t="s">
        <v>67</v>
      </c>
      <c r="Q5" s="3">
        <f>Q4*Q2</f>
        <v>6738</v>
      </c>
      <c r="W5" s="134"/>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465</v>
      </c>
      <c r="AJ5">
        <f t="shared" si="11"/>
        <v>6738</v>
      </c>
    </row>
    <row r="6" spans="1:41" x14ac:dyDescent="0.25">
      <c r="B6" s="368">
        <v>43132</v>
      </c>
      <c r="C6" s="4">
        <v>3</v>
      </c>
      <c r="D6" s="3">
        <v>35.22</v>
      </c>
      <c r="E6" s="3">
        <v>0</v>
      </c>
      <c r="F6" s="3">
        <f>C6*D6+E6</f>
        <v>105.66</v>
      </c>
      <c r="G6" s="368">
        <v>43272</v>
      </c>
      <c r="H6" s="80">
        <v>200</v>
      </c>
      <c r="I6" s="43">
        <v>24.88</v>
      </c>
      <c r="J6" s="43">
        <v>0.06</v>
      </c>
      <c r="K6" s="43">
        <f t="shared" si="0"/>
        <v>4975.9399999999996</v>
      </c>
      <c r="L6" s="72">
        <v>43490</v>
      </c>
      <c r="M6" s="43">
        <v>78</v>
      </c>
      <c r="O6" s="11" t="s">
        <v>64</v>
      </c>
      <c r="Q6" s="2">
        <f>Q3*Q2</f>
        <v>8823.8899999999921</v>
      </c>
      <c r="T6" s="1">
        <v>43032</v>
      </c>
      <c r="U6" t="s">
        <v>858</v>
      </c>
      <c r="W6" s="134"/>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465</v>
      </c>
      <c r="AJ6">
        <f t="shared" si="11"/>
        <v>6738</v>
      </c>
    </row>
    <row r="7" spans="1:41" x14ac:dyDescent="0.25">
      <c r="B7" s="368">
        <v>43160</v>
      </c>
      <c r="C7" s="7">
        <v>100</v>
      </c>
      <c r="D7" s="43">
        <v>28.28</v>
      </c>
      <c r="E7" s="43">
        <v>0</v>
      </c>
      <c r="F7" s="43">
        <f t="shared" ref="F7:F20" si="12">C7*D7+E7</f>
        <v>2828</v>
      </c>
      <c r="G7" s="368">
        <v>43276</v>
      </c>
      <c r="H7" s="80">
        <v>100</v>
      </c>
      <c r="I7" s="43">
        <v>25.28</v>
      </c>
      <c r="J7" s="43">
        <v>0.03</v>
      </c>
      <c r="K7" s="43">
        <f t="shared" si="0"/>
        <v>2527.9699999999998</v>
      </c>
      <c r="L7" s="4"/>
      <c r="M7" s="4"/>
      <c r="O7" s="11" t="s">
        <v>177</v>
      </c>
      <c r="Q7" s="2">
        <f>Q10+Q8</f>
        <v>-2085.8899999999921</v>
      </c>
      <c r="R7">
        <v>300</v>
      </c>
      <c r="T7" s="1"/>
      <c r="W7" s="134"/>
      <c r="Z7">
        <f t="shared" si="1"/>
        <v>62</v>
      </c>
      <c r="AA7" s="2">
        <f t="shared" si="2"/>
        <v>2828</v>
      </c>
      <c r="AB7">
        <f t="shared" si="3"/>
        <v>3397.0120510903221</v>
      </c>
      <c r="AC7">
        <f t="shared" si="4"/>
        <v>178</v>
      </c>
      <c r="AD7" s="2">
        <f t="shared" si="5"/>
        <v>2527.9699999999998</v>
      </c>
      <c r="AE7">
        <f t="shared" si="6"/>
        <v>4279.092885300427</v>
      </c>
      <c r="AF7">
        <f t="shared" si="7"/>
        <v>-43098</v>
      </c>
      <c r="AG7" s="2">
        <f t="shared" si="8"/>
        <v>0</v>
      </c>
      <c r="AH7">
        <f t="shared" si="9"/>
        <v>0</v>
      </c>
      <c r="AI7" s="2">
        <f t="shared" ca="1" si="10"/>
        <v>465</v>
      </c>
      <c r="AJ7">
        <f t="shared" si="11"/>
        <v>6738</v>
      </c>
    </row>
    <row r="8" spans="1:41" x14ac:dyDescent="0.25">
      <c r="B8" s="368">
        <v>43160</v>
      </c>
      <c r="C8" s="7">
        <v>100</v>
      </c>
      <c r="D8" s="43">
        <v>24</v>
      </c>
      <c r="E8" s="43">
        <v>0</v>
      </c>
      <c r="F8" s="43">
        <f t="shared" si="12"/>
        <v>2400</v>
      </c>
      <c r="G8" s="368">
        <v>43304</v>
      </c>
      <c r="H8" s="80">
        <v>100</v>
      </c>
      <c r="I8" s="43">
        <v>24.28</v>
      </c>
      <c r="J8" s="43">
        <v>0.03</v>
      </c>
      <c r="K8" s="43">
        <f t="shared" si="0"/>
        <v>2427.9699999999998</v>
      </c>
      <c r="L8" s="4"/>
      <c r="M8" s="4"/>
      <c r="O8" s="11" t="s">
        <v>179</v>
      </c>
      <c r="P8" s="33"/>
      <c r="Q8" s="2">
        <f>K24+M24-F24+Q2*Q4</f>
        <v>-2085.8899999999921</v>
      </c>
      <c r="T8" s="1">
        <v>43121</v>
      </c>
      <c r="U8" t="s">
        <v>876</v>
      </c>
      <c r="W8" s="134"/>
      <c r="Z8">
        <f t="shared" si="1"/>
        <v>62</v>
      </c>
      <c r="AA8" s="2">
        <f t="shared" si="2"/>
        <v>2400</v>
      </c>
      <c r="AB8">
        <f t="shared" si="3"/>
        <v>2882.8956586339368</v>
      </c>
      <c r="AC8">
        <f t="shared" si="4"/>
        <v>206</v>
      </c>
      <c r="AD8" s="2">
        <f t="shared" si="5"/>
        <v>2427.9699999999998</v>
      </c>
      <c r="AE8">
        <f t="shared" si="6"/>
        <v>4464.5684610362905</v>
      </c>
      <c r="AF8">
        <f t="shared" si="7"/>
        <v>-43098</v>
      </c>
      <c r="AG8" s="2">
        <f t="shared" si="8"/>
        <v>0</v>
      </c>
      <c r="AH8">
        <f t="shared" si="9"/>
        <v>0</v>
      </c>
      <c r="AI8" s="2">
        <f t="shared" ca="1" si="10"/>
        <v>465</v>
      </c>
      <c r="AJ8">
        <f t="shared" si="11"/>
        <v>6738</v>
      </c>
    </row>
    <row r="9" spans="1:41" x14ac:dyDescent="0.25">
      <c r="B9" s="368">
        <v>43160</v>
      </c>
      <c r="C9" s="7">
        <v>100</v>
      </c>
      <c r="D9" s="43">
        <v>22.58</v>
      </c>
      <c r="E9" s="43">
        <v>0</v>
      </c>
      <c r="F9" s="43">
        <f t="shared" si="12"/>
        <v>2258</v>
      </c>
      <c r="G9" s="368">
        <v>43311</v>
      </c>
      <c r="H9" s="80">
        <v>100</v>
      </c>
      <c r="I9" s="43">
        <v>24.28</v>
      </c>
      <c r="J9" s="43">
        <v>0.03</v>
      </c>
      <c r="K9" s="43">
        <f t="shared" si="0"/>
        <v>2427.9699999999998</v>
      </c>
      <c r="L9" s="4"/>
      <c r="M9" s="4"/>
      <c r="O9" s="11" t="s">
        <v>204</v>
      </c>
      <c r="Q9" s="134">
        <f>IF(Q2=0, 0, Q8/Q6)</f>
        <v>-0.23639120614604148</v>
      </c>
      <c r="W9" s="134"/>
      <c r="Z9">
        <f t="shared" si="1"/>
        <v>62</v>
      </c>
      <c r="AA9" s="2">
        <f t="shared" si="2"/>
        <v>2258</v>
      </c>
      <c r="AB9">
        <f t="shared" si="3"/>
        <v>2712.3243321647624</v>
      </c>
      <c r="AC9">
        <f t="shared" si="4"/>
        <v>213</v>
      </c>
      <c r="AD9" s="2">
        <f t="shared" si="5"/>
        <v>2427.9699999999998</v>
      </c>
      <c r="AE9">
        <f t="shared" si="6"/>
        <v>4557.9397505702782</v>
      </c>
      <c r="AF9">
        <f t="shared" si="7"/>
        <v>-43098</v>
      </c>
      <c r="AG9" s="2">
        <f t="shared" si="8"/>
        <v>0</v>
      </c>
      <c r="AH9">
        <f t="shared" si="9"/>
        <v>0</v>
      </c>
      <c r="AI9" s="2">
        <f t="shared" ca="1" si="10"/>
        <v>465</v>
      </c>
      <c r="AJ9">
        <f t="shared" si="11"/>
        <v>6738</v>
      </c>
    </row>
    <row r="10" spans="1:41" x14ac:dyDescent="0.25">
      <c r="B10" s="368">
        <v>43178</v>
      </c>
      <c r="C10" s="7">
        <v>100</v>
      </c>
      <c r="D10" s="43">
        <v>23.28</v>
      </c>
      <c r="E10" s="43">
        <v>0</v>
      </c>
      <c r="F10" s="43">
        <f t="shared" si="12"/>
        <v>2328</v>
      </c>
      <c r="G10" s="368">
        <v>43318</v>
      </c>
      <c r="H10" s="80">
        <v>100</v>
      </c>
      <c r="I10" s="43">
        <v>24.95</v>
      </c>
      <c r="J10" s="43">
        <v>0.03</v>
      </c>
      <c r="K10" s="43">
        <f t="shared" si="0"/>
        <v>2494.9699999999998</v>
      </c>
      <c r="O10" s="11" t="s">
        <v>203</v>
      </c>
      <c r="P10" s="33"/>
      <c r="Q10" s="2">
        <f>M88</f>
        <v>0</v>
      </c>
      <c r="T10" s="1">
        <v>43160</v>
      </c>
      <c r="U10" t="s">
        <v>948</v>
      </c>
      <c r="W10" s="134"/>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465</v>
      </c>
      <c r="AJ10">
        <f t="shared" si="11"/>
        <v>6738</v>
      </c>
    </row>
    <row r="11" spans="1:41" x14ac:dyDescent="0.25">
      <c r="B11" s="368">
        <v>43181</v>
      </c>
      <c r="C11" s="7">
        <v>97</v>
      </c>
      <c r="D11" s="43">
        <v>22.1</v>
      </c>
      <c r="E11" s="43">
        <v>0</v>
      </c>
      <c r="F11" s="43">
        <f t="shared" si="12"/>
        <v>2143.7000000000003</v>
      </c>
      <c r="G11" s="368">
        <v>43332</v>
      </c>
      <c r="H11" s="80">
        <v>100</v>
      </c>
      <c r="I11" s="43">
        <v>23.98</v>
      </c>
      <c r="J11" s="43">
        <v>0.03</v>
      </c>
      <c r="K11" s="43">
        <f t="shared" si="0"/>
        <v>2397.9699999999998</v>
      </c>
      <c r="O11" s="11" t="s">
        <v>175</v>
      </c>
      <c r="P11" s="33"/>
      <c r="Q11" s="134">
        <f>R11*4/Q4</f>
        <v>4.6304541406945683E-2</v>
      </c>
      <c r="R11">
        <f>0.26</f>
        <v>0.26</v>
      </c>
      <c r="W11" s="134"/>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465</v>
      </c>
      <c r="AJ11">
        <f t="shared" si="11"/>
        <v>6738</v>
      </c>
    </row>
    <row r="12" spans="1:41" x14ac:dyDescent="0.25">
      <c r="B12" s="368">
        <v>43182</v>
      </c>
      <c r="C12" s="7">
        <v>100</v>
      </c>
      <c r="D12" s="43">
        <v>22.1</v>
      </c>
      <c r="E12" s="43">
        <v>0</v>
      </c>
      <c r="F12" s="43">
        <f t="shared" si="12"/>
        <v>2210</v>
      </c>
      <c r="G12" s="368">
        <v>43339</v>
      </c>
      <c r="H12" s="80">
        <v>100</v>
      </c>
      <c r="I12" s="43">
        <v>23.84</v>
      </c>
      <c r="J12" s="43">
        <v>0.03</v>
      </c>
      <c r="K12" s="43">
        <f t="shared" si="0"/>
        <v>2383.9699999999998</v>
      </c>
      <c r="O12" s="11" t="s">
        <v>921</v>
      </c>
      <c r="Q12" s="19" t="s">
        <v>1382</v>
      </c>
      <c r="T12" s="1">
        <v>43223</v>
      </c>
      <c r="U12" t="s">
        <v>1031</v>
      </c>
      <c r="W12" s="134"/>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465</v>
      </c>
      <c r="AJ12">
        <f t="shared" si="11"/>
        <v>6738</v>
      </c>
    </row>
    <row r="13" spans="1:41" x14ac:dyDescent="0.25">
      <c r="B13" s="368">
        <v>43220</v>
      </c>
      <c r="C13" s="7">
        <v>100</v>
      </c>
      <c r="D13" s="43">
        <v>23.27</v>
      </c>
      <c r="E13" s="43">
        <v>0</v>
      </c>
      <c r="F13" s="43">
        <f t="shared" si="12"/>
        <v>2327</v>
      </c>
      <c r="G13" s="368">
        <v>43348</v>
      </c>
      <c r="H13" s="80">
        <v>100</v>
      </c>
      <c r="I13" s="43">
        <v>24.28</v>
      </c>
      <c r="J13" s="43">
        <v>0.03</v>
      </c>
      <c r="K13" s="43">
        <f t="shared" si="0"/>
        <v>2427.9699999999998</v>
      </c>
      <c r="O13" s="11" t="s">
        <v>947</v>
      </c>
      <c r="Q13" s="2">
        <f>Q4/(1.65+1.75)*2</f>
        <v>13.211764705882354</v>
      </c>
      <c r="U13" t="s">
        <v>1032</v>
      </c>
      <c r="W13" s="134"/>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465</v>
      </c>
      <c r="AJ13">
        <f t="shared" si="11"/>
        <v>6738</v>
      </c>
    </row>
    <row r="14" spans="1:41" x14ac:dyDescent="0.25">
      <c r="B14" s="368">
        <v>43228</v>
      </c>
      <c r="C14" s="7">
        <v>100</v>
      </c>
      <c r="D14" s="43">
        <v>22.08</v>
      </c>
      <c r="E14" s="43">
        <v>0</v>
      </c>
      <c r="F14" s="43">
        <f t="shared" si="12"/>
        <v>2208</v>
      </c>
      <c r="G14" s="368">
        <v>43431</v>
      </c>
      <c r="H14" s="80">
        <v>100</v>
      </c>
      <c r="I14" s="43">
        <v>26.28</v>
      </c>
      <c r="J14" s="43">
        <v>0.03</v>
      </c>
      <c r="K14" s="43">
        <f t="shared" si="0"/>
        <v>2627.97</v>
      </c>
      <c r="O14" s="11" t="s">
        <v>1034</v>
      </c>
      <c r="Q14" s="29">
        <v>43324</v>
      </c>
      <c r="U14" t="s">
        <v>1033</v>
      </c>
      <c r="W14" s="134"/>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465</v>
      </c>
      <c r="AJ14">
        <f t="shared" si="11"/>
        <v>6738</v>
      </c>
    </row>
    <row r="15" spans="1:41" x14ac:dyDescent="0.25">
      <c r="B15" s="368">
        <v>43276</v>
      </c>
      <c r="C15" s="7">
        <v>100</v>
      </c>
      <c r="D15" s="43">
        <v>23.58</v>
      </c>
      <c r="E15" s="43">
        <v>0</v>
      </c>
      <c r="F15" s="43">
        <f t="shared" si="12"/>
        <v>2358</v>
      </c>
      <c r="H15" s="70"/>
      <c r="W15" s="134"/>
      <c r="Z15">
        <f t="shared" si="1"/>
        <v>178</v>
      </c>
      <c r="AA15" s="2">
        <f t="shared" si="2"/>
        <v>2358</v>
      </c>
      <c r="AB15">
        <f t="shared" si="3"/>
        <v>3991.3847963141998</v>
      </c>
      <c r="AC15">
        <f t="shared" si="4"/>
        <v>-43098</v>
      </c>
      <c r="AD15" s="2">
        <f t="shared" si="5"/>
        <v>0</v>
      </c>
      <c r="AE15">
        <f t="shared" si="6"/>
        <v>0</v>
      </c>
      <c r="AF15">
        <f t="shared" si="7"/>
        <v>-43098</v>
      </c>
      <c r="AG15" s="2">
        <f t="shared" si="8"/>
        <v>0</v>
      </c>
      <c r="AH15">
        <f t="shared" si="9"/>
        <v>0</v>
      </c>
      <c r="AI15" s="2">
        <f t="shared" ca="1" si="10"/>
        <v>465</v>
      </c>
      <c r="AJ15">
        <f t="shared" si="11"/>
        <v>6738</v>
      </c>
    </row>
    <row r="16" spans="1:41" x14ac:dyDescent="0.25">
      <c r="B16" s="368">
        <v>43306</v>
      </c>
      <c r="C16" s="7">
        <v>100</v>
      </c>
      <c r="D16" s="43">
        <v>23.72</v>
      </c>
      <c r="E16" s="43">
        <v>0</v>
      </c>
      <c r="F16" s="43">
        <f t="shared" si="12"/>
        <v>2372</v>
      </c>
      <c r="H16" s="70"/>
      <c r="T16" s="1">
        <v>43228</v>
      </c>
      <c r="U16" t="s">
        <v>1045</v>
      </c>
      <c r="W16" s="134"/>
      <c r="Z16">
        <f>B22-$B$2</f>
        <v>-43098</v>
      </c>
      <c r="AA16" s="2">
        <f>F22</f>
        <v>0</v>
      </c>
      <c r="AB16">
        <f t="shared" si="3"/>
        <v>0</v>
      </c>
      <c r="AC16">
        <f>G22-$B$2</f>
        <v>-43098</v>
      </c>
      <c r="AD16" s="2">
        <f>K22</f>
        <v>0</v>
      </c>
      <c r="AE16">
        <f t="shared" si="6"/>
        <v>0</v>
      </c>
      <c r="AF16">
        <f>L22-$B$2</f>
        <v>-43098</v>
      </c>
      <c r="AG16" s="2">
        <f>M22</f>
        <v>0</v>
      </c>
      <c r="AH16">
        <f t="shared" si="9"/>
        <v>0</v>
      </c>
      <c r="AI16" s="2">
        <f t="shared" ca="1" si="10"/>
        <v>465</v>
      </c>
      <c r="AJ16">
        <f t="shared" si="11"/>
        <v>6738</v>
      </c>
    </row>
    <row r="17" spans="1:39" x14ac:dyDescent="0.25">
      <c r="B17" s="368">
        <v>43307</v>
      </c>
      <c r="C17" s="7">
        <v>100</v>
      </c>
      <c r="D17" s="43">
        <v>23.28</v>
      </c>
      <c r="E17" s="43">
        <v>0</v>
      </c>
      <c r="F17" s="43">
        <f t="shared" si="12"/>
        <v>2328</v>
      </c>
      <c r="W17" s="134"/>
      <c r="Z17">
        <f>B23-$B$2</f>
        <v>-43098</v>
      </c>
      <c r="AA17" s="2">
        <f>F23</f>
        <v>0</v>
      </c>
      <c r="AB17">
        <f t="shared" si="3"/>
        <v>0</v>
      </c>
      <c r="AC17">
        <f>G23-$B$2</f>
        <v>-43098</v>
      </c>
      <c r="AD17" s="2">
        <f>K23</f>
        <v>0</v>
      </c>
      <c r="AE17">
        <f t="shared" si="6"/>
        <v>0</v>
      </c>
      <c r="AF17">
        <f>L23-$B$2</f>
        <v>-43098</v>
      </c>
      <c r="AG17" s="2">
        <f>M23</f>
        <v>0</v>
      </c>
      <c r="AH17">
        <f t="shared" si="9"/>
        <v>0</v>
      </c>
      <c r="AI17" s="2">
        <f t="shared" ca="1" si="10"/>
        <v>465</v>
      </c>
      <c r="AJ17">
        <f t="shared" si="11"/>
        <v>6738</v>
      </c>
      <c r="AM17" s="2"/>
    </row>
    <row r="18" spans="1:39" ht="20.25" thickBot="1" x14ac:dyDescent="0.35">
      <c r="B18" s="368">
        <v>43319</v>
      </c>
      <c r="C18" s="7">
        <v>100</v>
      </c>
      <c r="D18" s="43">
        <v>22.68</v>
      </c>
      <c r="E18" s="43">
        <v>0</v>
      </c>
      <c r="F18" s="43">
        <f t="shared" si="12"/>
        <v>2268</v>
      </c>
      <c r="H18" s="70"/>
      <c r="O18" s="884" t="s">
        <v>78</v>
      </c>
      <c r="P18" s="884"/>
      <c r="T18" s="1">
        <v>43236</v>
      </c>
      <c r="U18" t="s">
        <v>1058</v>
      </c>
      <c r="W18" s="134"/>
    </row>
    <row r="19" spans="1:39" ht="15.75" thickTop="1" x14ac:dyDescent="0.25">
      <c r="B19" s="72">
        <v>43336</v>
      </c>
      <c r="C19" s="7">
        <v>200</v>
      </c>
      <c r="D19" s="43">
        <v>23.15</v>
      </c>
      <c r="E19" s="43">
        <v>0</v>
      </c>
      <c r="F19" s="43">
        <f t="shared" si="12"/>
        <v>4630</v>
      </c>
      <c r="O19" s="81">
        <v>1.1000000000000001</v>
      </c>
      <c r="P19" s="81">
        <f>O19*$Q$4</f>
        <v>24.706000000000003</v>
      </c>
      <c r="W19" s="134"/>
    </row>
    <row r="20" spans="1:39" x14ac:dyDescent="0.25">
      <c r="B20" s="72">
        <v>43440</v>
      </c>
      <c r="C20" s="4">
        <v>100</v>
      </c>
      <c r="D20" s="3">
        <v>23.38</v>
      </c>
      <c r="E20" s="3">
        <v>0</v>
      </c>
      <c r="F20" s="3">
        <f t="shared" si="12"/>
        <v>2338</v>
      </c>
      <c r="G20" s="4"/>
      <c r="H20" s="70"/>
      <c r="O20" s="81">
        <v>1.0900000000000001</v>
      </c>
      <c r="P20" s="81">
        <f t="shared" ref="P20:P39" si="13">O20*$Q$4</f>
        <v>24.481400000000004</v>
      </c>
      <c r="T20" s="1">
        <v>43244</v>
      </c>
      <c r="U20" t="s">
        <v>1072</v>
      </c>
      <c r="W20" s="134"/>
    </row>
    <row r="21" spans="1:39" x14ac:dyDescent="0.25">
      <c r="B21" s="72"/>
      <c r="C21" s="4"/>
      <c r="D21" s="3"/>
      <c r="E21" s="3"/>
      <c r="F21" s="3"/>
      <c r="O21" s="81">
        <v>1.08</v>
      </c>
      <c r="P21" s="81">
        <f t="shared" si="13"/>
        <v>24.256800000000002</v>
      </c>
      <c r="W21" s="134"/>
    </row>
    <row r="22" spans="1:39" x14ac:dyDescent="0.25">
      <c r="C22" s="4"/>
      <c r="D22" s="3"/>
      <c r="E22" s="3"/>
      <c r="F22" s="3"/>
      <c r="H22" s="70"/>
      <c r="O22" s="81">
        <v>1.07</v>
      </c>
      <c r="P22" s="81">
        <f t="shared" si="13"/>
        <v>24.032200000000003</v>
      </c>
      <c r="T22" s="693">
        <v>43288</v>
      </c>
      <c r="U22" t="s">
        <v>1153</v>
      </c>
      <c r="W22" s="134"/>
    </row>
    <row r="23" spans="1:39" x14ac:dyDescent="0.25">
      <c r="O23" s="81">
        <v>1.06</v>
      </c>
      <c r="P23" s="81">
        <f t="shared" si="13"/>
        <v>23.807600000000001</v>
      </c>
      <c r="T23" s="708"/>
      <c r="W23" s="134"/>
    </row>
    <row r="24" spans="1:39" x14ac:dyDescent="0.25">
      <c r="A24" s="31" t="s">
        <v>81</v>
      </c>
      <c r="B24" s="14"/>
      <c r="C24" s="14">
        <f>SUM(C2:C22)</f>
        <v>1797</v>
      </c>
      <c r="D24" s="18"/>
      <c r="E24" s="18"/>
      <c r="F24" s="18">
        <f>SUM(F2:F22)</f>
        <v>45811.7</v>
      </c>
      <c r="G24" s="14"/>
      <c r="H24" s="71">
        <f>SUM(H2:H15)</f>
        <v>1497</v>
      </c>
      <c r="I24" s="18"/>
      <c r="J24" s="18"/>
      <c r="K24" s="18">
        <f>SUM(K2:K15)</f>
        <v>36571.810000000005</v>
      </c>
      <c r="L24" s="14"/>
      <c r="M24" s="18">
        <f>SUM(M2:M10)</f>
        <v>416</v>
      </c>
      <c r="O24" s="81">
        <v>1.05</v>
      </c>
      <c r="P24" s="81">
        <f t="shared" si="13"/>
        <v>23.583000000000002</v>
      </c>
      <c r="T24" s="708"/>
      <c r="W24" s="134"/>
    </row>
    <row r="25" spans="1:39" ht="15.75" thickBot="1" x14ac:dyDescent="0.3">
      <c r="A25" s="277" t="s">
        <v>191</v>
      </c>
      <c r="B25" s="278"/>
      <c r="C25" s="279">
        <f>SumByColor($A$25,C2:C23)</f>
        <v>1397</v>
      </c>
      <c r="D25" s="279"/>
      <c r="E25" s="279"/>
      <c r="F25" s="280">
        <f>SumByColor($A$25,F2:F23)</f>
        <v>32659</v>
      </c>
      <c r="G25" s="279"/>
      <c r="H25" s="279">
        <f>SumByColor($A$25,H2:H23)</f>
        <v>1497</v>
      </c>
      <c r="I25" s="279"/>
      <c r="J25" s="279"/>
      <c r="K25" s="280">
        <f>SumByColor($A$25,K2:K23)</f>
        <v>36572</v>
      </c>
      <c r="L25" s="279"/>
      <c r="M25" s="280">
        <f>SumByColor($A$25,M2:M23)</f>
        <v>416</v>
      </c>
      <c r="O25" s="81">
        <v>1.04</v>
      </c>
      <c r="P25" s="81">
        <f t="shared" si="13"/>
        <v>23.358400000000003</v>
      </c>
      <c r="T25" s="693">
        <v>43318</v>
      </c>
      <c r="U25" t="s">
        <v>1158</v>
      </c>
      <c r="W25" s="134"/>
    </row>
    <row r="26" spans="1:39" x14ac:dyDescent="0.25">
      <c r="O26" s="81">
        <v>1.03</v>
      </c>
      <c r="P26" s="81">
        <f t="shared" si="13"/>
        <v>23.133800000000001</v>
      </c>
      <c r="T26" s="708"/>
      <c r="W26" s="134"/>
    </row>
    <row r="27" spans="1:39" x14ac:dyDescent="0.25">
      <c r="O27" s="81">
        <v>1.02</v>
      </c>
      <c r="P27" s="81">
        <f t="shared" si="13"/>
        <v>22.909200000000002</v>
      </c>
      <c r="T27" s="1">
        <v>43342</v>
      </c>
      <c r="U27" t="s">
        <v>1257</v>
      </c>
      <c r="W27" s="134"/>
    </row>
    <row r="28" spans="1:39" x14ac:dyDescent="0.25">
      <c r="O28" s="81">
        <v>1.01</v>
      </c>
      <c r="P28" s="81">
        <f t="shared" si="13"/>
        <v>22.6846</v>
      </c>
      <c r="U28" s="405" t="s">
        <v>1258</v>
      </c>
      <c r="W28" s="134"/>
    </row>
    <row r="29" spans="1:39" x14ac:dyDescent="0.25">
      <c r="O29" s="81">
        <v>1</v>
      </c>
      <c r="P29" s="81">
        <f t="shared" si="13"/>
        <v>22.46</v>
      </c>
      <c r="U29" t="s">
        <v>1259</v>
      </c>
      <c r="W29" s="134"/>
    </row>
    <row r="30" spans="1:39" x14ac:dyDescent="0.25">
      <c r="B30" s="162" t="s">
        <v>113</v>
      </c>
      <c r="C30" s="162" t="s">
        <v>145</v>
      </c>
      <c r="D30" s="163" t="s">
        <v>144</v>
      </c>
      <c r="E30" s="165" t="s">
        <v>146</v>
      </c>
      <c r="F30" s="165" t="s">
        <v>65</v>
      </c>
      <c r="G30" s="177" t="s">
        <v>150</v>
      </c>
      <c r="H30" s="177" t="s">
        <v>88</v>
      </c>
      <c r="I30" s="177" t="s">
        <v>153</v>
      </c>
      <c r="J30" s="177" t="s">
        <v>487</v>
      </c>
      <c r="K30" s="177"/>
      <c r="L30" s="177" t="s">
        <v>947</v>
      </c>
      <c r="O30" s="81">
        <v>0.99</v>
      </c>
      <c r="P30" s="81">
        <f t="shared" si="13"/>
        <v>22.235400000000002</v>
      </c>
      <c r="W30" s="134"/>
    </row>
    <row r="31" spans="1:39" x14ac:dyDescent="0.25">
      <c r="B31" s="164">
        <v>43098</v>
      </c>
      <c r="C31" s="10">
        <v>100</v>
      </c>
      <c r="D31" s="39">
        <v>36.25</v>
      </c>
      <c r="E31" s="39">
        <v>36.130000000000003</v>
      </c>
      <c r="F31" s="39">
        <f>C31*(E31-D31)</f>
        <v>-11.999999999999744</v>
      </c>
      <c r="G31" s="39">
        <f>D31*C31</f>
        <v>3625</v>
      </c>
      <c r="H31" s="179">
        <f>(E31-D31)/D31</f>
        <v>-3.3103448275861361E-3</v>
      </c>
      <c r="I31" s="39"/>
      <c r="J31" s="39"/>
      <c r="K31" s="39"/>
      <c r="L31" s="39"/>
      <c r="O31" s="81">
        <v>0.98</v>
      </c>
      <c r="P31" s="81">
        <f t="shared" si="13"/>
        <v>22.0108</v>
      </c>
      <c r="T31" s="1">
        <v>43432</v>
      </c>
      <c r="U31" t="s">
        <v>1320</v>
      </c>
      <c r="W31" s="134"/>
    </row>
    <row r="32" spans="1:39" x14ac:dyDescent="0.25">
      <c r="B32" s="164">
        <v>43105</v>
      </c>
      <c r="C32" s="10">
        <v>100</v>
      </c>
      <c r="D32" s="39">
        <v>36.25</v>
      </c>
      <c r="E32" s="39">
        <v>37.68</v>
      </c>
      <c r="F32" s="39">
        <f>C32*(E32-D32)</f>
        <v>142.99999999999997</v>
      </c>
      <c r="G32" s="39">
        <f>D32*C32</f>
        <v>3625</v>
      </c>
      <c r="H32" s="179">
        <f>(E32-D32)/D32</f>
        <v>3.9448275862068956E-2</v>
      </c>
      <c r="I32" s="39"/>
      <c r="J32" s="39"/>
      <c r="K32" s="39"/>
      <c r="L32" s="39"/>
      <c r="O32" s="81">
        <v>0.97</v>
      </c>
      <c r="P32" s="81">
        <f t="shared" si="13"/>
        <v>21.786200000000001</v>
      </c>
      <c r="U32" t="s">
        <v>1318</v>
      </c>
      <c r="W32" s="134"/>
    </row>
    <row r="33" spans="1:23" x14ac:dyDescent="0.25">
      <c r="B33" s="164">
        <v>43117</v>
      </c>
      <c r="C33" s="10">
        <v>100</v>
      </c>
      <c r="D33" s="39">
        <v>36.25</v>
      </c>
      <c r="E33" s="39">
        <v>36.85</v>
      </c>
      <c r="F33" s="39">
        <f>C33*(E33-D33)</f>
        <v>60.000000000000142</v>
      </c>
      <c r="G33" s="39">
        <f>D33*C33</f>
        <v>3625</v>
      </c>
      <c r="H33" s="179">
        <f>(E33-D33)/D33</f>
        <v>1.6551724137931073E-2</v>
      </c>
      <c r="I33" s="39"/>
      <c r="J33" s="39"/>
      <c r="K33" s="39"/>
      <c r="L33" s="155"/>
      <c r="O33" s="81">
        <v>0.96</v>
      </c>
      <c r="P33" s="81">
        <f t="shared" si="13"/>
        <v>21.561599999999999</v>
      </c>
      <c r="U33" t="s">
        <v>1319</v>
      </c>
      <c r="W33" s="134"/>
    </row>
    <row r="34" spans="1:23" x14ac:dyDescent="0.25">
      <c r="B34" s="164">
        <v>43129</v>
      </c>
      <c r="C34" s="10">
        <v>100</v>
      </c>
      <c r="D34" s="39">
        <v>35.99</v>
      </c>
      <c r="E34" s="39">
        <v>37.76</v>
      </c>
      <c r="F34" s="39">
        <f t="shared" ref="F34:F41" si="14">C34*(E34-D34)</f>
        <v>176.9999999999996</v>
      </c>
      <c r="G34" s="39">
        <f t="shared" ref="G34:G41" si="15">D34*C34</f>
        <v>3599</v>
      </c>
      <c r="H34" s="179">
        <f t="shared" ref="H34:H41" si="16">(E34-D34)/D34</f>
        <v>4.9180327868852347E-2</v>
      </c>
      <c r="I34" s="39"/>
      <c r="J34" s="39"/>
      <c r="K34" s="39"/>
      <c r="L34" s="155"/>
      <c r="O34" s="81">
        <v>0.95</v>
      </c>
      <c r="P34" s="81">
        <f t="shared" si="13"/>
        <v>21.337</v>
      </c>
      <c r="W34" s="134"/>
    </row>
    <row r="35" spans="1:23" x14ac:dyDescent="0.25">
      <c r="B35" s="164">
        <v>43130</v>
      </c>
      <c r="C35" s="185">
        <v>200</v>
      </c>
      <c r="D35" s="186">
        <v>36.335000000000001</v>
      </c>
      <c r="E35" s="39">
        <v>36.74</v>
      </c>
      <c r="F35" s="39">
        <f t="shared" si="14"/>
        <v>81.000000000000227</v>
      </c>
      <c r="G35" s="39">
        <f t="shared" si="15"/>
        <v>7267</v>
      </c>
      <c r="H35" s="179">
        <f t="shared" si="16"/>
        <v>1.1146277693683806E-2</v>
      </c>
      <c r="I35" s="39"/>
      <c r="J35" s="39"/>
      <c r="K35" s="39"/>
      <c r="L35" s="155"/>
      <c r="O35" s="81">
        <v>0.94</v>
      </c>
      <c r="P35" s="81">
        <f t="shared" si="13"/>
        <v>21.112400000000001</v>
      </c>
      <c r="T35" s="1">
        <v>43440</v>
      </c>
      <c r="U35" t="s">
        <v>82</v>
      </c>
      <c r="W35" s="134"/>
    </row>
    <row r="36" spans="1:23" x14ac:dyDescent="0.25">
      <c r="A36">
        <v>100</v>
      </c>
      <c r="B36" s="164">
        <v>43132</v>
      </c>
      <c r="C36" s="10">
        <v>300</v>
      </c>
      <c r="D36" s="39">
        <v>35.963299999999997</v>
      </c>
      <c r="E36" s="39">
        <v>35.659999999999997</v>
      </c>
      <c r="F36" s="39">
        <f t="shared" si="14"/>
        <v>-90.990000000000038</v>
      </c>
      <c r="G36" s="39">
        <f t="shared" si="15"/>
        <v>10788.99</v>
      </c>
      <c r="H36" s="179">
        <f t="shared" si="16"/>
        <v>-8.4335975842039015E-3</v>
      </c>
      <c r="I36" s="39"/>
      <c r="J36" s="39"/>
      <c r="K36" s="39"/>
      <c r="L36" s="155"/>
      <c r="O36" s="81">
        <v>0.93</v>
      </c>
      <c r="P36" s="81">
        <f t="shared" si="13"/>
        <v>20.887800000000002</v>
      </c>
      <c r="W36" s="134"/>
    </row>
    <row r="37" spans="1:23" x14ac:dyDescent="0.25">
      <c r="B37" s="164">
        <v>43137</v>
      </c>
      <c r="C37" s="7">
        <v>300</v>
      </c>
      <c r="D37" s="43">
        <v>35.963299999999997</v>
      </c>
      <c r="E37" s="39">
        <v>34.33</v>
      </c>
      <c r="F37" s="39">
        <f t="shared" si="14"/>
        <v>-489.98999999999955</v>
      </c>
      <c r="G37" s="39">
        <f t="shared" si="15"/>
        <v>10788.99</v>
      </c>
      <c r="H37" s="179">
        <f t="shared" si="16"/>
        <v>-4.5415743271612963E-2</v>
      </c>
      <c r="I37" s="39"/>
      <c r="J37" s="39"/>
      <c r="K37" s="39"/>
      <c r="L37" s="155"/>
      <c r="O37" s="81">
        <v>0.92</v>
      </c>
      <c r="P37" s="81">
        <f t="shared" si="13"/>
        <v>20.663200000000003</v>
      </c>
      <c r="W37" s="134"/>
    </row>
    <row r="38" spans="1:23" x14ac:dyDescent="0.25">
      <c r="B38" s="164">
        <v>43160</v>
      </c>
      <c r="C38" s="10">
        <v>400</v>
      </c>
      <c r="D38" s="39">
        <v>34.04</v>
      </c>
      <c r="E38" s="39">
        <v>24.1</v>
      </c>
      <c r="F38" s="39">
        <f t="shared" si="14"/>
        <v>-3975.9999999999991</v>
      </c>
      <c r="G38" s="39">
        <f t="shared" si="15"/>
        <v>13616</v>
      </c>
      <c r="H38" s="179">
        <f t="shared" si="16"/>
        <v>-0.29200940070505282</v>
      </c>
      <c r="I38" s="39"/>
      <c r="J38" s="39"/>
      <c r="K38" s="39"/>
      <c r="L38" s="155"/>
      <c r="O38" s="81">
        <v>0.91</v>
      </c>
      <c r="P38" s="81">
        <f t="shared" si="13"/>
        <v>20.438600000000001</v>
      </c>
      <c r="W38" s="134"/>
    </row>
    <row r="39" spans="1:23" x14ac:dyDescent="0.25">
      <c r="A39" s="29"/>
      <c r="B39" s="164">
        <v>43160</v>
      </c>
      <c r="C39" s="10">
        <v>500</v>
      </c>
      <c r="D39" s="39">
        <v>32.03</v>
      </c>
      <c r="E39" s="39">
        <v>24.1</v>
      </c>
      <c r="F39" s="39">
        <f t="shared" si="14"/>
        <v>-3965</v>
      </c>
      <c r="G39" s="39">
        <f t="shared" si="15"/>
        <v>16015</v>
      </c>
      <c r="H39" s="179">
        <f t="shared" si="16"/>
        <v>-0.2475803933812051</v>
      </c>
      <c r="I39" s="39"/>
      <c r="J39" s="39"/>
      <c r="K39" s="39"/>
      <c r="L39" s="155"/>
      <c r="O39" s="81">
        <v>0.9</v>
      </c>
      <c r="P39" s="81">
        <f t="shared" si="13"/>
        <v>20.214000000000002</v>
      </c>
      <c r="T39" s="134"/>
    </row>
    <row r="40" spans="1:23" x14ac:dyDescent="0.25">
      <c r="B40" s="164">
        <v>43160</v>
      </c>
      <c r="C40" s="355">
        <v>600</v>
      </c>
      <c r="D40" s="754">
        <v>30.46</v>
      </c>
      <c r="E40" s="39">
        <v>24.1</v>
      </c>
      <c r="F40" s="39">
        <f t="shared" si="14"/>
        <v>-3815.9999999999995</v>
      </c>
      <c r="G40" s="39">
        <f t="shared" si="15"/>
        <v>18276</v>
      </c>
      <c r="H40" s="179">
        <f t="shared" si="16"/>
        <v>-0.20879842416283648</v>
      </c>
      <c r="I40" s="39"/>
      <c r="J40" s="39"/>
      <c r="K40" s="707" t="s">
        <v>918</v>
      </c>
      <c r="L40" s="155"/>
      <c r="T40" s="134"/>
    </row>
    <row r="41" spans="1:23" x14ac:dyDescent="0.25">
      <c r="B41" s="164">
        <v>43161</v>
      </c>
      <c r="C41" s="359">
        <v>400</v>
      </c>
      <c r="D41" s="360">
        <v>33.212800000000001</v>
      </c>
      <c r="E41" s="39">
        <v>24.95</v>
      </c>
      <c r="F41" s="39">
        <f t="shared" si="14"/>
        <v>-3305.1200000000008</v>
      </c>
      <c r="G41" s="39">
        <f t="shared" si="15"/>
        <v>13285.12</v>
      </c>
      <c r="H41" s="179">
        <f t="shared" si="16"/>
        <v>-0.24878360150303502</v>
      </c>
      <c r="I41" s="39"/>
      <c r="J41" s="39"/>
      <c r="K41" s="39"/>
      <c r="L41" s="155"/>
      <c r="Q41" s="2"/>
      <c r="T41" s="134"/>
    </row>
    <row r="42" spans="1:23" x14ac:dyDescent="0.25">
      <c r="A42">
        <v>100</v>
      </c>
      <c r="B42" s="164">
        <v>43177</v>
      </c>
      <c r="C42" s="10">
        <v>400</v>
      </c>
      <c r="D42" s="39">
        <v>33.212800000000001</v>
      </c>
      <c r="E42" s="39">
        <v>23.91</v>
      </c>
      <c r="F42" s="39">
        <f t="shared" ref="F42:F54" si="17">C42*(E42-D42)</f>
        <v>-3721.1200000000003</v>
      </c>
      <c r="G42" s="39">
        <f t="shared" ref="G42:G69" si="18">D42*C42</f>
        <v>13285.12</v>
      </c>
      <c r="H42" s="179">
        <f t="shared" ref="H42:H69" si="19">(E42-D42)/D42</f>
        <v>-0.28009683013777825</v>
      </c>
      <c r="I42" s="39"/>
      <c r="J42" s="39"/>
      <c r="K42" s="39"/>
      <c r="L42" s="39"/>
      <c r="Q42" s="2"/>
      <c r="T42" s="134"/>
    </row>
    <row r="43" spans="1:23" x14ac:dyDescent="0.25">
      <c r="A43">
        <v>100</v>
      </c>
      <c r="B43" s="164">
        <v>43178</v>
      </c>
      <c r="C43" s="10">
        <v>500</v>
      </c>
      <c r="D43" s="39">
        <v>31.225999999999999</v>
      </c>
      <c r="E43" s="39">
        <v>23.17</v>
      </c>
      <c r="F43" s="39">
        <f t="shared" si="17"/>
        <v>-4027.9999999999986</v>
      </c>
      <c r="G43" s="39">
        <f t="shared" si="18"/>
        <v>15613</v>
      </c>
      <c r="H43" s="179">
        <f t="shared" si="19"/>
        <v>-0.25799013642477414</v>
      </c>
      <c r="I43" s="39"/>
      <c r="J43" s="39"/>
      <c r="K43" s="39"/>
      <c r="L43" s="39"/>
      <c r="Q43" s="2"/>
      <c r="T43" s="134"/>
    </row>
    <row r="44" spans="1:23" x14ac:dyDescent="0.25">
      <c r="A44">
        <v>100</v>
      </c>
      <c r="B44" s="164">
        <v>43181</v>
      </c>
      <c r="C44" s="10">
        <v>597</v>
      </c>
      <c r="D44" s="39">
        <v>29.743400000000001</v>
      </c>
      <c r="E44" s="39">
        <v>22.1</v>
      </c>
      <c r="F44" s="39">
        <f t="shared" si="17"/>
        <v>-4563.1098000000002</v>
      </c>
      <c r="G44" s="39">
        <f t="shared" si="18"/>
        <v>17756.809799999999</v>
      </c>
      <c r="H44" s="179">
        <f t="shared" si="19"/>
        <v>-0.25697801865287762</v>
      </c>
      <c r="I44" s="39"/>
      <c r="J44" s="39"/>
      <c r="K44" s="39"/>
      <c r="L44" s="39"/>
      <c r="Q44" s="2"/>
      <c r="T44" s="134"/>
    </row>
    <row r="45" spans="1:23" x14ac:dyDescent="0.25">
      <c r="A45">
        <v>3</v>
      </c>
      <c r="B45" s="164">
        <v>43182</v>
      </c>
      <c r="C45" s="355">
        <v>600</v>
      </c>
      <c r="D45" s="754">
        <v>29.607500000000002</v>
      </c>
      <c r="E45" s="39">
        <v>21.86</v>
      </c>
      <c r="F45" s="39">
        <f t="shared" si="17"/>
        <v>-4648.5000000000018</v>
      </c>
      <c r="G45" s="39">
        <f t="shared" si="18"/>
        <v>17764.5</v>
      </c>
      <c r="H45" s="179">
        <f t="shared" si="19"/>
        <v>-0.26167356244194889</v>
      </c>
      <c r="I45" s="39">
        <v>29</v>
      </c>
      <c r="J45" s="39"/>
      <c r="K45" s="39"/>
      <c r="L45" s="39"/>
      <c r="Q45" s="2"/>
      <c r="T45" s="134"/>
    </row>
    <row r="46" spans="1:23" x14ac:dyDescent="0.25">
      <c r="A46">
        <v>203</v>
      </c>
      <c r="B46" s="164">
        <v>43196</v>
      </c>
      <c r="C46" s="10">
        <v>500</v>
      </c>
      <c r="D46" s="39">
        <v>30.933</v>
      </c>
      <c r="E46" s="39">
        <v>22.85</v>
      </c>
      <c r="F46" s="39">
        <f t="shared" si="17"/>
        <v>-4041.4999999999991</v>
      </c>
      <c r="G46" s="39">
        <f t="shared" si="18"/>
        <v>15466.5</v>
      </c>
      <c r="H46" s="179">
        <f t="shared" si="19"/>
        <v>-0.26130669511524901</v>
      </c>
      <c r="I46" s="39">
        <v>30</v>
      </c>
      <c r="J46" s="39">
        <v>38</v>
      </c>
      <c r="K46" s="39"/>
      <c r="L46" s="39">
        <v>13.44</v>
      </c>
      <c r="Q46" s="2"/>
      <c r="T46" s="134"/>
    </row>
    <row r="47" spans="1:23" x14ac:dyDescent="0.25">
      <c r="A47">
        <v>500</v>
      </c>
      <c r="B47" s="164">
        <v>43212</v>
      </c>
      <c r="C47" s="10">
        <v>500</v>
      </c>
      <c r="D47" s="39">
        <v>30.933</v>
      </c>
      <c r="E47" s="39">
        <v>22.33</v>
      </c>
      <c r="F47" s="39">
        <f t="shared" si="17"/>
        <v>-4301.5000000000009</v>
      </c>
      <c r="G47" s="39">
        <f t="shared" si="18"/>
        <v>15466.5</v>
      </c>
      <c r="H47" s="179">
        <f t="shared" si="19"/>
        <v>-0.27811722109074455</v>
      </c>
      <c r="I47" s="39">
        <v>30</v>
      </c>
      <c r="J47" s="39">
        <v>38.146000000000001</v>
      </c>
      <c r="K47" s="39"/>
      <c r="L47" s="39">
        <v>13.13</v>
      </c>
      <c r="Q47" s="2"/>
      <c r="T47" s="134"/>
    </row>
    <row r="48" spans="1:23" x14ac:dyDescent="0.25">
      <c r="A48">
        <v>500</v>
      </c>
      <c r="B48" s="164">
        <v>43216</v>
      </c>
      <c r="C48" s="10">
        <v>500</v>
      </c>
      <c r="D48" s="39">
        <v>30.9331</v>
      </c>
      <c r="E48" s="39">
        <v>23.38</v>
      </c>
      <c r="F48" s="39">
        <f t="shared" si="17"/>
        <v>-3776.55</v>
      </c>
      <c r="G48" s="39">
        <f t="shared" si="18"/>
        <v>15466.55</v>
      </c>
      <c r="H48" s="179">
        <f t="shared" si="19"/>
        <v>-0.24417533321910836</v>
      </c>
      <c r="I48" s="39"/>
      <c r="J48" s="39"/>
      <c r="K48" s="39"/>
      <c r="L48" s="39">
        <v>13.75</v>
      </c>
      <c r="Q48" s="2"/>
      <c r="T48" s="134"/>
    </row>
    <row r="49" spans="1:23" x14ac:dyDescent="0.25">
      <c r="A49">
        <v>400</v>
      </c>
      <c r="B49" s="164">
        <v>43217</v>
      </c>
      <c r="C49" s="359">
        <v>400</v>
      </c>
      <c r="D49" s="360">
        <v>32.694000000000003</v>
      </c>
      <c r="E49" s="39">
        <v>23.76</v>
      </c>
      <c r="F49" s="39">
        <f t="shared" si="17"/>
        <v>-3573.6000000000004</v>
      </c>
      <c r="G49" s="39">
        <f t="shared" si="18"/>
        <v>13077.6</v>
      </c>
      <c r="H49" s="179">
        <f t="shared" si="19"/>
        <v>-0.27326114883464858</v>
      </c>
      <c r="I49" s="39">
        <v>32.25</v>
      </c>
      <c r="J49" s="39"/>
      <c r="K49" s="39"/>
      <c r="L49" s="39">
        <v>13.98</v>
      </c>
      <c r="Q49" s="2"/>
      <c r="T49" s="134"/>
    </row>
    <row r="50" spans="1:23" x14ac:dyDescent="0.25">
      <c r="A50">
        <v>400</v>
      </c>
      <c r="B50" s="164">
        <v>43218</v>
      </c>
      <c r="C50" s="359">
        <v>400</v>
      </c>
      <c r="D50" s="360">
        <v>32.369</v>
      </c>
      <c r="E50" s="39">
        <v>23.76</v>
      </c>
      <c r="F50" s="39">
        <f t="shared" si="17"/>
        <v>-3443.5999999999995</v>
      </c>
      <c r="G50" s="39">
        <f t="shared" si="18"/>
        <v>12947.6</v>
      </c>
      <c r="H50" s="179">
        <f t="shared" si="19"/>
        <v>-0.26596434860514684</v>
      </c>
      <c r="I50" s="39"/>
      <c r="J50" s="39"/>
      <c r="K50" s="39" t="s">
        <v>184</v>
      </c>
      <c r="L50" s="39"/>
      <c r="Q50" s="2"/>
      <c r="T50" s="134"/>
    </row>
    <row r="51" spans="1:23" x14ac:dyDescent="0.25">
      <c r="A51">
        <v>400</v>
      </c>
      <c r="B51" s="164">
        <v>43220</v>
      </c>
      <c r="C51" s="10">
        <v>500</v>
      </c>
      <c r="D51" s="39">
        <v>30.55</v>
      </c>
      <c r="E51" s="39">
        <v>23.28</v>
      </c>
      <c r="F51" s="39">
        <f t="shared" si="17"/>
        <v>-3635</v>
      </c>
      <c r="G51" s="39">
        <f t="shared" si="18"/>
        <v>15275</v>
      </c>
      <c r="H51" s="179">
        <f t="shared" si="19"/>
        <v>-0.23797054009819965</v>
      </c>
      <c r="I51" s="39"/>
      <c r="J51" s="39"/>
      <c r="K51" s="39"/>
      <c r="L51" s="39"/>
      <c r="Q51" s="2"/>
      <c r="T51" s="134"/>
    </row>
    <row r="52" spans="1:23" x14ac:dyDescent="0.25">
      <c r="A52">
        <v>400</v>
      </c>
      <c r="B52" s="164">
        <v>43228</v>
      </c>
      <c r="C52" s="10">
        <v>600</v>
      </c>
      <c r="D52" s="39">
        <v>29.137699999999999</v>
      </c>
      <c r="E52" s="39">
        <v>22.09</v>
      </c>
      <c r="F52" s="39">
        <f t="shared" si="17"/>
        <v>-4228.619999999999</v>
      </c>
      <c r="G52" s="39">
        <f t="shared" si="18"/>
        <v>17482.62</v>
      </c>
      <c r="H52" s="179">
        <f t="shared" si="19"/>
        <v>-0.24187564564121394</v>
      </c>
      <c r="I52" s="39"/>
      <c r="J52" s="39"/>
      <c r="K52" s="39"/>
      <c r="L52" s="39"/>
      <c r="Q52" s="2"/>
      <c r="T52" s="134"/>
    </row>
    <row r="53" spans="1:23" x14ac:dyDescent="0.25">
      <c r="A53">
        <v>400</v>
      </c>
      <c r="B53" s="164">
        <v>43241</v>
      </c>
      <c r="C53" s="355">
        <v>600</v>
      </c>
      <c r="D53" s="754">
        <v>29.14</v>
      </c>
      <c r="E53" s="39">
        <v>22.1</v>
      </c>
      <c r="F53" s="39">
        <f t="shared" si="17"/>
        <v>-4223.9999999999991</v>
      </c>
      <c r="G53" s="39">
        <f t="shared" si="18"/>
        <v>17484</v>
      </c>
      <c r="H53" s="179">
        <f t="shared" si="19"/>
        <v>-0.24159231297185996</v>
      </c>
      <c r="I53" s="39">
        <v>28.5</v>
      </c>
      <c r="J53" s="39"/>
      <c r="K53" s="39"/>
      <c r="L53" s="39">
        <v>13</v>
      </c>
      <c r="Q53" s="2"/>
      <c r="T53" s="134"/>
    </row>
    <row r="54" spans="1:23" x14ac:dyDescent="0.25">
      <c r="A54">
        <v>400</v>
      </c>
      <c r="B54" s="164">
        <v>43250</v>
      </c>
      <c r="C54" s="10">
        <v>600</v>
      </c>
      <c r="D54" s="39">
        <v>29.14</v>
      </c>
      <c r="E54" s="39">
        <v>21.44</v>
      </c>
      <c r="F54" s="39">
        <f t="shared" si="17"/>
        <v>-4620</v>
      </c>
      <c r="G54" s="39">
        <f t="shared" si="18"/>
        <v>17484</v>
      </c>
      <c r="H54" s="179">
        <f t="shared" si="19"/>
        <v>-0.26424159231297184</v>
      </c>
      <c r="I54" s="39"/>
      <c r="J54" s="39"/>
      <c r="K54" s="39"/>
      <c r="L54" s="39">
        <v>12.61</v>
      </c>
      <c r="T54" s="134"/>
    </row>
    <row r="55" spans="1:23" x14ac:dyDescent="0.25">
      <c r="B55" s="164">
        <v>43263</v>
      </c>
      <c r="C55" s="10">
        <v>600</v>
      </c>
      <c r="D55" s="39">
        <v>29.14</v>
      </c>
      <c r="E55" s="39">
        <v>22.46</v>
      </c>
      <c r="F55" s="39">
        <f t="shared" ref="F55:F69" si="20">C55*(E55-D55)</f>
        <v>-4008</v>
      </c>
      <c r="G55" s="39">
        <f t="shared" si="18"/>
        <v>17484</v>
      </c>
      <c r="H55" s="179">
        <f t="shared" si="19"/>
        <v>-0.22923816060398078</v>
      </c>
      <c r="I55" s="39"/>
      <c r="J55" s="39"/>
      <c r="K55" s="39"/>
      <c r="L55" s="39"/>
      <c r="T55" s="134"/>
    </row>
    <row r="56" spans="1:23" x14ac:dyDescent="0.25">
      <c r="A56">
        <v>400</v>
      </c>
      <c r="B56" s="164">
        <v>43272</v>
      </c>
      <c r="C56" s="359">
        <v>400</v>
      </c>
      <c r="D56" s="360">
        <v>31.2666</v>
      </c>
      <c r="E56" s="39">
        <v>23.29</v>
      </c>
      <c r="F56" s="39">
        <f t="shared" si="20"/>
        <v>-3190.6400000000003</v>
      </c>
      <c r="G56" s="39">
        <f t="shared" si="18"/>
        <v>12506.64</v>
      </c>
      <c r="H56" s="179">
        <f t="shared" si="19"/>
        <v>-0.25511568254942979</v>
      </c>
      <c r="I56" s="173" t="s">
        <v>1105</v>
      </c>
      <c r="J56" s="39"/>
      <c r="K56" s="39"/>
      <c r="L56" s="39">
        <v>13.7</v>
      </c>
      <c r="T56" s="134"/>
    </row>
    <row r="57" spans="1:23" x14ac:dyDescent="0.25">
      <c r="A57">
        <v>300</v>
      </c>
      <c r="B57" s="164">
        <v>43276</v>
      </c>
      <c r="C57" s="7">
        <v>300</v>
      </c>
      <c r="D57" s="43">
        <v>33.262300000000003</v>
      </c>
      <c r="E57" s="39">
        <v>24.12</v>
      </c>
      <c r="F57" s="39">
        <f t="shared" si="20"/>
        <v>-2742.6900000000005</v>
      </c>
      <c r="G57" s="39">
        <f t="shared" si="18"/>
        <v>9978.69</v>
      </c>
      <c r="H57" s="179">
        <f t="shared" si="19"/>
        <v>-0.27485471539851425</v>
      </c>
      <c r="I57" s="39">
        <v>33</v>
      </c>
      <c r="J57" s="39"/>
      <c r="K57" s="39"/>
      <c r="L57" s="39">
        <v>14.19</v>
      </c>
      <c r="T57" s="134"/>
    </row>
    <row r="58" spans="1:23" x14ac:dyDescent="0.25">
      <c r="A58">
        <v>300</v>
      </c>
      <c r="B58" s="164">
        <v>43277</v>
      </c>
      <c r="C58" s="359">
        <v>400</v>
      </c>
      <c r="D58" s="360">
        <v>30.841999999999999</v>
      </c>
      <c r="E58" s="39">
        <v>23.75</v>
      </c>
      <c r="F58" s="39">
        <f t="shared" si="20"/>
        <v>-2836.7999999999993</v>
      </c>
      <c r="G58" s="39">
        <f t="shared" si="18"/>
        <v>12336.8</v>
      </c>
      <c r="H58" s="179">
        <f t="shared" si="19"/>
        <v>-0.22994617729070743</v>
      </c>
      <c r="I58" s="173" t="s">
        <v>750</v>
      </c>
      <c r="J58" s="39"/>
      <c r="K58" s="39"/>
      <c r="L58" s="39">
        <v>13.97</v>
      </c>
      <c r="T58" s="134"/>
    </row>
    <row r="59" spans="1:23" x14ac:dyDescent="0.25">
      <c r="A59">
        <v>300</v>
      </c>
      <c r="B59" s="164">
        <v>43283</v>
      </c>
      <c r="C59" s="10">
        <v>400</v>
      </c>
      <c r="D59" s="39">
        <v>30.84</v>
      </c>
      <c r="E59" s="39">
        <v>22.48</v>
      </c>
      <c r="F59" s="39">
        <f t="shared" si="20"/>
        <v>-3344</v>
      </c>
      <c r="G59" s="39">
        <f t="shared" si="18"/>
        <v>12336</v>
      </c>
      <c r="H59" s="179">
        <f t="shared" si="19"/>
        <v>-0.27107652399481191</v>
      </c>
      <c r="I59" s="39"/>
      <c r="J59" s="39"/>
      <c r="K59" s="39"/>
      <c r="L59" s="39">
        <v>13.22</v>
      </c>
      <c r="T59" s="134"/>
    </row>
    <row r="60" spans="1:23" x14ac:dyDescent="0.25">
      <c r="A60" s="4">
        <v>300</v>
      </c>
      <c r="B60" s="164">
        <v>43288</v>
      </c>
      <c r="C60" s="10">
        <v>400</v>
      </c>
      <c r="D60" s="39">
        <v>30.84</v>
      </c>
      <c r="E60" s="39">
        <v>23.08</v>
      </c>
      <c r="F60" s="39">
        <f t="shared" si="20"/>
        <v>-3104.0000000000005</v>
      </c>
      <c r="G60" s="39">
        <f t="shared" si="18"/>
        <v>12336</v>
      </c>
      <c r="H60" s="179">
        <f t="shared" si="19"/>
        <v>-0.25162127107652404</v>
      </c>
      <c r="I60" s="39"/>
      <c r="J60" s="39"/>
      <c r="K60" s="39"/>
      <c r="L60" s="39">
        <v>13.58</v>
      </c>
      <c r="W60" s="134"/>
    </row>
    <row r="61" spans="1:23" x14ac:dyDescent="0.25">
      <c r="A61" s="4">
        <v>300</v>
      </c>
      <c r="B61" s="164">
        <v>43303</v>
      </c>
      <c r="C61" s="10">
        <v>400</v>
      </c>
      <c r="D61" s="39">
        <v>30.84</v>
      </c>
      <c r="E61" s="39">
        <v>23.64</v>
      </c>
      <c r="F61" s="39">
        <f t="shared" si="20"/>
        <v>-2879.9999999999995</v>
      </c>
      <c r="G61" s="39">
        <f t="shared" si="18"/>
        <v>12336</v>
      </c>
      <c r="H61" s="179">
        <f t="shared" si="19"/>
        <v>-0.23346303501945523</v>
      </c>
      <c r="I61" s="39"/>
      <c r="J61" s="39"/>
      <c r="K61" s="39"/>
      <c r="L61" s="39">
        <v>13.91</v>
      </c>
      <c r="W61" s="134"/>
    </row>
    <row r="62" spans="1:23" x14ac:dyDescent="0.25">
      <c r="A62" s="4">
        <v>200</v>
      </c>
      <c r="B62" s="164">
        <v>43304</v>
      </c>
      <c r="C62" s="7">
        <v>300</v>
      </c>
      <c r="D62" s="43">
        <v>33.03</v>
      </c>
      <c r="E62" s="39">
        <v>24.27</v>
      </c>
      <c r="F62" s="39">
        <f t="shared" si="20"/>
        <v>-2628.0000000000005</v>
      </c>
      <c r="G62" s="39">
        <f t="shared" si="18"/>
        <v>9909</v>
      </c>
      <c r="H62" s="179">
        <f t="shared" si="19"/>
        <v>-0.26521344232515898</v>
      </c>
      <c r="I62" s="39"/>
      <c r="J62" s="39"/>
      <c r="K62" s="39"/>
      <c r="L62" s="39">
        <v>14.28</v>
      </c>
      <c r="W62" s="134"/>
    </row>
    <row r="63" spans="1:23" x14ac:dyDescent="0.25">
      <c r="A63" s="4">
        <v>200</v>
      </c>
      <c r="B63" s="164">
        <v>43306</v>
      </c>
      <c r="C63" s="359">
        <v>400</v>
      </c>
      <c r="D63" s="360">
        <v>30.701799999999999</v>
      </c>
      <c r="E63" s="39">
        <v>23.72</v>
      </c>
      <c r="F63" s="39">
        <f t="shared" si="20"/>
        <v>-2792.72</v>
      </c>
      <c r="G63" s="39">
        <f t="shared" si="18"/>
        <v>12280.72</v>
      </c>
      <c r="H63" s="179">
        <f t="shared" si="19"/>
        <v>-0.22740686213837624</v>
      </c>
      <c r="I63" s="39"/>
      <c r="J63" s="39"/>
      <c r="K63" s="39"/>
      <c r="L63" s="39">
        <v>13.95</v>
      </c>
      <c r="W63" s="134"/>
    </row>
    <row r="64" spans="1:23" x14ac:dyDescent="0.25">
      <c r="A64" s="4">
        <v>300</v>
      </c>
      <c r="B64" s="164">
        <v>43307</v>
      </c>
      <c r="C64" s="10">
        <v>500</v>
      </c>
      <c r="D64" s="39">
        <v>29.217400000000001</v>
      </c>
      <c r="E64" s="39">
        <v>23.28</v>
      </c>
      <c r="F64" s="39">
        <f t="shared" si="20"/>
        <v>-2968.7000000000003</v>
      </c>
      <c r="G64" s="39">
        <f t="shared" si="18"/>
        <v>14608.7</v>
      </c>
      <c r="H64" s="179">
        <f t="shared" si="19"/>
        <v>-0.20321452285282057</v>
      </c>
      <c r="I64" s="39"/>
      <c r="J64" s="39"/>
      <c r="K64" s="39"/>
      <c r="L64" s="39">
        <v>14.04</v>
      </c>
      <c r="W64" s="134"/>
    </row>
    <row r="65" spans="1:23" x14ac:dyDescent="0.25">
      <c r="A65" s="4">
        <v>300</v>
      </c>
      <c r="B65" s="164">
        <v>43308</v>
      </c>
      <c r="C65" s="10">
        <v>500</v>
      </c>
      <c r="D65" s="39">
        <v>29.009</v>
      </c>
      <c r="E65" s="39">
        <v>23.4</v>
      </c>
      <c r="F65" s="39">
        <f t="shared" si="20"/>
        <v>-2804.5000000000009</v>
      </c>
      <c r="G65" s="39">
        <f t="shared" si="18"/>
        <v>14504.5</v>
      </c>
      <c r="H65" s="179">
        <f t="shared" si="19"/>
        <v>-0.19335378675583445</v>
      </c>
      <c r="I65" s="39"/>
      <c r="J65" s="39"/>
      <c r="K65" s="39"/>
      <c r="L65" s="39">
        <v>13.76</v>
      </c>
      <c r="W65" s="134"/>
    </row>
    <row r="66" spans="1:23" x14ac:dyDescent="0.25">
      <c r="A66" s="4">
        <v>200</v>
      </c>
      <c r="B66" s="164">
        <v>43311</v>
      </c>
      <c r="C66" s="359">
        <v>400</v>
      </c>
      <c r="D66" s="360">
        <v>30.1919</v>
      </c>
      <c r="E66" s="39">
        <v>24.27</v>
      </c>
      <c r="F66" s="39">
        <f t="shared" si="20"/>
        <v>-2368.7600000000002</v>
      </c>
      <c r="G66" s="39">
        <f t="shared" si="18"/>
        <v>12076.76</v>
      </c>
      <c r="H66" s="179">
        <f t="shared" si="19"/>
        <v>-0.19614201159913755</v>
      </c>
      <c r="I66" s="39"/>
      <c r="J66" s="39"/>
      <c r="K66" s="39"/>
      <c r="L66" s="39">
        <v>14.28</v>
      </c>
      <c r="W66" s="134"/>
    </row>
    <row r="67" spans="1:23" x14ac:dyDescent="0.25">
      <c r="A67" s="4">
        <v>100</v>
      </c>
      <c r="B67" s="164">
        <v>43318</v>
      </c>
      <c r="C67" s="7">
        <v>300</v>
      </c>
      <c r="D67" s="43">
        <v>31.9391</v>
      </c>
      <c r="E67" s="39">
        <v>24.95</v>
      </c>
      <c r="F67" s="39">
        <f t="shared" si="20"/>
        <v>-2096.73</v>
      </c>
      <c r="G67" s="39">
        <f t="shared" si="18"/>
        <v>9581.73</v>
      </c>
      <c r="H67" s="179">
        <f t="shared" si="19"/>
        <v>-0.21882582790372931</v>
      </c>
      <c r="I67" s="39"/>
      <c r="J67" s="39"/>
      <c r="K67" s="39"/>
      <c r="L67" s="39">
        <v>14.68</v>
      </c>
      <c r="W67" s="134"/>
    </row>
    <row r="68" spans="1:23" x14ac:dyDescent="0.25">
      <c r="A68" s="4">
        <v>100</v>
      </c>
      <c r="B68" s="164">
        <v>43319</v>
      </c>
      <c r="C68" s="359">
        <v>400</v>
      </c>
      <c r="D68" s="360">
        <v>29.624400000000001</v>
      </c>
      <c r="E68" s="39">
        <v>22.68</v>
      </c>
      <c r="F68" s="39">
        <f t="shared" si="20"/>
        <v>-2777.7600000000007</v>
      </c>
      <c r="G68" s="39">
        <f t="shared" si="18"/>
        <v>11849.76</v>
      </c>
      <c r="H68" s="179">
        <f t="shared" si="19"/>
        <v>-0.2344148742253008</v>
      </c>
      <c r="I68" s="39"/>
      <c r="J68" s="39"/>
      <c r="K68" s="39"/>
      <c r="L68" s="39">
        <v>13.34</v>
      </c>
      <c r="W68" s="134"/>
    </row>
    <row r="69" spans="1:23" x14ac:dyDescent="0.25">
      <c r="A69" s="4">
        <v>100</v>
      </c>
      <c r="B69" s="164">
        <v>43325</v>
      </c>
      <c r="C69" s="10">
        <v>400</v>
      </c>
      <c r="D69" s="39">
        <v>29.62</v>
      </c>
      <c r="E69" s="39">
        <v>22.9</v>
      </c>
      <c r="F69" s="39">
        <f t="shared" si="20"/>
        <v>-2688.0000000000009</v>
      </c>
      <c r="G69" s="39">
        <f t="shared" si="18"/>
        <v>11848</v>
      </c>
      <c r="H69" s="179">
        <f t="shared" si="19"/>
        <v>-0.22687373396353822</v>
      </c>
      <c r="I69" s="39"/>
      <c r="J69" s="39"/>
      <c r="K69" s="39"/>
      <c r="L69" s="39">
        <v>13.47</v>
      </c>
      <c r="W69" s="134"/>
    </row>
    <row r="70" spans="1:23" x14ac:dyDescent="0.25">
      <c r="A70" s="4">
        <v>100</v>
      </c>
      <c r="B70" s="164">
        <v>43329</v>
      </c>
      <c r="C70" s="10">
        <v>400</v>
      </c>
      <c r="D70" s="39">
        <v>29.62</v>
      </c>
      <c r="E70" s="39">
        <v>23.53</v>
      </c>
      <c r="F70" s="39">
        <f t="shared" ref="F70:F79" si="21">C70*(E70-D70)</f>
        <v>-2436</v>
      </c>
      <c r="G70" s="39">
        <f t="shared" ref="G70:G79" si="22">D70*C70</f>
        <v>11848</v>
      </c>
      <c r="H70" s="179">
        <f t="shared" ref="H70:H79" si="23">(E70-D70)/D70</f>
        <v>-0.20560432140445645</v>
      </c>
      <c r="I70" s="39"/>
      <c r="J70" s="39"/>
      <c r="K70" s="39"/>
      <c r="L70" s="39">
        <v>13.84</v>
      </c>
    </row>
    <row r="71" spans="1:23" x14ac:dyDescent="0.25">
      <c r="A71" s="4">
        <v>0</v>
      </c>
      <c r="B71" s="164">
        <v>43332</v>
      </c>
      <c r="C71" s="7">
        <v>300</v>
      </c>
      <c r="D71" s="43">
        <v>31.506</v>
      </c>
      <c r="E71" s="39">
        <v>23.98</v>
      </c>
      <c r="F71" s="39">
        <f t="shared" si="21"/>
        <v>-2257.7999999999997</v>
      </c>
      <c r="G71" s="39">
        <f t="shared" si="22"/>
        <v>9451.7999999999993</v>
      </c>
      <c r="H71" s="179">
        <f t="shared" si="23"/>
        <v>-0.23887513489494064</v>
      </c>
      <c r="I71" s="39"/>
      <c r="J71" s="39"/>
      <c r="K71" s="39"/>
      <c r="L71" s="39">
        <v>14.11</v>
      </c>
    </row>
    <row r="72" spans="1:23" x14ac:dyDescent="0.25">
      <c r="A72" s="4">
        <v>0</v>
      </c>
      <c r="B72" s="164">
        <v>43336</v>
      </c>
      <c r="C72" s="10">
        <v>500</v>
      </c>
      <c r="D72" s="39">
        <v>28.163599999999999</v>
      </c>
      <c r="E72" s="39">
        <v>23.41</v>
      </c>
      <c r="F72" s="39">
        <f t="shared" si="21"/>
        <v>-2376.7999999999993</v>
      </c>
      <c r="G72" s="39">
        <f t="shared" si="22"/>
        <v>14081.8</v>
      </c>
      <c r="H72" s="179">
        <f t="shared" si="23"/>
        <v>-0.16878524052322852</v>
      </c>
      <c r="I72" s="39"/>
      <c r="J72" s="39"/>
      <c r="K72" s="39"/>
      <c r="L72" s="39">
        <v>13.77</v>
      </c>
    </row>
    <row r="73" spans="1:23" x14ac:dyDescent="0.25">
      <c r="A73" s="4">
        <v>100</v>
      </c>
      <c r="B73" s="164">
        <v>43339</v>
      </c>
      <c r="C73" s="359">
        <v>400</v>
      </c>
      <c r="D73" s="360">
        <v>29.244599999999998</v>
      </c>
      <c r="E73" s="39">
        <v>23.82</v>
      </c>
      <c r="F73" s="39">
        <f t="shared" si="21"/>
        <v>-2169.8399999999992</v>
      </c>
      <c r="G73" s="39">
        <f t="shared" si="22"/>
        <v>11697.84</v>
      </c>
      <c r="H73" s="179">
        <f t="shared" si="23"/>
        <v>-0.18549065468496742</v>
      </c>
      <c r="I73" s="39"/>
      <c r="J73" s="39"/>
      <c r="K73" s="39"/>
      <c r="L73" s="39">
        <v>14.01</v>
      </c>
    </row>
    <row r="74" spans="1:23" x14ac:dyDescent="0.25">
      <c r="A74" s="4"/>
      <c r="B74" s="164">
        <v>43342</v>
      </c>
      <c r="C74" s="10">
        <v>400</v>
      </c>
      <c r="D74" s="39">
        <v>29.24</v>
      </c>
      <c r="E74" s="39">
        <v>22.54</v>
      </c>
      <c r="F74" s="39">
        <f t="shared" si="21"/>
        <v>-2679.9999999999995</v>
      </c>
      <c r="G74" s="39">
        <f t="shared" si="22"/>
        <v>11696</v>
      </c>
      <c r="H74" s="179">
        <f t="shared" si="23"/>
        <v>-0.22913816689466482</v>
      </c>
      <c r="I74" s="39"/>
      <c r="J74" s="39"/>
      <c r="K74" s="39"/>
      <c r="L74" s="39"/>
    </row>
    <row r="75" spans="1:23" x14ac:dyDescent="0.25">
      <c r="A75" s="4">
        <v>0</v>
      </c>
      <c r="B75" s="164">
        <v>43348</v>
      </c>
      <c r="C75" s="7">
        <v>300</v>
      </c>
      <c r="D75" s="43">
        <v>30.8995</v>
      </c>
      <c r="E75" s="39">
        <v>23.72</v>
      </c>
      <c r="F75" s="39">
        <f t="shared" si="21"/>
        <v>-2153.8500000000004</v>
      </c>
      <c r="G75" s="39">
        <f t="shared" si="22"/>
        <v>9269.85</v>
      </c>
      <c r="H75" s="179">
        <f t="shared" si="23"/>
        <v>-0.23235003802650531</v>
      </c>
      <c r="I75" s="39"/>
      <c r="J75" s="39"/>
      <c r="K75" s="39"/>
      <c r="L75" s="39">
        <v>13.95</v>
      </c>
    </row>
    <row r="76" spans="1:23" x14ac:dyDescent="0.25">
      <c r="A76" s="4">
        <v>300</v>
      </c>
      <c r="B76" s="164">
        <v>43394</v>
      </c>
      <c r="C76" s="10">
        <v>300</v>
      </c>
      <c r="D76" s="39">
        <v>30.9</v>
      </c>
      <c r="E76" s="39">
        <v>23.4</v>
      </c>
      <c r="F76" s="39">
        <f t="shared" si="21"/>
        <v>-2250</v>
      </c>
      <c r="G76" s="39">
        <f t="shared" si="22"/>
        <v>9270</v>
      </c>
      <c r="H76" s="179">
        <f t="shared" si="23"/>
        <v>-0.24271844660194175</v>
      </c>
      <c r="I76" s="39"/>
      <c r="J76" s="39"/>
      <c r="K76" s="39"/>
      <c r="L76" s="39"/>
    </row>
    <row r="77" spans="1:23" x14ac:dyDescent="0.25">
      <c r="A77" s="4"/>
      <c r="B77" s="164">
        <v>43399</v>
      </c>
      <c r="C77" s="7">
        <v>300</v>
      </c>
      <c r="D77" s="43">
        <v>30.64</v>
      </c>
      <c r="E77" s="39">
        <v>22.78</v>
      </c>
      <c r="F77" s="39">
        <f t="shared" si="21"/>
        <v>-2358</v>
      </c>
      <c r="G77" s="39">
        <f t="shared" si="22"/>
        <v>9192</v>
      </c>
      <c r="H77" s="179">
        <f t="shared" si="23"/>
        <v>-0.25652741514360311</v>
      </c>
      <c r="I77" s="39"/>
      <c r="J77" s="39"/>
      <c r="K77" s="39"/>
      <c r="L77" s="39"/>
    </row>
    <row r="78" spans="1:23" x14ac:dyDescent="0.25">
      <c r="A78" s="4"/>
      <c r="B78" s="164">
        <v>43409</v>
      </c>
      <c r="C78" s="10">
        <v>300</v>
      </c>
      <c r="D78" s="39">
        <v>30.64</v>
      </c>
      <c r="E78" s="39">
        <v>23.33</v>
      </c>
      <c r="F78" s="39">
        <f t="shared" si="21"/>
        <v>-2193.0000000000009</v>
      </c>
      <c r="G78" s="39">
        <f t="shared" si="22"/>
        <v>9192</v>
      </c>
      <c r="H78" s="179">
        <f t="shared" si="23"/>
        <v>-0.23857702349869458</v>
      </c>
      <c r="I78" s="39"/>
      <c r="J78" s="39"/>
      <c r="K78" s="39"/>
      <c r="L78" s="39"/>
    </row>
    <row r="79" spans="1:23" x14ac:dyDescent="0.25">
      <c r="A79" s="4">
        <v>200</v>
      </c>
      <c r="B79" s="164">
        <v>43431</v>
      </c>
      <c r="C79" s="185">
        <v>200</v>
      </c>
      <c r="D79" s="186">
        <v>32.819499999999998</v>
      </c>
      <c r="E79" s="39">
        <v>26.16</v>
      </c>
      <c r="F79" s="39">
        <f t="shared" si="21"/>
        <v>-1331.8999999999996</v>
      </c>
      <c r="G79" s="39">
        <f t="shared" si="22"/>
        <v>6563.9</v>
      </c>
      <c r="H79" s="179">
        <f t="shared" si="23"/>
        <v>-0.20291290239034715</v>
      </c>
      <c r="I79" s="39"/>
      <c r="J79" s="39"/>
      <c r="K79" s="39"/>
      <c r="L79" s="39">
        <v>14.87</v>
      </c>
    </row>
    <row r="80" spans="1:23" x14ac:dyDescent="0.25">
      <c r="A80" s="4">
        <v>200</v>
      </c>
      <c r="B80" s="164">
        <v>43440</v>
      </c>
      <c r="C80" s="7">
        <v>300</v>
      </c>
      <c r="D80" s="43">
        <v>29.672999999999998</v>
      </c>
      <c r="E80" s="39">
        <v>23.09</v>
      </c>
      <c r="F80" s="39">
        <f>C80*(E80-D80)</f>
        <v>-1974.8999999999996</v>
      </c>
      <c r="G80" s="39">
        <f>D80*C80</f>
        <v>8901.9</v>
      </c>
      <c r="H80" s="179">
        <f>(E80-D80)/D80</f>
        <v>-0.22185151484514537</v>
      </c>
      <c r="I80" s="39"/>
      <c r="J80" s="39"/>
      <c r="K80" s="39"/>
      <c r="L80" s="39">
        <v>13.58</v>
      </c>
    </row>
    <row r="81" spans="1:13" x14ac:dyDescent="0.25">
      <c r="A81" s="4">
        <v>300</v>
      </c>
      <c r="B81" s="164">
        <v>43490</v>
      </c>
      <c r="C81" s="7">
        <v>300</v>
      </c>
      <c r="D81" s="43">
        <v>29.413</v>
      </c>
      <c r="E81" s="39">
        <v>22.29</v>
      </c>
      <c r="F81" s="39">
        <f>C81*(E81-D81)</f>
        <v>-2136.9000000000005</v>
      </c>
      <c r="G81" s="39">
        <f>D81*C81</f>
        <v>8823.9</v>
      </c>
      <c r="H81" s="179">
        <f>(E81-D81)/D81</f>
        <v>-0.24217182878319113</v>
      </c>
      <c r="I81" s="39"/>
      <c r="J81" s="39"/>
      <c r="K81" s="39"/>
      <c r="L81" s="39">
        <v>12.91</v>
      </c>
    </row>
    <row r="82" spans="1:13" x14ac:dyDescent="0.25">
      <c r="A82" s="4">
        <v>300</v>
      </c>
      <c r="B82" s="164">
        <v>43535</v>
      </c>
      <c r="C82" s="10">
        <v>300</v>
      </c>
      <c r="D82" s="39">
        <v>29.41</v>
      </c>
      <c r="E82" s="39">
        <v>22.23</v>
      </c>
      <c r="F82" s="39">
        <f>C82*(E82-D82)</f>
        <v>-2154</v>
      </c>
      <c r="G82" s="39">
        <f>D82*C82</f>
        <v>8823</v>
      </c>
      <c r="H82" s="179">
        <f>(E82-D82)/D82</f>
        <v>-0.24413464807888471</v>
      </c>
      <c r="I82" s="39"/>
      <c r="J82" s="39"/>
      <c r="K82" s="39"/>
      <c r="L82" s="39">
        <v>13.08</v>
      </c>
    </row>
    <row r="83" spans="1:13" x14ac:dyDescent="0.25">
      <c r="A83" s="4"/>
      <c r="B83" s="164"/>
      <c r="C83" s="10"/>
      <c r="D83" s="39"/>
      <c r="E83" s="39"/>
      <c r="F83" s="39"/>
      <c r="G83" s="39"/>
      <c r="H83" s="179"/>
      <c r="I83" s="39"/>
      <c r="J83" s="39"/>
      <c r="K83" s="39"/>
      <c r="L83" s="39"/>
    </row>
    <row r="84" spans="1:13" x14ac:dyDescent="0.25">
      <c r="A84" s="4"/>
      <c r="B84" s="164"/>
      <c r="C84" s="10"/>
      <c r="D84" s="39"/>
      <c r="E84" s="39"/>
      <c r="F84" s="39"/>
      <c r="G84" s="39"/>
      <c r="H84" s="179"/>
      <c r="I84" s="39"/>
      <c r="J84" s="39"/>
      <c r="K84" s="39"/>
      <c r="L84" s="39"/>
    </row>
    <row r="85" spans="1:13" x14ac:dyDescent="0.25">
      <c r="A85" s="4"/>
      <c r="B85" s="164"/>
      <c r="C85" s="10"/>
      <c r="D85" s="39"/>
      <c r="E85" s="39"/>
      <c r="F85" s="39"/>
      <c r="G85" s="39"/>
      <c r="H85" s="179"/>
      <c r="I85" s="39"/>
      <c r="J85" s="39"/>
      <c r="K85" s="39"/>
      <c r="L85" s="39"/>
    </row>
    <row r="86" spans="1:13" x14ac:dyDescent="0.25">
      <c r="A86" s="4"/>
      <c r="B86" s="164"/>
      <c r="C86" s="10"/>
      <c r="D86" s="39"/>
      <c r="E86" s="39"/>
      <c r="F86" s="39"/>
      <c r="G86" s="39"/>
      <c r="H86" s="179"/>
      <c r="I86" s="39"/>
      <c r="J86" s="39"/>
      <c r="K86" s="39"/>
      <c r="L86" s="39"/>
    </row>
    <row r="87" spans="1:13" x14ac:dyDescent="0.25">
      <c r="A87" s="4"/>
      <c r="B87" s="4"/>
      <c r="C87" s="4"/>
      <c r="D87" s="3"/>
      <c r="E87" s="3"/>
      <c r="F87" s="3"/>
      <c r="G87" s="4"/>
      <c r="H87" s="4"/>
      <c r="I87" s="3"/>
      <c r="J87" s="3"/>
      <c r="K87" s="3"/>
      <c r="L87" s="4"/>
    </row>
    <row r="88" spans="1:13" x14ac:dyDescent="0.25">
      <c r="A88" s="4"/>
      <c r="B88" s="4"/>
      <c r="C88" s="4"/>
      <c r="D88" s="3"/>
      <c r="E88" s="3"/>
      <c r="F88" s="3"/>
      <c r="G88" s="4"/>
      <c r="H88" s="4"/>
      <c r="I88" s="3"/>
      <c r="J88" s="3"/>
      <c r="K88" s="3"/>
      <c r="L88" s="4" t="s">
        <v>65</v>
      </c>
      <c r="M88" s="2">
        <f>M106+K106-F106</f>
        <v>0</v>
      </c>
    </row>
    <row r="89" spans="1:13" x14ac:dyDescent="0.25">
      <c r="A89" s="440" t="s">
        <v>1</v>
      </c>
      <c r="B89" s="440" t="s">
        <v>2</v>
      </c>
      <c r="C89" s="440" t="s">
        <v>4</v>
      </c>
      <c r="D89" s="441" t="s">
        <v>5</v>
      </c>
      <c r="E89" s="441" t="s">
        <v>94</v>
      </c>
      <c r="F89" s="441" t="s">
        <v>60</v>
      </c>
      <c r="G89" s="440" t="s">
        <v>3</v>
      </c>
      <c r="H89" s="440" t="s">
        <v>6</v>
      </c>
      <c r="I89" s="441" t="s">
        <v>7</v>
      </c>
      <c r="J89" s="441" t="s">
        <v>95</v>
      </c>
      <c r="K89" s="441" t="s">
        <v>61</v>
      </c>
      <c r="L89" s="440" t="s">
        <v>37</v>
      </c>
      <c r="M89" s="440" t="s">
        <v>38</v>
      </c>
    </row>
    <row r="90" spans="1:13" x14ac:dyDescent="0.25">
      <c r="A90" s="442" t="s">
        <v>799</v>
      </c>
      <c r="B90" s="426"/>
      <c r="C90" s="427"/>
      <c r="D90" s="429"/>
      <c r="E90" s="429"/>
      <c r="F90" s="429"/>
      <c r="G90" s="426"/>
      <c r="H90" s="443"/>
      <c r="I90" s="429"/>
      <c r="J90" s="429"/>
      <c r="K90" s="429"/>
      <c r="L90" s="426"/>
      <c r="M90" s="429"/>
    </row>
    <row r="91" spans="1:13" x14ac:dyDescent="0.25">
      <c r="A91" s="444" t="s">
        <v>71</v>
      </c>
      <c r="B91" s="426"/>
      <c r="C91" s="427"/>
      <c r="D91" s="429"/>
      <c r="E91" s="429"/>
      <c r="F91" s="429"/>
      <c r="G91" s="426"/>
      <c r="H91" s="443"/>
      <c r="I91" s="429"/>
      <c r="J91" s="429"/>
      <c r="K91" s="429"/>
      <c r="L91" s="427"/>
      <c r="M91" s="427"/>
    </row>
    <row r="92" spans="1:13" x14ac:dyDescent="0.25">
      <c r="A92" s="427"/>
      <c r="B92" s="426"/>
      <c r="C92" s="427"/>
      <c r="D92" s="429"/>
      <c r="E92" s="429"/>
      <c r="F92" s="429"/>
      <c r="G92" s="426"/>
      <c r="H92" s="443"/>
      <c r="I92" s="429"/>
      <c r="J92" s="429"/>
      <c r="K92" s="429"/>
      <c r="L92" s="427"/>
      <c r="M92" s="427"/>
    </row>
    <row r="93" spans="1:13" x14ac:dyDescent="0.25">
      <c r="A93" s="427"/>
      <c r="B93" s="426"/>
      <c r="C93" s="427"/>
      <c r="D93" s="429"/>
      <c r="E93" s="429"/>
      <c r="F93" s="429"/>
      <c r="G93" s="427"/>
      <c r="H93" s="443"/>
      <c r="I93" s="429"/>
      <c r="J93" s="429"/>
      <c r="K93" s="429"/>
      <c r="L93" s="427"/>
      <c r="M93" s="427"/>
    </row>
    <row r="94" spans="1:13" x14ac:dyDescent="0.25">
      <c r="A94" s="427"/>
      <c r="B94" s="426"/>
      <c r="C94" s="427"/>
      <c r="D94" s="429"/>
      <c r="E94" s="429"/>
      <c r="F94" s="429"/>
      <c r="G94" s="427"/>
      <c r="H94" s="443"/>
      <c r="I94" s="429"/>
      <c r="J94" s="429"/>
      <c r="K94" s="429"/>
      <c r="L94" s="427"/>
      <c r="M94" s="427"/>
    </row>
    <row r="95" spans="1:13" x14ac:dyDescent="0.25">
      <c r="A95" s="427"/>
      <c r="B95" s="427"/>
      <c r="C95" s="427"/>
      <c r="D95" s="429"/>
      <c r="E95" s="429"/>
      <c r="F95" s="429"/>
      <c r="G95" s="427"/>
      <c r="H95" s="443"/>
      <c r="I95" s="429"/>
      <c r="J95" s="429"/>
      <c r="K95" s="429"/>
      <c r="L95" s="427"/>
      <c r="M95" s="427"/>
    </row>
    <row r="96" spans="1:13" x14ac:dyDescent="0.25">
      <c r="A96" s="427"/>
      <c r="B96" s="427"/>
      <c r="C96" s="427"/>
      <c r="D96" s="429"/>
      <c r="E96" s="429"/>
      <c r="F96" s="429"/>
      <c r="G96" s="427"/>
      <c r="H96" s="443"/>
      <c r="I96" s="429"/>
      <c r="J96" s="429"/>
      <c r="K96" s="429"/>
      <c r="L96" s="427"/>
      <c r="M96" s="427"/>
    </row>
    <row r="97" spans="1:13" x14ac:dyDescent="0.25">
      <c r="A97" s="427"/>
      <c r="B97" s="427"/>
      <c r="C97" s="427"/>
      <c r="D97" s="429"/>
      <c r="E97" s="429"/>
      <c r="F97" s="429"/>
      <c r="G97" s="427"/>
      <c r="H97" s="443"/>
      <c r="I97" s="429"/>
      <c r="J97" s="429"/>
      <c r="K97" s="429"/>
      <c r="L97" s="427"/>
      <c r="M97" s="427"/>
    </row>
    <row r="98" spans="1:13" x14ac:dyDescent="0.25">
      <c r="A98" s="427"/>
      <c r="B98" s="427"/>
      <c r="C98" s="427"/>
      <c r="D98" s="429"/>
      <c r="E98" s="429"/>
      <c r="F98" s="429"/>
      <c r="G98" s="427"/>
      <c r="H98" s="443"/>
      <c r="I98" s="429"/>
      <c r="J98" s="429"/>
      <c r="K98" s="429"/>
      <c r="L98" s="427"/>
      <c r="M98" s="427"/>
    </row>
    <row r="99" spans="1:13" x14ac:dyDescent="0.25">
      <c r="A99" s="427"/>
      <c r="B99" s="427"/>
      <c r="C99" s="427"/>
      <c r="D99" s="429"/>
      <c r="E99" s="429"/>
      <c r="F99" s="429"/>
      <c r="G99" s="427"/>
      <c r="H99" s="443"/>
      <c r="I99" s="429"/>
      <c r="J99" s="429"/>
      <c r="K99" s="429"/>
      <c r="L99" s="427"/>
      <c r="M99" s="427"/>
    </row>
    <row r="100" spans="1:13" x14ac:dyDescent="0.25">
      <c r="A100" s="427"/>
      <c r="B100" s="427"/>
      <c r="C100" s="427"/>
      <c r="D100" s="429"/>
      <c r="E100" s="429"/>
      <c r="F100" s="429"/>
      <c r="G100" s="427"/>
      <c r="H100" s="443"/>
      <c r="I100" s="429"/>
      <c r="J100" s="429"/>
      <c r="K100" s="429"/>
      <c r="L100" s="427"/>
      <c r="M100" s="427"/>
    </row>
    <row r="101" spans="1:13" x14ac:dyDescent="0.25">
      <c r="A101" s="427"/>
      <c r="B101" s="427"/>
      <c r="C101" s="427"/>
      <c r="D101" s="429"/>
      <c r="E101" s="429"/>
      <c r="F101" s="429"/>
      <c r="G101" s="427"/>
      <c r="H101" s="443"/>
      <c r="I101" s="429"/>
      <c r="J101" s="429"/>
      <c r="K101" s="429"/>
      <c r="L101" s="427"/>
      <c r="M101" s="427"/>
    </row>
    <row r="102" spans="1:13" x14ac:dyDescent="0.25">
      <c r="A102" s="427"/>
      <c r="B102" s="427"/>
      <c r="C102" s="427"/>
      <c r="D102" s="429"/>
      <c r="E102" s="429"/>
      <c r="F102" s="429"/>
      <c r="G102" s="427"/>
      <c r="H102" s="443"/>
      <c r="I102" s="429"/>
      <c r="J102" s="429"/>
      <c r="K102" s="429"/>
      <c r="L102" s="427"/>
      <c r="M102" s="427"/>
    </row>
    <row r="103" spans="1:13" x14ac:dyDescent="0.25">
      <c r="A103" s="427"/>
      <c r="B103" s="427"/>
      <c r="C103" s="427"/>
      <c r="D103" s="429"/>
      <c r="E103" s="429"/>
      <c r="F103" s="429"/>
      <c r="G103" s="427"/>
      <c r="H103" s="443"/>
      <c r="I103" s="429"/>
      <c r="J103" s="429"/>
      <c r="K103" s="429"/>
      <c r="L103" s="427"/>
      <c r="M103" s="427"/>
    </row>
    <row r="104" spans="1:13" x14ac:dyDescent="0.25">
      <c r="A104" s="427"/>
      <c r="B104" s="427"/>
      <c r="C104" s="427"/>
      <c r="D104" s="429"/>
      <c r="E104" s="429"/>
      <c r="F104" s="429"/>
      <c r="G104" s="427"/>
      <c r="H104" s="443"/>
      <c r="I104" s="429"/>
      <c r="J104" s="429"/>
      <c r="K104" s="429"/>
      <c r="L104" s="427"/>
      <c r="M104" s="427"/>
    </row>
    <row r="105" spans="1:13" x14ac:dyDescent="0.25">
      <c r="A105" s="427"/>
      <c r="B105" s="427"/>
      <c r="C105" s="427"/>
      <c r="D105" s="429"/>
      <c r="E105" s="429"/>
      <c r="F105" s="429"/>
      <c r="G105" s="427"/>
      <c r="H105" s="427"/>
      <c r="I105" s="429"/>
      <c r="J105" s="429"/>
      <c r="K105" s="429"/>
      <c r="L105" s="427"/>
      <c r="M105" s="427"/>
    </row>
    <row r="106" spans="1:13" x14ac:dyDescent="0.25">
      <c r="A106" s="445" t="s">
        <v>81</v>
      </c>
      <c r="B106" s="446"/>
      <c r="C106" s="446">
        <f>SUM(C90:C94)</f>
        <v>0</v>
      </c>
      <c r="D106" s="447"/>
      <c r="E106" s="447"/>
      <c r="F106" s="447">
        <f>SUM(F90:F94)</f>
        <v>0</v>
      </c>
      <c r="G106" s="446"/>
      <c r="H106" s="468">
        <f>SUM(H90:H93)</f>
        <v>0</v>
      </c>
      <c r="I106" s="447"/>
      <c r="J106" s="447"/>
      <c r="K106" s="447">
        <f>SUM(K90:K93)</f>
        <v>0</v>
      </c>
      <c r="L106" s="446"/>
      <c r="M106" s="447">
        <f>SUM(M90:M98)</f>
        <v>0</v>
      </c>
    </row>
    <row r="107" spans="1:13" ht="15.75" thickBot="1" x14ac:dyDescent="0.3">
      <c r="A107" s="448" t="s">
        <v>191</v>
      </c>
      <c r="B107" s="449"/>
      <c r="C107" s="450">
        <f>SumByColor($A$25,C90:C105)</f>
        <v>0</v>
      </c>
      <c r="D107" s="450"/>
      <c r="E107" s="450"/>
      <c r="F107" s="451">
        <f>SumByColor($A$25,F90:F105)</f>
        <v>0</v>
      </c>
      <c r="G107" s="450"/>
      <c r="H107" s="450">
        <f>SumByColor($A$25,H90:H105)</f>
        <v>0</v>
      </c>
      <c r="I107" s="450"/>
      <c r="J107" s="450"/>
      <c r="K107" s="451">
        <f>SumByColor($A$25,K91:K105)</f>
        <v>0</v>
      </c>
      <c r="L107" s="450"/>
      <c r="M107" s="451">
        <f>SumByColor($A$25,M90:M105)</f>
        <v>0</v>
      </c>
    </row>
    <row r="110" spans="1:13" x14ac:dyDescent="0.25">
      <c r="B110" s="162" t="s">
        <v>113</v>
      </c>
      <c r="C110" s="162" t="s">
        <v>145</v>
      </c>
      <c r="D110" s="163" t="s">
        <v>144</v>
      </c>
      <c r="E110" s="165" t="s">
        <v>146</v>
      </c>
      <c r="F110" s="165" t="s">
        <v>65</v>
      </c>
      <c r="G110" s="177" t="s">
        <v>150</v>
      </c>
      <c r="H110" s="177" t="s">
        <v>88</v>
      </c>
      <c r="I110" s="177" t="s">
        <v>153</v>
      </c>
    </row>
    <row r="111" spans="1:13" x14ac:dyDescent="0.25">
      <c r="B111" s="164"/>
      <c r="C111" s="10"/>
      <c r="D111" s="39"/>
      <c r="E111" s="39"/>
      <c r="F111" s="39"/>
      <c r="G111" s="39"/>
      <c r="H111" s="179"/>
      <c r="I111" s="39"/>
    </row>
    <row r="112" spans="1:13" x14ac:dyDescent="0.25">
      <c r="B112" s="164"/>
      <c r="C112" s="10"/>
      <c r="D112" s="39"/>
      <c r="E112" s="39"/>
      <c r="F112" s="39"/>
      <c r="G112" s="39"/>
      <c r="H112" s="179"/>
      <c r="I112" s="39"/>
    </row>
    <row r="113" spans="2:9" x14ac:dyDescent="0.25">
      <c r="B113" s="164"/>
      <c r="C113" s="10"/>
      <c r="D113" s="39"/>
      <c r="E113" s="39"/>
      <c r="F113" s="39"/>
      <c r="G113" s="39"/>
      <c r="H113" s="179"/>
      <c r="I113" s="39"/>
    </row>
    <row r="114" spans="2:9" x14ac:dyDescent="0.25">
      <c r="B114" s="164"/>
      <c r="C114" s="10"/>
      <c r="D114" s="39"/>
      <c r="E114" s="39"/>
      <c r="F114" s="39"/>
      <c r="G114" s="39"/>
      <c r="H114" s="179"/>
      <c r="I114" s="39"/>
    </row>
    <row r="115" spans="2:9" x14ac:dyDescent="0.25">
      <c r="B115" s="164"/>
      <c r="C115" s="10"/>
      <c r="D115" s="39"/>
      <c r="E115" s="39"/>
      <c r="F115" s="39"/>
      <c r="G115" s="39"/>
      <c r="H115" s="179"/>
      <c r="I115" s="39"/>
    </row>
    <row r="116" spans="2:9" x14ac:dyDescent="0.25">
      <c r="B116" s="164"/>
      <c r="C116" s="10"/>
      <c r="D116" s="39"/>
      <c r="E116" s="39"/>
      <c r="F116" s="39"/>
      <c r="G116" s="39"/>
      <c r="H116" s="179"/>
      <c r="I116" s="39"/>
    </row>
    <row r="117" spans="2:9" x14ac:dyDescent="0.25">
      <c r="B117" s="164"/>
      <c r="C117" s="10"/>
      <c r="D117" s="39"/>
      <c r="E117" s="39"/>
      <c r="F117" s="39"/>
      <c r="G117" s="39"/>
      <c r="H117" s="179"/>
      <c r="I117" s="39"/>
    </row>
    <row r="118" spans="2:9" x14ac:dyDescent="0.25">
      <c r="B118" s="164"/>
      <c r="C118" s="10"/>
      <c r="D118" s="39"/>
      <c r="E118" s="39"/>
      <c r="F118" s="39"/>
      <c r="G118" s="39"/>
      <c r="H118" s="179"/>
      <c r="I118" s="39"/>
    </row>
    <row r="119" spans="2:9" x14ac:dyDescent="0.25">
      <c r="B119" s="164"/>
      <c r="C119" s="10"/>
      <c r="D119" s="39"/>
      <c r="E119" s="39"/>
      <c r="F119" s="39"/>
      <c r="G119" s="39"/>
      <c r="H119" s="179"/>
      <c r="I119" s="39"/>
    </row>
    <row r="120" spans="2:9" x14ac:dyDescent="0.25">
      <c r="B120" s="164"/>
      <c r="C120" s="10"/>
      <c r="D120" s="39"/>
      <c r="E120" s="39"/>
      <c r="F120" s="39"/>
      <c r="G120" s="39"/>
      <c r="H120" s="179"/>
      <c r="I120" s="39"/>
    </row>
    <row r="121" spans="2:9" x14ac:dyDescent="0.25">
      <c r="B121" s="164"/>
      <c r="C121" s="10"/>
      <c r="D121" s="39"/>
      <c r="E121" s="39"/>
      <c r="F121" s="39"/>
      <c r="G121" s="39"/>
      <c r="H121" s="179"/>
      <c r="I121" s="39"/>
    </row>
    <row r="122" spans="2:9" x14ac:dyDescent="0.25">
      <c r="B122" s="164"/>
      <c r="C122" s="10"/>
      <c r="D122" s="39"/>
      <c r="E122" s="39"/>
      <c r="F122" s="39"/>
      <c r="G122" s="39"/>
      <c r="H122" s="179"/>
      <c r="I122" s="39"/>
    </row>
    <row r="123" spans="2:9" x14ac:dyDescent="0.25">
      <c r="B123" s="164"/>
      <c r="C123" s="10"/>
      <c r="D123" s="39"/>
      <c r="E123" s="39"/>
      <c r="F123" s="39"/>
      <c r="G123" s="39"/>
      <c r="H123" s="179"/>
      <c r="I123" s="39"/>
    </row>
    <row r="124" spans="2:9" x14ac:dyDescent="0.25">
      <c r="B124" s="164"/>
      <c r="C124" s="10"/>
      <c r="D124" s="39"/>
      <c r="E124" s="39"/>
      <c r="F124" s="39"/>
      <c r="G124" s="39"/>
      <c r="H124" s="179"/>
      <c r="I124" s="39"/>
    </row>
    <row r="125" spans="2:9" x14ac:dyDescent="0.25">
      <c r="B125" s="164"/>
      <c r="C125" s="10"/>
      <c r="D125" s="39"/>
      <c r="E125" s="39"/>
      <c r="F125" s="39"/>
      <c r="G125" s="39"/>
      <c r="H125" s="179"/>
      <c r="I125" s="39"/>
    </row>
    <row r="126" spans="2:9" x14ac:dyDescent="0.25">
      <c r="B126" s="164"/>
      <c r="C126" s="10"/>
      <c r="D126" s="39"/>
      <c r="E126" s="39"/>
      <c r="F126" s="39"/>
      <c r="G126" s="39"/>
      <c r="H126" s="179"/>
      <c r="I126" s="39"/>
    </row>
    <row r="127" spans="2:9" x14ac:dyDescent="0.25">
      <c r="B127" s="164"/>
      <c r="C127" s="10"/>
      <c r="D127" s="39"/>
      <c r="E127" s="39"/>
      <c r="F127" s="39"/>
      <c r="G127" s="39"/>
      <c r="H127" s="179"/>
      <c r="I127" s="39"/>
    </row>
    <row r="128" spans="2:9" x14ac:dyDescent="0.25">
      <c r="B128" s="164"/>
      <c r="C128" s="10"/>
      <c r="D128" s="39"/>
      <c r="E128" s="39"/>
      <c r="F128" s="39"/>
      <c r="G128" s="39"/>
      <c r="H128" s="179"/>
      <c r="I128" s="39"/>
    </row>
    <row r="129" spans="2:9" x14ac:dyDescent="0.25">
      <c r="B129" s="164"/>
      <c r="C129" s="10"/>
      <c r="D129" s="39"/>
      <c r="E129" s="39"/>
      <c r="F129" s="39"/>
      <c r="G129" s="39"/>
      <c r="H129" s="179"/>
      <c r="I129" s="39"/>
    </row>
    <row r="130" spans="2:9" x14ac:dyDescent="0.25">
      <c r="B130" s="164"/>
      <c r="C130" s="10"/>
      <c r="D130" s="39"/>
      <c r="E130" s="39"/>
      <c r="F130" s="39"/>
      <c r="G130" s="39"/>
      <c r="H130" s="179"/>
      <c r="I130" s="39"/>
    </row>
    <row r="131" spans="2:9" x14ac:dyDescent="0.25">
      <c r="B131" s="164"/>
      <c r="C131" s="10"/>
      <c r="D131" s="39"/>
      <c r="E131" s="39"/>
      <c r="F131" s="39"/>
      <c r="G131" s="39"/>
      <c r="H131" s="179"/>
      <c r="I131" s="39"/>
    </row>
    <row r="132" spans="2:9" x14ac:dyDescent="0.25">
      <c r="B132" s="164"/>
      <c r="C132" s="10"/>
      <c r="D132" s="39"/>
      <c r="E132" s="39"/>
      <c r="F132" s="39"/>
      <c r="G132" s="39"/>
      <c r="H132" s="179"/>
      <c r="I132" s="39"/>
    </row>
  </sheetData>
  <mergeCells count="1">
    <mergeCell ref="O18:P18"/>
  </mergeCells>
  <conditionalFormatting sqref="O19:O39">
    <cfRule type="colorScale" priority="35">
      <colorScale>
        <cfvo type="min"/>
        <cfvo type="percentile" val="50"/>
        <cfvo type="max"/>
        <color rgb="FFF8696B"/>
        <color rgb="FFFFEB84"/>
        <color rgb="FF63BE7B"/>
      </colorScale>
    </cfRule>
  </conditionalFormatting>
  <conditionalFormatting sqref="P19:P39">
    <cfRule type="colorScale" priority="34">
      <colorScale>
        <cfvo type="min"/>
        <cfvo type="percentile" val="50"/>
        <cfvo type="max"/>
        <color rgb="FFF8696B"/>
        <color rgb="FFFFEB84"/>
        <color rgb="FF63BE7B"/>
      </colorScale>
    </cfRule>
  </conditionalFormatting>
  <conditionalFormatting sqref="W1:W38 W60:W69 T39:T59">
    <cfRule type="iconSet" priority="33">
      <iconSet iconSet="3Arrows">
        <cfvo type="percent" val="0"/>
        <cfvo type="num" val="0"/>
        <cfvo type="num" val="0"/>
      </iconSet>
    </cfRule>
  </conditionalFormatting>
  <conditionalFormatting sqref="F31:F65 H31:H65 F85:F86 H85:H86 H77:H78 F77:F78">
    <cfRule type="expression" dxfId="964" priority="31">
      <formula>F31&gt;0</formula>
    </cfRule>
    <cfRule type="expression" dxfId="963" priority="32">
      <formula>F31&lt;0</formula>
    </cfRule>
  </conditionalFormatting>
  <conditionalFormatting sqref="Q7">
    <cfRule type="expression" dxfId="962" priority="29">
      <formula>Q7&gt;0</formula>
    </cfRule>
    <cfRule type="expression" dxfId="961" priority="30">
      <formula>Q7&lt;0</formula>
    </cfRule>
  </conditionalFormatting>
  <conditionalFormatting sqref="Q8">
    <cfRule type="expression" dxfId="960" priority="27">
      <formula>Q8&gt;0</formula>
    </cfRule>
    <cfRule type="expression" dxfId="959" priority="28">
      <formula>Q8&lt;0</formula>
    </cfRule>
  </conditionalFormatting>
  <conditionalFormatting sqref="F111:F132">
    <cfRule type="expression" dxfId="958" priority="21">
      <formula>F111&gt;0</formula>
    </cfRule>
    <cfRule type="expression" dxfId="957" priority="22">
      <formula>F111&lt;0</formula>
    </cfRule>
  </conditionalFormatting>
  <conditionalFormatting sqref="H111:H132">
    <cfRule type="expression" dxfId="956" priority="19">
      <formula>H111&gt;0</formula>
    </cfRule>
    <cfRule type="expression" dxfId="955" priority="20">
      <formula>H111&lt;0</formula>
    </cfRule>
  </conditionalFormatting>
  <conditionalFormatting sqref="Q10">
    <cfRule type="expression" dxfId="954" priority="17">
      <formula>Q10&gt;0</formula>
    </cfRule>
    <cfRule type="expression" dxfId="953" priority="18">
      <formula>Q10&lt;0</formula>
    </cfRule>
  </conditionalFormatting>
  <conditionalFormatting sqref="J31:J44">
    <cfRule type="expression" dxfId="952" priority="15">
      <formula>J31&gt;0</formula>
    </cfRule>
    <cfRule type="expression" dxfId="951" priority="16">
      <formula>J31&lt;0</formula>
    </cfRule>
  </conditionalFormatting>
  <conditionalFormatting sqref="K31:K44">
    <cfRule type="expression" dxfId="950" priority="13">
      <formula>K31&gt;0</formula>
    </cfRule>
    <cfRule type="expression" dxfId="949" priority="14">
      <formula>K31&lt;0</formula>
    </cfRule>
  </conditionalFormatting>
  <conditionalFormatting sqref="L31:L44">
    <cfRule type="expression" dxfId="948" priority="11">
      <formula>L31&gt;0</formula>
    </cfRule>
    <cfRule type="expression" dxfId="947" priority="12">
      <formula>L31&lt;0</formula>
    </cfRule>
  </conditionalFormatting>
  <conditionalFormatting sqref="H66:H72 F66:F72">
    <cfRule type="expression" dxfId="946" priority="9">
      <formula>F66&gt;0</formula>
    </cfRule>
    <cfRule type="expression" dxfId="945" priority="10">
      <formula>F66&lt;0</formula>
    </cfRule>
  </conditionalFormatting>
  <conditionalFormatting sqref="H73:H76 F73:F76">
    <cfRule type="expression" dxfId="944" priority="7">
      <formula>F73&gt;0</formula>
    </cfRule>
    <cfRule type="expression" dxfId="943" priority="8">
      <formula>F73&lt;0</formula>
    </cfRule>
  </conditionalFormatting>
  <conditionalFormatting sqref="F83:F84 H83:H84">
    <cfRule type="expression" dxfId="942" priority="5">
      <formula>F83&gt;0</formula>
    </cfRule>
    <cfRule type="expression" dxfId="941" priority="6">
      <formula>F83&lt;0</formula>
    </cfRule>
  </conditionalFormatting>
  <conditionalFormatting sqref="F82 H82">
    <cfRule type="expression" dxfId="940" priority="3">
      <formula>F82&gt;0</formula>
    </cfRule>
    <cfRule type="expression" dxfId="939" priority="4">
      <formula>F82&lt;0</formula>
    </cfRule>
  </conditionalFormatting>
  <conditionalFormatting sqref="F79:F81 H79:H81">
    <cfRule type="expression" dxfId="938" priority="1">
      <formula>F79&gt;0</formula>
    </cfRule>
    <cfRule type="expression" dxfId="937" priority="2">
      <formula>F79&lt;0</formula>
    </cfRule>
  </conditionalFormatting>
  <hyperlinks>
    <hyperlink ref="A3" location="ACTIVE!A1" display="Back"/>
    <hyperlink ref="A91" location="ACTIVE!A1" display="Back"/>
  </hyperlinks>
  <pageMargins left="0.7" right="0.7" top="0.75" bottom="0.75" header="0.3" footer="0.3"/>
  <pageSetup orientation="portrait" r:id="rId1"/>
  <drawing r:id="rId2"/>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68" t="s">
        <v>2</v>
      </c>
      <c r="C1" s="15" t="s">
        <v>4</v>
      </c>
      <c r="D1" s="15" t="s">
        <v>5</v>
      </c>
      <c r="E1" s="15" t="s">
        <v>94</v>
      </c>
      <c r="F1" s="15" t="s">
        <v>60</v>
      </c>
      <c r="G1" s="15" t="s">
        <v>3</v>
      </c>
      <c r="H1" s="15" t="s">
        <v>6</v>
      </c>
      <c r="I1" s="44" t="s">
        <v>7</v>
      </c>
      <c r="J1" s="44" t="s">
        <v>95</v>
      </c>
      <c r="K1" s="44" t="s">
        <v>61</v>
      </c>
      <c r="L1" s="15" t="s">
        <v>37</v>
      </c>
      <c r="M1" s="15" t="s">
        <v>38</v>
      </c>
      <c r="T1" s="16" t="s">
        <v>70</v>
      </c>
      <c r="U1" s="124"/>
    </row>
    <row r="2" spans="1:33" x14ac:dyDescent="0.25">
      <c r="A2" s="6" t="s">
        <v>34</v>
      </c>
      <c r="B2" s="407"/>
      <c r="C2" s="4"/>
      <c r="D2" s="3"/>
      <c r="E2" s="3"/>
      <c r="F2" s="3"/>
      <c r="G2" s="407"/>
      <c r="H2" s="4"/>
      <c r="I2" s="3"/>
      <c r="J2" s="3"/>
      <c r="K2" s="3"/>
      <c r="L2" s="4"/>
      <c r="M2" s="4"/>
      <c r="N2" s="4"/>
      <c r="O2" s="11" t="s">
        <v>57</v>
      </c>
      <c r="Q2">
        <f>C22-H22</f>
        <v>0</v>
      </c>
      <c r="T2" s="369">
        <v>42568</v>
      </c>
      <c r="U2" s="124" t="s">
        <v>235</v>
      </c>
      <c r="V2" s="16"/>
    </row>
    <row r="3" spans="1:33" x14ac:dyDescent="0.25">
      <c r="A3" s="22" t="s">
        <v>71</v>
      </c>
      <c r="B3" s="407"/>
      <c r="C3" s="4"/>
      <c r="D3" s="3"/>
      <c r="E3" s="3"/>
      <c r="F3" s="3"/>
      <c r="G3" s="407"/>
      <c r="H3" s="161"/>
      <c r="I3" s="3"/>
      <c r="J3" s="3"/>
      <c r="K3" s="3"/>
      <c r="L3" s="4"/>
      <c r="M3" s="4"/>
      <c r="N3" s="4"/>
      <c r="O3" s="11" t="s">
        <v>58</v>
      </c>
      <c r="Q3" s="411">
        <f>IF(Q2=0, Q4, (F22-K22-M22)/Q2)</f>
        <v>38.24</v>
      </c>
      <c r="T3" s="1">
        <v>42621</v>
      </c>
      <c r="U3" s="33" t="s">
        <v>251</v>
      </c>
      <c r="AC3" s="182"/>
      <c r="AF3" s="182"/>
    </row>
    <row r="4" spans="1:33" x14ac:dyDescent="0.25">
      <c r="B4" s="407"/>
      <c r="C4" s="4"/>
      <c r="D4" s="3"/>
      <c r="E4" s="3"/>
      <c r="F4" s="3"/>
      <c r="G4" s="407"/>
      <c r="H4" s="161"/>
      <c r="I4" s="3"/>
      <c r="J4" s="3"/>
      <c r="K4" s="3"/>
      <c r="L4" s="4"/>
      <c r="M4" s="4"/>
      <c r="N4" s="4"/>
      <c r="O4" s="11" t="s">
        <v>66</v>
      </c>
      <c r="Q4" s="172">
        <v>38.24</v>
      </c>
      <c r="R4" s="405">
        <v>5.1000000000000004E-3</v>
      </c>
      <c r="T4" s="1">
        <v>42627</v>
      </c>
      <c r="U4" s="33" t="s">
        <v>251</v>
      </c>
      <c r="AC4" s="182"/>
      <c r="AF4" s="182"/>
    </row>
    <row r="5" spans="1:33" x14ac:dyDescent="0.25">
      <c r="B5" s="407"/>
      <c r="C5" s="4"/>
      <c r="D5" s="3"/>
      <c r="E5" s="3"/>
      <c r="F5" s="3"/>
      <c r="G5" s="72"/>
      <c r="H5" s="161"/>
      <c r="I5" s="3"/>
      <c r="J5" s="3"/>
      <c r="K5" s="3"/>
      <c r="L5" s="4"/>
      <c r="M5" s="4"/>
      <c r="N5" s="4"/>
      <c r="O5" s="11" t="s">
        <v>67</v>
      </c>
      <c r="Q5" s="3">
        <f>Q4*Q2</f>
        <v>0</v>
      </c>
      <c r="T5" t="s">
        <v>316</v>
      </c>
      <c r="AC5" s="182"/>
      <c r="AF5" s="182"/>
    </row>
    <row r="6" spans="1:33" x14ac:dyDescent="0.25">
      <c r="B6" s="407"/>
      <c r="C6" s="4"/>
      <c r="D6" s="3"/>
      <c r="E6" s="3"/>
      <c r="F6" s="3"/>
      <c r="G6" s="72"/>
      <c r="H6" s="161"/>
      <c r="I6" s="3"/>
      <c r="J6" s="3"/>
      <c r="K6" s="3"/>
      <c r="L6" s="4"/>
      <c r="M6" s="4"/>
      <c r="N6" s="4"/>
      <c r="O6" s="11" t="s">
        <v>64</v>
      </c>
      <c r="Q6" s="2">
        <f>Q3*Q2</f>
        <v>0</v>
      </c>
      <c r="T6" s="22" t="s">
        <v>454</v>
      </c>
      <c r="AC6" s="182"/>
      <c r="AF6" s="182"/>
    </row>
    <row r="7" spans="1:33" x14ac:dyDescent="0.25">
      <c r="G7" s="72"/>
      <c r="H7" s="161"/>
      <c r="I7" s="3"/>
      <c r="J7" s="3"/>
      <c r="K7" s="3"/>
      <c r="L7" s="4"/>
      <c r="M7" s="4"/>
      <c r="N7" s="4"/>
      <c r="O7" s="11" t="s">
        <v>177</v>
      </c>
      <c r="Q7" s="2">
        <f>Q10+Q8</f>
        <v>21137.586999999941</v>
      </c>
      <c r="R7">
        <v>0</v>
      </c>
    </row>
    <row r="8" spans="1:33" x14ac:dyDescent="0.25">
      <c r="G8" s="72"/>
      <c r="H8" s="161"/>
      <c r="I8" s="3"/>
      <c r="J8" s="3"/>
      <c r="K8" s="3"/>
      <c r="L8" s="4"/>
      <c r="M8" s="4"/>
      <c r="N8" s="4"/>
      <c r="O8" s="11" t="s">
        <v>179</v>
      </c>
      <c r="P8" s="33"/>
      <c r="Q8" s="2">
        <f>K22+M22-F22+Q2*Q4</f>
        <v>0</v>
      </c>
      <c r="T8" t="s">
        <v>507</v>
      </c>
      <c r="AC8" s="182"/>
      <c r="AF8" s="182"/>
      <c r="AG8" s="182"/>
    </row>
    <row r="9" spans="1:33" x14ac:dyDescent="0.25">
      <c r="B9" s="407"/>
      <c r="C9" s="4"/>
      <c r="D9" s="3"/>
      <c r="E9" s="3"/>
      <c r="F9" s="3"/>
      <c r="G9" s="157"/>
      <c r="H9" s="4"/>
      <c r="I9" s="3"/>
      <c r="J9" s="3"/>
      <c r="K9" s="3"/>
      <c r="L9" s="4"/>
      <c r="M9" s="4"/>
      <c r="N9" s="4"/>
      <c r="O9" s="11" t="s">
        <v>204</v>
      </c>
      <c r="Q9" s="301">
        <f>IF(Q2=0, 0, Q8/Q6)</f>
        <v>0</v>
      </c>
    </row>
    <row r="10" spans="1:33" x14ac:dyDescent="0.25">
      <c r="G10" s="157"/>
      <c r="H10" s="4"/>
      <c r="I10" s="3"/>
      <c r="J10" s="3"/>
      <c r="K10" s="3"/>
      <c r="L10" s="3"/>
      <c r="M10" s="4"/>
      <c r="N10" s="4"/>
      <c r="O10" s="11" t="s">
        <v>203</v>
      </c>
      <c r="P10" s="33"/>
      <c r="Q10" s="2">
        <f>M259</f>
        <v>21137.586999999941</v>
      </c>
      <c r="T10" s="11"/>
      <c r="AC10" s="182"/>
      <c r="AF10" s="182"/>
    </row>
    <row r="11" spans="1:33" x14ac:dyDescent="0.25">
      <c r="G11" s="72"/>
      <c r="H11" s="4"/>
      <c r="I11" s="3"/>
      <c r="J11" s="3"/>
      <c r="K11" s="3"/>
      <c r="L11" s="4"/>
      <c r="M11" s="4"/>
      <c r="N11" s="4"/>
      <c r="O11" s="11" t="s">
        <v>175</v>
      </c>
      <c r="P11" s="33"/>
      <c r="Q11" s="134">
        <v>0</v>
      </c>
      <c r="T11" s="1"/>
    </row>
    <row r="12" spans="1:33" x14ac:dyDescent="0.25">
      <c r="A12" s="2"/>
      <c r="B12" s="407"/>
      <c r="C12" s="4"/>
      <c r="D12" s="3"/>
      <c r="E12" s="3"/>
      <c r="F12" s="3"/>
      <c r="G12" s="72"/>
      <c r="H12" s="4"/>
      <c r="I12" s="3"/>
      <c r="J12" s="3"/>
      <c r="K12" s="3"/>
      <c r="L12" s="4"/>
      <c r="M12" s="4"/>
      <c r="N12" s="4"/>
      <c r="AC12" s="182"/>
      <c r="AF12" s="182"/>
    </row>
    <row r="13" spans="1:33" x14ac:dyDescent="0.25">
      <c r="B13" s="407"/>
      <c r="C13" s="4"/>
      <c r="D13" s="3"/>
      <c r="E13" s="3"/>
      <c r="F13" s="3"/>
      <c r="G13" s="893"/>
      <c r="H13" s="4"/>
      <c r="I13" s="3"/>
      <c r="J13" s="3"/>
      <c r="K13" s="3"/>
      <c r="L13" s="4"/>
      <c r="M13" s="4"/>
      <c r="N13" s="4"/>
      <c r="T13" s="1"/>
    </row>
    <row r="14" spans="1:33" x14ac:dyDescent="0.25">
      <c r="B14" s="407"/>
      <c r="C14" s="4"/>
      <c r="D14" s="3"/>
      <c r="E14" s="3"/>
      <c r="F14" s="3"/>
      <c r="G14" s="893"/>
      <c r="H14" s="4"/>
      <c r="I14" s="3"/>
      <c r="J14" s="3"/>
      <c r="K14" s="3"/>
      <c r="L14" s="4"/>
      <c r="M14" s="4"/>
      <c r="N14" s="4"/>
      <c r="AC14" s="182"/>
      <c r="AF14" s="182"/>
      <c r="AG14" s="182"/>
    </row>
    <row r="15" spans="1:33" x14ac:dyDescent="0.25">
      <c r="B15" s="407"/>
      <c r="C15" s="4"/>
      <c r="D15" s="3"/>
      <c r="E15" s="3"/>
      <c r="F15" s="3"/>
      <c r="G15" s="72"/>
      <c r="H15" s="4"/>
      <c r="I15" s="3"/>
      <c r="J15" s="3"/>
      <c r="K15" s="3"/>
      <c r="L15" s="4"/>
      <c r="M15" s="4"/>
      <c r="N15" s="4"/>
    </row>
    <row r="16" spans="1:33" x14ac:dyDescent="0.25">
      <c r="B16" s="407"/>
      <c r="C16" s="4"/>
      <c r="D16" s="3"/>
      <c r="E16" s="3"/>
      <c r="F16" s="3"/>
      <c r="G16" s="72"/>
      <c r="H16" s="4"/>
      <c r="I16" s="3"/>
      <c r="J16" s="3"/>
      <c r="K16" s="3"/>
      <c r="L16" s="4"/>
      <c r="M16" s="4"/>
      <c r="N16" s="4"/>
      <c r="O16" s="2"/>
      <c r="P16" s="2"/>
      <c r="Q16" s="2"/>
      <c r="T16" s="68"/>
    </row>
    <row r="17" spans="1:32" x14ac:dyDescent="0.25">
      <c r="B17" s="407"/>
      <c r="C17" s="4"/>
      <c r="D17" s="3"/>
      <c r="E17" s="3"/>
      <c r="F17" s="3"/>
      <c r="G17" s="72"/>
      <c r="H17" s="4"/>
      <c r="I17" s="3"/>
      <c r="J17" s="3"/>
      <c r="K17" s="3"/>
      <c r="L17" s="4"/>
      <c r="M17" s="4"/>
      <c r="N17" s="4"/>
      <c r="O17" s="2"/>
      <c r="P17" s="2"/>
      <c r="Q17" s="2"/>
    </row>
    <row r="18" spans="1:32" x14ac:dyDescent="0.25">
      <c r="B18" s="407"/>
      <c r="C18" s="4"/>
      <c r="D18" s="3"/>
      <c r="E18" s="3"/>
      <c r="F18" s="3"/>
      <c r="G18" s="72"/>
      <c r="H18" s="4"/>
      <c r="I18" s="3"/>
      <c r="J18" s="3"/>
      <c r="K18" s="3"/>
      <c r="L18" s="4"/>
      <c r="M18" s="4"/>
      <c r="N18" s="4"/>
      <c r="O18" s="2"/>
      <c r="P18" s="2"/>
      <c r="Q18" s="2"/>
      <c r="AC18" s="182"/>
      <c r="AF18" s="182"/>
    </row>
    <row r="19" spans="1:32" x14ac:dyDescent="0.25">
      <c r="B19" s="407"/>
      <c r="C19" s="4"/>
      <c r="D19" s="3"/>
      <c r="E19" s="3"/>
      <c r="F19" s="3"/>
      <c r="G19" s="72"/>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7" t="s">
        <v>191</v>
      </c>
      <c r="B23" s="278"/>
      <c r="C23" s="279">
        <f>SumByColor($A$23,C2:C21)</f>
        <v>0</v>
      </c>
      <c r="D23" s="279"/>
      <c r="E23" s="279"/>
      <c r="F23" s="280">
        <f>SumByColor($A$23,F2:F21)</f>
        <v>0</v>
      </c>
      <c r="G23" s="279"/>
      <c r="H23" s="279">
        <f>SumByColor($A$23,H2:H21)</f>
        <v>0</v>
      </c>
      <c r="I23" s="279"/>
      <c r="J23" s="279"/>
      <c r="K23" s="280">
        <f>SumByColor($A$23,K2:K21)</f>
        <v>0</v>
      </c>
      <c r="L23" s="279"/>
      <c r="M23" s="280">
        <f>SumByColor($A$23,M2:M21)</f>
        <v>0</v>
      </c>
      <c r="N23" s="4"/>
      <c r="O23" s="2"/>
      <c r="P23" s="2"/>
      <c r="Q23" s="2"/>
    </row>
    <row r="24" spans="1:32" ht="20.25" thickBot="1" x14ac:dyDescent="0.35">
      <c r="N24" s="4"/>
      <c r="O24" s="585" t="s">
        <v>78</v>
      </c>
      <c r="P24" s="585"/>
      <c r="Q24" s="2"/>
    </row>
    <row r="25" spans="1:32" ht="15.75" thickTop="1" x14ac:dyDescent="0.25">
      <c r="B25" s="407"/>
      <c r="C25" s="4"/>
      <c r="D25" s="3"/>
      <c r="E25" s="3"/>
      <c r="F25" s="3"/>
      <c r="G25" s="72"/>
      <c r="H25" s="4"/>
      <c r="I25" s="3"/>
      <c r="J25" s="3"/>
      <c r="K25" s="3"/>
      <c r="L25" s="4"/>
      <c r="M25" s="4"/>
      <c r="N25" s="4"/>
      <c r="O25" s="81">
        <v>1.1000000000000001</v>
      </c>
      <c r="P25" s="81">
        <f>O25*$Q$4</f>
        <v>42.064000000000007</v>
      </c>
      <c r="Q25" s="2"/>
    </row>
    <row r="26" spans="1:32" x14ac:dyDescent="0.25">
      <c r="B26" s="407"/>
      <c r="C26" s="4"/>
      <c r="D26" s="3"/>
      <c r="E26" s="3"/>
      <c r="F26" s="3"/>
      <c r="G26" s="72"/>
      <c r="H26" s="4"/>
      <c r="I26" s="3"/>
      <c r="J26" s="3"/>
      <c r="K26" s="3"/>
      <c r="L26" s="4"/>
      <c r="M26" s="4"/>
      <c r="N26" s="4"/>
      <c r="O26" s="81">
        <v>1.0900000000000001</v>
      </c>
      <c r="P26" s="81">
        <f t="shared" ref="P26:P45" si="0">O26*$Q$4</f>
        <v>41.681600000000003</v>
      </c>
      <c r="Q26" s="2"/>
    </row>
    <row r="27" spans="1:32" x14ac:dyDescent="0.25">
      <c r="B27" s="407"/>
      <c r="C27" s="4"/>
      <c r="D27" s="3"/>
      <c r="E27" s="3"/>
      <c r="F27" s="3"/>
      <c r="G27" s="72"/>
      <c r="H27" s="161"/>
      <c r="I27" s="3"/>
      <c r="J27" s="3"/>
      <c r="K27" s="3"/>
      <c r="L27" s="4"/>
      <c r="M27" s="4"/>
      <c r="N27" s="4"/>
      <c r="O27" s="81">
        <v>1.08</v>
      </c>
      <c r="P27" s="81">
        <f t="shared" si="0"/>
        <v>41.299200000000006</v>
      </c>
      <c r="Q27" s="2"/>
    </row>
    <row r="28" spans="1:32" x14ac:dyDescent="0.25">
      <c r="B28" s="407"/>
      <c r="C28" s="4"/>
      <c r="D28" s="3"/>
      <c r="E28" s="3"/>
      <c r="F28" s="3"/>
      <c r="G28" s="72"/>
      <c r="H28" s="161"/>
      <c r="I28" s="3"/>
      <c r="J28" s="3"/>
      <c r="K28" s="3"/>
      <c r="L28" s="4"/>
      <c r="M28" s="4"/>
      <c r="N28" s="4"/>
      <c r="O28" s="81">
        <v>1.07</v>
      </c>
      <c r="P28" s="81">
        <f t="shared" si="0"/>
        <v>40.916800000000002</v>
      </c>
      <c r="Q28" s="2"/>
    </row>
    <row r="29" spans="1:32" x14ac:dyDescent="0.25">
      <c r="A29" s="10" t="s">
        <v>686</v>
      </c>
      <c r="B29" s="162" t="s">
        <v>113</v>
      </c>
      <c r="C29" s="162" t="s">
        <v>145</v>
      </c>
      <c r="D29" s="163" t="s">
        <v>144</v>
      </c>
      <c r="E29" s="165" t="s">
        <v>146</v>
      </c>
      <c r="F29" s="166" t="s">
        <v>65</v>
      </c>
      <c r="G29" s="177" t="s">
        <v>150</v>
      </c>
      <c r="H29" s="166" t="s">
        <v>88</v>
      </c>
      <c r="I29" s="177" t="s">
        <v>153</v>
      </c>
      <c r="J29" s="177" t="s">
        <v>487</v>
      </c>
      <c r="K29" s="177" t="s">
        <v>456</v>
      </c>
      <c r="L29" s="177" t="s">
        <v>646</v>
      </c>
      <c r="M29" s="4"/>
      <c r="N29" s="4"/>
      <c r="O29" s="81">
        <v>1.06</v>
      </c>
      <c r="P29" s="81">
        <f t="shared" si="0"/>
        <v>40.534400000000005</v>
      </c>
    </row>
    <row r="30" spans="1:32" x14ac:dyDescent="0.25">
      <c r="A30" s="10"/>
      <c r="B30" s="164"/>
      <c r="C30" s="10"/>
      <c r="D30" s="171"/>
      <c r="E30" s="39"/>
      <c r="F30" s="39"/>
      <c r="G30" s="39"/>
      <c r="H30" s="180"/>
      <c r="I30" s="39"/>
      <c r="J30" s="39"/>
      <c r="K30" s="39"/>
      <c r="L30" s="39"/>
      <c r="M30" s="4"/>
      <c r="N30" s="4"/>
      <c r="O30" s="81">
        <v>1.05</v>
      </c>
      <c r="P30" s="81">
        <f t="shared" si="0"/>
        <v>40.152000000000001</v>
      </c>
    </row>
    <row r="31" spans="1:32" x14ac:dyDescent="0.25">
      <c r="A31" s="10"/>
      <c r="B31" s="164"/>
      <c r="C31" s="10"/>
      <c r="D31" s="171"/>
      <c r="E31" s="39"/>
      <c r="F31" s="39"/>
      <c r="G31" s="39"/>
      <c r="H31" s="180"/>
      <c r="I31" s="39"/>
      <c r="J31" s="39"/>
      <c r="K31" s="39"/>
      <c r="L31" s="39"/>
      <c r="N31" s="4"/>
      <c r="O31" s="81">
        <v>1.04</v>
      </c>
      <c r="P31" s="81">
        <f t="shared" si="0"/>
        <v>39.769600000000004</v>
      </c>
    </row>
    <row r="32" spans="1:32" x14ac:dyDescent="0.25">
      <c r="A32" s="10"/>
      <c r="B32" s="164"/>
      <c r="C32" s="10"/>
      <c r="D32" s="171"/>
      <c r="E32" s="39"/>
      <c r="F32" s="39"/>
      <c r="G32" s="39"/>
      <c r="H32" s="180"/>
      <c r="I32" s="39"/>
      <c r="J32" s="39"/>
      <c r="K32" s="39"/>
      <c r="L32" s="39"/>
      <c r="N32" s="4"/>
      <c r="O32" s="81">
        <v>1.03</v>
      </c>
      <c r="P32" s="81">
        <f t="shared" si="0"/>
        <v>39.3872</v>
      </c>
    </row>
    <row r="33" spans="1:32" x14ac:dyDescent="0.25">
      <c r="A33" s="10"/>
      <c r="B33" s="164"/>
      <c r="C33" s="10"/>
      <c r="D33" s="171"/>
      <c r="E33" s="39"/>
      <c r="F33" s="39"/>
      <c r="G33" s="39"/>
      <c r="H33" s="180"/>
      <c r="I33" s="39"/>
      <c r="J33" s="39"/>
      <c r="K33" s="39"/>
      <c r="L33" s="39"/>
      <c r="N33" s="4"/>
      <c r="O33" s="81">
        <v>1.02</v>
      </c>
      <c r="P33" s="81">
        <f t="shared" si="0"/>
        <v>39.004800000000003</v>
      </c>
    </row>
    <row r="34" spans="1:32" x14ac:dyDescent="0.25">
      <c r="A34" s="10"/>
      <c r="B34" s="164"/>
      <c r="C34" s="10"/>
      <c r="D34" s="171"/>
      <c r="E34" s="39"/>
      <c r="F34" s="39"/>
      <c r="G34" s="39"/>
      <c r="H34" s="180"/>
      <c r="I34" s="39"/>
      <c r="J34" s="39"/>
      <c r="K34" s="39"/>
      <c r="L34" s="39"/>
      <c r="N34" s="4"/>
      <c r="O34" s="81">
        <v>1.01</v>
      </c>
      <c r="P34" s="81">
        <f t="shared" si="0"/>
        <v>38.622399999999999</v>
      </c>
    </row>
    <row r="35" spans="1:32" x14ac:dyDescent="0.25">
      <c r="A35" s="10"/>
      <c r="B35" s="164"/>
      <c r="C35" s="10"/>
      <c r="D35" s="171"/>
      <c r="E35" s="39"/>
      <c r="F35" s="39"/>
      <c r="G35" s="39"/>
      <c r="H35" s="180"/>
      <c r="I35" s="39"/>
      <c r="J35" s="39"/>
      <c r="K35" s="39"/>
      <c r="L35" s="39"/>
      <c r="N35" s="4"/>
      <c r="O35" s="81">
        <v>1</v>
      </c>
      <c r="P35" s="81">
        <f t="shared" si="0"/>
        <v>38.24</v>
      </c>
    </row>
    <row r="36" spans="1:32" x14ac:dyDescent="0.25">
      <c r="A36" s="10"/>
      <c r="B36" s="164"/>
      <c r="C36" s="10"/>
      <c r="D36" s="171"/>
      <c r="E36" s="39"/>
      <c r="F36" s="39"/>
      <c r="G36" s="39"/>
      <c r="H36" s="180"/>
      <c r="I36" s="39"/>
      <c r="J36" s="39"/>
      <c r="K36" s="39"/>
      <c r="L36" s="39"/>
      <c r="N36" s="4"/>
      <c r="O36" s="81">
        <v>0.99</v>
      </c>
      <c r="P36" s="81">
        <f t="shared" si="0"/>
        <v>37.857600000000005</v>
      </c>
      <c r="AC36" s="182"/>
    </row>
    <row r="37" spans="1:32" x14ac:dyDescent="0.25">
      <c r="A37" s="10"/>
      <c r="B37" s="164"/>
      <c r="C37" s="10"/>
      <c r="D37" s="171"/>
      <c r="E37" s="39"/>
      <c r="F37" s="39"/>
      <c r="G37" s="39"/>
      <c r="H37" s="180"/>
      <c r="I37" s="39"/>
      <c r="J37" s="39"/>
      <c r="K37" s="39"/>
      <c r="L37" s="39"/>
      <c r="N37" s="4"/>
      <c r="O37" s="81">
        <v>0.98</v>
      </c>
      <c r="P37" s="81">
        <f t="shared" si="0"/>
        <v>37.475200000000001</v>
      </c>
    </row>
    <row r="38" spans="1:32" x14ac:dyDescent="0.25">
      <c r="A38" s="10"/>
      <c r="B38" s="164"/>
      <c r="C38" s="10"/>
      <c r="D38" s="171"/>
      <c r="E38" s="39"/>
      <c r="F38" s="39"/>
      <c r="G38" s="39"/>
      <c r="H38" s="180"/>
      <c r="I38" s="39"/>
      <c r="J38" s="39"/>
      <c r="K38" s="39"/>
      <c r="L38" s="39"/>
      <c r="N38" s="4"/>
      <c r="O38" s="81">
        <v>0.97</v>
      </c>
      <c r="P38" s="81">
        <f t="shared" si="0"/>
        <v>37.092800000000004</v>
      </c>
    </row>
    <row r="39" spans="1:32" x14ac:dyDescent="0.25">
      <c r="A39" s="10"/>
      <c r="B39" s="164"/>
      <c r="C39" s="10"/>
      <c r="D39" s="171"/>
      <c r="E39" s="39"/>
      <c r="F39" s="39"/>
      <c r="G39" s="39"/>
      <c r="H39" s="180"/>
      <c r="I39" s="39"/>
      <c r="J39" s="39"/>
      <c r="K39" s="39"/>
      <c r="L39" s="39"/>
      <c r="N39" s="4"/>
      <c r="O39" s="81">
        <v>0.96</v>
      </c>
      <c r="P39" s="81">
        <f t="shared" si="0"/>
        <v>36.7104</v>
      </c>
    </row>
    <row r="40" spans="1:32" x14ac:dyDescent="0.25">
      <c r="A40" s="10"/>
      <c r="B40" s="164"/>
      <c r="C40" s="10"/>
      <c r="D40" s="171"/>
      <c r="E40" s="39"/>
      <c r="F40" s="39"/>
      <c r="G40" s="39"/>
      <c r="H40" s="180"/>
      <c r="I40" s="39"/>
      <c r="J40" s="39"/>
      <c r="K40" s="39"/>
      <c r="L40" s="39"/>
      <c r="N40" s="4"/>
      <c r="O40" s="81">
        <v>0.95</v>
      </c>
      <c r="P40" s="81">
        <f t="shared" si="0"/>
        <v>36.328000000000003</v>
      </c>
    </row>
    <row r="41" spans="1:32" x14ac:dyDescent="0.25">
      <c r="A41" s="10"/>
      <c r="B41" s="164"/>
      <c r="C41" s="10"/>
      <c r="D41" s="171"/>
      <c r="E41" s="39"/>
      <c r="F41" s="39"/>
      <c r="G41" s="39"/>
      <c r="H41" s="180"/>
      <c r="I41" s="39"/>
      <c r="J41" s="39"/>
      <c r="K41" s="39"/>
      <c r="L41" s="39"/>
      <c r="N41" s="4"/>
      <c r="O41" s="81">
        <v>0.94</v>
      </c>
      <c r="P41" s="81">
        <f t="shared" si="0"/>
        <v>35.945599999999999</v>
      </c>
    </row>
    <row r="42" spans="1:32" x14ac:dyDescent="0.25">
      <c r="A42" s="10"/>
      <c r="B42" s="164"/>
      <c r="C42" s="10"/>
      <c r="D42" s="171"/>
      <c r="E42" s="39"/>
      <c r="F42" s="39"/>
      <c r="G42" s="39"/>
      <c r="H42" s="180"/>
      <c r="I42" s="39"/>
      <c r="J42" s="39"/>
      <c r="K42" s="39"/>
      <c r="L42" s="39"/>
      <c r="N42" s="4"/>
      <c r="O42" s="81">
        <v>0.93</v>
      </c>
      <c r="P42" s="81">
        <f t="shared" si="0"/>
        <v>35.563200000000002</v>
      </c>
      <c r="AC42" s="182"/>
      <c r="AF42" s="182"/>
    </row>
    <row r="43" spans="1:32" x14ac:dyDescent="0.25">
      <c r="A43" s="10"/>
      <c r="B43" s="164"/>
      <c r="C43" s="10"/>
      <c r="D43" s="171"/>
      <c r="E43" s="39"/>
      <c r="F43" s="39"/>
      <c r="G43" s="39"/>
      <c r="H43" s="180"/>
      <c r="I43" s="39"/>
      <c r="J43" s="39"/>
      <c r="K43" s="39"/>
      <c r="L43" s="39"/>
      <c r="N43" s="4"/>
      <c r="O43" s="81">
        <v>0.92</v>
      </c>
      <c r="P43" s="81">
        <f t="shared" si="0"/>
        <v>35.180800000000005</v>
      </c>
    </row>
    <row r="44" spans="1:32" x14ac:dyDescent="0.25">
      <c r="N44" s="4"/>
      <c r="O44" s="81">
        <v>0.91</v>
      </c>
      <c r="P44" s="81">
        <f t="shared" si="0"/>
        <v>34.798400000000001</v>
      </c>
    </row>
    <row r="45" spans="1:32" x14ac:dyDescent="0.25">
      <c r="B45" s="407"/>
      <c r="C45" s="4"/>
      <c r="D45" s="4"/>
      <c r="E45" s="3"/>
      <c r="F45" s="3"/>
      <c r="G45" s="4"/>
      <c r="H45" s="4"/>
      <c r="I45" s="3"/>
      <c r="J45" s="3"/>
      <c r="K45" s="3"/>
      <c r="L45" s="4"/>
      <c r="M45" s="4"/>
      <c r="N45" s="4"/>
      <c r="O45" s="81">
        <v>0.9</v>
      </c>
      <c r="P45" s="81">
        <f t="shared" si="0"/>
        <v>34.416000000000004</v>
      </c>
    </row>
    <row r="46" spans="1:32" x14ac:dyDescent="0.25">
      <c r="B46" s="162" t="s">
        <v>113</v>
      </c>
      <c r="C46" s="162" t="s">
        <v>145</v>
      </c>
      <c r="D46" s="163" t="s">
        <v>144</v>
      </c>
      <c r="E46" s="165" t="s">
        <v>146</v>
      </c>
      <c r="F46" s="166" t="s">
        <v>65</v>
      </c>
      <c r="G46" s="177" t="s">
        <v>150</v>
      </c>
      <c r="H46" s="166" t="s">
        <v>88</v>
      </c>
      <c r="I46" s="177" t="s">
        <v>153</v>
      </c>
      <c r="J46" s="177" t="s">
        <v>282</v>
      </c>
      <c r="N46" s="4"/>
      <c r="S46" s="4"/>
      <c r="T46" s="4"/>
      <c r="U46" s="107"/>
    </row>
    <row r="47" spans="1:32" x14ac:dyDescent="0.25">
      <c r="B47" s="452">
        <v>42304</v>
      </c>
      <c r="C47" s="456">
        <v>5100</v>
      </c>
      <c r="D47" s="499">
        <v>17.29</v>
      </c>
      <c r="E47" s="457">
        <v>16.68</v>
      </c>
      <c r="F47" s="457">
        <f t="shared" ref="F47:F84" si="1">-C47*(D47-E47)</f>
        <v>-3110.9999999999973</v>
      </c>
      <c r="G47" s="457">
        <f t="shared" ref="G47:G56" si="2">IF(C47=0, 0,D47*C47)</f>
        <v>88179</v>
      </c>
      <c r="H47" s="500">
        <f t="shared" ref="H47:H61" si="3">IF(C47=0, D47, (E47-D47)/D47)</f>
        <v>-3.5280508964719459E-2</v>
      </c>
      <c r="I47" s="457"/>
      <c r="J47" s="457"/>
      <c r="N47" s="4"/>
      <c r="S47" s="4"/>
      <c r="T47" s="4"/>
      <c r="U47" s="107"/>
    </row>
    <row r="48" spans="1:32" x14ac:dyDescent="0.25">
      <c r="B48" s="452">
        <v>42305</v>
      </c>
      <c r="C48" s="456">
        <v>4900</v>
      </c>
      <c r="D48" s="499">
        <v>17.29</v>
      </c>
      <c r="E48" s="457">
        <v>16.920000000000002</v>
      </c>
      <c r="F48" s="457">
        <f t="shared" si="1"/>
        <v>-1812.9999999999875</v>
      </c>
      <c r="G48" s="457">
        <f t="shared" si="2"/>
        <v>84721</v>
      </c>
      <c r="H48" s="500">
        <f t="shared" si="3"/>
        <v>-2.1399652978600199E-2</v>
      </c>
      <c r="I48" s="457"/>
      <c r="J48" s="457"/>
      <c r="N48" s="4"/>
      <c r="S48" s="346"/>
      <c r="T48" s="346"/>
      <c r="U48" s="347"/>
    </row>
    <row r="49" spans="2:32" x14ac:dyDescent="0.25">
      <c r="B49" s="452">
        <v>42306</v>
      </c>
      <c r="C49" s="456">
        <v>5100</v>
      </c>
      <c r="D49" s="499">
        <v>17.25</v>
      </c>
      <c r="E49" s="457">
        <v>16.21</v>
      </c>
      <c r="F49" s="457">
        <f t="shared" si="1"/>
        <v>-5303.9999999999955</v>
      </c>
      <c r="G49" s="457">
        <f t="shared" si="2"/>
        <v>87975</v>
      </c>
      <c r="H49" s="500">
        <f t="shared" si="3"/>
        <v>-6.0289855072463719E-2</v>
      </c>
      <c r="I49" s="457"/>
      <c r="J49" s="457"/>
      <c r="N49" s="4"/>
      <c r="S49" s="4"/>
      <c r="T49" s="4"/>
      <c r="U49" s="181"/>
    </row>
    <row r="50" spans="2:32" x14ac:dyDescent="0.25">
      <c r="B50" s="452">
        <v>42311</v>
      </c>
      <c r="C50" s="456">
        <v>2710</v>
      </c>
      <c r="D50" s="499">
        <v>16.989999999999998</v>
      </c>
      <c r="E50" s="457">
        <v>17.84</v>
      </c>
      <c r="F50" s="457">
        <f t="shared" si="1"/>
        <v>2303.5000000000036</v>
      </c>
      <c r="G50" s="457">
        <f t="shared" si="2"/>
        <v>46042.899999999994</v>
      </c>
      <c r="H50" s="500">
        <f t="shared" si="3"/>
        <v>5.0029429075927105E-2</v>
      </c>
      <c r="I50" s="457"/>
      <c r="J50" s="457"/>
      <c r="N50" s="4"/>
      <c r="S50" s="4"/>
      <c r="T50" s="4"/>
      <c r="U50" s="181"/>
      <c r="AC50" s="182"/>
      <c r="AF50" s="182"/>
    </row>
    <row r="51" spans="2:32" x14ac:dyDescent="0.25">
      <c r="B51" s="452">
        <v>42312</v>
      </c>
      <c r="C51" s="456">
        <v>2902</v>
      </c>
      <c r="D51" s="499">
        <v>16.989999999999998</v>
      </c>
      <c r="E51" s="457">
        <v>17.440000000000001</v>
      </c>
      <c r="F51" s="457">
        <f t="shared" si="1"/>
        <v>1305.9000000000083</v>
      </c>
      <c r="G51" s="457">
        <f t="shared" si="2"/>
        <v>49304.979999999996</v>
      </c>
      <c r="H51" s="500">
        <f t="shared" si="3"/>
        <v>2.6486168334314473E-2</v>
      </c>
      <c r="I51" s="457"/>
      <c r="J51" s="457"/>
      <c r="N51" s="4"/>
      <c r="S51" s="4"/>
      <c r="T51" s="4"/>
      <c r="U51" s="181"/>
    </row>
    <row r="52" spans="2:32" x14ac:dyDescent="0.25">
      <c r="B52" s="452">
        <v>42313</v>
      </c>
      <c r="C52" s="456">
        <v>5710</v>
      </c>
      <c r="D52" s="499">
        <v>16.91</v>
      </c>
      <c r="E52" s="457">
        <v>16.510000000000002</v>
      </c>
      <c r="F52" s="457">
        <f t="shared" si="1"/>
        <v>-2283.9999999999918</v>
      </c>
      <c r="G52" s="457">
        <f t="shared" si="2"/>
        <v>96556.1</v>
      </c>
      <c r="H52" s="500">
        <f t="shared" si="3"/>
        <v>-2.3654642223536283E-2</v>
      </c>
      <c r="I52" s="457"/>
      <c r="J52" s="457"/>
      <c r="N52" s="4"/>
      <c r="S52" s="4"/>
      <c r="T52" s="4"/>
      <c r="U52" s="181"/>
    </row>
    <row r="53" spans="2:32" x14ac:dyDescent="0.25">
      <c r="B53" s="452">
        <v>42314</v>
      </c>
      <c r="C53" s="456">
        <v>4710</v>
      </c>
      <c r="D53" s="499">
        <v>16.95</v>
      </c>
      <c r="E53" s="457">
        <v>16.45</v>
      </c>
      <c r="F53" s="457">
        <f t="shared" si="1"/>
        <v>-2355</v>
      </c>
      <c r="G53" s="457">
        <f t="shared" si="2"/>
        <v>79834.5</v>
      </c>
      <c r="H53" s="500">
        <f t="shared" si="3"/>
        <v>-2.9498525073746312E-2</v>
      </c>
      <c r="I53" s="457"/>
      <c r="J53" s="457"/>
      <c r="N53" s="4"/>
      <c r="S53" s="4"/>
      <c r="T53" s="4"/>
      <c r="U53" s="181"/>
    </row>
    <row r="54" spans="2:32" x14ac:dyDescent="0.25">
      <c r="B54" s="452">
        <v>42317</v>
      </c>
      <c r="C54" s="456">
        <v>5060</v>
      </c>
      <c r="D54" s="499">
        <v>16.87</v>
      </c>
      <c r="E54" s="457">
        <v>15.84</v>
      </c>
      <c r="F54" s="457">
        <f t="shared" si="1"/>
        <v>-5211.8000000000056</v>
      </c>
      <c r="G54" s="457">
        <f t="shared" si="2"/>
        <v>85362.200000000012</v>
      </c>
      <c r="H54" s="500">
        <f t="shared" si="3"/>
        <v>-6.1055127445169E-2</v>
      </c>
      <c r="I54" s="457"/>
      <c r="J54" s="457"/>
      <c r="N54" s="4"/>
      <c r="S54" s="4"/>
      <c r="T54" s="4"/>
      <c r="U54" s="348"/>
      <c r="AC54" s="182"/>
      <c r="AF54" s="182"/>
    </row>
    <row r="55" spans="2:32" x14ac:dyDescent="0.25">
      <c r="B55" s="452">
        <v>42324</v>
      </c>
      <c r="C55" s="456">
        <v>6000</v>
      </c>
      <c r="D55" s="499">
        <v>16.54</v>
      </c>
      <c r="E55" s="457">
        <v>14.89</v>
      </c>
      <c r="F55" s="457">
        <f t="shared" si="1"/>
        <v>-9899.9999999999909</v>
      </c>
      <c r="G55" s="457">
        <f t="shared" si="2"/>
        <v>99240</v>
      </c>
      <c r="H55" s="500">
        <f t="shared" si="3"/>
        <v>-9.9758162031438849E-2</v>
      </c>
      <c r="I55" s="457"/>
      <c r="J55" s="457"/>
      <c r="N55" s="4"/>
      <c r="S55" s="4"/>
      <c r="T55" s="4"/>
      <c r="U55" s="107"/>
    </row>
    <row r="56" spans="2:32" x14ac:dyDescent="0.25">
      <c r="B56" s="452">
        <v>42325</v>
      </c>
      <c r="C56" s="456">
        <v>5060</v>
      </c>
      <c r="D56" s="499">
        <v>16.73</v>
      </c>
      <c r="E56" s="457">
        <v>15.28</v>
      </c>
      <c r="F56" s="457">
        <f t="shared" si="1"/>
        <v>-7337.0000000000055</v>
      </c>
      <c r="G56" s="457">
        <f t="shared" si="2"/>
        <v>84653.8</v>
      </c>
      <c r="H56" s="500">
        <f t="shared" si="3"/>
        <v>-8.6670651524208067E-2</v>
      </c>
      <c r="I56" s="457"/>
      <c r="J56" s="457"/>
      <c r="N56" s="4"/>
      <c r="S56" s="4"/>
      <c r="T56" s="4"/>
      <c r="U56" s="107"/>
    </row>
    <row r="57" spans="2:32" x14ac:dyDescent="0.25">
      <c r="B57" s="452">
        <v>42328</v>
      </c>
      <c r="C57" s="456">
        <v>6000</v>
      </c>
      <c r="D57" s="499">
        <v>16.52</v>
      </c>
      <c r="E57" s="457">
        <v>15.39</v>
      </c>
      <c r="F57" s="457">
        <f t="shared" si="1"/>
        <v>-6779.9999999999936</v>
      </c>
      <c r="G57" s="457">
        <f t="shared" ref="G57:G84" si="4">IF(C57=0, 0,D57*C57)</f>
        <v>99120</v>
      </c>
      <c r="H57" s="500">
        <f t="shared" si="3"/>
        <v>-6.8401937046004779E-2</v>
      </c>
      <c r="I57" s="457"/>
      <c r="J57" s="457"/>
      <c r="N57" s="4"/>
      <c r="S57" s="346"/>
      <c r="T57" s="346"/>
      <c r="U57" s="347"/>
    </row>
    <row r="58" spans="2:32" x14ac:dyDescent="0.25">
      <c r="B58" s="452">
        <v>42331</v>
      </c>
      <c r="C58" s="456">
        <v>5060</v>
      </c>
      <c r="D58" s="499">
        <v>16.68</v>
      </c>
      <c r="E58" s="457">
        <v>15.32</v>
      </c>
      <c r="F58" s="457">
        <f t="shared" si="1"/>
        <v>-6881.5999999999967</v>
      </c>
      <c r="G58" s="457">
        <f t="shared" si="4"/>
        <v>84400.8</v>
      </c>
      <c r="H58" s="500">
        <f t="shared" si="3"/>
        <v>-8.1534772182254162E-2</v>
      </c>
      <c r="I58" s="457"/>
      <c r="J58" s="457"/>
      <c r="N58" s="4"/>
      <c r="S58" s="4"/>
      <c r="T58" s="4"/>
      <c r="U58" s="181"/>
      <c r="AC58" s="182"/>
      <c r="AF58" s="182"/>
    </row>
    <row r="59" spans="2:32" x14ac:dyDescent="0.25">
      <c r="B59" s="452">
        <v>42338</v>
      </c>
      <c r="C59" s="456">
        <v>4710</v>
      </c>
      <c r="D59" s="499">
        <v>16.73</v>
      </c>
      <c r="E59" s="457">
        <v>15.93</v>
      </c>
      <c r="F59" s="457">
        <f t="shared" si="1"/>
        <v>-3768.0000000000032</v>
      </c>
      <c r="G59" s="457">
        <f t="shared" si="4"/>
        <v>78798.3</v>
      </c>
      <c r="H59" s="500">
        <f t="shared" si="3"/>
        <v>-4.7818290496114808E-2</v>
      </c>
      <c r="I59" s="457"/>
      <c r="J59" s="457"/>
      <c r="N59" s="4"/>
      <c r="S59" s="4"/>
      <c r="T59" s="4"/>
      <c r="U59" s="181"/>
    </row>
    <row r="60" spans="2:32" x14ac:dyDescent="0.25">
      <c r="B60" s="452">
        <v>42340</v>
      </c>
      <c r="C60" s="456">
        <v>5060</v>
      </c>
      <c r="D60" s="499">
        <v>16.670000000000002</v>
      </c>
      <c r="E60" s="457">
        <v>15.82</v>
      </c>
      <c r="F60" s="457">
        <f t="shared" si="1"/>
        <v>-4301.0000000000073</v>
      </c>
      <c r="G60" s="457">
        <f t="shared" si="4"/>
        <v>84350.200000000012</v>
      </c>
      <c r="H60" s="500">
        <f t="shared" si="3"/>
        <v>-5.0989802039592164E-2</v>
      </c>
      <c r="I60" s="457"/>
      <c r="J60" s="457"/>
      <c r="N60" s="4"/>
      <c r="S60" s="4"/>
      <c r="T60" s="4"/>
      <c r="U60" s="348"/>
    </row>
    <row r="61" spans="2:32" x14ac:dyDescent="0.25">
      <c r="B61" s="452">
        <v>42341</v>
      </c>
      <c r="C61" s="456">
        <v>5060</v>
      </c>
      <c r="D61" s="499">
        <v>16.64</v>
      </c>
      <c r="E61" s="457">
        <v>15.61</v>
      </c>
      <c r="F61" s="457">
        <f t="shared" si="1"/>
        <v>-5211.8000000000056</v>
      </c>
      <c r="G61" s="457">
        <f t="shared" si="4"/>
        <v>84198.400000000009</v>
      </c>
      <c r="H61" s="500">
        <f t="shared" si="3"/>
        <v>-6.1899038461538526E-2</v>
      </c>
      <c r="I61" s="457"/>
      <c r="J61" s="457"/>
      <c r="N61" s="4"/>
      <c r="S61" s="4"/>
      <c r="T61" s="4"/>
      <c r="U61" s="107"/>
    </row>
    <row r="62" spans="2:32" x14ac:dyDescent="0.25">
      <c r="B62" s="452">
        <v>42347</v>
      </c>
      <c r="C62" s="456">
        <v>5260</v>
      </c>
      <c r="D62" s="499">
        <v>16.559999999999999</v>
      </c>
      <c r="E62" s="457">
        <v>14.32</v>
      </c>
      <c r="F62" s="457">
        <f t="shared" si="1"/>
        <v>-11782.399999999992</v>
      </c>
      <c r="G62" s="457">
        <f t="shared" si="4"/>
        <v>87105.599999999991</v>
      </c>
      <c r="H62" s="500">
        <f t="shared" ref="H62:H84" si="5">IF(C62=0, D62, (E62-D62)/D62)</f>
        <v>-0.13526570048309169</v>
      </c>
      <c r="I62" s="457"/>
      <c r="J62" s="457"/>
      <c r="N62" s="4"/>
      <c r="S62" s="4"/>
      <c r="T62" s="4"/>
      <c r="U62" s="107"/>
    </row>
    <row r="63" spans="2:32" x14ac:dyDescent="0.25">
      <c r="B63" s="452">
        <v>42348</v>
      </c>
      <c r="C63" s="456">
        <v>5060</v>
      </c>
      <c r="D63" s="499">
        <v>16.63</v>
      </c>
      <c r="E63" s="457">
        <v>14.66</v>
      </c>
      <c r="F63" s="457">
        <f t="shared" si="1"/>
        <v>-9968.1999999999935</v>
      </c>
      <c r="G63" s="457">
        <f t="shared" si="4"/>
        <v>84147.799999999988</v>
      </c>
      <c r="H63" s="500">
        <f t="shared" si="5"/>
        <v>-0.11846061334936855</v>
      </c>
      <c r="I63" s="457"/>
      <c r="J63" s="457"/>
      <c r="N63" s="4"/>
      <c r="S63" s="4"/>
      <c r="T63" s="4"/>
      <c r="U63" s="107"/>
    </row>
    <row r="64" spans="2:32" x14ac:dyDescent="0.25">
      <c r="B64" s="452">
        <v>42349</v>
      </c>
      <c r="C64" s="456">
        <v>5060</v>
      </c>
      <c r="D64" s="499">
        <v>16.62</v>
      </c>
      <c r="E64" s="457">
        <v>14.04</v>
      </c>
      <c r="F64" s="457">
        <f t="shared" si="1"/>
        <v>-13054.80000000001</v>
      </c>
      <c r="G64" s="457">
        <f t="shared" si="4"/>
        <v>84097.200000000012</v>
      </c>
      <c r="H64" s="500">
        <f t="shared" si="5"/>
        <v>-0.15523465703971129</v>
      </c>
      <c r="I64" s="457"/>
      <c r="J64" s="457"/>
      <c r="N64" s="4"/>
    </row>
    <row r="65" spans="2:18" x14ac:dyDescent="0.25">
      <c r="B65" s="452">
        <v>42349</v>
      </c>
      <c r="C65" s="456">
        <v>6000</v>
      </c>
      <c r="D65" s="499">
        <v>16.22</v>
      </c>
      <c r="E65" s="457">
        <v>14.04</v>
      </c>
      <c r="F65" s="457">
        <f t="shared" si="1"/>
        <v>-13079.999999999998</v>
      </c>
      <c r="G65" s="457">
        <f t="shared" si="4"/>
        <v>97320</v>
      </c>
      <c r="H65" s="500">
        <f t="shared" si="5"/>
        <v>-0.13440197287299629</v>
      </c>
      <c r="I65" s="457"/>
      <c r="J65" s="457"/>
      <c r="N65" s="4"/>
    </row>
    <row r="66" spans="2:18" x14ac:dyDescent="0.25">
      <c r="B66" s="452">
        <v>42349</v>
      </c>
      <c r="C66" s="456">
        <v>6200</v>
      </c>
      <c r="D66" s="499">
        <v>16.14</v>
      </c>
      <c r="E66" s="457">
        <v>14.04</v>
      </c>
      <c r="F66" s="457">
        <f t="shared" si="1"/>
        <v>-13020.000000000009</v>
      </c>
      <c r="G66" s="457">
        <f t="shared" si="4"/>
        <v>100068</v>
      </c>
      <c r="H66" s="500">
        <f t="shared" si="5"/>
        <v>-0.13011152416356886</v>
      </c>
      <c r="I66" s="457"/>
      <c r="J66" s="457"/>
      <c r="N66" s="4"/>
    </row>
    <row r="67" spans="2:18" x14ac:dyDescent="0.25">
      <c r="B67" s="452">
        <v>42349</v>
      </c>
      <c r="C67" s="456">
        <v>5721</v>
      </c>
      <c r="D67" s="499">
        <v>16.32</v>
      </c>
      <c r="E67" s="457">
        <v>14.04</v>
      </c>
      <c r="F67" s="457">
        <f t="shared" si="1"/>
        <v>-13043.880000000006</v>
      </c>
      <c r="G67" s="457">
        <f t="shared" si="4"/>
        <v>93366.720000000001</v>
      </c>
      <c r="H67" s="500">
        <f t="shared" si="5"/>
        <v>-0.13970588235294124</v>
      </c>
      <c r="I67" s="457"/>
      <c r="J67" s="457"/>
      <c r="N67" s="4"/>
      <c r="O67" s="4"/>
      <c r="P67" s="4"/>
      <c r="Q67" s="4"/>
      <c r="R67" s="4"/>
    </row>
    <row r="68" spans="2:18" x14ac:dyDescent="0.25">
      <c r="B68" s="452">
        <v>42349</v>
      </c>
      <c r="C68" s="456">
        <v>5060</v>
      </c>
      <c r="D68" s="499">
        <v>16.6143</v>
      </c>
      <c r="E68" s="457">
        <v>14.04</v>
      </c>
      <c r="F68" s="457">
        <f t="shared" si="1"/>
        <v>-13025.958000000004</v>
      </c>
      <c r="G68" s="457">
        <f t="shared" si="4"/>
        <v>84068.358000000007</v>
      </c>
      <c r="H68" s="500">
        <f t="shared" si="5"/>
        <v>-0.15494483667683867</v>
      </c>
      <c r="I68" s="457"/>
      <c r="J68" s="457"/>
      <c r="O68" s="346"/>
      <c r="P68" s="4"/>
      <c r="Q68" s="4"/>
      <c r="R68" s="4"/>
    </row>
    <row r="69" spans="2:18" x14ac:dyDescent="0.25">
      <c r="B69" s="452">
        <v>42356</v>
      </c>
      <c r="C69" s="456">
        <v>5060</v>
      </c>
      <c r="D69" s="499">
        <v>16.596900000000002</v>
      </c>
      <c r="E69" s="457">
        <v>14.32</v>
      </c>
      <c r="F69" s="457">
        <f t="shared" si="1"/>
        <v>-11521.114000000007</v>
      </c>
      <c r="G69" s="457">
        <f t="shared" si="4"/>
        <v>83980.314000000013</v>
      </c>
      <c r="H69" s="500">
        <f t="shared" si="5"/>
        <v>-0.13718827009863294</v>
      </c>
      <c r="I69" s="457"/>
      <c r="J69" s="457"/>
      <c r="Q69" s="346"/>
      <c r="R69" s="346"/>
    </row>
    <row r="70" spans="2:18" x14ac:dyDescent="0.25">
      <c r="B70" s="452">
        <v>42356</v>
      </c>
      <c r="C70" s="456">
        <v>7000</v>
      </c>
      <c r="D70" s="499">
        <v>15.97</v>
      </c>
      <c r="E70" s="457">
        <v>14.34</v>
      </c>
      <c r="F70" s="457">
        <f t="shared" si="1"/>
        <v>-11410.000000000005</v>
      </c>
      <c r="G70" s="457">
        <f t="shared" si="4"/>
        <v>111790</v>
      </c>
      <c r="H70" s="500">
        <f t="shared" si="5"/>
        <v>-0.10206637445209772</v>
      </c>
      <c r="I70" s="457"/>
      <c r="J70" s="457"/>
      <c r="Q70" s="4"/>
      <c r="R70" s="4"/>
    </row>
    <row r="71" spans="2:18" x14ac:dyDescent="0.25">
      <c r="B71" s="452">
        <v>42356</v>
      </c>
      <c r="C71" s="456">
        <v>6000</v>
      </c>
      <c r="D71" s="499">
        <v>16.23</v>
      </c>
      <c r="E71" s="457">
        <v>14.36</v>
      </c>
      <c r="F71" s="457">
        <f t="shared" si="1"/>
        <v>-11220.000000000005</v>
      </c>
      <c r="G71" s="457">
        <f t="shared" si="4"/>
        <v>97380</v>
      </c>
      <c r="H71" s="500">
        <f t="shared" si="5"/>
        <v>-0.11521873074553302</v>
      </c>
      <c r="I71" s="457"/>
      <c r="J71" s="457"/>
      <c r="Q71" s="4"/>
      <c r="R71" s="4"/>
    </row>
    <row r="72" spans="2:18" x14ac:dyDescent="0.25">
      <c r="B72" s="452">
        <v>42357</v>
      </c>
      <c r="C72" s="456">
        <v>5500</v>
      </c>
      <c r="D72" s="499">
        <v>16.398399999999999</v>
      </c>
      <c r="E72" s="457">
        <v>14.36</v>
      </c>
      <c r="F72" s="457">
        <f t="shared" si="1"/>
        <v>-11211.199999999997</v>
      </c>
      <c r="G72" s="457">
        <f t="shared" si="4"/>
        <v>90191.2</v>
      </c>
      <c r="H72" s="500">
        <f t="shared" si="5"/>
        <v>-0.12430481022538781</v>
      </c>
      <c r="I72" s="457"/>
      <c r="J72" s="457"/>
      <c r="Q72" s="4"/>
      <c r="R72" s="4"/>
    </row>
    <row r="73" spans="2:18" x14ac:dyDescent="0.25">
      <c r="B73" s="452">
        <v>42359</v>
      </c>
      <c r="C73" s="456">
        <v>5060</v>
      </c>
      <c r="D73" s="499">
        <v>16.55</v>
      </c>
      <c r="E73" s="457">
        <v>14.64</v>
      </c>
      <c r="F73" s="457">
        <f t="shared" si="1"/>
        <v>-9664.6</v>
      </c>
      <c r="G73" s="457">
        <f t="shared" si="4"/>
        <v>83743</v>
      </c>
      <c r="H73" s="500">
        <f t="shared" si="5"/>
        <v>-0.11540785498489427</v>
      </c>
      <c r="I73" s="457"/>
      <c r="J73" s="457"/>
      <c r="Q73" s="4"/>
      <c r="R73" s="4"/>
    </row>
    <row r="74" spans="2:18" x14ac:dyDescent="0.25">
      <c r="B74" s="452">
        <v>42361</v>
      </c>
      <c r="C74" s="456">
        <v>5060</v>
      </c>
      <c r="D74" s="499">
        <v>16.5456</v>
      </c>
      <c r="E74" s="457">
        <v>14.61</v>
      </c>
      <c r="F74" s="457">
        <f t="shared" si="1"/>
        <v>-9794.1360000000041</v>
      </c>
      <c r="G74" s="457">
        <f t="shared" si="4"/>
        <v>83720.736000000004</v>
      </c>
      <c r="H74" s="500">
        <f t="shared" si="5"/>
        <v>-0.11698578474035398</v>
      </c>
      <c r="I74" s="457"/>
      <c r="J74" s="457"/>
      <c r="Q74" s="4"/>
      <c r="R74" s="4"/>
    </row>
    <row r="75" spans="2:18" x14ac:dyDescent="0.25">
      <c r="B75" s="452">
        <v>42377</v>
      </c>
      <c r="C75" s="456">
        <v>5260</v>
      </c>
      <c r="D75" s="499">
        <v>16.424099999999999</v>
      </c>
      <c r="E75" s="457">
        <v>13.33</v>
      </c>
      <c r="F75" s="457">
        <f t="shared" si="1"/>
        <v>-16274.965999999995</v>
      </c>
      <c r="G75" s="457">
        <f t="shared" si="4"/>
        <v>86390.766000000003</v>
      </c>
      <c r="H75" s="500">
        <f t="shared" si="5"/>
        <v>-0.18838779598273264</v>
      </c>
      <c r="I75" s="457"/>
      <c r="J75" s="457"/>
      <c r="Q75" s="4"/>
      <c r="R75" s="4"/>
    </row>
    <row r="76" spans="2:18" x14ac:dyDescent="0.25">
      <c r="B76" s="452">
        <v>42398</v>
      </c>
      <c r="C76" s="456">
        <v>5000</v>
      </c>
      <c r="D76" s="499">
        <v>16.72</v>
      </c>
      <c r="E76" s="457">
        <v>10.74</v>
      </c>
      <c r="F76" s="457">
        <f t="shared" si="1"/>
        <v>-29899.999999999993</v>
      </c>
      <c r="G76" s="457">
        <f t="shared" si="4"/>
        <v>83600</v>
      </c>
      <c r="H76" s="500">
        <f t="shared" si="5"/>
        <v>-0.35765550239234445</v>
      </c>
      <c r="I76" s="457"/>
      <c r="J76" s="457"/>
      <c r="Q76" s="4"/>
      <c r="R76" s="4"/>
    </row>
    <row r="77" spans="2:18" x14ac:dyDescent="0.25">
      <c r="B77" s="452">
        <v>42401</v>
      </c>
      <c r="C77" s="456">
        <v>5260</v>
      </c>
      <c r="D77" s="499">
        <v>16.419699999999999</v>
      </c>
      <c r="E77" s="457">
        <v>10.96</v>
      </c>
      <c r="F77" s="457">
        <f t="shared" si="1"/>
        <v>-28718.02199999999</v>
      </c>
      <c r="G77" s="457">
        <f t="shared" si="4"/>
        <v>86367.621999999988</v>
      </c>
      <c r="H77" s="500">
        <f t="shared" si="5"/>
        <v>-0.33250912014226802</v>
      </c>
      <c r="I77" s="457"/>
      <c r="J77" s="457"/>
      <c r="Q77" s="4"/>
      <c r="R77" s="4"/>
    </row>
    <row r="78" spans="2:18" x14ac:dyDescent="0.25">
      <c r="B78" s="452">
        <v>42416</v>
      </c>
      <c r="C78" s="456">
        <v>4760</v>
      </c>
      <c r="D78" s="499">
        <v>17.02</v>
      </c>
      <c r="E78" s="457">
        <v>10.65</v>
      </c>
      <c r="F78" s="457">
        <f t="shared" si="1"/>
        <v>-30321.199999999997</v>
      </c>
      <c r="G78" s="457">
        <f t="shared" si="4"/>
        <v>81015.199999999997</v>
      </c>
      <c r="H78" s="500">
        <f t="shared" si="5"/>
        <v>-0.37426556991774379</v>
      </c>
      <c r="I78" s="457"/>
      <c r="J78" s="457"/>
      <c r="Q78" s="346"/>
      <c r="R78" s="346"/>
    </row>
    <row r="79" spans="2:18" x14ac:dyDescent="0.25">
      <c r="B79" s="452">
        <v>42416</v>
      </c>
      <c r="C79" s="456">
        <v>4000</v>
      </c>
      <c r="D79" s="499">
        <v>18.1967</v>
      </c>
      <c r="E79" s="457">
        <v>10.744999999999999</v>
      </c>
      <c r="F79" s="457">
        <f t="shared" si="1"/>
        <v>-29806.800000000003</v>
      </c>
      <c r="G79" s="457">
        <f t="shared" si="4"/>
        <v>72786.8</v>
      </c>
      <c r="H79" s="500">
        <f t="shared" si="5"/>
        <v>-0.40950831744217364</v>
      </c>
      <c r="I79" s="457"/>
      <c r="J79" s="457"/>
      <c r="Q79" s="4"/>
      <c r="R79" s="4"/>
    </row>
    <row r="80" spans="2:18" x14ac:dyDescent="0.25">
      <c r="B80" s="452">
        <v>42418</v>
      </c>
      <c r="C80" s="456">
        <v>3600</v>
      </c>
      <c r="D80" s="499">
        <v>18.931999999999999</v>
      </c>
      <c r="E80" s="457">
        <v>10.81</v>
      </c>
      <c r="F80" s="457">
        <f t="shared" si="1"/>
        <v>-29239.199999999993</v>
      </c>
      <c r="G80" s="457">
        <f t="shared" si="4"/>
        <v>68155.199999999997</v>
      </c>
      <c r="H80" s="500">
        <f t="shared" si="5"/>
        <v>-0.42900908514684127</v>
      </c>
      <c r="I80" s="457"/>
      <c r="J80" s="457"/>
      <c r="Q80" s="4"/>
      <c r="R80" s="4"/>
    </row>
    <row r="81" spans="2:18" x14ac:dyDescent="0.25">
      <c r="B81" s="452">
        <v>42423</v>
      </c>
      <c r="C81" s="456">
        <v>5260</v>
      </c>
      <c r="D81" s="499">
        <v>16.356200000000001</v>
      </c>
      <c r="E81" s="457">
        <v>10.49</v>
      </c>
      <c r="F81" s="457">
        <f t="shared" si="1"/>
        <v>-30856.212000000007</v>
      </c>
      <c r="G81" s="457">
        <f t="shared" si="4"/>
        <v>86033.612000000008</v>
      </c>
      <c r="H81" s="500">
        <f t="shared" si="5"/>
        <v>-0.35865298785781541</v>
      </c>
      <c r="I81" s="457"/>
      <c r="J81" s="457"/>
      <c r="Q81" s="4"/>
      <c r="R81" s="4"/>
    </row>
    <row r="82" spans="2:18" x14ac:dyDescent="0.25">
      <c r="B82" s="452">
        <v>42431</v>
      </c>
      <c r="C82" s="456">
        <v>4760</v>
      </c>
      <c r="D82" s="499">
        <v>16.858899999999998</v>
      </c>
      <c r="E82" s="457">
        <v>11.68</v>
      </c>
      <c r="F82" s="457">
        <f t="shared" si="1"/>
        <v>-24651.563999999995</v>
      </c>
      <c r="G82" s="457">
        <f t="shared" si="4"/>
        <v>80248.363999999987</v>
      </c>
      <c r="H82" s="500">
        <f t="shared" si="5"/>
        <v>-0.30719086061368173</v>
      </c>
      <c r="I82" s="457"/>
      <c r="J82" s="457"/>
      <c r="Q82" s="4"/>
      <c r="R82" s="4"/>
    </row>
    <row r="83" spans="2:18" x14ac:dyDescent="0.25">
      <c r="B83" s="452">
        <v>42436</v>
      </c>
      <c r="C83" s="456">
        <v>5290</v>
      </c>
      <c r="D83" s="499">
        <v>16.258900000000001</v>
      </c>
      <c r="E83" s="457">
        <v>11.58</v>
      </c>
      <c r="F83" s="457">
        <f t="shared" si="1"/>
        <v>-24751.381000000001</v>
      </c>
      <c r="G83" s="457">
        <f t="shared" si="4"/>
        <v>86009.581000000006</v>
      </c>
      <c r="H83" s="500">
        <f t="shared" si="5"/>
        <v>-0.28777469570512154</v>
      </c>
      <c r="I83" s="457"/>
      <c r="J83" s="457"/>
      <c r="Q83" s="4"/>
      <c r="R83" s="4"/>
    </row>
    <row r="84" spans="2:18" x14ac:dyDescent="0.25">
      <c r="B84" s="452">
        <v>42444</v>
      </c>
      <c r="C84" s="456">
        <v>5290</v>
      </c>
      <c r="D84" s="499">
        <v>16.259</v>
      </c>
      <c r="E84" s="457">
        <v>10.85</v>
      </c>
      <c r="F84" s="457">
        <f t="shared" si="1"/>
        <v>-28613.610000000004</v>
      </c>
      <c r="G84" s="457">
        <f t="shared" si="4"/>
        <v>86010.11</v>
      </c>
      <c r="H84" s="500">
        <f t="shared" si="5"/>
        <v>-0.33267728642597949</v>
      </c>
      <c r="I84" s="457"/>
      <c r="J84" s="457"/>
      <c r="Q84" s="4"/>
      <c r="R84" s="4"/>
    </row>
    <row r="85" spans="2:18" x14ac:dyDescent="0.25">
      <c r="B85" s="452">
        <v>42446</v>
      </c>
      <c r="C85" s="456">
        <v>5295</v>
      </c>
      <c r="D85" s="499">
        <v>16.2348</v>
      </c>
      <c r="E85" s="457">
        <v>10.87</v>
      </c>
      <c r="F85" s="457">
        <f t="shared" ref="F85:F123" si="6">-C85*(D85-E85)</f>
        <v>-28406.616000000002</v>
      </c>
      <c r="G85" s="457">
        <f t="shared" ref="G85:G123" si="7">IF(C85=0, 0,D85*C85)</f>
        <v>85963.266000000003</v>
      </c>
      <c r="H85" s="500">
        <f t="shared" ref="H85:H123" si="8">IF(C85=0, D85, (E85-D85)/D85)</f>
        <v>-0.33045063690344201</v>
      </c>
      <c r="I85" s="457"/>
      <c r="J85" s="457"/>
    </row>
    <row r="86" spans="2:18" x14ac:dyDescent="0.25">
      <c r="B86" s="452">
        <v>42447</v>
      </c>
      <c r="C86" s="456">
        <v>5300</v>
      </c>
      <c r="D86" s="499">
        <v>16.211200000000002</v>
      </c>
      <c r="E86" s="457">
        <v>11.07</v>
      </c>
      <c r="F86" s="457">
        <f t="shared" si="6"/>
        <v>-27248.360000000008</v>
      </c>
      <c r="G86" s="457">
        <f t="shared" si="7"/>
        <v>85919.360000000015</v>
      </c>
      <c r="H86" s="500">
        <f t="shared" si="8"/>
        <v>-0.31713876825898152</v>
      </c>
      <c r="I86" s="457"/>
      <c r="J86" s="457"/>
    </row>
    <row r="87" spans="2:18" x14ac:dyDescent="0.25">
      <c r="B87" s="452">
        <v>42447</v>
      </c>
      <c r="C87" s="456">
        <v>5155</v>
      </c>
      <c r="D87" s="499">
        <v>16.352699999999999</v>
      </c>
      <c r="E87" s="457">
        <v>11.14</v>
      </c>
      <c r="F87" s="457">
        <f t="shared" si="6"/>
        <v>-26871.468499999992</v>
      </c>
      <c r="G87" s="457">
        <f t="shared" si="7"/>
        <v>84298.1685</v>
      </c>
      <c r="H87" s="500">
        <f t="shared" si="8"/>
        <v>-0.31876693145474438</v>
      </c>
      <c r="I87" s="457"/>
      <c r="J87" s="457"/>
    </row>
    <row r="88" spans="2:18" x14ac:dyDescent="0.25">
      <c r="B88" s="452">
        <v>42450</v>
      </c>
      <c r="C88" s="456">
        <v>3955</v>
      </c>
      <c r="D88" s="499">
        <v>17.7959</v>
      </c>
      <c r="E88" s="457">
        <v>11.54</v>
      </c>
      <c r="F88" s="457">
        <f t="shared" si="6"/>
        <v>-24742.084500000001</v>
      </c>
      <c r="G88" s="457">
        <f t="shared" si="7"/>
        <v>70382.784499999994</v>
      </c>
      <c r="H88" s="500">
        <f t="shared" si="8"/>
        <v>-0.3515360279614968</v>
      </c>
      <c r="I88" s="457"/>
      <c r="J88" s="457"/>
      <c r="N88" s="4"/>
    </row>
    <row r="89" spans="2:18" x14ac:dyDescent="0.25">
      <c r="B89" s="452">
        <v>42451</v>
      </c>
      <c r="C89" s="456">
        <v>5260</v>
      </c>
      <c r="D89" s="499">
        <v>16.2089</v>
      </c>
      <c r="E89" s="457">
        <v>11.44</v>
      </c>
      <c r="F89" s="457">
        <f t="shared" si="6"/>
        <v>-25084.414000000001</v>
      </c>
      <c r="G89" s="457">
        <f t="shared" si="7"/>
        <v>85258.813999999998</v>
      </c>
      <c r="H89" s="500">
        <f t="shared" si="8"/>
        <v>-0.29421490662537253</v>
      </c>
      <c r="I89" s="501"/>
      <c r="J89" s="501"/>
    </row>
    <row r="90" spans="2:18" x14ac:dyDescent="0.25">
      <c r="B90" s="452">
        <v>42451</v>
      </c>
      <c r="C90" s="456">
        <v>5360</v>
      </c>
      <c r="D90" s="499">
        <v>16.1083</v>
      </c>
      <c r="E90" s="457">
        <v>10.65</v>
      </c>
      <c r="F90" s="457">
        <f t="shared" si="6"/>
        <v>-29256.487999999998</v>
      </c>
      <c r="G90" s="457">
        <f t="shared" si="7"/>
        <v>86340.487999999998</v>
      </c>
      <c r="H90" s="500">
        <f t="shared" si="8"/>
        <v>-0.33885015799308427</v>
      </c>
      <c r="I90" s="501"/>
      <c r="J90" s="501"/>
    </row>
    <row r="91" spans="2:18" x14ac:dyDescent="0.25">
      <c r="B91" s="452">
        <v>42461</v>
      </c>
      <c r="C91" s="456">
        <v>5260</v>
      </c>
      <c r="D91" s="499">
        <v>16.207000000000001</v>
      </c>
      <c r="E91" s="457">
        <v>10.92</v>
      </c>
      <c r="F91" s="457">
        <f t="shared" si="6"/>
        <v>-27809.620000000003</v>
      </c>
      <c r="G91" s="457">
        <f t="shared" si="7"/>
        <v>85248.82</v>
      </c>
      <c r="H91" s="500">
        <f t="shared" si="8"/>
        <v>-0.32621706669957429</v>
      </c>
      <c r="I91" s="457"/>
      <c r="J91" s="457"/>
    </row>
    <row r="92" spans="2:18" x14ac:dyDescent="0.25">
      <c r="B92" s="452">
        <v>42465</v>
      </c>
      <c r="C92" s="456">
        <v>5260</v>
      </c>
      <c r="D92" s="499">
        <v>16.207000000000001</v>
      </c>
      <c r="E92" s="457">
        <v>10.4</v>
      </c>
      <c r="F92" s="457">
        <f t="shared" si="6"/>
        <v>-30544.820000000003</v>
      </c>
      <c r="G92" s="457">
        <f t="shared" si="7"/>
        <v>85248.82</v>
      </c>
      <c r="H92" s="500">
        <f t="shared" si="8"/>
        <v>-0.3583019682853088</v>
      </c>
      <c r="I92" s="457"/>
      <c r="J92" s="457"/>
    </row>
    <row r="93" spans="2:18" x14ac:dyDescent="0.25">
      <c r="B93" s="452">
        <v>42467</v>
      </c>
      <c r="C93" s="456">
        <v>5760</v>
      </c>
      <c r="D93" s="499">
        <v>15.703799999999999</v>
      </c>
      <c r="E93" s="457">
        <v>10.4</v>
      </c>
      <c r="F93" s="457">
        <f t="shared" si="6"/>
        <v>-30549.887999999995</v>
      </c>
      <c r="G93" s="457">
        <f t="shared" si="7"/>
        <v>90453.887999999992</v>
      </c>
      <c r="H93" s="500">
        <f t="shared" si="8"/>
        <v>-0.33773991008545695</v>
      </c>
      <c r="I93" s="457"/>
      <c r="J93" s="457"/>
    </row>
    <row r="94" spans="2:18" x14ac:dyDescent="0.25">
      <c r="B94" s="452">
        <v>42468</v>
      </c>
      <c r="C94" s="456">
        <v>5260</v>
      </c>
      <c r="D94" s="499">
        <v>16.167100000000001</v>
      </c>
      <c r="E94" s="457">
        <v>10.76</v>
      </c>
      <c r="F94" s="457">
        <f t="shared" si="6"/>
        <v>-28441.346000000009</v>
      </c>
      <c r="G94" s="457">
        <f t="shared" si="7"/>
        <v>85038.946000000011</v>
      </c>
      <c r="H94" s="500">
        <f t="shared" si="8"/>
        <v>-0.33445082915303309</v>
      </c>
      <c r="I94" s="501" t="s">
        <v>189</v>
      </c>
      <c r="J94" s="501"/>
    </row>
    <row r="95" spans="2:18" x14ac:dyDescent="0.25">
      <c r="B95" s="452">
        <v>42472</v>
      </c>
      <c r="C95" s="456">
        <v>5860</v>
      </c>
      <c r="D95" s="499">
        <v>15.567399999999999</v>
      </c>
      <c r="E95" s="457">
        <v>10.17</v>
      </c>
      <c r="F95" s="457">
        <f t="shared" si="6"/>
        <v>-31628.763999999996</v>
      </c>
      <c r="G95" s="457">
        <f t="shared" si="7"/>
        <v>91224.963999999993</v>
      </c>
      <c r="H95" s="500">
        <f t="shared" si="8"/>
        <v>-0.34671171807752094</v>
      </c>
      <c r="I95" s="457"/>
      <c r="J95" s="457"/>
    </row>
    <row r="96" spans="2:18" x14ac:dyDescent="0.25">
      <c r="B96" s="452">
        <v>42473</v>
      </c>
      <c r="C96" s="456">
        <v>5260</v>
      </c>
      <c r="D96" s="499">
        <v>16.1158</v>
      </c>
      <c r="E96" s="457">
        <v>10.88</v>
      </c>
      <c r="F96" s="457">
        <f t="shared" si="6"/>
        <v>-27540.307999999997</v>
      </c>
      <c r="G96" s="457">
        <f t="shared" si="7"/>
        <v>84769.108000000007</v>
      </c>
      <c r="H96" s="500">
        <f t="shared" si="8"/>
        <v>-0.32488613658645549</v>
      </c>
      <c r="I96" s="457"/>
      <c r="J96" s="457"/>
    </row>
    <row r="97" spans="2:16" x14ac:dyDescent="0.25">
      <c r="B97" s="452">
        <v>42484</v>
      </c>
      <c r="C97" s="456">
        <v>5260</v>
      </c>
      <c r="D97" s="499">
        <v>16.1158</v>
      </c>
      <c r="E97" s="457">
        <v>10.66</v>
      </c>
      <c r="F97" s="457">
        <f t="shared" si="6"/>
        <v>-28697.508000000002</v>
      </c>
      <c r="G97" s="457">
        <f t="shared" si="7"/>
        <v>84769.108000000007</v>
      </c>
      <c r="H97" s="500">
        <f t="shared" si="8"/>
        <v>-0.33853733603047942</v>
      </c>
      <c r="I97" s="457"/>
      <c r="J97" s="457"/>
    </row>
    <row r="98" spans="2:16" x14ac:dyDescent="0.25">
      <c r="B98" s="452">
        <v>42486</v>
      </c>
      <c r="C98" s="456">
        <v>4260</v>
      </c>
      <c r="D98" s="499">
        <v>17.2287</v>
      </c>
      <c r="E98" s="457">
        <v>11.51</v>
      </c>
      <c r="F98" s="457">
        <f t="shared" si="6"/>
        <v>-24361.662</v>
      </c>
      <c r="G98" s="457">
        <f t="shared" si="7"/>
        <v>73394.262000000002</v>
      </c>
      <c r="H98" s="500">
        <f t="shared" si="8"/>
        <v>-0.33192870036624933</v>
      </c>
      <c r="I98" s="457"/>
      <c r="J98" s="457"/>
    </row>
    <row r="99" spans="2:16" x14ac:dyDescent="0.25">
      <c r="B99" s="452">
        <v>42487</v>
      </c>
      <c r="C99" s="456">
        <v>5260</v>
      </c>
      <c r="D99" s="499">
        <v>16.099699999999999</v>
      </c>
      <c r="E99" s="457">
        <v>11.56</v>
      </c>
      <c r="F99" s="457">
        <f t="shared" si="6"/>
        <v>-23878.821999999989</v>
      </c>
      <c r="G99" s="457">
        <f t="shared" si="7"/>
        <v>84684.421999999991</v>
      </c>
      <c r="H99" s="500">
        <f t="shared" si="8"/>
        <v>-0.28197419827698644</v>
      </c>
      <c r="I99" s="457"/>
      <c r="J99" s="457"/>
      <c r="O99" s="4"/>
      <c r="P99" s="188"/>
    </row>
    <row r="100" spans="2:16" x14ac:dyDescent="0.25">
      <c r="B100" s="452">
        <v>42488</v>
      </c>
      <c r="C100" s="456">
        <v>5260</v>
      </c>
      <c r="D100" s="499">
        <v>16.078399999999998</v>
      </c>
      <c r="E100" s="457">
        <v>11.62</v>
      </c>
      <c r="F100" s="457">
        <f t="shared" si="6"/>
        <v>-23451.183999999997</v>
      </c>
      <c r="G100" s="457">
        <f t="shared" si="7"/>
        <v>84572.383999999991</v>
      </c>
      <c r="H100" s="500">
        <f t="shared" si="8"/>
        <v>-0.27729127276345905</v>
      </c>
      <c r="I100" s="457"/>
      <c r="J100" s="457"/>
      <c r="O100" s="4"/>
      <c r="P100" s="4"/>
    </row>
    <row r="101" spans="2:16" x14ac:dyDescent="0.25">
      <c r="B101" s="452">
        <v>42489</v>
      </c>
      <c r="C101" s="456">
        <v>5500</v>
      </c>
      <c r="D101" s="499">
        <v>15.848599999999999</v>
      </c>
      <c r="E101" s="457">
        <v>10.75</v>
      </c>
      <c r="F101" s="457">
        <f t="shared" si="6"/>
        <v>-28042.299999999996</v>
      </c>
      <c r="G101" s="457">
        <f t="shared" si="7"/>
        <v>87167.3</v>
      </c>
      <c r="H101" s="500">
        <f t="shared" si="8"/>
        <v>-0.32170664916774983</v>
      </c>
      <c r="I101" s="457"/>
      <c r="J101" s="457"/>
      <c r="O101" s="4"/>
      <c r="P101" s="4"/>
    </row>
    <row r="102" spans="2:16" x14ac:dyDescent="0.25">
      <c r="B102" s="452">
        <v>42494</v>
      </c>
      <c r="C102" s="456">
        <v>6500</v>
      </c>
      <c r="D102" s="499">
        <v>14.9526</v>
      </c>
      <c r="E102" s="457">
        <v>10</v>
      </c>
      <c r="F102" s="457">
        <f t="shared" si="6"/>
        <v>-32191.9</v>
      </c>
      <c r="G102" s="457">
        <f t="shared" si="7"/>
        <v>97191.900000000009</v>
      </c>
      <c r="H102" s="500">
        <f t="shared" si="8"/>
        <v>-0.33121998849698381</v>
      </c>
      <c r="I102" s="457"/>
      <c r="J102" s="457"/>
    </row>
    <row r="103" spans="2:16" x14ac:dyDescent="0.25">
      <c r="B103" s="452">
        <v>42495</v>
      </c>
      <c r="C103" s="456">
        <v>5500</v>
      </c>
      <c r="D103" s="499">
        <v>15.7966</v>
      </c>
      <c r="E103" s="457">
        <v>10.06</v>
      </c>
      <c r="F103" s="457">
        <f t="shared" si="6"/>
        <v>-31551.299999999996</v>
      </c>
      <c r="G103" s="457">
        <f t="shared" si="7"/>
        <v>86881.3</v>
      </c>
      <c r="H103" s="500">
        <f t="shared" si="8"/>
        <v>-0.363154096451135</v>
      </c>
      <c r="I103" s="457"/>
      <c r="J103" s="457"/>
    </row>
    <row r="104" spans="2:16" x14ac:dyDescent="0.25">
      <c r="B104" s="452">
        <v>42502</v>
      </c>
      <c r="C104" s="456">
        <v>8500</v>
      </c>
      <c r="D104" s="499">
        <v>13.6378</v>
      </c>
      <c r="E104" s="457">
        <v>9.6199999999999992</v>
      </c>
      <c r="F104" s="457">
        <f t="shared" si="6"/>
        <v>-34151.30000000001</v>
      </c>
      <c r="G104" s="457">
        <f t="shared" si="7"/>
        <v>115921.3</v>
      </c>
      <c r="H104" s="500">
        <f t="shared" si="8"/>
        <v>-0.2946076346624823</v>
      </c>
      <c r="I104" s="457"/>
      <c r="J104" s="457"/>
    </row>
    <row r="105" spans="2:16" x14ac:dyDescent="0.25">
      <c r="B105" s="452">
        <v>42503</v>
      </c>
      <c r="C105" s="456">
        <v>5500</v>
      </c>
      <c r="D105" s="499">
        <v>15.754899999999999</v>
      </c>
      <c r="E105" s="457">
        <v>9.58</v>
      </c>
      <c r="F105" s="457">
        <f t="shared" si="6"/>
        <v>-33961.949999999997</v>
      </c>
      <c r="G105" s="457">
        <f t="shared" si="7"/>
        <v>86651.95</v>
      </c>
      <c r="H105" s="500">
        <f t="shared" si="8"/>
        <v>-0.39193520745926663</v>
      </c>
      <c r="I105" s="457"/>
      <c r="J105" s="457"/>
    </row>
    <row r="106" spans="2:16" x14ac:dyDescent="0.25">
      <c r="B106" s="452">
        <v>42510</v>
      </c>
      <c r="C106" s="502">
        <v>5000</v>
      </c>
      <c r="D106" s="503">
        <v>16.255400000000002</v>
      </c>
      <c r="E106" s="457">
        <v>10.8</v>
      </c>
      <c r="F106" s="457">
        <f t="shared" si="6"/>
        <v>-27277.000000000004</v>
      </c>
      <c r="G106" s="457">
        <f t="shared" si="7"/>
        <v>81277.000000000015</v>
      </c>
      <c r="H106" s="500">
        <f t="shared" si="8"/>
        <v>-0.33560539882131479</v>
      </c>
      <c r="I106" s="457"/>
      <c r="J106" s="457"/>
    </row>
    <row r="107" spans="2:16" x14ac:dyDescent="0.25">
      <c r="B107" s="452">
        <v>42514</v>
      </c>
      <c r="C107" s="456">
        <v>4500</v>
      </c>
      <c r="D107" s="499">
        <v>16.752199999999998</v>
      </c>
      <c r="E107" s="457">
        <v>11.49</v>
      </c>
      <c r="F107" s="457">
        <f t="shared" si="6"/>
        <v>-23679.899999999991</v>
      </c>
      <c r="G107" s="457">
        <f t="shared" si="7"/>
        <v>75384.899999999994</v>
      </c>
      <c r="H107" s="500">
        <f t="shared" si="8"/>
        <v>-0.31411993648595399</v>
      </c>
      <c r="I107" s="457"/>
      <c r="J107" s="457"/>
    </row>
    <row r="108" spans="2:16" x14ac:dyDescent="0.25">
      <c r="B108" s="452">
        <v>42515</v>
      </c>
      <c r="C108" s="456">
        <v>4500</v>
      </c>
      <c r="D108" s="499">
        <v>16.746700000000001</v>
      </c>
      <c r="E108" s="457">
        <v>11.6</v>
      </c>
      <c r="F108" s="457">
        <f t="shared" si="6"/>
        <v>-23160.150000000005</v>
      </c>
      <c r="G108" s="457">
        <f t="shared" si="7"/>
        <v>75360.150000000009</v>
      </c>
      <c r="H108" s="500">
        <f t="shared" si="8"/>
        <v>-0.30732621949398992</v>
      </c>
      <c r="I108" s="457"/>
      <c r="J108" s="457"/>
    </row>
    <row r="109" spans="2:16" x14ac:dyDescent="0.25">
      <c r="B109" s="452">
        <v>42516</v>
      </c>
      <c r="C109" s="456">
        <v>4000</v>
      </c>
      <c r="D109" s="499">
        <v>17.344999999999999</v>
      </c>
      <c r="E109" s="457">
        <v>11.95</v>
      </c>
      <c r="F109" s="457">
        <f t="shared" si="6"/>
        <v>-21580</v>
      </c>
      <c r="G109" s="457">
        <f t="shared" si="7"/>
        <v>69380</v>
      </c>
      <c r="H109" s="500">
        <f t="shared" si="8"/>
        <v>-0.31104064571922746</v>
      </c>
      <c r="I109" s="457"/>
      <c r="J109" s="457"/>
    </row>
    <row r="110" spans="2:16" x14ac:dyDescent="0.25">
      <c r="B110" s="452">
        <v>42517</v>
      </c>
      <c r="C110" s="456">
        <v>4000</v>
      </c>
      <c r="D110" s="499">
        <v>17.322700000000001</v>
      </c>
      <c r="E110" s="457">
        <v>12.31</v>
      </c>
      <c r="F110" s="457">
        <f t="shared" si="6"/>
        <v>-20050.800000000003</v>
      </c>
      <c r="G110" s="457">
        <f t="shared" si="7"/>
        <v>69290.8</v>
      </c>
      <c r="H110" s="500">
        <f t="shared" si="8"/>
        <v>-0.28937174920768705</v>
      </c>
      <c r="I110" s="457"/>
      <c r="J110" s="457"/>
    </row>
    <row r="111" spans="2:16" x14ac:dyDescent="0.25">
      <c r="B111" s="452">
        <v>42522</v>
      </c>
      <c r="C111" s="456">
        <v>3375</v>
      </c>
      <c r="D111" s="499">
        <v>18.078900000000001</v>
      </c>
      <c r="E111" s="457">
        <v>13.09</v>
      </c>
      <c r="F111" s="457">
        <f t="shared" si="6"/>
        <v>-16837.537500000002</v>
      </c>
      <c r="G111" s="457">
        <f t="shared" si="7"/>
        <v>61016.287500000006</v>
      </c>
      <c r="H111" s="500">
        <f t="shared" si="8"/>
        <v>-0.27595152359933406</v>
      </c>
      <c r="I111" s="457"/>
      <c r="J111" s="457"/>
    </row>
    <row r="112" spans="2:16" x14ac:dyDescent="0.25">
      <c r="B112" s="452">
        <v>42524</v>
      </c>
      <c r="C112" s="456">
        <v>4000</v>
      </c>
      <c r="D112" s="499">
        <v>17.229099999999999</v>
      </c>
      <c r="E112" s="457">
        <v>12.86</v>
      </c>
      <c r="F112" s="457">
        <f t="shared" si="6"/>
        <v>-17476.399999999998</v>
      </c>
      <c r="G112" s="457">
        <f t="shared" si="7"/>
        <v>68916.399999999994</v>
      </c>
      <c r="H112" s="500">
        <f t="shared" si="8"/>
        <v>-0.25358840566251284</v>
      </c>
      <c r="I112" s="457"/>
      <c r="J112" s="457"/>
    </row>
    <row r="113" spans="2:10" x14ac:dyDescent="0.25">
      <c r="B113" s="452">
        <v>42530</v>
      </c>
      <c r="C113" s="456">
        <v>4000</v>
      </c>
      <c r="D113" s="499">
        <v>17.184100000000001</v>
      </c>
      <c r="E113" s="457">
        <v>12.51</v>
      </c>
      <c r="F113" s="457">
        <f t="shared" si="6"/>
        <v>-18696.400000000005</v>
      </c>
      <c r="G113" s="457">
        <f t="shared" si="7"/>
        <v>68736.400000000009</v>
      </c>
      <c r="H113" s="500">
        <f t="shared" si="8"/>
        <v>-0.27200144319458108</v>
      </c>
      <c r="I113" s="457"/>
      <c r="J113" s="457"/>
    </row>
    <row r="114" spans="2:10" x14ac:dyDescent="0.25">
      <c r="B114" s="452">
        <v>42532</v>
      </c>
      <c r="C114" s="456">
        <v>4760</v>
      </c>
      <c r="D114" s="499">
        <v>16.386800000000001</v>
      </c>
      <c r="E114" s="457">
        <v>12.14</v>
      </c>
      <c r="F114" s="457">
        <f t="shared" si="6"/>
        <v>-20214.768</v>
      </c>
      <c r="G114" s="457">
        <f t="shared" si="7"/>
        <v>78001.168000000005</v>
      </c>
      <c r="H114" s="500">
        <f t="shared" si="8"/>
        <v>-0.25915981155564233</v>
      </c>
      <c r="I114" s="457"/>
      <c r="J114" s="457"/>
    </row>
    <row r="115" spans="2:10" x14ac:dyDescent="0.25">
      <c r="B115" s="452">
        <v>42535</v>
      </c>
      <c r="C115" s="456">
        <v>4760</v>
      </c>
      <c r="D115" s="499">
        <v>16.387</v>
      </c>
      <c r="E115" s="457">
        <v>11.92</v>
      </c>
      <c r="F115" s="457">
        <f t="shared" si="6"/>
        <v>-21262.920000000002</v>
      </c>
      <c r="G115" s="457">
        <f t="shared" si="7"/>
        <v>78002.12</v>
      </c>
      <c r="H115" s="500">
        <f t="shared" si="8"/>
        <v>-0.27259412949289075</v>
      </c>
      <c r="I115" s="457"/>
      <c r="J115" s="457"/>
    </row>
    <row r="116" spans="2:10" x14ac:dyDescent="0.25">
      <c r="B116" s="452">
        <v>42537</v>
      </c>
      <c r="C116" s="456">
        <v>4760</v>
      </c>
      <c r="D116" s="499">
        <v>16.361599999999999</v>
      </c>
      <c r="E116" s="457">
        <v>11.95</v>
      </c>
      <c r="F116" s="457">
        <f t="shared" si="6"/>
        <v>-20999.216</v>
      </c>
      <c r="G116" s="457">
        <f t="shared" si="7"/>
        <v>77881.216</v>
      </c>
      <c r="H116" s="500">
        <f t="shared" si="8"/>
        <v>-0.26963133189908078</v>
      </c>
      <c r="I116" s="457"/>
      <c r="J116" s="457"/>
    </row>
    <row r="117" spans="2:10" x14ac:dyDescent="0.25">
      <c r="B117" s="452">
        <v>42541</v>
      </c>
      <c r="C117" s="456">
        <v>4600</v>
      </c>
      <c r="D117" s="499">
        <v>16.459700000000002</v>
      </c>
      <c r="E117" s="457">
        <v>12.32</v>
      </c>
      <c r="F117" s="457">
        <f t="shared" si="6"/>
        <v>-19042.620000000006</v>
      </c>
      <c r="G117" s="457">
        <f t="shared" si="7"/>
        <v>75714.62000000001</v>
      </c>
      <c r="H117" s="500">
        <f t="shared" si="8"/>
        <v>-0.25150519146764527</v>
      </c>
      <c r="I117" s="457"/>
      <c r="J117" s="457"/>
    </row>
    <row r="118" spans="2:10" x14ac:dyDescent="0.25">
      <c r="B118" s="452">
        <v>42542</v>
      </c>
      <c r="C118" s="456">
        <v>4000</v>
      </c>
      <c r="D118" s="499">
        <v>17.010200000000001</v>
      </c>
      <c r="E118" s="457">
        <v>12.75</v>
      </c>
      <c r="F118" s="457">
        <f t="shared" si="6"/>
        <v>-17040.800000000003</v>
      </c>
      <c r="G118" s="457">
        <f t="shared" si="7"/>
        <v>68040.800000000003</v>
      </c>
      <c r="H118" s="500">
        <f t="shared" si="8"/>
        <v>-0.25044973016190292</v>
      </c>
      <c r="I118" s="457"/>
      <c r="J118" s="457"/>
    </row>
    <row r="119" spans="2:10" x14ac:dyDescent="0.25">
      <c r="B119" s="452">
        <v>42544</v>
      </c>
      <c r="C119" s="456">
        <v>2500</v>
      </c>
      <c r="D119" s="499">
        <v>18.952100000000002</v>
      </c>
      <c r="E119" s="457">
        <v>14.05</v>
      </c>
      <c r="F119" s="457">
        <f t="shared" si="6"/>
        <v>-12255.250000000002</v>
      </c>
      <c r="G119" s="457">
        <f t="shared" si="7"/>
        <v>47380.250000000007</v>
      </c>
      <c r="H119" s="500">
        <f t="shared" si="8"/>
        <v>-0.25865735195571998</v>
      </c>
      <c r="I119" s="457"/>
      <c r="J119" s="457"/>
    </row>
    <row r="120" spans="2:10" x14ac:dyDescent="0.25">
      <c r="B120" s="452">
        <v>42545</v>
      </c>
      <c r="C120" s="456">
        <v>3000</v>
      </c>
      <c r="D120" s="499">
        <v>18.046700000000001</v>
      </c>
      <c r="E120" s="457">
        <v>13.52</v>
      </c>
      <c r="F120" s="457">
        <f t="shared" si="6"/>
        <v>-13580.100000000006</v>
      </c>
      <c r="G120" s="457">
        <f t="shared" si="7"/>
        <v>54140.100000000006</v>
      </c>
      <c r="H120" s="500">
        <f t="shared" si="8"/>
        <v>-0.25083256218588446</v>
      </c>
      <c r="I120" s="457"/>
      <c r="J120" s="457"/>
    </row>
    <row r="121" spans="2:10" x14ac:dyDescent="0.25">
      <c r="B121" s="452">
        <v>42545</v>
      </c>
      <c r="C121" s="456">
        <v>3500</v>
      </c>
      <c r="D121" s="499">
        <v>17.391500000000001</v>
      </c>
      <c r="E121" s="457">
        <v>13.46</v>
      </c>
      <c r="F121" s="457">
        <f t="shared" si="6"/>
        <v>-13760.25</v>
      </c>
      <c r="G121" s="457">
        <f t="shared" si="7"/>
        <v>60870.25</v>
      </c>
      <c r="H121" s="500">
        <f t="shared" si="8"/>
        <v>-0.22605870683954804</v>
      </c>
      <c r="I121" s="457"/>
      <c r="J121" s="457"/>
    </row>
    <row r="122" spans="2:10" x14ac:dyDescent="0.25">
      <c r="B122" s="452">
        <v>42545</v>
      </c>
      <c r="C122" s="456">
        <v>4000</v>
      </c>
      <c r="D122" s="499">
        <v>16.8825</v>
      </c>
      <c r="E122" s="457">
        <v>13.32</v>
      </c>
      <c r="F122" s="457">
        <f t="shared" si="6"/>
        <v>-14250</v>
      </c>
      <c r="G122" s="457">
        <f t="shared" si="7"/>
        <v>67530</v>
      </c>
      <c r="H122" s="500">
        <f t="shared" si="8"/>
        <v>-0.21101732563305198</v>
      </c>
      <c r="I122" s="457"/>
      <c r="J122" s="457"/>
    </row>
    <row r="123" spans="2:10" x14ac:dyDescent="0.25">
      <c r="B123" s="452">
        <v>42548</v>
      </c>
      <c r="C123" s="456">
        <v>4760</v>
      </c>
      <c r="D123" s="499">
        <v>16.2315</v>
      </c>
      <c r="E123" s="457">
        <v>12.23</v>
      </c>
      <c r="F123" s="457">
        <f t="shared" si="6"/>
        <v>-19047.14</v>
      </c>
      <c r="G123" s="457">
        <f t="shared" si="7"/>
        <v>77261.94</v>
      </c>
      <c r="H123" s="500">
        <f t="shared" si="8"/>
        <v>-0.246526815143394</v>
      </c>
      <c r="I123" s="457"/>
      <c r="J123" s="457"/>
    </row>
    <row r="124" spans="2:10" x14ac:dyDescent="0.25">
      <c r="B124" s="452">
        <v>42548</v>
      </c>
      <c r="C124" s="456">
        <v>5260</v>
      </c>
      <c r="D124" s="499">
        <v>15.884399999999999</v>
      </c>
      <c r="E124" s="457">
        <v>12.23</v>
      </c>
      <c r="F124" s="457">
        <f t="shared" ref="F124:F171" si="9">-C124*(D124-E124)</f>
        <v>-19222.143999999993</v>
      </c>
      <c r="G124" s="457">
        <f t="shared" ref="G124:G171" si="10">IF(C124=0, 0,D124*C124)</f>
        <v>83551.944000000003</v>
      </c>
      <c r="H124" s="500">
        <f t="shared" ref="H124:H171" si="11">IF(C124=0, D124, (E124-D124)/D124)</f>
        <v>-0.23006219939059702</v>
      </c>
      <c r="I124" s="457"/>
      <c r="J124" s="457"/>
    </row>
    <row r="125" spans="2:10" x14ac:dyDescent="0.25">
      <c r="B125" s="452">
        <v>42549</v>
      </c>
      <c r="C125" s="456">
        <v>4500</v>
      </c>
      <c r="D125" s="499">
        <v>16.3767</v>
      </c>
      <c r="E125" s="457">
        <v>12.99</v>
      </c>
      <c r="F125" s="457">
        <f t="shared" si="9"/>
        <v>-15240.149999999998</v>
      </c>
      <c r="G125" s="457">
        <f t="shared" si="10"/>
        <v>73695.149999999994</v>
      </c>
      <c r="H125" s="500">
        <f t="shared" si="11"/>
        <v>-0.2067999047427137</v>
      </c>
      <c r="I125" s="457"/>
      <c r="J125" s="457"/>
    </row>
    <row r="126" spans="2:10" x14ac:dyDescent="0.25">
      <c r="B126" s="452">
        <v>42550</v>
      </c>
      <c r="C126" s="456">
        <v>4500</v>
      </c>
      <c r="D126" s="499">
        <v>16.3767</v>
      </c>
      <c r="E126" s="457">
        <v>13.19</v>
      </c>
      <c r="F126" s="457">
        <f t="shared" si="9"/>
        <v>-14340.15</v>
      </c>
      <c r="G126" s="457">
        <f t="shared" si="10"/>
        <v>73695.149999999994</v>
      </c>
      <c r="H126" s="500">
        <f t="shared" si="11"/>
        <v>-0.19458743214444912</v>
      </c>
      <c r="I126" s="457">
        <v>16</v>
      </c>
      <c r="J126" s="457"/>
    </row>
    <row r="127" spans="2:10" x14ac:dyDescent="0.25">
      <c r="B127" s="452">
        <v>42551</v>
      </c>
      <c r="C127" s="456">
        <v>4000</v>
      </c>
      <c r="D127" s="499">
        <v>16.708500000000001</v>
      </c>
      <c r="E127" s="457">
        <v>13.76</v>
      </c>
      <c r="F127" s="457">
        <f t="shared" si="9"/>
        <v>-11794.000000000004</v>
      </c>
      <c r="G127" s="457">
        <f t="shared" si="10"/>
        <v>66834</v>
      </c>
      <c r="H127" s="500">
        <f t="shared" si="11"/>
        <v>-0.176467067660173</v>
      </c>
      <c r="I127" s="457"/>
      <c r="J127" s="457"/>
    </row>
    <row r="128" spans="2:10" x14ac:dyDescent="0.25">
      <c r="B128" s="452">
        <v>42551</v>
      </c>
      <c r="C128" s="456">
        <v>4500</v>
      </c>
      <c r="D128" s="499">
        <v>16.23</v>
      </c>
      <c r="E128" s="457">
        <v>13.76</v>
      </c>
      <c r="F128" s="457">
        <f t="shared" si="9"/>
        <v>-11115.000000000004</v>
      </c>
      <c r="G128" s="457">
        <f t="shared" si="10"/>
        <v>73035</v>
      </c>
      <c r="H128" s="500">
        <f t="shared" si="11"/>
        <v>-0.15218730745532968</v>
      </c>
      <c r="I128" s="457" t="s">
        <v>223</v>
      </c>
      <c r="J128" s="457"/>
    </row>
    <row r="129" spans="2:10" x14ac:dyDescent="0.25">
      <c r="B129" s="452">
        <v>42552</v>
      </c>
      <c r="C129" s="456">
        <v>4500</v>
      </c>
      <c r="D129" s="499">
        <v>16.23</v>
      </c>
      <c r="E129" s="457">
        <v>12.5</v>
      </c>
      <c r="F129" s="457">
        <f t="shared" si="9"/>
        <v>-16785.000000000004</v>
      </c>
      <c r="G129" s="457">
        <f t="shared" si="10"/>
        <v>73035</v>
      </c>
      <c r="H129" s="500">
        <f t="shared" si="11"/>
        <v>-0.22982131854590268</v>
      </c>
      <c r="I129" s="457"/>
      <c r="J129" s="457"/>
    </row>
    <row r="130" spans="2:10" x14ac:dyDescent="0.25">
      <c r="B130" s="452">
        <v>42556</v>
      </c>
      <c r="C130" s="502">
        <v>5000</v>
      </c>
      <c r="D130" s="503">
        <v>15.7963</v>
      </c>
      <c r="E130" s="457">
        <v>11.91</v>
      </c>
      <c r="F130" s="457">
        <f t="shared" si="9"/>
        <v>-19431.5</v>
      </c>
      <c r="G130" s="457">
        <f t="shared" si="10"/>
        <v>78981.5</v>
      </c>
      <c r="H130" s="500">
        <f t="shared" si="11"/>
        <v>-0.24602596810645533</v>
      </c>
      <c r="I130" s="457">
        <v>15.6</v>
      </c>
      <c r="J130" s="457"/>
    </row>
    <row r="131" spans="2:10" x14ac:dyDescent="0.25">
      <c r="B131" s="452">
        <v>42557</v>
      </c>
      <c r="C131" s="456">
        <v>4500</v>
      </c>
      <c r="D131" s="499">
        <v>16.142600000000002</v>
      </c>
      <c r="E131" s="457">
        <v>12.2</v>
      </c>
      <c r="F131" s="457">
        <f t="shared" si="9"/>
        <v>-17741.700000000012</v>
      </c>
      <c r="G131" s="457">
        <f t="shared" si="10"/>
        <v>72641.700000000012</v>
      </c>
      <c r="H131" s="500">
        <f t="shared" si="11"/>
        <v>-0.24423574888803551</v>
      </c>
      <c r="I131" s="457"/>
      <c r="J131" s="457"/>
    </row>
    <row r="132" spans="2:10" x14ac:dyDescent="0.25">
      <c r="B132" s="452">
        <v>42559</v>
      </c>
      <c r="C132" s="456">
        <v>4500</v>
      </c>
      <c r="D132" s="499">
        <v>16.142600000000002</v>
      </c>
      <c r="E132" s="457">
        <v>12.62</v>
      </c>
      <c r="F132" s="457">
        <f t="shared" si="9"/>
        <v>-15851.700000000012</v>
      </c>
      <c r="G132" s="457">
        <f t="shared" si="10"/>
        <v>72641.700000000012</v>
      </c>
      <c r="H132" s="500">
        <f t="shared" si="11"/>
        <v>-0.21821763532516461</v>
      </c>
      <c r="I132" s="457"/>
      <c r="J132" s="457"/>
    </row>
    <row r="133" spans="2:10" x14ac:dyDescent="0.25">
      <c r="B133" s="452">
        <v>42562</v>
      </c>
      <c r="C133" s="456">
        <v>4500</v>
      </c>
      <c r="D133" s="499">
        <v>16.143000000000001</v>
      </c>
      <c r="E133" s="457">
        <v>12.64</v>
      </c>
      <c r="F133" s="457">
        <f t="shared" si="9"/>
        <v>-15763.5</v>
      </c>
      <c r="G133" s="457">
        <f t="shared" si="10"/>
        <v>72643.5</v>
      </c>
      <c r="H133" s="500">
        <f t="shared" si="11"/>
        <v>-0.21699807966301182</v>
      </c>
      <c r="I133" s="457"/>
      <c r="J133" s="457"/>
    </row>
    <row r="134" spans="2:10" x14ac:dyDescent="0.25">
      <c r="B134" s="452">
        <v>42572</v>
      </c>
      <c r="C134" s="456">
        <v>4500</v>
      </c>
      <c r="D134" s="499">
        <v>16.143000000000001</v>
      </c>
      <c r="E134" s="457">
        <v>13.18</v>
      </c>
      <c r="F134" s="457">
        <f t="shared" si="9"/>
        <v>-13333.500000000004</v>
      </c>
      <c r="G134" s="457">
        <f t="shared" si="10"/>
        <v>72643.5</v>
      </c>
      <c r="H134" s="500">
        <f t="shared" si="11"/>
        <v>-0.18354704825621018</v>
      </c>
      <c r="I134" s="457"/>
      <c r="J134" s="457"/>
    </row>
    <row r="135" spans="2:10" x14ac:dyDescent="0.25">
      <c r="B135" s="452">
        <v>42576</v>
      </c>
      <c r="C135" s="456">
        <v>4000</v>
      </c>
      <c r="D135" s="499">
        <v>16.433</v>
      </c>
      <c r="E135" s="457">
        <v>13.92</v>
      </c>
      <c r="F135" s="457">
        <f t="shared" si="9"/>
        <v>-10052</v>
      </c>
      <c r="G135" s="457">
        <f t="shared" si="10"/>
        <v>65732</v>
      </c>
      <c r="H135" s="500">
        <f t="shared" si="11"/>
        <v>-0.15292399440150917</v>
      </c>
      <c r="I135" s="457"/>
      <c r="J135" s="457"/>
    </row>
    <row r="136" spans="2:10" x14ac:dyDescent="0.25">
      <c r="B136" s="452">
        <v>42577</v>
      </c>
      <c r="C136" s="456">
        <v>3200</v>
      </c>
      <c r="D136" s="499">
        <v>16.935400000000001</v>
      </c>
      <c r="E136" s="457">
        <v>14.67</v>
      </c>
      <c r="F136" s="457">
        <f t="shared" si="9"/>
        <v>-7249.2800000000043</v>
      </c>
      <c r="G136" s="457">
        <f t="shared" si="10"/>
        <v>54193.280000000006</v>
      </c>
      <c r="H136" s="500">
        <f t="shared" si="11"/>
        <v>-0.1337671386563058</v>
      </c>
      <c r="I136" s="457"/>
      <c r="J136" s="457"/>
    </row>
    <row r="137" spans="2:10" x14ac:dyDescent="0.25">
      <c r="B137" s="452">
        <v>42578</v>
      </c>
      <c r="C137" s="456">
        <v>3400</v>
      </c>
      <c r="D137" s="499">
        <v>16.7698</v>
      </c>
      <c r="E137" s="457">
        <v>14.19</v>
      </c>
      <c r="F137" s="457">
        <f t="shared" si="9"/>
        <v>-8771.3200000000015</v>
      </c>
      <c r="G137" s="457">
        <f t="shared" si="10"/>
        <v>57017.32</v>
      </c>
      <c r="H137" s="500">
        <f t="shared" si="11"/>
        <v>-0.15383606244558673</v>
      </c>
      <c r="I137" s="457"/>
      <c r="J137" s="457"/>
    </row>
    <row r="138" spans="2:10" x14ac:dyDescent="0.25">
      <c r="B138" s="452">
        <v>42579</v>
      </c>
      <c r="C138" s="456">
        <v>4000</v>
      </c>
      <c r="D138" s="499">
        <v>16.327300000000001</v>
      </c>
      <c r="E138" s="457">
        <v>13.81</v>
      </c>
      <c r="F138" s="457">
        <f t="shared" si="9"/>
        <v>-10069.200000000003</v>
      </c>
      <c r="G138" s="457">
        <f t="shared" si="10"/>
        <v>65309.200000000004</v>
      </c>
      <c r="H138" s="500">
        <f t="shared" si="11"/>
        <v>-0.15417735939193869</v>
      </c>
      <c r="I138" s="457"/>
      <c r="J138" s="457"/>
    </row>
    <row r="139" spans="2:10" x14ac:dyDescent="0.25">
      <c r="B139" s="452">
        <v>42580</v>
      </c>
      <c r="C139" s="456">
        <v>4500</v>
      </c>
      <c r="D139" s="499">
        <v>16.026499999999999</v>
      </c>
      <c r="E139" s="457">
        <v>13.74</v>
      </c>
      <c r="F139" s="457">
        <f t="shared" si="9"/>
        <v>-10289.249999999993</v>
      </c>
      <c r="G139" s="457">
        <f t="shared" si="10"/>
        <v>72119.25</v>
      </c>
      <c r="H139" s="500">
        <f t="shared" si="11"/>
        <v>-0.14266995289052498</v>
      </c>
      <c r="I139" s="457"/>
      <c r="J139" s="457"/>
    </row>
    <row r="140" spans="2:10" x14ac:dyDescent="0.25">
      <c r="B140" s="452">
        <v>42585</v>
      </c>
      <c r="C140" s="456">
        <v>4700</v>
      </c>
      <c r="D140" s="499">
        <v>15.9011</v>
      </c>
      <c r="E140" s="457">
        <v>13.4</v>
      </c>
      <c r="F140" s="457">
        <f t="shared" si="9"/>
        <v>-11755.169999999996</v>
      </c>
      <c r="G140" s="457">
        <f t="shared" si="10"/>
        <v>74735.17</v>
      </c>
      <c r="H140" s="500">
        <f t="shared" si="11"/>
        <v>-0.15729100502480955</v>
      </c>
      <c r="I140" s="457"/>
      <c r="J140" s="457"/>
    </row>
    <row r="141" spans="2:10" x14ac:dyDescent="0.25">
      <c r="B141" s="452">
        <v>42586</v>
      </c>
      <c r="C141" s="456">
        <v>4500</v>
      </c>
      <c r="D141" s="499">
        <v>15.990399999999999</v>
      </c>
      <c r="E141" s="457">
        <v>14.03</v>
      </c>
      <c r="F141" s="457">
        <f t="shared" si="9"/>
        <v>-8821.7999999999993</v>
      </c>
      <c r="G141" s="457">
        <f t="shared" si="10"/>
        <v>71956.800000000003</v>
      </c>
      <c r="H141" s="500">
        <f t="shared" si="11"/>
        <v>-0.12259855913548129</v>
      </c>
      <c r="I141" s="457" t="s">
        <v>256</v>
      </c>
      <c r="J141" s="457"/>
    </row>
    <row r="142" spans="2:10" x14ac:dyDescent="0.25">
      <c r="B142" s="452">
        <v>42587</v>
      </c>
      <c r="C142" s="456">
        <v>4000</v>
      </c>
      <c r="D142" s="499">
        <v>16.158000000000001</v>
      </c>
      <c r="E142" s="457">
        <v>14.52</v>
      </c>
      <c r="F142" s="457">
        <f t="shared" si="9"/>
        <v>-6552.0000000000064</v>
      </c>
      <c r="G142" s="457">
        <f t="shared" si="10"/>
        <v>64632.000000000007</v>
      </c>
      <c r="H142" s="500">
        <f t="shared" si="11"/>
        <v>-0.10137393241737848</v>
      </c>
      <c r="I142" s="457">
        <v>16</v>
      </c>
      <c r="J142" s="457"/>
    </row>
    <row r="143" spans="2:10" x14ac:dyDescent="0.25">
      <c r="B143" s="452">
        <v>42593</v>
      </c>
      <c r="C143" s="456">
        <v>4000</v>
      </c>
      <c r="D143" s="499">
        <v>16.158000000000001</v>
      </c>
      <c r="E143" s="457">
        <v>14.2</v>
      </c>
      <c r="F143" s="457">
        <f t="shared" si="9"/>
        <v>-7832.0000000000082</v>
      </c>
      <c r="G143" s="457">
        <f t="shared" si="10"/>
        <v>64632.000000000007</v>
      </c>
      <c r="H143" s="500">
        <f t="shared" si="11"/>
        <v>-0.12117836365886879</v>
      </c>
      <c r="I143" s="457"/>
      <c r="J143" s="457"/>
    </row>
    <row r="144" spans="2:10" x14ac:dyDescent="0.25">
      <c r="B144" s="452">
        <v>42597</v>
      </c>
      <c r="C144" s="456">
        <v>2000</v>
      </c>
      <c r="D144" s="499">
        <v>17.3687</v>
      </c>
      <c r="E144" s="457">
        <v>15.53</v>
      </c>
      <c r="F144" s="457">
        <f t="shared" si="9"/>
        <v>-3677.4000000000024</v>
      </c>
      <c r="G144" s="457">
        <f t="shared" si="10"/>
        <v>34737.4</v>
      </c>
      <c r="H144" s="500">
        <f t="shared" si="11"/>
        <v>-0.10586284523309177</v>
      </c>
      <c r="I144" s="457">
        <v>17</v>
      </c>
      <c r="J144" s="457"/>
    </row>
    <row r="145" spans="2:10" x14ac:dyDescent="0.25">
      <c r="B145" s="452">
        <v>42599</v>
      </c>
      <c r="C145" s="456">
        <v>2000</v>
      </c>
      <c r="D145" s="499">
        <v>17.331299999999999</v>
      </c>
      <c r="E145" s="457">
        <v>15.52</v>
      </c>
      <c r="F145" s="457">
        <f t="shared" si="9"/>
        <v>-3622.5999999999985</v>
      </c>
      <c r="G145" s="457">
        <f t="shared" si="10"/>
        <v>34662.6</v>
      </c>
      <c r="H145" s="500">
        <f t="shared" si="11"/>
        <v>-0.10451033678950797</v>
      </c>
      <c r="I145" s="457"/>
      <c r="J145" s="457"/>
    </row>
    <row r="146" spans="2:10" x14ac:dyDescent="0.25">
      <c r="B146" s="452">
        <v>42600</v>
      </c>
      <c r="C146" s="456">
        <v>2000</v>
      </c>
      <c r="D146" s="499">
        <v>17.331299999999999</v>
      </c>
      <c r="E146" s="457">
        <v>15.77</v>
      </c>
      <c r="F146" s="457">
        <f t="shared" si="9"/>
        <v>-3122.5999999999985</v>
      </c>
      <c r="G146" s="457">
        <f t="shared" si="10"/>
        <v>34662.6</v>
      </c>
      <c r="H146" s="500">
        <f t="shared" si="11"/>
        <v>-9.0085567730060601E-2</v>
      </c>
      <c r="I146" s="457"/>
      <c r="J146" s="457"/>
    </row>
    <row r="147" spans="2:10" x14ac:dyDescent="0.25">
      <c r="B147" s="452">
        <v>42601</v>
      </c>
      <c r="C147" s="456">
        <v>2000</v>
      </c>
      <c r="D147" s="499">
        <v>17.331299999999999</v>
      </c>
      <c r="E147" s="457">
        <v>16.25</v>
      </c>
      <c r="F147" s="457">
        <f t="shared" si="9"/>
        <v>-2162.5999999999976</v>
      </c>
      <c r="G147" s="457">
        <f t="shared" si="10"/>
        <v>34662.6</v>
      </c>
      <c r="H147" s="500">
        <f t="shared" si="11"/>
        <v>-6.2390011135921651E-2</v>
      </c>
      <c r="I147" s="457"/>
      <c r="J147" s="457"/>
    </row>
    <row r="148" spans="2:10" x14ac:dyDescent="0.25">
      <c r="B148" s="452">
        <v>42604</v>
      </c>
      <c r="C148" s="456">
        <v>2000</v>
      </c>
      <c r="D148" s="499">
        <v>17.331299999999999</v>
      </c>
      <c r="E148" s="457">
        <v>16.190000000000001</v>
      </c>
      <c r="F148" s="457">
        <f t="shared" si="9"/>
        <v>-2282.5999999999949</v>
      </c>
      <c r="G148" s="457">
        <f t="shared" si="10"/>
        <v>34662.6</v>
      </c>
      <c r="H148" s="500">
        <f t="shared" si="11"/>
        <v>-6.5851955710188939E-2</v>
      </c>
      <c r="I148" s="457"/>
      <c r="J148" s="457"/>
    </row>
    <row r="149" spans="2:10" x14ac:dyDescent="0.25">
      <c r="B149" s="452">
        <v>42607</v>
      </c>
      <c r="C149" s="456">
        <v>2000</v>
      </c>
      <c r="D149" s="499">
        <v>17.331299999999999</v>
      </c>
      <c r="E149" s="457">
        <v>16.2</v>
      </c>
      <c r="F149" s="457">
        <f t="shared" si="9"/>
        <v>-2262.599999999999</v>
      </c>
      <c r="G149" s="457">
        <f t="shared" si="10"/>
        <v>34662.6</v>
      </c>
      <c r="H149" s="500">
        <f t="shared" si="11"/>
        <v>-6.5274964947811168E-2</v>
      </c>
      <c r="I149" s="457"/>
      <c r="J149" s="457"/>
    </row>
    <row r="150" spans="2:10" x14ac:dyDescent="0.25">
      <c r="B150" s="452">
        <v>42609</v>
      </c>
      <c r="C150" s="456">
        <v>2000</v>
      </c>
      <c r="D150" s="499">
        <v>17.331299999999999</v>
      </c>
      <c r="E150" s="457">
        <v>16.91</v>
      </c>
      <c r="F150" s="457">
        <f t="shared" si="9"/>
        <v>-842.59999999999741</v>
      </c>
      <c r="G150" s="457">
        <f t="shared" si="10"/>
        <v>34662.6</v>
      </c>
      <c r="H150" s="500">
        <f t="shared" si="11"/>
        <v>-2.4308620818980612E-2</v>
      </c>
      <c r="I150" s="457"/>
      <c r="J150" s="457"/>
    </row>
    <row r="151" spans="2:10" x14ac:dyDescent="0.25">
      <c r="B151" s="452">
        <v>42612</v>
      </c>
      <c r="C151" s="456">
        <v>2000</v>
      </c>
      <c r="D151" s="499">
        <v>17.331299999999999</v>
      </c>
      <c r="E151" s="457">
        <v>16.739999999999998</v>
      </c>
      <c r="F151" s="457">
        <f t="shared" si="9"/>
        <v>-1182.6000000000008</v>
      </c>
      <c r="G151" s="457">
        <f t="shared" si="10"/>
        <v>34662.6</v>
      </c>
      <c r="H151" s="500">
        <f t="shared" si="11"/>
        <v>-3.4117463779404916E-2</v>
      </c>
      <c r="I151" s="457"/>
      <c r="J151" s="457"/>
    </row>
    <row r="152" spans="2:10" x14ac:dyDescent="0.25">
      <c r="B152" s="452">
        <v>42615</v>
      </c>
      <c r="C152" s="456">
        <v>2000</v>
      </c>
      <c r="D152" s="499">
        <v>17.331299999999999</v>
      </c>
      <c r="E152" s="457">
        <v>16.7</v>
      </c>
      <c r="F152" s="457">
        <f t="shared" si="9"/>
        <v>-1262.599999999999</v>
      </c>
      <c r="G152" s="457">
        <f t="shared" si="10"/>
        <v>34662.6</v>
      </c>
      <c r="H152" s="500">
        <f t="shared" si="11"/>
        <v>-3.6425426828916446E-2</v>
      </c>
      <c r="I152" s="457"/>
      <c r="J152" s="457"/>
    </row>
    <row r="153" spans="2:10" x14ac:dyDescent="0.25">
      <c r="B153" s="452">
        <v>42619</v>
      </c>
      <c r="C153" s="456">
        <v>2000</v>
      </c>
      <c r="D153" s="499">
        <v>17.273900000000001</v>
      </c>
      <c r="E153" s="457">
        <v>17.010000000000002</v>
      </c>
      <c r="F153" s="457">
        <f t="shared" si="9"/>
        <v>-527.79999999999916</v>
      </c>
      <c r="G153" s="457">
        <f t="shared" si="10"/>
        <v>34547.800000000003</v>
      </c>
      <c r="H153" s="500">
        <f t="shared" si="11"/>
        <v>-1.5277383798678906E-2</v>
      </c>
      <c r="I153" s="457">
        <v>17</v>
      </c>
      <c r="J153" s="457"/>
    </row>
    <row r="154" spans="2:10" x14ac:dyDescent="0.25">
      <c r="B154" s="452">
        <v>42620</v>
      </c>
      <c r="C154" s="456">
        <v>2000</v>
      </c>
      <c r="D154" s="499">
        <v>17.234000000000002</v>
      </c>
      <c r="E154" s="457">
        <v>17.16</v>
      </c>
      <c r="F154" s="457">
        <f t="shared" si="9"/>
        <v>-148.00000000000324</v>
      </c>
      <c r="G154" s="457">
        <f t="shared" si="10"/>
        <v>34468</v>
      </c>
      <c r="H154" s="500">
        <f t="shared" si="11"/>
        <v>-4.2938377625624706E-3</v>
      </c>
      <c r="I154" s="457">
        <v>17</v>
      </c>
      <c r="J154" s="457"/>
    </row>
    <row r="155" spans="2:10" x14ac:dyDescent="0.25">
      <c r="B155" s="452">
        <v>42621</v>
      </c>
      <c r="C155" s="456">
        <v>1500</v>
      </c>
      <c r="D155" s="499">
        <v>17.168800000000001</v>
      </c>
      <c r="E155" s="457">
        <v>17.45</v>
      </c>
      <c r="F155" s="457">
        <f t="shared" si="9"/>
        <v>421.79999999999751</v>
      </c>
      <c r="G155" s="457">
        <f t="shared" si="10"/>
        <v>25753.200000000001</v>
      </c>
      <c r="H155" s="500">
        <f t="shared" si="11"/>
        <v>1.6378547132006798E-2</v>
      </c>
      <c r="I155" s="457"/>
      <c r="J155" s="457"/>
    </row>
    <row r="156" spans="2:10" x14ac:dyDescent="0.25">
      <c r="B156" s="452">
        <v>42622</v>
      </c>
      <c r="C156" s="456">
        <v>2000</v>
      </c>
      <c r="D156" s="499">
        <v>17.137899999999998</v>
      </c>
      <c r="E156" s="457">
        <v>16.809999999999999</v>
      </c>
      <c r="F156" s="457">
        <f t="shared" si="9"/>
        <v>-655.79999999999927</v>
      </c>
      <c r="G156" s="457">
        <f t="shared" si="10"/>
        <v>34275.799999999996</v>
      </c>
      <c r="H156" s="500">
        <f t="shared" si="11"/>
        <v>-1.9133032635270348E-2</v>
      </c>
      <c r="I156" s="457">
        <v>17</v>
      </c>
      <c r="J156" s="457"/>
    </row>
    <row r="157" spans="2:10" x14ac:dyDescent="0.25">
      <c r="B157" s="452">
        <v>42625</v>
      </c>
      <c r="C157" s="456">
        <v>2000</v>
      </c>
      <c r="D157" s="499">
        <v>17.137899999999998</v>
      </c>
      <c r="E157" s="457">
        <v>17.149999999999999</v>
      </c>
      <c r="F157" s="457">
        <f t="shared" si="9"/>
        <v>24.200000000000443</v>
      </c>
      <c r="G157" s="457">
        <f t="shared" si="10"/>
        <v>34275.799999999996</v>
      </c>
      <c r="H157" s="500">
        <f t="shared" si="11"/>
        <v>7.0603749584256077E-4</v>
      </c>
      <c r="I157" s="457"/>
      <c r="J157" s="457"/>
    </row>
    <row r="158" spans="2:10" x14ac:dyDescent="0.25">
      <c r="B158" s="452">
        <v>42626</v>
      </c>
      <c r="C158" s="456">
        <v>2100</v>
      </c>
      <c r="D158" s="499">
        <v>17.1065</v>
      </c>
      <c r="E158" s="457">
        <v>16.75</v>
      </c>
      <c r="F158" s="457">
        <f t="shared" si="9"/>
        <v>-748.650000000001</v>
      </c>
      <c r="G158" s="457">
        <f t="shared" si="10"/>
        <v>35923.65</v>
      </c>
      <c r="H158" s="500">
        <f t="shared" si="11"/>
        <v>-2.0840031566948265E-2</v>
      </c>
      <c r="I158" s="457"/>
      <c r="J158" s="457"/>
    </row>
    <row r="159" spans="2:10" x14ac:dyDescent="0.25">
      <c r="B159" s="452">
        <v>42627</v>
      </c>
      <c r="C159" s="456">
        <v>2100</v>
      </c>
      <c r="D159" s="499">
        <v>17.1065</v>
      </c>
      <c r="E159" s="457">
        <v>16.93</v>
      </c>
      <c r="F159" s="457">
        <f t="shared" si="9"/>
        <v>-370.65000000000163</v>
      </c>
      <c r="G159" s="457">
        <f t="shared" si="10"/>
        <v>35923.65</v>
      </c>
      <c r="H159" s="500">
        <f t="shared" si="11"/>
        <v>-1.0317715488264739E-2</v>
      </c>
      <c r="I159" s="457"/>
      <c r="J159" s="457"/>
    </row>
    <row r="160" spans="2:10" x14ac:dyDescent="0.25">
      <c r="B160" s="452">
        <v>42628</v>
      </c>
      <c r="C160" s="456">
        <v>2100</v>
      </c>
      <c r="D160" s="499">
        <v>17.1065</v>
      </c>
      <c r="E160" s="457">
        <v>17.45</v>
      </c>
      <c r="F160" s="457">
        <f t="shared" si="9"/>
        <v>721.34999999999752</v>
      </c>
      <c r="G160" s="457">
        <f t="shared" si="10"/>
        <v>35923.65</v>
      </c>
      <c r="H160" s="500">
        <f t="shared" si="11"/>
        <v>2.008008651682102E-2</v>
      </c>
      <c r="I160" s="457"/>
      <c r="J160" s="457"/>
    </row>
    <row r="161" spans="2:10" x14ac:dyDescent="0.25">
      <c r="B161" s="452">
        <v>42629</v>
      </c>
      <c r="C161" s="456">
        <v>2100</v>
      </c>
      <c r="D161" s="499">
        <v>17.1065</v>
      </c>
      <c r="E161" s="457">
        <v>17.48</v>
      </c>
      <c r="F161" s="457">
        <f t="shared" si="9"/>
        <v>784.34999999999991</v>
      </c>
      <c r="G161" s="457">
        <f t="shared" si="10"/>
        <v>35923.65</v>
      </c>
      <c r="H161" s="500">
        <f t="shared" si="11"/>
        <v>2.1833805863268343E-2</v>
      </c>
      <c r="I161" s="457"/>
      <c r="J161" s="457"/>
    </row>
    <row r="162" spans="2:10" x14ac:dyDescent="0.25">
      <c r="B162" s="452">
        <v>42632</v>
      </c>
      <c r="C162" s="456">
        <v>2100</v>
      </c>
      <c r="D162" s="499">
        <v>17.106529999999999</v>
      </c>
      <c r="E162" s="457">
        <v>16.95</v>
      </c>
      <c r="F162" s="457">
        <f t="shared" si="9"/>
        <v>-328.71300000000014</v>
      </c>
      <c r="G162" s="457">
        <f t="shared" si="10"/>
        <v>35923.712999999996</v>
      </c>
      <c r="H162" s="500">
        <f t="shared" si="11"/>
        <v>-9.150306929576019E-3</v>
      </c>
      <c r="I162" s="457"/>
      <c r="J162" s="457"/>
    </row>
    <row r="163" spans="2:10" x14ac:dyDescent="0.25">
      <c r="B163" s="452">
        <v>42634</v>
      </c>
      <c r="C163" s="456">
        <v>1600</v>
      </c>
      <c r="D163" s="499">
        <v>16.943059999999999</v>
      </c>
      <c r="E163" s="457">
        <v>17.66</v>
      </c>
      <c r="F163" s="457">
        <f t="shared" si="9"/>
        <v>1147.1040000000016</v>
      </c>
      <c r="G163" s="457">
        <f t="shared" si="10"/>
        <v>27108.895999999997</v>
      </c>
      <c r="H163" s="500">
        <f t="shared" si="11"/>
        <v>4.2314670431433346E-2</v>
      </c>
      <c r="I163" s="457"/>
      <c r="J163" s="457"/>
    </row>
    <row r="164" spans="2:10" x14ac:dyDescent="0.25">
      <c r="B164" s="452">
        <v>42635</v>
      </c>
      <c r="C164" s="456">
        <v>1600</v>
      </c>
      <c r="D164" s="499">
        <v>16.943059999999999</v>
      </c>
      <c r="E164" s="457">
        <v>17.59</v>
      </c>
      <c r="F164" s="457">
        <f t="shared" si="9"/>
        <v>1035.1040000000012</v>
      </c>
      <c r="G164" s="457">
        <f t="shared" si="10"/>
        <v>27108.895999999997</v>
      </c>
      <c r="H164" s="500">
        <f t="shared" si="11"/>
        <v>3.8183185327797978E-2</v>
      </c>
      <c r="I164" s="457"/>
      <c r="J164" s="457"/>
    </row>
    <row r="165" spans="2:10" x14ac:dyDescent="0.25">
      <c r="B165" s="452">
        <v>42640</v>
      </c>
      <c r="C165" s="456">
        <v>1600</v>
      </c>
      <c r="D165" s="499">
        <v>16.943059999999999</v>
      </c>
      <c r="E165" s="457">
        <v>18</v>
      </c>
      <c r="F165" s="457">
        <f t="shared" si="9"/>
        <v>1691.1040000000014</v>
      </c>
      <c r="G165" s="457">
        <f t="shared" si="10"/>
        <v>27108.895999999997</v>
      </c>
      <c r="H165" s="500">
        <f t="shared" si="11"/>
        <v>6.2381883791947909E-2</v>
      </c>
      <c r="I165" s="457"/>
      <c r="J165" s="457"/>
    </row>
    <row r="166" spans="2:10" x14ac:dyDescent="0.25">
      <c r="B166" s="452">
        <v>42641</v>
      </c>
      <c r="C166" s="456">
        <v>1800</v>
      </c>
      <c r="D166" s="499">
        <v>16.979289999999999</v>
      </c>
      <c r="E166" s="457">
        <v>17.440000000000001</v>
      </c>
      <c r="F166" s="457">
        <f t="shared" si="9"/>
        <v>829.27800000000434</v>
      </c>
      <c r="G166" s="457">
        <f t="shared" si="10"/>
        <v>30562.721999999998</v>
      </c>
      <c r="H166" s="500">
        <f t="shared" si="11"/>
        <v>2.71336433973389E-2</v>
      </c>
      <c r="I166" s="457"/>
      <c r="J166" s="457"/>
    </row>
    <row r="167" spans="2:10" x14ac:dyDescent="0.25">
      <c r="B167" s="452">
        <v>42643</v>
      </c>
      <c r="C167" s="456">
        <v>1800</v>
      </c>
      <c r="D167" s="499">
        <v>16.979289999999999</v>
      </c>
      <c r="E167" s="457">
        <v>17.78</v>
      </c>
      <c r="F167" s="457">
        <f t="shared" si="9"/>
        <v>1441.2780000000041</v>
      </c>
      <c r="G167" s="457">
        <f t="shared" si="10"/>
        <v>30562.721999999998</v>
      </c>
      <c r="H167" s="500">
        <f t="shared" si="11"/>
        <v>4.7158037821369583E-2</v>
      </c>
      <c r="I167" s="457"/>
      <c r="J167" s="457"/>
    </row>
    <row r="168" spans="2:10" x14ac:dyDescent="0.25">
      <c r="B168" s="452">
        <v>42647</v>
      </c>
      <c r="C168" s="456">
        <v>2000</v>
      </c>
      <c r="D168" s="499">
        <v>16.989360000000001</v>
      </c>
      <c r="E168" s="457">
        <v>17.8</v>
      </c>
      <c r="F168" s="457">
        <f t="shared" si="9"/>
        <v>1621.2799999999988</v>
      </c>
      <c r="G168" s="457">
        <f t="shared" si="10"/>
        <v>33978.720000000001</v>
      </c>
      <c r="H168" s="500">
        <f t="shared" si="11"/>
        <v>4.7714569589437116E-2</v>
      </c>
      <c r="I168" s="504" t="s">
        <v>283</v>
      </c>
      <c r="J168" s="504" t="s">
        <v>281</v>
      </c>
    </row>
    <row r="169" spans="2:10" x14ac:dyDescent="0.25">
      <c r="B169" s="452">
        <v>42648</v>
      </c>
      <c r="C169" s="456">
        <v>2000</v>
      </c>
      <c r="D169" s="499">
        <v>16.989360000000001</v>
      </c>
      <c r="E169" s="457">
        <v>17.7</v>
      </c>
      <c r="F169" s="457">
        <f t="shared" si="9"/>
        <v>1421.2799999999959</v>
      </c>
      <c r="G169" s="457">
        <f t="shared" si="10"/>
        <v>33978.720000000001</v>
      </c>
      <c r="H169" s="500">
        <f t="shared" si="11"/>
        <v>4.1828532681631204E-2</v>
      </c>
      <c r="I169" s="457"/>
      <c r="J169" s="457"/>
    </row>
    <row r="170" spans="2:10" x14ac:dyDescent="0.25">
      <c r="B170" s="452">
        <v>42661</v>
      </c>
      <c r="C170" s="456">
        <v>2200</v>
      </c>
      <c r="D170" s="499">
        <v>16.96123</v>
      </c>
      <c r="E170" s="457">
        <v>17.41</v>
      </c>
      <c r="F170" s="457">
        <f t="shared" si="9"/>
        <v>987.2939999999993</v>
      </c>
      <c r="G170" s="457">
        <f t="shared" si="10"/>
        <v>37314.705999999998</v>
      </c>
      <c r="H170" s="500">
        <f t="shared" si="11"/>
        <v>2.6458576412205934E-2</v>
      </c>
      <c r="I170" s="457"/>
      <c r="J170" s="457"/>
    </row>
    <row r="171" spans="2:10" x14ac:dyDescent="0.25">
      <c r="B171" s="452">
        <v>42662</v>
      </c>
      <c r="C171" s="456">
        <v>2000</v>
      </c>
      <c r="D171" s="499">
        <v>16.933399999999999</v>
      </c>
      <c r="E171" s="457">
        <v>17.215</v>
      </c>
      <c r="F171" s="457">
        <f t="shared" si="9"/>
        <v>563.20000000000186</v>
      </c>
      <c r="G171" s="457">
        <f t="shared" si="10"/>
        <v>33866.799999999996</v>
      </c>
      <c r="H171" s="500">
        <f t="shared" si="11"/>
        <v>1.6629855787969397E-2</v>
      </c>
      <c r="I171" s="504">
        <v>16.8</v>
      </c>
      <c r="J171" s="457"/>
    </row>
    <row r="172" spans="2:10" x14ac:dyDescent="0.25">
      <c r="B172" s="452">
        <v>42664</v>
      </c>
      <c r="C172" s="456">
        <v>2000</v>
      </c>
      <c r="D172" s="499">
        <v>16.933399999999999</v>
      </c>
      <c r="E172" s="457">
        <v>16.940000000000001</v>
      </c>
      <c r="F172" s="457">
        <f t="shared" ref="F172:F177" si="12">-C172*(D172-E172)</f>
        <v>13.200000000004763</v>
      </c>
      <c r="G172" s="457">
        <f t="shared" ref="G172:G177" si="13">IF(C172=0, 0,D172*C172)</f>
        <v>33866.799999999996</v>
      </c>
      <c r="H172" s="500">
        <f t="shared" ref="H172:H177" si="14">IF(C172=0, D172, (E172-D172)/D172)</f>
        <v>3.8976224503067206E-4</v>
      </c>
      <c r="I172" s="457"/>
      <c r="J172" s="457"/>
    </row>
    <row r="173" spans="2:10" x14ac:dyDescent="0.25">
      <c r="B173" s="452">
        <v>42668</v>
      </c>
      <c r="C173" s="456">
        <v>1800</v>
      </c>
      <c r="D173" s="499">
        <v>16.864930000000001</v>
      </c>
      <c r="E173" s="457">
        <v>17.54</v>
      </c>
      <c r="F173" s="457">
        <f t="shared" si="12"/>
        <v>1215.1259999999966</v>
      </c>
      <c r="G173" s="457">
        <f t="shared" si="13"/>
        <v>30356.874000000003</v>
      </c>
      <c r="H173" s="500">
        <f t="shared" si="14"/>
        <v>4.0028034507110198E-2</v>
      </c>
      <c r="I173" s="457"/>
      <c r="J173" s="457"/>
    </row>
    <row r="174" spans="2:10" x14ac:dyDescent="0.25">
      <c r="B174" s="452">
        <v>42669</v>
      </c>
      <c r="C174" s="456">
        <v>1000</v>
      </c>
      <c r="D174" s="499">
        <v>16.149180000000001</v>
      </c>
      <c r="E174" s="457">
        <v>17.64</v>
      </c>
      <c r="F174" s="457">
        <f t="shared" si="12"/>
        <v>1490.8199999999993</v>
      </c>
      <c r="G174" s="457">
        <f t="shared" si="13"/>
        <v>16149.18</v>
      </c>
      <c r="H174" s="500">
        <f t="shared" si="14"/>
        <v>9.2315523141113007E-2</v>
      </c>
      <c r="I174" s="457"/>
      <c r="J174" s="457"/>
    </row>
    <row r="175" spans="2:10" x14ac:dyDescent="0.25">
      <c r="B175" s="452">
        <v>42670</v>
      </c>
      <c r="C175" s="456">
        <v>1800</v>
      </c>
      <c r="D175" s="499">
        <v>16.753990000000002</v>
      </c>
      <c r="E175" s="457">
        <v>17.53</v>
      </c>
      <c r="F175" s="457">
        <f t="shared" si="12"/>
        <v>1396.8179999999988</v>
      </c>
      <c r="G175" s="457">
        <f t="shared" si="13"/>
        <v>30157.182000000004</v>
      </c>
      <c r="H175" s="500">
        <f t="shared" si="14"/>
        <v>4.6317921880101358E-2</v>
      </c>
      <c r="I175" s="457"/>
      <c r="J175" s="457"/>
    </row>
    <row r="176" spans="2:10" x14ac:dyDescent="0.25">
      <c r="B176" s="452">
        <v>42670</v>
      </c>
      <c r="C176" s="456">
        <v>2000</v>
      </c>
      <c r="D176" s="499">
        <v>16.820589999999999</v>
      </c>
      <c r="E176" s="457">
        <v>17.53</v>
      </c>
      <c r="F176" s="457">
        <f t="shared" si="12"/>
        <v>1418.8200000000038</v>
      </c>
      <c r="G176" s="457">
        <f t="shared" si="13"/>
        <v>33641.18</v>
      </c>
      <c r="H176" s="500">
        <f t="shared" si="14"/>
        <v>4.2175096117318234E-2</v>
      </c>
      <c r="I176" s="504">
        <v>16.8</v>
      </c>
      <c r="J176" s="457"/>
    </row>
    <row r="177" spans="2:17" x14ac:dyDescent="0.25">
      <c r="B177" s="452">
        <v>42671</v>
      </c>
      <c r="C177" s="456">
        <v>2000</v>
      </c>
      <c r="D177" s="499">
        <v>16.752666999999999</v>
      </c>
      <c r="E177" s="457">
        <v>17.2</v>
      </c>
      <c r="F177" s="457">
        <f t="shared" si="12"/>
        <v>894.66600000000085</v>
      </c>
      <c r="G177" s="457">
        <f t="shared" si="13"/>
        <v>33505.333999999995</v>
      </c>
      <c r="H177" s="500">
        <f t="shared" si="14"/>
        <v>2.6702196133905155E-2</v>
      </c>
      <c r="I177" s="504" t="s">
        <v>293</v>
      </c>
      <c r="J177" s="457"/>
    </row>
    <row r="178" spans="2:17" x14ac:dyDescent="0.25">
      <c r="B178" s="452">
        <v>42672</v>
      </c>
      <c r="C178" s="456">
        <v>2000</v>
      </c>
      <c r="D178" s="499">
        <v>16.752666999999999</v>
      </c>
      <c r="E178" s="457">
        <v>17.16</v>
      </c>
      <c r="F178" s="457">
        <f>-C178*(D178-E178)</f>
        <v>814.66600000000255</v>
      </c>
      <c r="G178" s="457">
        <f>IF(C178=0, 0,D178*C178)</f>
        <v>33505.333999999995</v>
      </c>
      <c r="H178" s="500">
        <f>IF(C178=0, D178, (E178-D178)/D178)</f>
        <v>2.4314516608012402E-2</v>
      </c>
      <c r="I178" s="504" t="s">
        <v>293</v>
      </c>
      <c r="J178" s="457"/>
    </row>
    <row r="179" spans="2:17" x14ac:dyDescent="0.25">
      <c r="B179" s="452">
        <v>42675</v>
      </c>
      <c r="C179" s="456">
        <v>2000</v>
      </c>
      <c r="D179" s="499">
        <v>16.742699999999999</v>
      </c>
      <c r="E179" s="457">
        <v>17.2</v>
      </c>
      <c r="F179" s="457">
        <f>-C179*(D179-E179)</f>
        <v>914.60000000000014</v>
      </c>
      <c r="G179" s="457">
        <f>IF(C179=0, 0,D179*C179)</f>
        <v>33485.4</v>
      </c>
      <c r="H179" s="500">
        <f>IF(C179=0, D179, (E179-D179)/D179)</f>
        <v>2.731339628614262E-2</v>
      </c>
      <c r="I179" s="504" t="s">
        <v>293</v>
      </c>
      <c r="J179" s="457"/>
    </row>
    <row r="180" spans="2:17" x14ac:dyDescent="0.25">
      <c r="B180" s="452">
        <v>42676</v>
      </c>
      <c r="C180" s="456">
        <v>2000</v>
      </c>
      <c r="D180" s="499">
        <v>16.742699999999999</v>
      </c>
      <c r="E180" s="457">
        <v>16.675000000000001</v>
      </c>
      <c r="F180" s="457">
        <f t="shared" ref="F180:F191" si="15">-C180*(D180-E180)</f>
        <v>-135.39999999999708</v>
      </c>
      <c r="G180" s="457">
        <f t="shared" ref="G180:G191" si="16">IF(C180=0, 0,D180*C180)</f>
        <v>33485.4</v>
      </c>
      <c r="H180" s="500">
        <f t="shared" ref="H180:H191" si="17">IF(C180=0, D180, (E180-D180)/D180)</f>
        <v>-4.0435533098006019E-3</v>
      </c>
      <c r="I180" s="457"/>
      <c r="J180" s="457"/>
    </row>
    <row r="181" spans="2:17" x14ac:dyDescent="0.25">
      <c r="B181" s="452">
        <v>42678</v>
      </c>
      <c r="C181" s="456">
        <v>2000</v>
      </c>
      <c r="D181" s="499">
        <v>16.7227</v>
      </c>
      <c r="E181" s="457">
        <v>16.68</v>
      </c>
      <c r="F181" s="457">
        <f t="shared" si="15"/>
        <v>-85.39999999999992</v>
      </c>
      <c r="G181" s="457">
        <f t="shared" si="16"/>
        <v>33445.4</v>
      </c>
      <c r="H181" s="500">
        <f t="shared" si="17"/>
        <v>-2.5534154173668102E-3</v>
      </c>
      <c r="I181" s="504" t="s">
        <v>293</v>
      </c>
      <c r="J181" s="457"/>
    </row>
    <row r="182" spans="2:17" x14ac:dyDescent="0.25">
      <c r="B182" s="452">
        <v>42701</v>
      </c>
      <c r="C182" s="456">
        <v>1800</v>
      </c>
      <c r="D182" s="499">
        <v>16.627528999999999</v>
      </c>
      <c r="E182" s="457">
        <v>20.13</v>
      </c>
      <c r="F182" s="457">
        <f t="shared" si="15"/>
        <v>6304.4477999999999</v>
      </c>
      <c r="G182" s="457">
        <f t="shared" si="16"/>
        <v>29929.552199999998</v>
      </c>
      <c r="H182" s="500">
        <f t="shared" si="17"/>
        <v>0.21064290430646671</v>
      </c>
      <c r="I182" s="457"/>
      <c r="J182" s="457"/>
    </row>
    <row r="183" spans="2:17" x14ac:dyDescent="0.25">
      <c r="B183" s="452">
        <v>42702</v>
      </c>
      <c r="C183" s="456">
        <v>1650</v>
      </c>
      <c r="D183" s="499">
        <v>16.310980000000001</v>
      </c>
      <c r="E183" s="457">
        <v>20.059999999999999</v>
      </c>
      <c r="F183" s="457">
        <f t="shared" si="15"/>
        <v>6185.8829999999971</v>
      </c>
      <c r="G183" s="457">
        <f t="shared" si="16"/>
        <v>26913.117000000002</v>
      </c>
      <c r="H183" s="500">
        <f t="shared" si="17"/>
        <v>0.22984639794788528</v>
      </c>
      <c r="I183" s="457"/>
      <c r="J183" s="457"/>
    </row>
    <row r="184" spans="2:17" x14ac:dyDescent="0.25">
      <c r="B184" s="452">
        <v>42705</v>
      </c>
      <c r="C184" s="456">
        <v>1800</v>
      </c>
      <c r="D184" s="499">
        <v>16.541699999999999</v>
      </c>
      <c r="E184" s="457">
        <v>18.48</v>
      </c>
      <c r="F184" s="457">
        <f t="shared" si="15"/>
        <v>3488.9400000000032</v>
      </c>
      <c r="G184" s="457">
        <f t="shared" si="16"/>
        <v>29775.059999999998</v>
      </c>
      <c r="H184" s="500">
        <f t="shared" si="17"/>
        <v>0.11717659007236268</v>
      </c>
      <c r="I184" s="457"/>
      <c r="J184" s="457"/>
    </row>
    <row r="185" spans="2:17" x14ac:dyDescent="0.25">
      <c r="B185" s="452">
        <v>42705</v>
      </c>
      <c r="C185" s="456">
        <v>2000</v>
      </c>
      <c r="D185" s="499">
        <v>16.707599999999999</v>
      </c>
      <c r="E185" s="457">
        <v>18.48</v>
      </c>
      <c r="F185" s="457">
        <f t="shared" si="15"/>
        <v>3544.800000000002</v>
      </c>
      <c r="G185" s="457">
        <f t="shared" si="16"/>
        <v>33415.199999999997</v>
      </c>
      <c r="H185" s="500">
        <f t="shared" si="17"/>
        <v>0.10608345902463556</v>
      </c>
      <c r="I185" s="504">
        <v>16.48</v>
      </c>
      <c r="J185" s="457"/>
    </row>
    <row r="186" spans="2:17" x14ac:dyDescent="0.25">
      <c r="B186" s="452">
        <v>42706</v>
      </c>
      <c r="C186" s="456">
        <v>1800</v>
      </c>
      <c r="D186" s="499">
        <v>16.476199999999999</v>
      </c>
      <c r="E186" s="457">
        <v>18.79</v>
      </c>
      <c r="F186" s="457">
        <f t="shared" si="15"/>
        <v>4164.8400000000011</v>
      </c>
      <c r="G186" s="457">
        <f t="shared" si="16"/>
        <v>29657.159999999996</v>
      </c>
      <c r="H186" s="500">
        <f t="shared" si="17"/>
        <v>0.14043286680181113</v>
      </c>
      <c r="I186" s="457"/>
      <c r="J186" s="457"/>
    </row>
    <row r="187" spans="2:17" x14ac:dyDescent="0.25">
      <c r="B187" s="452">
        <v>42710</v>
      </c>
      <c r="C187" s="456">
        <v>1800</v>
      </c>
      <c r="D187" s="499">
        <v>16.450700000000001</v>
      </c>
      <c r="E187" s="457">
        <v>19.059999999999999</v>
      </c>
      <c r="F187" s="457">
        <f t="shared" si="15"/>
        <v>4696.7399999999952</v>
      </c>
      <c r="G187" s="457">
        <f t="shared" si="16"/>
        <v>29611.260000000002</v>
      </c>
      <c r="H187" s="500">
        <f t="shared" si="17"/>
        <v>0.1586133112876654</v>
      </c>
      <c r="I187" s="457"/>
      <c r="J187" s="457"/>
    </row>
    <row r="188" spans="2:17" x14ac:dyDescent="0.25">
      <c r="B188" s="452">
        <v>42711</v>
      </c>
      <c r="C188" s="456">
        <v>1000</v>
      </c>
      <c r="D188" s="499">
        <v>13.444599999999999</v>
      </c>
      <c r="E188" s="457">
        <v>20.440000000000001</v>
      </c>
      <c r="F188" s="457">
        <f t="shared" si="15"/>
        <v>6995.4000000000015</v>
      </c>
      <c r="G188" s="457">
        <f t="shared" si="16"/>
        <v>13444.599999999999</v>
      </c>
      <c r="H188" s="500">
        <f t="shared" si="17"/>
        <v>0.52031298811418725</v>
      </c>
      <c r="I188" s="457"/>
      <c r="J188" s="457"/>
    </row>
    <row r="189" spans="2:17" x14ac:dyDescent="0.25">
      <c r="B189" s="452">
        <v>42716</v>
      </c>
      <c r="C189" s="456">
        <v>1800</v>
      </c>
      <c r="D189" s="499">
        <v>16.229800000000001</v>
      </c>
      <c r="E189" s="457">
        <v>20.02</v>
      </c>
      <c r="F189" s="457">
        <f t="shared" si="15"/>
        <v>6822.3599999999979</v>
      </c>
      <c r="G189" s="457">
        <f t="shared" si="16"/>
        <v>29213.640000000003</v>
      </c>
      <c r="H189" s="500">
        <f t="shared" si="17"/>
        <v>0.2335333768746379</v>
      </c>
      <c r="I189" s="457"/>
      <c r="J189" s="457"/>
    </row>
    <row r="190" spans="2:17" x14ac:dyDescent="0.25">
      <c r="B190" s="452">
        <v>42716</v>
      </c>
      <c r="C190" s="456">
        <v>1650</v>
      </c>
      <c r="D190" s="499">
        <v>15.888</v>
      </c>
      <c r="E190" s="457">
        <v>20.02</v>
      </c>
      <c r="F190" s="457">
        <f t="shared" si="15"/>
        <v>6817.7999999999993</v>
      </c>
      <c r="G190" s="457">
        <f t="shared" si="16"/>
        <v>26215.200000000001</v>
      </c>
      <c r="H190" s="500">
        <f t="shared" si="17"/>
        <v>0.26007049345417926</v>
      </c>
      <c r="I190" s="457"/>
      <c r="J190" s="457"/>
    </row>
    <row r="191" spans="2:17" x14ac:dyDescent="0.25">
      <c r="B191" s="452">
        <v>42717</v>
      </c>
      <c r="C191" s="456">
        <v>1550</v>
      </c>
      <c r="D191" s="499">
        <v>15.6</v>
      </c>
      <c r="E191" s="457">
        <v>20.13</v>
      </c>
      <c r="F191" s="457">
        <f t="shared" si="15"/>
        <v>7021.4999999999991</v>
      </c>
      <c r="G191" s="457">
        <f t="shared" si="16"/>
        <v>24180</v>
      </c>
      <c r="H191" s="500">
        <f t="shared" si="17"/>
        <v>0.29038461538461535</v>
      </c>
      <c r="I191" s="457"/>
      <c r="J191" s="457"/>
      <c r="Q191" s="4"/>
    </row>
    <row r="192" spans="2:17" x14ac:dyDescent="0.25">
      <c r="B192" s="452">
        <v>42726</v>
      </c>
      <c r="C192" s="456">
        <v>1550</v>
      </c>
      <c r="D192" s="499">
        <v>15.6</v>
      </c>
      <c r="E192" s="457">
        <v>23.2</v>
      </c>
      <c r="F192" s="457">
        <f>-C192*(D192-E192)</f>
        <v>11780</v>
      </c>
      <c r="G192" s="457">
        <f>IF(C192=0, 0,D192*C192)</f>
        <v>24180</v>
      </c>
      <c r="H192" s="500">
        <f>IF(C192=0, D192, (E192-D192)/D192)</f>
        <v>0.48717948717948717</v>
      </c>
      <c r="I192" s="457"/>
      <c r="J192" s="457"/>
      <c r="Q192" s="4"/>
    </row>
    <row r="193" spans="1:17" x14ac:dyDescent="0.25">
      <c r="B193" s="452">
        <v>42733</v>
      </c>
      <c r="C193" s="456">
        <v>1550</v>
      </c>
      <c r="D193" s="499">
        <v>15.6</v>
      </c>
      <c r="E193" s="457">
        <v>22.27</v>
      </c>
      <c r="F193" s="457">
        <f>-C193*(D193-E193)</f>
        <v>10338.5</v>
      </c>
      <c r="G193" s="457">
        <f>IF(C193=0, 0,D193*C193)</f>
        <v>24180</v>
      </c>
      <c r="H193" s="500">
        <f>IF(C193=0, D193, (E193-D193)/D193)</f>
        <v>0.42756410256410254</v>
      </c>
      <c r="I193" s="457"/>
      <c r="J193" s="457"/>
      <c r="Q193" s="4"/>
    </row>
    <row r="194" spans="1:17" x14ac:dyDescent="0.25">
      <c r="B194" s="452">
        <v>42738</v>
      </c>
      <c r="C194" s="456">
        <v>1550</v>
      </c>
      <c r="D194" s="499">
        <v>15.548634</v>
      </c>
      <c r="E194" s="457">
        <v>22.55</v>
      </c>
      <c r="F194" s="457">
        <f>-C194*(D194-E194)</f>
        <v>10852.117300000002</v>
      </c>
      <c r="G194" s="457">
        <f>IF(C194=0, 0,D194*C194)</f>
        <v>24100.382699999998</v>
      </c>
      <c r="H194" s="500">
        <f>IF(C194=0, D194, (E194-D194)/D194)</f>
        <v>0.4502881732247348</v>
      </c>
      <c r="I194" s="457"/>
      <c r="J194" s="457"/>
    </row>
    <row r="195" spans="1:17" x14ac:dyDescent="0.25">
      <c r="B195" s="452"/>
      <c r="C195" s="456"/>
      <c r="D195" s="499"/>
      <c r="E195" s="457"/>
      <c r="F195" s="457"/>
      <c r="G195" s="457"/>
      <c r="H195" s="500"/>
      <c r="I195" s="457"/>
      <c r="J195" s="457"/>
    </row>
    <row r="196" spans="1:17" x14ac:dyDescent="0.25">
      <c r="B196" s="164"/>
      <c r="C196" s="10"/>
      <c r="D196" s="171"/>
      <c r="E196" s="39"/>
      <c r="F196" s="39"/>
      <c r="G196" s="39"/>
      <c r="H196" s="180"/>
      <c r="I196" s="39"/>
      <c r="J196" s="39"/>
    </row>
    <row r="197" spans="1:17" x14ac:dyDescent="0.25">
      <c r="B197" s="164"/>
      <c r="C197" s="10"/>
      <c r="D197" s="171"/>
      <c r="E197" s="39"/>
      <c r="F197" s="39"/>
      <c r="G197" s="39"/>
      <c r="H197" s="180"/>
      <c r="I197" s="39"/>
      <c r="J197" s="39"/>
    </row>
    <row r="198" spans="1:17" x14ac:dyDescent="0.25">
      <c r="B198" s="407"/>
      <c r="C198" s="4"/>
      <c r="D198" s="3"/>
      <c r="E198" s="3"/>
      <c r="F198" s="3"/>
      <c r="G198" s="72"/>
      <c r="H198" s="161"/>
      <c r="I198" s="3"/>
      <c r="J198" s="3"/>
      <c r="K198" s="3"/>
      <c r="L198" s="4"/>
      <c r="M198" s="4"/>
    </row>
    <row r="199" spans="1:17" x14ac:dyDescent="0.25">
      <c r="B199" s="407"/>
      <c r="C199" s="4"/>
      <c r="D199" s="3"/>
      <c r="E199" s="3"/>
      <c r="F199" s="3"/>
      <c r="G199" s="72"/>
      <c r="H199" s="161"/>
      <c r="I199" s="3"/>
      <c r="J199" s="3"/>
      <c r="K199" s="3"/>
      <c r="L199" s="4"/>
      <c r="M199" s="4"/>
    </row>
    <row r="200" spans="1:17" x14ac:dyDescent="0.25">
      <c r="B200" s="162" t="s">
        <v>113</v>
      </c>
      <c r="C200" s="162" t="s">
        <v>145</v>
      </c>
      <c r="D200" s="163" t="s">
        <v>144</v>
      </c>
      <c r="E200" s="165" t="s">
        <v>146</v>
      </c>
      <c r="F200" s="166" t="s">
        <v>65</v>
      </c>
      <c r="G200" s="177" t="s">
        <v>150</v>
      </c>
      <c r="H200" s="166" t="s">
        <v>88</v>
      </c>
      <c r="I200" s="177" t="s">
        <v>153</v>
      </c>
      <c r="J200" s="177" t="s">
        <v>487</v>
      </c>
      <c r="K200" s="177" t="s">
        <v>456</v>
      </c>
      <c r="L200" s="177" t="s">
        <v>646</v>
      </c>
      <c r="M200" s="4"/>
    </row>
    <row r="201" spans="1:17" x14ac:dyDescent="0.25">
      <c r="A201" s="298" t="s">
        <v>335</v>
      </c>
      <c r="B201" s="297">
        <v>42754</v>
      </c>
      <c r="C201" s="298">
        <v>1550</v>
      </c>
      <c r="D201" s="303">
        <v>20.207419000000002</v>
      </c>
      <c r="E201" s="299">
        <v>21.71</v>
      </c>
      <c r="F201" s="299">
        <f t="shared" ref="F201:F243" si="18">-C201*(D201-E201)</f>
        <v>2329.0005499999988</v>
      </c>
      <c r="G201" s="299">
        <f>IF(C201=0, 0,D201*C201)</f>
        <v>31321.499450000003</v>
      </c>
      <c r="H201" s="301">
        <f t="shared" ref="H201:H243" si="19">IF(C201=0, D201, (E201-D201)/D201)</f>
        <v>7.4357888060815641E-2</v>
      </c>
      <c r="I201" s="299"/>
      <c r="J201" s="299"/>
      <c r="K201" s="299"/>
      <c r="L201" s="299"/>
      <c r="M201" s="4"/>
    </row>
    <row r="202" spans="1:17" x14ac:dyDescent="0.25">
      <c r="A202" s="298" t="s">
        <v>342</v>
      </c>
      <c r="B202" s="297">
        <v>42759</v>
      </c>
      <c r="C202" s="298">
        <v>1350</v>
      </c>
      <c r="D202" s="303">
        <v>19.798221999999999</v>
      </c>
      <c r="E202" s="299">
        <v>22.995000000000001</v>
      </c>
      <c r="F202" s="299">
        <f t="shared" si="18"/>
        <v>4315.650300000003</v>
      </c>
      <c r="G202" s="299">
        <f t="shared" ref="G202:G243" si="20">IF(C202=0, 0,D202*C202)</f>
        <v>26727.599699999999</v>
      </c>
      <c r="H202" s="301">
        <f t="shared" si="19"/>
        <v>0.16146793383769523</v>
      </c>
      <c r="I202" s="299"/>
      <c r="J202" s="299"/>
      <c r="K202" s="299"/>
      <c r="L202" s="299"/>
      <c r="M202" s="4"/>
    </row>
    <row r="203" spans="1:17" x14ac:dyDescent="0.25">
      <c r="A203" s="298" t="s">
        <v>343</v>
      </c>
      <c r="B203" s="297">
        <v>42759</v>
      </c>
      <c r="C203" s="298">
        <v>1550</v>
      </c>
      <c r="D203" s="303">
        <v>20.192</v>
      </c>
      <c r="E203" s="299">
        <v>22.86</v>
      </c>
      <c r="F203" s="299">
        <f t="shared" si="18"/>
        <v>4135.3999999999987</v>
      </c>
      <c r="G203" s="299">
        <f t="shared" si="20"/>
        <v>31297.599999999999</v>
      </c>
      <c r="H203" s="301">
        <f t="shared" si="19"/>
        <v>0.13213153724247223</v>
      </c>
      <c r="I203" s="299"/>
      <c r="J203" s="299"/>
      <c r="K203" s="299"/>
      <c r="L203" s="299"/>
      <c r="M203" s="4"/>
    </row>
    <row r="204" spans="1:17" x14ac:dyDescent="0.25">
      <c r="A204" s="298"/>
      <c r="B204" s="297">
        <v>42760</v>
      </c>
      <c r="C204" s="298">
        <v>950</v>
      </c>
      <c r="D204" s="303">
        <v>17.926220000000001</v>
      </c>
      <c r="E204" s="299">
        <v>23.78</v>
      </c>
      <c r="F204" s="299">
        <f t="shared" si="18"/>
        <v>5561.0910000000003</v>
      </c>
      <c r="G204" s="299">
        <f t="shared" si="20"/>
        <v>17029.909</v>
      </c>
      <c r="H204" s="301">
        <f t="shared" si="19"/>
        <v>0.32654848596078817</v>
      </c>
      <c r="I204" s="299"/>
      <c r="J204" s="299"/>
      <c r="K204" s="299"/>
      <c r="L204" s="299"/>
      <c r="M204" s="4"/>
    </row>
    <row r="205" spans="1:17" x14ac:dyDescent="0.25">
      <c r="A205" s="298" t="s">
        <v>344</v>
      </c>
      <c r="B205" s="297">
        <v>42760</v>
      </c>
      <c r="C205" s="298">
        <v>1550</v>
      </c>
      <c r="D205" s="303">
        <v>20.03736</v>
      </c>
      <c r="E205" s="299">
        <v>23.38</v>
      </c>
      <c r="F205" s="299">
        <f t="shared" si="18"/>
        <v>5181.0919999999987</v>
      </c>
      <c r="G205" s="299">
        <f t="shared" si="20"/>
        <v>31057.907999999999</v>
      </c>
      <c r="H205" s="301">
        <f t="shared" si="19"/>
        <v>0.16682037953103598</v>
      </c>
      <c r="I205" s="299">
        <v>20</v>
      </c>
      <c r="J205" s="299"/>
      <c r="K205" s="299"/>
      <c r="L205" s="299"/>
      <c r="M205" s="4"/>
    </row>
    <row r="206" spans="1:17" x14ac:dyDescent="0.25">
      <c r="A206" s="427" t="s">
        <v>365</v>
      </c>
      <c r="B206" s="426">
        <v>42765</v>
      </c>
      <c r="C206" s="427">
        <v>1350</v>
      </c>
      <c r="D206" s="428">
        <v>23.093333000000001</v>
      </c>
      <c r="E206" s="429">
        <v>24.18</v>
      </c>
      <c r="F206" s="429">
        <f t="shared" si="18"/>
        <v>1467.000449999998</v>
      </c>
      <c r="G206" s="429">
        <f t="shared" si="20"/>
        <v>31175.99955</v>
      </c>
      <c r="H206" s="430">
        <f t="shared" si="19"/>
        <v>4.7055442365118903E-2</v>
      </c>
      <c r="I206" s="429"/>
      <c r="J206" s="429"/>
      <c r="K206" s="429"/>
      <c r="L206" s="429"/>
      <c r="M206" s="4"/>
    </row>
    <row r="207" spans="1:17" x14ac:dyDescent="0.25">
      <c r="A207" s="427" t="s">
        <v>380</v>
      </c>
      <c r="B207" s="426">
        <v>42769</v>
      </c>
      <c r="C207" s="427">
        <v>1350</v>
      </c>
      <c r="D207" s="428">
        <v>23.059799999999999</v>
      </c>
      <c r="E207" s="429">
        <v>24.6</v>
      </c>
      <c r="F207" s="429">
        <f t="shared" si="18"/>
        <v>2079.2700000000032</v>
      </c>
      <c r="G207" s="429">
        <f t="shared" si="20"/>
        <v>31130.73</v>
      </c>
      <c r="H207" s="430">
        <f t="shared" si="19"/>
        <v>6.679155933702817E-2</v>
      </c>
      <c r="I207" s="429"/>
      <c r="J207" s="429"/>
      <c r="K207" s="429"/>
      <c r="L207" s="429"/>
      <c r="M207" s="4"/>
    </row>
    <row r="208" spans="1:17" x14ac:dyDescent="0.25">
      <c r="A208" s="427" t="s">
        <v>405</v>
      </c>
      <c r="B208" s="426">
        <v>42776</v>
      </c>
      <c r="C208" s="427">
        <v>1550</v>
      </c>
      <c r="D208" s="428">
        <v>23.174665000000001</v>
      </c>
      <c r="E208" s="429">
        <v>24.05</v>
      </c>
      <c r="F208" s="429">
        <f t="shared" si="18"/>
        <v>1356.7692499999996</v>
      </c>
      <c r="G208" s="429">
        <f t="shared" si="20"/>
        <v>35920.730750000002</v>
      </c>
      <c r="H208" s="430">
        <f t="shared" si="19"/>
        <v>3.7771204028191979E-2</v>
      </c>
      <c r="I208" s="429">
        <v>23</v>
      </c>
      <c r="J208" s="429"/>
      <c r="K208" s="429"/>
      <c r="L208" s="429"/>
      <c r="M208" s="4"/>
    </row>
    <row r="209" spans="1:13" x14ac:dyDescent="0.25">
      <c r="A209" s="427" t="s">
        <v>410</v>
      </c>
      <c r="B209" s="426">
        <v>42780</v>
      </c>
      <c r="C209" s="427">
        <v>1650</v>
      </c>
      <c r="D209" s="428">
        <v>23.174665000000001</v>
      </c>
      <c r="E209" s="429">
        <v>23.12</v>
      </c>
      <c r="F209" s="429">
        <f t="shared" si="18"/>
        <v>-90.19724999999994</v>
      </c>
      <c r="G209" s="429">
        <f t="shared" si="20"/>
        <v>38238.197250000005</v>
      </c>
      <c r="H209" s="430">
        <f t="shared" si="19"/>
        <v>-2.3588258988856995E-3</v>
      </c>
      <c r="I209" s="429"/>
      <c r="J209" s="429"/>
      <c r="K209" s="429"/>
      <c r="L209" s="429"/>
      <c r="M209" s="3"/>
    </row>
    <row r="210" spans="1:13" x14ac:dyDescent="0.25">
      <c r="A210" s="427" t="s">
        <v>423</v>
      </c>
      <c r="B210" s="426">
        <v>42782</v>
      </c>
      <c r="C210" s="427">
        <v>1550</v>
      </c>
      <c r="D210" s="428">
        <v>23.148890000000002</v>
      </c>
      <c r="E210" s="429">
        <v>22.98</v>
      </c>
      <c r="F210" s="429">
        <f t="shared" si="18"/>
        <v>-261.77950000000169</v>
      </c>
      <c r="G210" s="429">
        <f t="shared" si="20"/>
        <v>35880.779500000004</v>
      </c>
      <c r="H210" s="430">
        <f t="shared" si="19"/>
        <v>-7.2958141837470864E-3</v>
      </c>
      <c r="I210" s="429">
        <v>23</v>
      </c>
      <c r="J210" s="429"/>
      <c r="K210" s="429"/>
      <c r="L210" s="429"/>
      <c r="M210" s="4"/>
    </row>
    <row r="211" spans="1:13" x14ac:dyDescent="0.25">
      <c r="A211" s="560" t="s">
        <v>423</v>
      </c>
      <c r="B211" s="561">
        <v>42788</v>
      </c>
      <c r="C211" s="560">
        <v>1550</v>
      </c>
      <c r="D211" s="569">
        <v>23.390999999999998</v>
      </c>
      <c r="E211" s="562">
        <v>23.75</v>
      </c>
      <c r="F211" s="562">
        <f t="shared" si="18"/>
        <v>556.45000000000277</v>
      </c>
      <c r="G211" s="562">
        <f t="shared" si="20"/>
        <v>36256.049999999996</v>
      </c>
      <c r="H211" s="570">
        <f t="shared" si="19"/>
        <v>1.5347783335470985E-2</v>
      </c>
      <c r="I211" s="562">
        <v>23</v>
      </c>
      <c r="J211" s="562"/>
      <c r="K211" s="562"/>
      <c r="L211" s="562"/>
      <c r="M211" s="4"/>
    </row>
    <row r="212" spans="1:13" x14ac:dyDescent="0.25">
      <c r="A212" s="560" t="s">
        <v>441</v>
      </c>
      <c r="B212" s="561">
        <v>42790</v>
      </c>
      <c r="C212" s="560">
        <v>1550</v>
      </c>
      <c r="D212" s="569">
        <v>23.390999999999998</v>
      </c>
      <c r="E212" s="562">
        <v>23.24</v>
      </c>
      <c r="F212" s="562">
        <f t="shared" si="18"/>
        <v>-234.0499999999997</v>
      </c>
      <c r="G212" s="562">
        <f t="shared" si="20"/>
        <v>36256.049999999996</v>
      </c>
      <c r="H212" s="570">
        <f t="shared" si="19"/>
        <v>-6.4554743277328809E-3</v>
      </c>
      <c r="I212" s="562"/>
      <c r="J212" s="562"/>
      <c r="K212" s="562"/>
      <c r="L212" s="562"/>
      <c r="M212" s="4"/>
    </row>
    <row r="213" spans="1:13" x14ac:dyDescent="0.25">
      <c r="A213" s="560"/>
      <c r="B213" s="561">
        <v>42793</v>
      </c>
      <c r="C213" s="560">
        <v>1550</v>
      </c>
      <c r="D213" s="569">
        <v>23.390999999999998</v>
      </c>
      <c r="E213" s="562">
        <v>23.76</v>
      </c>
      <c r="F213" s="562">
        <f t="shared" si="18"/>
        <v>571.95000000000516</v>
      </c>
      <c r="G213" s="562">
        <f t="shared" si="20"/>
        <v>36256.049999999996</v>
      </c>
      <c r="H213" s="570">
        <f t="shared" si="19"/>
        <v>1.5775298191612303E-2</v>
      </c>
      <c r="I213" s="562"/>
      <c r="J213" s="562"/>
      <c r="K213" s="562"/>
      <c r="L213" s="562"/>
      <c r="M213" s="4"/>
    </row>
    <row r="214" spans="1:13" x14ac:dyDescent="0.25">
      <c r="A214" s="560">
        <v>600</v>
      </c>
      <c r="B214" s="561">
        <v>42795</v>
      </c>
      <c r="C214" s="560">
        <v>1200</v>
      </c>
      <c r="D214" s="569">
        <v>23.166550000000001</v>
      </c>
      <c r="E214" s="562">
        <v>24.55</v>
      </c>
      <c r="F214" s="562">
        <f t="shared" si="18"/>
        <v>1660.1399999999999</v>
      </c>
      <c r="G214" s="562">
        <f t="shared" si="20"/>
        <v>27799.86</v>
      </c>
      <c r="H214" s="570">
        <f t="shared" si="19"/>
        <v>5.9717566922998885E-2</v>
      </c>
      <c r="I214" s="562">
        <v>23</v>
      </c>
      <c r="J214" s="562"/>
      <c r="K214" s="562">
        <v>14210</v>
      </c>
      <c r="L214" s="562">
        <f>(G214-K214)/C214</f>
        <v>11.324883333333334</v>
      </c>
    </row>
    <row r="215" spans="1:13" x14ac:dyDescent="0.25">
      <c r="A215" s="560">
        <v>200</v>
      </c>
      <c r="B215" s="561">
        <v>42796</v>
      </c>
      <c r="C215" s="560">
        <v>1200</v>
      </c>
      <c r="D215" s="569">
        <v>22.916799999999999</v>
      </c>
      <c r="E215" s="562">
        <v>24.7</v>
      </c>
      <c r="F215" s="562">
        <f t="shared" si="18"/>
        <v>2139.8400000000011</v>
      </c>
      <c r="G215" s="562">
        <f t="shared" si="20"/>
        <v>27500.16</v>
      </c>
      <c r="H215" s="570">
        <f t="shared" si="19"/>
        <v>7.7811910912518364E-2</v>
      </c>
      <c r="I215" s="562">
        <v>22.5</v>
      </c>
      <c r="J215" s="562"/>
      <c r="K215" s="562">
        <v>14690</v>
      </c>
      <c r="L215" s="562">
        <f t="shared" ref="L215:L230" si="21">(G215-K215)/C215</f>
        <v>10.675133333333333</v>
      </c>
    </row>
    <row r="216" spans="1:13" x14ac:dyDescent="0.25">
      <c r="A216" s="560">
        <v>100</v>
      </c>
      <c r="B216" s="561">
        <v>42798</v>
      </c>
      <c r="C216" s="560">
        <v>1000</v>
      </c>
      <c r="D216" s="569">
        <v>22.424299999999999</v>
      </c>
      <c r="E216" s="562">
        <v>25.57</v>
      </c>
      <c r="F216" s="562">
        <f t="shared" si="18"/>
        <v>3145.7000000000016</v>
      </c>
      <c r="G216" s="562">
        <f t="shared" si="20"/>
        <v>22424.3</v>
      </c>
      <c r="H216" s="570">
        <f t="shared" si="19"/>
        <v>0.14028085603563997</v>
      </c>
      <c r="I216" s="562"/>
      <c r="J216" s="562"/>
      <c r="K216" s="562">
        <v>15696</v>
      </c>
      <c r="L216" s="562">
        <f t="shared" si="21"/>
        <v>6.7282999999999991</v>
      </c>
    </row>
    <row r="217" spans="1:13" x14ac:dyDescent="0.25">
      <c r="A217" s="560">
        <v>100</v>
      </c>
      <c r="B217" s="561">
        <v>42803</v>
      </c>
      <c r="C217" s="560">
        <v>1100</v>
      </c>
      <c r="D217" s="569">
        <v>22.663</v>
      </c>
      <c r="E217" s="562">
        <v>25.15</v>
      </c>
      <c r="F217" s="562">
        <f t="shared" si="18"/>
        <v>2735.699999999998</v>
      </c>
      <c r="G217" s="562">
        <f t="shared" si="20"/>
        <v>24929.3</v>
      </c>
      <c r="H217" s="570">
        <f t="shared" si="19"/>
        <v>0.1097383400255923</v>
      </c>
      <c r="I217" s="562"/>
      <c r="J217" s="562"/>
      <c r="K217" s="562">
        <v>15286</v>
      </c>
      <c r="L217" s="562">
        <f t="shared" si="21"/>
        <v>8.7666363636363638</v>
      </c>
    </row>
    <row r="218" spans="1:13" x14ac:dyDescent="0.25">
      <c r="A218" s="560">
        <v>0</v>
      </c>
      <c r="B218" s="561">
        <v>42804</v>
      </c>
      <c r="C218" s="560">
        <v>1000</v>
      </c>
      <c r="D218" s="569">
        <v>22.371400000000001</v>
      </c>
      <c r="E218" s="562">
        <v>25.18</v>
      </c>
      <c r="F218" s="562">
        <f t="shared" si="18"/>
        <v>2808.5999999999985</v>
      </c>
      <c r="G218" s="562">
        <f t="shared" si="20"/>
        <v>22371.4</v>
      </c>
      <c r="H218" s="570">
        <f t="shared" si="19"/>
        <v>0.12554422164012974</v>
      </c>
      <c r="I218" s="562"/>
      <c r="J218" s="562"/>
      <c r="K218" s="562">
        <v>15359</v>
      </c>
      <c r="L218" s="562">
        <f t="shared" si="21"/>
        <v>7.0124000000000013</v>
      </c>
    </row>
    <row r="219" spans="1:13" x14ac:dyDescent="0.25">
      <c r="A219" s="560">
        <v>200</v>
      </c>
      <c r="B219" s="561">
        <v>42808</v>
      </c>
      <c r="C219" s="560">
        <v>1000</v>
      </c>
      <c r="D219" s="569">
        <v>22.371400000000001</v>
      </c>
      <c r="E219" s="562">
        <v>25.58</v>
      </c>
      <c r="F219" s="562">
        <f t="shared" si="18"/>
        <v>3208.5999999999972</v>
      </c>
      <c r="G219" s="562">
        <f t="shared" si="20"/>
        <v>22371.4</v>
      </c>
      <c r="H219" s="570">
        <f t="shared" si="19"/>
        <v>0.1434241933897743</v>
      </c>
      <c r="I219" s="562">
        <v>22</v>
      </c>
      <c r="J219" s="562"/>
      <c r="K219" s="562">
        <v>15759</v>
      </c>
      <c r="L219" s="562">
        <f t="shared" si="21"/>
        <v>6.6124000000000018</v>
      </c>
      <c r="M219" s="4"/>
    </row>
    <row r="220" spans="1:13" x14ac:dyDescent="0.25">
      <c r="A220" s="387">
        <v>0</v>
      </c>
      <c r="B220" s="386">
        <v>42809</v>
      </c>
      <c r="C220" s="387">
        <v>1000</v>
      </c>
      <c r="D220" s="550">
        <v>24.635000000000002</v>
      </c>
      <c r="E220" s="388">
        <v>26.12</v>
      </c>
      <c r="F220" s="388">
        <f t="shared" si="18"/>
        <v>1484.9999999999995</v>
      </c>
      <c r="G220" s="388">
        <f t="shared" si="20"/>
        <v>24635</v>
      </c>
      <c r="H220" s="572">
        <f t="shared" si="19"/>
        <v>6.0280089303835979E-2</v>
      </c>
      <c r="I220" s="388">
        <v>24</v>
      </c>
      <c r="J220" s="388">
        <v>68.36</v>
      </c>
      <c r="K220" s="388">
        <v>16373</v>
      </c>
      <c r="L220" s="388">
        <f t="shared" si="21"/>
        <v>8.2620000000000005</v>
      </c>
      <c r="M220" s="4"/>
    </row>
    <row r="221" spans="1:13" x14ac:dyDescent="0.25">
      <c r="A221" s="387">
        <v>0</v>
      </c>
      <c r="B221" s="386">
        <v>42817</v>
      </c>
      <c r="C221" s="387">
        <v>900</v>
      </c>
      <c r="D221" s="550">
        <v>24.152000000000001</v>
      </c>
      <c r="E221" s="388">
        <v>26.47</v>
      </c>
      <c r="F221" s="388">
        <f t="shared" si="18"/>
        <v>2086.199999999998</v>
      </c>
      <c r="G221" s="388">
        <f t="shared" si="20"/>
        <v>21736.799999999999</v>
      </c>
      <c r="H221" s="572">
        <f t="shared" si="19"/>
        <v>9.5975488572374867E-2</v>
      </c>
      <c r="I221" s="388"/>
      <c r="J221" s="388"/>
      <c r="K221" s="388">
        <v>16974</v>
      </c>
      <c r="L221" s="388">
        <f t="shared" si="21"/>
        <v>5.2919999999999989</v>
      </c>
      <c r="M221" s="4"/>
    </row>
    <row r="222" spans="1:13" x14ac:dyDescent="0.25">
      <c r="A222" s="387">
        <v>0</v>
      </c>
      <c r="B222" s="386">
        <v>42818</v>
      </c>
      <c r="C222" s="387">
        <v>1000</v>
      </c>
      <c r="D222" s="550">
        <v>24.585000000000001</v>
      </c>
      <c r="E222" s="388">
        <v>28.43</v>
      </c>
      <c r="F222" s="388">
        <f t="shared" si="18"/>
        <v>3844.9999999999991</v>
      </c>
      <c r="G222" s="388">
        <f t="shared" si="20"/>
        <v>24585</v>
      </c>
      <c r="H222" s="572">
        <f t="shared" si="19"/>
        <v>0.15639617653040466</v>
      </c>
      <c r="I222" s="388">
        <v>24</v>
      </c>
      <c r="J222" s="388"/>
      <c r="K222" s="388">
        <v>18733</v>
      </c>
      <c r="L222" s="388">
        <f t="shared" si="21"/>
        <v>5.8520000000000003</v>
      </c>
      <c r="M222" s="4"/>
    </row>
    <row r="223" spans="1:13" x14ac:dyDescent="0.25">
      <c r="A223" s="4">
        <v>0</v>
      </c>
      <c r="B223" s="164">
        <v>42819</v>
      </c>
      <c r="C223" s="10">
        <v>1000</v>
      </c>
      <c r="D223" s="171">
        <v>25.193000000000001</v>
      </c>
      <c r="E223" s="39">
        <v>28.43</v>
      </c>
      <c r="F223" s="39">
        <f t="shared" si="18"/>
        <v>3236.9999999999982</v>
      </c>
      <c r="G223" s="39">
        <f t="shared" si="20"/>
        <v>25193</v>
      </c>
      <c r="H223" s="180">
        <f t="shared" si="19"/>
        <v>0.12848807208351518</v>
      </c>
      <c r="I223" s="39">
        <v>25</v>
      </c>
      <c r="J223" s="39"/>
      <c r="K223" s="39">
        <v>18733</v>
      </c>
      <c r="L223" s="39">
        <f t="shared" si="21"/>
        <v>6.46</v>
      </c>
      <c r="M223" s="4"/>
    </row>
    <row r="224" spans="1:13" x14ac:dyDescent="0.25">
      <c r="A224" s="4">
        <v>700</v>
      </c>
      <c r="B224" s="164">
        <v>42833</v>
      </c>
      <c r="C224" s="10">
        <v>1000</v>
      </c>
      <c r="D224" s="171">
        <v>25.193000000000001</v>
      </c>
      <c r="E224" s="39">
        <v>28.52</v>
      </c>
      <c r="F224" s="39">
        <f t="shared" si="18"/>
        <v>3326.9999999999982</v>
      </c>
      <c r="G224" s="39">
        <f t="shared" si="20"/>
        <v>25193</v>
      </c>
      <c r="H224" s="180">
        <f t="shared" si="19"/>
        <v>0.13206049299408557</v>
      </c>
      <c r="I224" s="39">
        <v>25</v>
      </c>
      <c r="J224" s="39"/>
      <c r="K224" s="39">
        <v>18823</v>
      </c>
      <c r="L224" s="39">
        <f t="shared" si="21"/>
        <v>6.37</v>
      </c>
      <c r="M224" s="4"/>
    </row>
    <row r="225" spans="1:13" x14ac:dyDescent="0.25">
      <c r="A225" s="4">
        <v>700</v>
      </c>
      <c r="B225" s="164">
        <v>42835</v>
      </c>
      <c r="C225" s="10">
        <v>1100</v>
      </c>
      <c r="D225" s="171">
        <v>25.454999999999998</v>
      </c>
      <c r="E225" s="39">
        <v>27.64</v>
      </c>
      <c r="F225" s="39">
        <f t="shared" si="18"/>
        <v>2403.5000000000027</v>
      </c>
      <c r="G225" s="39">
        <f t="shared" si="20"/>
        <v>28000.499999999996</v>
      </c>
      <c r="H225" s="180">
        <f t="shared" si="19"/>
        <v>8.583775289726979E-2</v>
      </c>
      <c r="I225" s="39"/>
      <c r="J225" s="39"/>
      <c r="K225" s="39">
        <v>17899</v>
      </c>
      <c r="L225" s="39">
        <f t="shared" si="21"/>
        <v>9.183181818181815</v>
      </c>
      <c r="M225" s="4"/>
    </row>
    <row r="226" spans="1:13" x14ac:dyDescent="0.25">
      <c r="A226" s="4">
        <v>700</v>
      </c>
      <c r="B226" s="164">
        <v>42836</v>
      </c>
      <c r="C226" s="10">
        <v>1200</v>
      </c>
      <c r="D226" s="171">
        <v>25.588999999999999</v>
      </c>
      <c r="E226" s="39">
        <v>27.18</v>
      </c>
      <c r="F226" s="39">
        <f t="shared" si="18"/>
        <v>1909.2000000000012</v>
      </c>
      <c r="G226" s="39">
        <f t="shared" si="20"/>
        <v>30706.799999999999</v>
      </c>
      <c r="H226" s="180">
        <f t="shared" si="19"/>
        <v>6.2175153386220684E-2</v>
      </c>
      <c r="I226" s="39"/>
      <c r="J226" s="39"/>
      <c r="K226" s="39">
        <v>17405</v>
      </c>
      <c r="L226" s="39">
        <f t="shared" si="21"/>
        <v>11.084833333333332</v>
      </c>
      <c r="M226" s="4"/>
    </row>
    <row r="227" spans="1:13" x14ac:dyDescent="0.25">
      <c r="A227" s="4">
        <v>700</v>
      </c>
      <c r="B227" s="164">
        <v>42845</v>
      </c>
      <c r="C227" s="10">
        <v>1000</v>
      </c>
      <c r="D227" s="171">
        <v>25.117000000000001</v>
      </c>
      <c r="E227" s="39">
        <v>27.96</v>
      </c>
      <c r="F227" s="39">
        <f t="shared" si="18"/>
        <v>2843</v>
      </c>
      <c r="G227" s="39">
        <f t="shared" si="20"/>
        <v>25117</v>
      </c>
      <c r="H227" s="180">
        <f t="shared" si="19"/>
        <v>0.11319026953855954</v>
      </c>
      <c r="I227" s="39">
        <v>25</v>
      </c>
      <c r="J227" s="39"/>
      <c r="K227" s="39">
        <v>18339</v>
      </c>
      <c r="L227" s="39">
        <f t="shared" si="21"/>
        <v>6.7779999999999996</v>
      </c>
      <c r="M227" s="4"/>
    </row>
    <row r="228" spans="1:13" x14ac:dyDescent="0.25">
      <c r="A228" s="4">
        <v>700</v>
      </c>
      <c r="B228" s="164">
        <v>42846</v>
      </c>
      <c r="C228" s="10">
        <v>1200</v>
      </c>
      <c r="D228" s="171">
        <v>25.486999999999998</v>
      </c>
      <c r="E228" s="39">
        <v>27.32</v>
      </c>
      <c r="F228" s="39">
        <f t="shared" si="18"/>
        <v>2199.6000000000022</v>
      </c>
      <c r="G228" s="39">
        <f t="shared" si="20"/>
        <v>30584.399999999998</v>
      </c>
      <c r="H228" s="180">
        <f t="shared" si="19"/>
        <v>7.1919017538352961E-2</v>
      </c>
      <c r="I228" s="39"/>
      <c r="J228" s="39"/>
      <c r="K228" s="39">
        <v>17695</v>
      </c>
      <c r="L228" s="39">
        <f t="shared" si="21"/>
        <v>10.741166666666665</v>
      </c>
      <c r="M228" s="4"/>
    </row>
    <row r="229" spans="1:13" x14ac:dyDescent="0.25">
      <c r="A229" s="4">
        <v>600</v>
      </c>
      <c r="B229" s="164">
        <v>42853</v>
      </c>
      <c r="C229" s="10">
        <v>1000</v>
      </c>
      <c r="D229" s="171">
        <v>24.948</v>
      </c>
      <c r="E229" s="39">
        <v>27.67</v>
      </c>
      <c r="F229" s="39">
        <f t="shared" si="18"/>
        <v>2722.0000000000014</v>
      </c>
      <c r="G229" s="39">
        <f t="shared" si="20"/>
        <v>24948</v>
      </c>
      <c r="H229" s="180">
        <f t="shared" si="19"/>
        <v>0.10910694244027583</v>
      </c>
      <c r="I229" s="173" t="s">
        <v>315</v>
      </c>
      <c r="J229" s="39"/>
      <c r="K229" s="39">
        <v>18217</v>
      </c>
      <c r="L229" s="39">
        <f t="shared" si="21"/>
        <v>6.7309999999999999</v>
      </c>
      <c r="M229" s="4"/>
    </row>
    <row r="230" spans="1:13" x14ac:dyDescent="0.25">
      <c r="A230" s="4">
        <v>550</v>
      </c>
      <c r="B230" s="164">
        <v>42856</v>
      </c>
      <c r="C230" s="10">
        <v>950</v>
      </c>
      <c r="D230" s="171">
        <v>24.771000000000001</v>
      </c>
      <c r="E230" s="39">
        <v>28.29</v>
      </c>
      <c r="F230" s="39">
        <f t="shared" si="18"/>
        <v>3343.0499999999984</v>
      </c>
      <c r="G230" s="39">
        <f t="shared" si="20"/>
        <v>23532.45</v>
      </c>
      <c r="H230" s="180">
        <f t="shared" si="19"/>
        <v>0.14206128133704729</v>
      </c>
      <c r="I230" s="39"/>
      <c r="J230" s="39"/>
      <c r="K230" s="39">
        <v>18839</v>
      </c>
      <c r="L230" s="39">
        <f t="shared" si="21"/>
        <v>4.9404736842105272</v>
      </c>
      <c r="M230" s="4"/>
    </row>
    <row r="231" spans="1:13" x14ac:dyDescent="0.25">
      <c r="A231" s="4">
        <v>0</v>
      </c>
      <c r="B231" s="164">
        <v>42864</v>
      </c>
      <c r="C231" s="10">
        <v>400</v>
      </c>
      <c r="D231" s="171">
        <v>19.736999999999998</v>
      </c>
      <c r="E231" s="39">
        <v>28.06</v>
      </c>
      <c r="F231" s="39">
        <f t="shared" si="18"/>
        <v>3329.2000000000003</v>
      </c>
      <c r="G231" s="39">
        <f t="shared" si="20"/>
        <v>7894.7999999999993</v>
      </c>
      <c r="H231" s="180">
        <f t="shared" si="19"/>
        <v>0.42169529310432191</v>
      </c>
      <c r="I231" s="39"/>
      <c r="J231" s="39"/>
      <c r="K231" s="39">
        <v>18825</v>
      </c>
      <c r="L231" s="39">
        <f>(G231-K231)/C231</f>
        <v>-27.325500000000002</v>
      </c>
      <c r="M231" s="4"/>
    </row>
    <row r="232" spans="1:13" x14ac:dyDescent="0.25">
      <c r="A232" s="4">
        <v>200</v>
      </c>
      <c r="B232" s="164">
        <v>42872</v>
      </c>
      <c r="C232" s="10">
        <v>800</v>
      </c>
      <c r="D232" s="171">
        <v>23.509</v>
      </c>
      <c r="E232" s="39">
        <v>27</v>
      </c>
      <c r="F232" s="39">
        <f t="shared" si="18"/>
        <v>2792.7999999999997</v>
      </c>
      <c r="G232" s="39">
        <f t="shared" si="20"/>
        <v>18807.2</v>
      </c>
      <c r="H232" s="180">
        <f t="shared" si="19"/>
        <v>0.14849632055808412</v>
      </c>
      <c r="I232" s="39"/>
      <c r="J232" s="39"/>
      <c r="K232" s="39">
        <v>18289</v>
      </c>
      <c r="L232" s="39">
        <f>(G232-K232)/C232</f>
        <v>0.64775000000000094</v>
      </c>
      <c r="M232" s="4"/>
    </row>
    <row r="233" spans="1:13" x14ac:dyDescent="0.25">
      <c r="A233" s="4">
        <v>0</v>
      </c>
      <c r="B233" s="164">
        <v>42874</v>
      </c>
      <c r="C233" s="10">
        <v>600</v>
      </c>
      <c r="D233" s="171">
        <v>21.98</v>
      </c>
      <c r="E233" s="39">
        <v>27.84</v>
      </c>
      <c r="F233" s="39">
        <f t="shared" si="18"/>
        <v>3515.9999999999995</v>
      </c>
      <c r="G233" s="39">
        <f t="shared" si="20"/>
        <v>13188</v>
      </c>
      <c r="H233" s="180">
        <f t="shared" si="19"/>
        <v>0.26660600545950863</v>
      </c>
      <c r="I233" s="39"/>
      <c r="J233" s="39"/>
      <c r="K233" s="39">
        <v>18793</v>
      </c>
      <c r="L233" s="39">
        <f>(G233-K233)/C233</f>
        <v>-9.3416666666666668</v>
      </c>
      <c r="M233" s="4"/>
    </row>
    <row r="234" spans="1:13" x14ac:dyDescent="0.25">
      <c r="A234" s="4">
        <v>400</v>
      </c>
      <c r="B234" s="164">
        <v>42944</v>
      </c>
      <c r="C234" s="10">
        <v>450</v>
      </c>
      <c r="D234" s="171">
        <v>27.52</v>
      </c>
      <c r="E234" s="39">
        <v>29.28</v>
      </c>
      <c r="F234" s="39">
        <f t="shared" si="18"/>
        <v>792.00000000000068</v>
      </c>
      <c r="G234" s="39">
        <f t="shared" si="20"/>
        <v>12384</v>
      </c>
      <c r="H234" s="180">
        <f t="shared" si="19"/>
        <v>6.3953488372093081E-2</v>
      </c>
      <c r="I234" s="39"/>
      <c r="J234" s="39"/>
      <c r="K234" s="39">
        <v>19738</v>
      </c>
      <c r="L234" s="39">
        <f>(G234-K234)/C234</f>
        <v>-16.342222222222222</v>
      </c>
      <c r="M234" s="4"/>
    </row>
    <row r="235" spans="1:13" x14ac:dyDescent="0.25">
      <c r="A235" s="4">
        <v>400</v>
      </c>
      <c r="B235" s="164">
        <v>42947</v>
      </c>
      <c r="C235" s="10">
        <v>500</v>
      </c>
      <c r="D235" s="171">
        <v>27.613800000000001</v>
      </c>
      <c r="E235" s="39">
        <v>28.12</v>
      </c>
      <c r="F235" s="39">
        <f t="shared" si="18"/>
        <v>253.09999999999988</v>
      </c>
      <c r="G235" s="39">
        <f t="shared" si="20"/>
        <v>13806.900000000001</v>
      </c>
      <c r="H235" s="180">
        <f t="shared" si="19"/>
        <v>1.8331414003143347E-2</v>
      </c>
      <c r="I235" s="39"/>
      <c r="J235" s="39"/>
      <c r="K235" s="39">
        <v>19200</v>
      </c>
      <c r="L235" s="39">
        <f t="shared" ref="L235:L243" si="22">(G235-K235)/C235</f>
        <v>-10.786199999999997</v>
      </c>
      <c r="M235" s="4"/>
    </row>
    <row r="236" spans="1:13" x14ac:dyDescent="0.25">
      <c r="A236" s="4">
        <v>400</v>
      </c>
      <c r="B236" s="164">
        <v>42950</v>
      </c>
      <c r="C236" s="10">
        <v>550</v>
      </c>
      <c r="D236" s="171">
        <v>27.622</v>
      </c>
      <c r="E236" s="39">
        <v>27.83</v>
      </c>
      <c r="F236" s="39">
        <f t="shared" si="18"/>
        <v>114.39999999999912</v>
      </c>
      <c r="G236" s="39">
        <f t="shared" si="20"/>
        <v>15192.1</v>
      </c>
      <c r="H236" s="180">
        <f t="shared" si="19"/>
        <v>7.5302295271884156E-3</v>
      </c>
      <c r="I236" s="39"/>
      <c r="J236" s="39"/>
      <c r="K236" s="39">
        <v>19061</v>
      </c>
      <c r="L236" s="39">
        <f t="shared" si="22"/>
        <v>-7.0343636363636355</v>
      </c>
      <c r="M236" s="4"/>
    </row>
    <row r="237" spans="1:13" x14ac:dyDescent="0.25">
      <c r="A237" s="4">
        <v>300</v>
      </c>
      <c r="B237" s="164">
        <v>42955</v>
      </c>
      <c r="C237" s="10">
        <v>450</v>
      </c>
      <c r="D237" s="171">
        <v>27.276</v>
      </c>
      <c r="E237" s="39">
        <v>28.84</v>
      </c>
      <c r="F237" s="39">
        <f t="shared" si="18"/>
        <v>703.80000000000007</v>
      </c>
      <c r="G237" s="39">
        <f t="shared" si="20"/>
        <v>12274.2</v>
      </c>
      <c r="H237" s="180">
        <f t="shared" si="19"/>
        <v>5.7339785892359586E-2</v>
      </c>
      <c r="I237" s="39"/>
      <c r="J237" s="39"/>
      <c r="K237" s="39">
        <v>19651</v>
      </c>
      <c r="L237" s="39">
        <f t="shared" si="22"/>
        <v>-16.392888888888887</v>
      </c>
      <c r="M237" s="4"/>
    </row>
    <row r="238" spans="1:13" x14ac:dyDescent="0.25">
      <c r="A238" s="4">
        <v>300</v>
      </c>
      <c r="B238" s="164">
        <v>42957</v>
      </c>
      <c r="C238" s="10">
        <v>550</v>
      </c>
      <c r="D238" s="171">
        <v>27.385000000000002</v>
      </c>
      <c r="E238" s="39">
        <v>27.49</v>
      </c>
      <c r="F238" s="39">
        <f t="shared" si="18"/>
        <v>57.74999999999828</v>
      </c>
      <c r="G238" s="39">
        <f t="shared" si="20"/>
        <v>15061.75</v>
      </c>
      <c r="H238" s="180">
        <f t="shared" si="19"/>
        <v>3.8342158115755656E-3</v>
      </c>
      <c r="I238" s="39"/>
      <c r="J238" s="39"/>
      <c r="K238" s="39">
        <v>19004</v>
      </c>
      <c r="L238" s="39">
        <f t="shared" si="22"/>
        <v>-7.1677272727272729</v>
      </c>
      <c r="M238" s="4"/>
    </row>
    <row r="239" spans="1:13" x14ac:dyDescent="0.25">
      <c r="A239" s="4">
        <v>200</v>
      </c>
      <c r="B239" s="164">
        <v>42962</v>
      </c>
      <c r="C239" s="10">
        <v>450</v>
      </c>
      <c r="D239" s="171">
        <v>26.96</v>
      </c>
      <c r="E239" s="39">
        <v>29.68</v>
      </c>
      <c r="F239" s="39">
        <f t="shared" si="18"/>
        <v>1223.9999999999995</v>
      </c>
      <c r="G239" s="39">
        <f t="shared" si="20"/>
        <v>12132</v>
      </c>
      <c r="H239" s="180">
        <f t="shared" si="19"/>
        <v>0.10089020771513349</v>
      </c>
      <c r="I239" s="39"/>
      <c r="J239" s="39"/>
      <c r="K239" s="39">
        <v>20172</v>
      </c>
      <c r="L239" s="39">
        <f t="shared" si="22"/>
        <v>-17.866666666666667</v>
      </c>
    </row>
    <row r="240" spans="1:13" x14ac:dyDescent="0.25">
      <c r="A240" s="4">
        <v>0</v>
      </c>
      <c r="B240" s="164">
        <v>42963</v>
      </c>
      <c r="C240" s="10">
        <v>250</v>
      </c>
      <c r="D240" s="171">
        <v>24.22</v>
      </c>
      <c r="E240" s="39">
        <v>30.4</v>
      </c>
      <c r="F240" s="39">
        <f t="shared" si="18"/>
        <v>1545</v>
      </c>
      <c r="G240" s="39">
        <f t="shared" si="20"/>
        <v>6055</v>
      </c>
      <c r="H240" s="180">
        <f t="shared" si="19"/>
        <v>0.25516102394715112</v>
      </c>
      <c r="I240" s="39"/>
      <c r="J240" s="39"/>
      <c r="K240" s="39">
        <v>20492</v>
      </c>
      <c r="L240" s="39">
        <f t="shared" si="22"/>
        <v>-57.747999999999998</v>
      </c>
    </row>
    <row r="241" spans="1:12" x14ac:dyDescent="0.25">
      <c r="A241" s="4">
        <v>50</v>
      </c>
      <c r="B241" s="164">
        <v>42978</v>
      </c>
      <c r="C241" s="10">
        <v>200</v>
      </c>
      <c r="D241" s="171">
        <v>22.361000000000001</v>
      </c>
      <c r="E241" s="39">
        <v>31.625</v>
      </c>
      <c r="F241" s="39">
        <f t="shared" si="18"/>
        <v>1852.8</v>
      </c>
      <c r="G241" s="39">
        <f t="shared" si="20"/>
        <v>4472.2</v>
      </c>
      <c r="H241" s="180">
        <f t="shared" si="19"/>
        <v>0.41429274182728854</v>
      </c>
      <c r="I241" s="39"/>
      <c r="J241" s="39"/>
      <c r="K241" s="39">
        <v>20799</v>
      </c>
      <c r="L241" s="39">
        <f t="shared" si="22"/>
        <v>-81.634</v>
      </c>
    </row>
    <row r="242" spans="1:12" x14ac:dyDescent="0.25">
      <c r="A242" s="4">
        <v>0</v>
      </c>
      <c r="B242" s="164">
        <v>42979</v>
      </c>
      <c r="C242" s="10">
        <v>150</v>
      </c>
      <c r="D242" s="171">
        <v>19.055299999999999</v>
      </c>
      <c r="E242" s="39">
        <v>32.6</v>
      </c>
      <c r="F242" s="39">
        <f t="shared" si="18"/>
        <v>2031.7050000000004</v>
      </c>
      <c r="G242" s="39">
        <f t="shared" si="20"/>
        <v>2858.2950000000001</v>
      </c>
      <c r="H242" s="180">
        <f t="shared" si="19"/>
        <v>0.71081011582079545</v>
      </c>
      <c r="I242" s="39"/>
      <c r="J242" s="39"/>
      <c r="K242" s="39">
        <v>20978</v>
      </c>
      <c r="L242" s="39">
        <f t="shared" si="22"/>
        <v>-120.79803333333335</v>
      </c>
    </row>
    <row r="243" spans="1:12" x14ac:dyDescent="0.25">
      <c r="A243" s="4">
        <v>50</v>
      </c>
      <c r="B243" s="164">
        <v>42983</v>
      </c>
      <c r="C243" s="10">
        <v>150</v>
      </c>
      <c r="D243" s="171">
        <v>19.055299999999999</v>
      </c>
      <c r="E243" s="39">
        <v>32.07</v>
      </c>
      <c r="F243" s="39">
        <f t="shared" si="18"/>
        <v>1952.2050000000002</v>
      </c>
      <c r="G243" s="39">
        <f t="shared" si="20"/>
        <v>2858.2950000000001</v>
      </c>
      <c r="H243" s="180">
        <f t="shared" si="19"/>
        <v>0.68299633172923024</v>
      </c>
      <c r="I243" s="39"/>
      <c r="J243" s="39"/>
      <c r="K243" s="39">
        <v>20899</v>
      </c>
      <c r="L243" s="39">
        <f t="shared" si="22"/>
        <v>-120.27136666666668</v>
      </c>
    </row>
    <row r="244" spans="1:12" x14ac:dyDescent="0.25">
      <c r="B244" s="164"/>
      <c r="C244" s="10"/>
      <c r="D244" s="171"/>
      <c r="E244" s="39"/>
      <c r="F244" s="39"/>
      <c r="G244" s="39"/>
      <c r="H244" s="180"/>
      <c r="I244" s="39"/>
      <c r="J244" s="39"/>
      <c r="K244" s="39"/>
      <c r="L244" s="39"/>
    </row>
    <row r="245" spans="1:12" x14ac:dyDescent="0.25">
      <c r="B245" s="164"/>
      <c r="C245" s="10"/>
      <c r="D245" s="171"/>
      <c r="E245" s="39"/>
      <c r="F245" s="39"/>
      <c r="G245" s="39"/>
      <c r="H245" s="180"/>
      <c r="I245" s="39"/>
      <c r="J245" s="39"/>
      <c r="K245" s="39"/>
      <c r="L245" s="39"/>
    </row>
    <row r="246" spans="1:12" x14ac:dyDescent="0.25">
      <c r="B246" s="164"/>
      <c r="C246" s="10"/>
      <c r="D246" s="171"/>
      <c r="E246" s="39"/>
      <c r="F246" s="39"/>
      <c r="G246" s="39"/>
      <c r="H246" s="180"/>
      <c r="I246" s="39"/>
      <c r="J246" s="39"/>
      <c r="K246" s="39"/>
      <c r="L246" s="39"/>
    </row>
    <row r="247" spans="1:12" x14ac:dyDescent="0.25">
      <c r="B247" s="164"/>
      <c r="C247" s="10"/>
      <c r="D247" s="171"/>
      <c r="E247" s="39"/>
      <c r="F247" s="39"/>
      <c r="G247" s="39"/>
      <c r="H247" s="180"/>
      <c r="I247" s="39"/>
      <c r="J247" s="39"/>
      <c r="K247" s="39"/>
      <c r="L247" s="39"/>
    </row>
    <row r="248" spans="1:12" x14ac:dyDescent="0.25">
      <c r="B248" s="164"/>
      <c r="C248" s="10"/>
      <c r="D248" s="171"/>
      <c r="E248" s="39"/>
      <c r="F248" s="39"/>
      <c r="G248" s="39"/>
      <c r="H248" s="180"/>
      <c r="I248" s="39"/>
      <c r="J248" s="39"/>
      <c r="K248" s="39"/>
      <c r="L248" s="39"/>
    </row>
    <row r="250" spans="1:12" x14ac:dyDescent="0.25">
      <c r="B250" s="164"/>
      <c r="C250" s="10"/>
      <c r="D250" s="171"/>
      <c r="E250" s="39"/>
      <c r="F250" s="39"/>
      <c r="G250" s="39"/>
      <c r="H250" s="180"/>
      <c r="I250" s="39"/>
      <c r="J250" s="39"/>
    </row>
    <row r="251" spans="1:12" x14ac:dyDescent="0.25">
      <c r="B251" s="164"/>
      <c r="C251" s="10"/>
      <c r="D251" s="171"/>
      <c r="E251" s="39"/>
      <c r="F251" s="39"/>
      <c r="G251" s="39"/>
      <c r="H251" s="180"/>
      <c r="I251" s="39"/>
      <c r="J251" s="39"/>
    </row>
    <row r="252" spans="1:12" x14ac:dyDescent="0.25">
      <c r="B252" s="164"/>
      <c r="C252" s="10"/>
      <c r="D252" s="171"/>
      <c r="E252" s="39"/>
      <c r="F252" s="39"/>
      <c r="G252" s="39"/>
      <c r="H252" s="180"/>
      <c r="I252" s="39"/>
      <c r="J252" s="39"/>
    </row>
    <row r="253" spans="1:12" x14ac:dyDescent="0.25">
      <c r="B253" s="164"/>
      <c r="C253" s="10"/>
      <c r="D253" s="171"/>
      <c r="E253" s="39"/>
      <c r="F253" s="39"/>
      <c r="G253" s="39"/>
      <c r="H253" s="180"/>
      <c r="I253" s="39"/>
      <c r="J253" s="39"/>
    </row>
    <row r="254" spans="1:12" x14ac:dyDescent="0.25">
      <c r="B254" s="164"/>
      <c r="C254" s="10"/>
      <c r="D254" s="171"/>
      <c r="E254" s="39"/>
      <c r="F254" s="39"/>
      <c r="G254" s="39"/>
      <c r="H254" s="180"/>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9" t="s">
        <v>7</v>
      </c>
      <c r="J260" s="399" t="s">
        <v>95</v>
      </c>
      <c r="K260" s="399" t="s">
        <v>61</v>
      </c>
      <c r="L260" s="31" t="s">
        <v>37</v>
      </c>
      <c r="M260" s="31" t="s">
        <v>38</v>
      </c>
    </row>
    <row r="261" spans="1:13" x14ac:dyDescent="0.25">
      <c r="A261" s="201" t="s">
        <v>34</v>
      </c>
      <c r="B261" s="475">
        <v>42166</v>
      </c>
      <c r="C261" s="197">
        <v>5</v>
      </c>
      <c r="D261" s="198">
        <v>26.04</v>
      </c>
      <c r="E261" s="198">
        <v>0</v>
      </c>
      <c r="F261" s="198">
        <f>C261*D261+E261</f>
        <v>130.19999999999999</v>
      </c>
      <c r="G261" s="202">
        <v>42186</v>
      </c>
      <c r="H261" s="197">
        <v>185</v>
      </c>
      <c r="I261" s="198">
        <v>19.75</v>
      </c>
      <c r="J261" s="198">
        <v>7.0000000000000007E-2</v>
      </c>
      <c r="K261" s="198">
        <f t="shared" ref="K261:K319" si="23">H261*I261-J261</f>
        <v>3653.68</v>
      </c>
      <c r="L261" s="197" t="s">
        <v>79</v>
      </c>
      <c r="M261" s="197"/>
    </row>
    <row r="262" spans="1:13" x14ac:dyDescent="0.25">
      <c r="A262" s="204" t="s">
        <v>71</v>
      </c>
      <c r="B262" s="475">
        <v>42167</v>
      </c>
      <c r="C262" s="197">
        <v>10</v>
      </c>
      <c r="D262" s="198">
        <v>25.1</v>
      </c>
      <c r="E262" s="198">
        <v>0</v>
      </c>
      <c r="F262" s="198">
        <f t="shared" ref="F262:F312" si="24">C262*D262+E262</f>
        <v>251</v>
      </c>
      <c r="G262" s="202">
        <v>42207</v>
      </c>
      <c r="H262" s="197">
        <v>20</v>
      </c>
      <c r="I262" s="198">
        <v>19.899999999999999</v>
      </c>
      <c r="J262" s="198">
        <v>0.01</v>
      </c>
      <c r="K262" s="198">
        <f t="shared" si="23"/>
        <v>397.99</v>
      </c>
      <c r="L262" s="197"/>
      <c r="M262" s="197"/>
    </row>
    <row r="263" spans="1:13" x14ac:dyDescent="0.25">
      <c r="A263" s="197"/>
      <c r="B263" s="475">
        <v>42179</v>
      </c>
      <c r="C263" s="197">
        <v>15</v>
      </c>
      <c r="D263" s="198">
        <v>24.51</v>
      </c>
      <c r="E263" s="198">
        <v>0</v>
      </c>
      <c r="F263" s="198">
        <f t="shared" si="24"/>
        <v>367.65000000000003</v>
      </c>
      <c r="G263" s="202">
        <v>42207</v>
      </c>
      <c r="H263" s="197">
        <v>95</v>
      </c>
      <c r="I263" s="198">
        <v>20.02</v>
      </c>
      <c r="J263" s="198">
        <v>0.5</v>
      </c>
      <c r="K263" s="198">
        <f t="shared" si="23"/>
        <v>1901.3999999999999</v>
      </c>
      <c r="L263" s="197"/>
      <c r="M263" s="197"/>
    </row>
    <row r="264" spans="1:13" x14ac:dyDescent="0.25">
      <c r="A264" s="197"/>
      <c r="B264" s="475">
        <v>42180</v>
      </c>
      <c r="C264" s="197">
        <v>100</v>
      </c>
      <c r="D264" s="198">
        <v>23.92</v>
      </c>
      <c r="E264" s="198">
        <v>0</v>
      </c>
      <c r="F264" s="198">
        <f t="shared" si="24"/>
        <v>2392</v>
      </c>
      <c r="G264" s="202">
        <v>42216</v>
      </c>
      <c r="H264" s="197">
        <v>165</v>
      </c>
      <c r="I264" s="198">
        <v>19.899999999999999</v>
      </c>
      <c r="J264" s="198">
        <v>0.06</v>
      </c>
      <c r="K264" s="198">
        <f t="shared" si="23"/>
        <v>3283.4399999999996</v>
      </c>
      <c r="L264" s="197"/>
      <c r="M264" s="197"/>
    </row>
    <row r="265" spans="1:13" x14ac:dyDescent="0.25">
      <c r="A265" s="197"/>
      <c r="B265" s="475">
        <v>42185</v>
      </c>
      <c r="C265" s="197">
        <v>50</v>
      </c>
      <c r="D265" s="198">
        <v>21.21</v>
      </c>
      <c r="E265" s="198">
        <v>0</v>
      </c>
      <c r="F265" s="198">
        <f t="shared" si="24"/>
        <v>1060.5</v>
      </c>
      <c r="G265" s="202">
        <v>42236</v>
      </c>
      <c r="H265" s="197">
        <v>630</v>
      </c>
      <c r="I265" s="198">
        <v>17.199682539682538</v>
      </c>
      <c r="J265" s="198">
        <v>0</v>
      </c>
      <c r="K265" s="198">
        <f t="shared" si="23"/>
        <v>10835.8</v>
      </c>
      <c r="L265" s="197"/>
      <c r="M265" s="197"/>
    </row>
    <row r="266" spans="1:13" x14ac:dyDescent="0.25">
      <c r="A266" s="197"/>
      <c r="B266" s="475">
        <v>42186</v>
      </c>
      <c r="C266" s="197">
        <v>50</v>
      </c>
      <c r="D266" s="198">
        <v>20.5</v>
      </c>
      <c r="E266" s="198">
        <v>0</v>
      </c>
      <c r="F266" s="198">
        <f t="shared" si="24"/>
        <v>1025</v>
      </c>
      <c r="G266" s="202">
        <v>42257</v>
      </c>
      <c r="H266" s="197">
        <v>850</v>
      </c>
      <c r="I266" s="198">
        <v>17.18</v>
      </c>
      <c r="J266" s="198">
        <v>0.27</v>
      </c>
      <c r="K266" s="198">
        <f t="shared" si="23"/>
        <v>14602.73</v>
      </c>
      <c r="L266" s="197"/>
      <c r="M266" s="197"/>
    </row>
    <row r="267" spans="1:13" x14ac:dyDescent="0.25">
      <c r="A267" s="197"/>
      <c r="B267" s="475">
        <v>42186</v>
      </c>
      <c r="C267" s="197">
        <v>170</v>
      </c>
      <c r="D267" s="198">
        <v>19.600000000000001</v>
      </c>
      <c r="E267" s="198">
        <v>0</v>
      </c>
      <c r="F267" s="198">
        <f t="shared" si="24"/>
        <v>3332.0000000000005</v>
      </c>
      <c r="G267" s="202">
        <v>42283</v>
      </c>
      <c r="H267" s="197">
        <v>1580</v>
      </c>
      <c r="I267" s="198">
        <v>15.83</v>
      </c>
      <c r="J267" s="198">
        <v>0.46</v>
      </c>
      <c r="K267" s="198">
        <f t="shared" si="23"/>
        <v>25010.940000000002</v>
      </c>
      <c r="L267" s="197"/>
      <c r="M267" s="197"/>
    </row>
    <row r="268" spans="1:13" x14ac:dyDescent="0.25">
      <c r="A268" s="197"/>
      <c r="B268" s="475">
        <v>42187</v>
      </c>
      <c r="C268" s="197">
        <v>1000</v>
      </c>
      <c r="D268" s="198">
        <v>19.2</v>
      </c>
      <c r="E268" s="198">
        <v>0</v>
      </c>
      <c r="F268" s="198">
        <f t="shared" si="24"/>
        <v>19200</v>
      </c>
      <c r="G268" s="372">
        <v>42285</v>
      </c>
      <c r="H268" s="197">
        <v>1440</v>
      </c>
      <c r="I268" s="198">
        <v>16.75</v>
      </c>
      <c r="J268" s="198">
        <v>0.44</v>
      </c>
      <c r="K268" s="198">
        <f t="shared" si="23"/>
        <v>24119.56</v>
      </c>
      <c r="L268" s="197"/>
      <c r="M268" s="197"/>
    </row>
    <row r="269" spans="1:13" x14ac:dyDescent="0.25">
      <c r="A269" s="197"/>
      <c r="B269" s="475">
        <v>42199</v>
      </c>
      <c r="C269" s="197">
        <v>100</v>
      </c>
      <c r="D269" s="198">
        <v>17.25</v>
      </c>
      <c r="E269" s="198">
        <v>0</v>
      </c>
      <c r="F269" s="198">
        <f t="shared" si="24"/>
        <v>1725</v>
      </c>
      <c r="G269" s="372">
        <v>42291</v>
      </c>
      <c r="H269" s="197">
        <v>410</v>
      </c>
      <c r="I269" s="198">
        <v>18.989999999999998</v>
      </c>
      <c r="J269" s="198">
        <v>0.14000000000000001</v>
      </c>
      <c r="K269" s="198">
        <f t="shared" si="23"/>
        <v>7785.7599999999993</v>
      </c>
      <c r="L269" s="198"/>
      <c r="M269" s="197"/>
    </row>
    <row r="270" spans="1:13" x14ac:dyDescent="0.25">
      <c r="A270" s="197"/>
      <c r="B270" s="475">
        <v>42205</v>
      </c>
      <c r="C270" s="197">
        <v>20</v>
      </c>
      <c r="D270" s="198">
        <v>18.850000000000001</v>
      </c>
      <c r="E270" s="198">
        <v>0</v>
      </c>
      <c r="F270" s="198">
        <f t="shared" si="24"/>
        <v>377</v>
      </c>
      <c r="G270" s="202">
        <v>42296</v>
      </c>
      <c r="H270" s="197">
        <v>2470</v>
      </c>
      <c r="I270" s="198">
        <v>19.100000000000001</v>
      </c>
      <c r="J270" s="198">
        <v>0.87</v>
      </c>
      <c r="K270" s="198">
        <f t="shared" si="23"/>
        <v>47176.13</v>
      </c>
      <c r="L270" s="197"/>
      <c r="M270" s="197"/>
    </row>
    <row r="271" spans="1:13" x14ac:dyDescent="0.25">
      <c r="A271" s="198"/>
      <c r="B271" s="475">
        <v>42208</v>
      </c>
      <c r="C271" s="197">
        <v>80</v>
      </c>
      <c r="D271" s="198">
        <v>18.95</v>
      </c>
      <c r="E271" s="198">
        <v>0</v>
      </c>
      <c r="F271" s="198">
        <f t="shared" si="24"/>
        <v>1516</v>
      </c>
      <c r="G271" s="202">
        <v>42310</v>
      </c>
      <c r="H271" s="197">
        <v>1100</v>
      </c>
      <c r="I271" s="198">
        <v>16.989999999999998</v>
      </c>
      <c r="J271" s="198">
        <v>7.29</v>
      </c>
      <c r="K271" s="198">
        <f t="shared" si="23"/>
        <v>18681.71</v>
      </c>
      <c r="L271" s="197"/>
      <c r="M271" s="197"/>
    </row>
    <row r="272" spans="1:13" x14ac:dyDescent="0.25">
      <c r="A272" s="197"/>
      <c r="B272" s="475">
        <v>42212</v>
      </c>
      <c r="C272" s="197">
        <v>100</v>
      </c>
      <c r="D272" s="198">
        <v>17.95</v>
      </c>
      <c r="E272" s="198">
        <v>0</v>
      </c>
      <c r="F272" s="198">
        <f t="shared" si="24"/>
        <v>1795</v>
      </c>
      <c r="G272" s="592">
        <v>42314</v>
      </c>
      <c r="H272" s="197">
        <v>2200</v>
      </c>
      <c r="I272" s="198">
        <v>17.55</v>
      </c>
      <c r="J272" s="198">
        <v>0.77</v>
      </c>
      <c r="K272" s="198">
        <f t="shared" si="23"/>
        <v>38609.230000000003</v>
      </c>
      <c r="L272" s="197"/>
      <c r="M272" s="197"/>
    </row>
    <row r="273" spans="1:13" x14ac:dyDescent="0.25">
      <c r="A273" s="197"/>
      <c r="B273" s="475">
        <v>42221</v>
      </c>
      <c r="C273" s="197">
        <v>65</v>
      </c>
      <c r="D273" s="198">
        <v>19.100000000000001</v>
      </c>
      <c r="E273" s="198">
        <v>0</v>
      </c>
      <c r="F273" s="198">
        <f t="shared" si="24"/>
        <v>1241.5</v>
      </c>
      <c r="G273" s="592"/>
      <c r="H273" s="197">
        <v>190</v>
      </c>
      <c r="I273" s="198">
        <v>17.55</v>
      </c>
      <c r="J273" s="198">
        <v>0</v>
      </c>
      <c r="K273" s="198">
        <f t="shared" si="23"/>
        <v>3334.5</v>
      </c>
      <c r="L273" s="197"/>
      <c r="M273" s="197"/>
    </row>
    <row r="274" spans="1:13" x14ac:dyDescent="0.25">
      <c r="A274" s="197"/>
      <c r="B274" s="475">
        <v>42221</v>
      </c>
      <c r="C274" s="197">
        <v>300</v>
      </c>
      <c r="D274" s="198">
        <v>18.600000000000001</v>
      </c>
      <c r="E274" s="198">
        <v>0</v>
      </c>
      <c r="F274" s="198">
        <f t="shared" si="24"/>
        <v>5580</v>
      </c>
      <c r="G274" s="202">
        <v>42320</v>
      </c>
      <c r="H274" s="197">
        <v>1000</v>
      </c>
      <c r="I274" s="198">
        <v>16.734999999999999</v>
      </c>
      <c r="J274" s="198">
        <v>0.31</v>
      </c>
      <c r="K274" s="198">
        <f t="shared" si="23"/>
        <v>16734.689999999999</v>
      </c>
      <c r="L274" s="197"/>
      <c r="M274" s="197"/>
    </row>
    <row r="275" spans="1:13" x14ac:dyDescent="0.25">
      <c r="A275" s="197"/>
      <c r="B275" s="475">
        <v>42221</v>
      </c>
      <c r="C275" s="197">
        <v>200</v>
      </c>
      <c r="D275" s="198">
        <v>18.5</v>
      </c>
      <c r="E275" s="198">
        <v>0</v>
      </c>
      <c r="F275" s="198">
        <f t="shared" si="24"/>
        <v>3700</v>
      </c>
      <c r="G275" s="202">
        <v>42328</v>
      </c>
      <c r="H275" s="197">
        <v>940</v>
      </c>
      <c r="I275" s="198">
        <v>15.51</v>
      </c>
      <c r="J275" s="198">
        <v>0.27</v>
      </c>
      <c r="K275" s="198">
        <f t="shared" si="23"/>
        <v>14579.13</v>
      </c>
      <c r="L275" s="197"/>
      <c r="M275" s="197"/>
    </row>
    <row r="276" spans="1:13" x14ac:dyDescent="0.25">
      <c r="A276" s="197"/>
      <c r="B276" s="475">
        <v>42223</v>
      </c>
      <c r="C276" s="197">
        <v>50</v>
      </c>
      <c r="D276" s="198">
        <v>18.75</v>
      </c>
      <c r="E276" s="198">
        <v>0</v>
      </c>
      <c r="F276" s="198">
        <f t="shared" si="24"/>
        <v>937.5</v>
      </c>
      <c r="G276" s="202">
        <v>42335</v>
      </c>
      <c r="H276" s="197">
        <v>940</v>
      </c>
      <c r="I276" s="198">
        <v>15.62</v>
      </c>
      <c r="J276" s="198">
        <v>0.27</v>
      </c>
      <c r="K276" s="198">
        <f t="shared" si="23"/>
        <v>14682.529999999999</v>
      </c>
      <c r="L276" s="197"/>
      <c r="M276" s="197"/>
    </row>
    <row r="277" spans="1:13" x14ac:dyDescent="0.25">
      <c r="A277" s="197"/>
      <c r="B277" s="475">
        <v>42227</v>
      </c>
      <c r="C277" s="197">
        <v>50</v>
      </c>
      <c r="D277" s="198">
        <v>18.45</v>
      </c>
      <c r="E277" s="198">
        <v>0</v>
      </c>
      <c r="F277" s="198">
        <f t="shared" si="24"/>
        <v>922.5</v>
      </c>
      <c r="G277" s="202">
        <v>42341</v>
      </c>
      <c r="H277" s="197">
        <v>350</v>
      </c>
      <c r="I277" s="198">
        <v>16.03</v>
      </c>
      <c r="J277" s="198">
        <v>0.1</v>
      </c>
      <c r="K277" s="198">
        <f t="shared" si="23"/>
        <v>5610.4</v>
      </c>
      <c r="L277" s="197"/>
      <c r="M277" s="197"/>
    </row>
    <row r="278" spans="1:13" x14ac:dyDescent="0.25">
      <c r="A278" s="197"/>
      <c r="B278" s="475">
        <v>42228</v>
      </c>
      <c r="C278" s="197">
        <v>100</v>
      </c>
      <c r="D278" s="198">
        <v>18.45</v>
      </c>
      <c r="E278" s="198">
        <v>0</v>
      </c>
      <c r="F278" s="198">
        <f t="shared" si="24"/>
        <v>1845</v>
      </c>
      <c r="G278" s="202">
        <v>42346</v>
      </c>
      <c r="H278" s="197">
        <v>200</v>
      </c>
      <c r="I278" s="198">
        <v>16.2</v>
      </c>
      <c r="J278" s="198">
        <v>0.06</v>
      </c>
      <c r="K278" s="198">
        <f t="shared" si="23"/>
        <v>3239.94</v>
      </c>
      <c r="L278" s="197"/>
      <c r="M278" s="197"/>
    </row>
    <row r="279" spans="1:13" x14ac:dyDescent="0.25">
      <c r="A279" s="197"/>
      <c r="B279" s="475">
        <v>42228</v>
      </c>
      <c r="C279" s="197">
        <v>200</v>
      </c>
      <c r="D279" s="198">
        <v>18.190000000000001</v>
      </c>
      <c r="E279" s="198">
        <v>0</v>
      </c>
      <c r="F279" s="198">
        <f t="shared" si="24"/>
        <v>3638.0000000000005</v>
      </c>
      <c r="G279" s="202">
        <v>42353</v>
      </c>
      <c r="H279" s="197">
        <v>200</v>
      </c>
      <c r="I279" s="198">
        <v>14.74</v>
      </c>
      <c r="J279" s="198">
        <v>0.05</v>
      </c>
      <c r="K279" s="198">
        <f t="shared" si="23"/>
        <v>2947.95</v>
      </c>
      <c r="L279" s="197"/>
      <c r="M279" s="197"/>
    </row>
    <row r="280" spans="1:13" x14ac:dyDescent="0.25">
      <c r="A280" s="197"/>
      <c r="B280" s="475">
        <v>42228</v>
      </c>
      <c r="C280" s="197">
        <v>200</v>
      </c>
      <c r="D280" s="198">
        <v>18.100000000000001</v>
      </c>
      <c r="E280" s="198">
        <v>0</v>
      </c>
      <c r="F280" s="198">
        <f t="shared" si="24"/>
        <v>3620.0000000000005</v>
      </c>
      <c r="G280" s="202">
        <v>42354</v>
      </c>
      <c r="H280" s="197">
        <v>940</v>
      </c>
      <c r="I280" s="198">
        <v>14.15</v>
      </c>
      <c r="J280" s="198">
        <v>0.24</v>
      </c>
      <c r="K280" s="198">
        <f t="shared" si="23"/>
        <v>13300.76</v>
      </c>
      <c r="L280" s="197"/>
      <c r="M280" s="197"/>
    </row>
    <row r="281" spans="1:13" x14ac:dyDescent="0.25">
      <c r="A281" s="197"/>
      <c r="B281" s="475">
        <v>42229</v>
      </c>
      <c r="C281" s="197">
        <v>100</v>
      </c>
      <c r="D281" s="198">
        <v>18.329999999999998</v>
      </c>
      <c r="E281" s="198">
        <v>0</v>
      </c>
      <c r="F281" s="198">
        <f t="shared" si="24"/>
        <v>1832.9999999999998</v>
      </c>
      <c r="G281" s="202">
        <v>42354</v>
      </c>
      <c r="H281" s="197">
        <v>1140</v>
      </c>
      <c r="I281" s="198">
        <v>14.06</v>
      </c>
      <c r="J281" s="198">
        <v>1.86</v>
      </c>
      <c r="K281" s="198">
        <f t="shared" si="23"/>
        <v>16026.54</v>
      </c>
      <c r="L281" s="197"/>
      <c r="M281" s="197"/>
    </row>
    <row r="282" spans="1:13" x14ac:dyDescent="0.25">
      <c r="A282" s="197"/>
      <c r="B282" s="475">
        <v>42230</v>
      </c>
      <c r="C282" s="197">
        <v>100</v>
      </c>
      <c r="D282" s="198">
        <v>18</v>
      </c>
      <c r="E282" s="198">
        <v>0</v>
      </c>
      <c r="F282" s="198">
        <f t="shared" si="24"/>
        <v>1800</v>
      </c>
      <c r="G282" s="202">
        <v>42355</v>
      </c>
      <c r="H282" s="197">
        <v>1840</v>
      </c>
      <c r="I282" s="198">
        <v>14.55</v>
      </c>
      <c r="J282" s="198">
        <v>0.49</v>
      </c>
      <c r="K282" s="198">
        <f t="shared" si="23"/>
        <v>26771.51</v>
      </c>
      <c r="L282" s="197"/>
      <c r="M282" s="197"/>
    </row>
    <row r="283" spans="1:13" x14ac:dyDescent="0.25">
      <c r="A283" s="197"/>
      <c r="B283" s="475">
        <v>42230</v>
      </c>
      <c r="C283" s="197">
        <v>200</v>
      </c>
      <c r="D283" s="198">
        <v>17.78</v>
      </c>
      <c r="E283" s="198">
        <v>0</v>
      </c>
      <c r="F283" s="198">
        <f t="shared" si="24"/>
        <v>3556</v>
      </c>
      <c r="G283" s="202">
        <v>42361</v>
      </c>
      <c r="H283" s="197">
        <v>1000</v>
      </c>
      <c r="I283" s="198">
        <v>14.39</v>
      </c>
      <c r="J283" s="198">
        <v>0.27</v>
      </c>
      <c r="K283" s="198">
        <f t="shared" si="23"/>
        <v>14389.73</v>
      </c>
      <c r="L283" s="197"/>
      <c r="M283" s="197"/>
    </row>
    <row r="284" spans="1:13" x14ac:dyDescent="0.25">
      <c r="A284" s="197"/>
      <c r="B284" s="475">
        <v>42234</v>
      </c>
      <c r="C284" s="197">
        <v>100</v>
      </c>
      <c r="D284" s="198">
        <v>17.75</v>
      </c>
      <c r="E284" s="198">
        <v>0</v>
      </c>
      <c r="F284" s="198">
        <f t="shared" si="24"/>
        <v>1775</v>
      </c>
      <c r="G284" s="202">
        <v>42361</v>
      </c>
      <c r="H284" s="197">
        <v>500</v>
      </c>
      <c r="I284" s="198">
        <v>14.4</v>
      </c>
      <c r="J284" s="198">
        <v>0.14000000000000001</v>
      </c>
      <c r="K284" s="198">
        <f t="shared" si="23"/>
        <v>7199.86</v>
      </c>
      <c r="L284" s="197"/>
      <c r="M284" s="197"/>
    </row>
    <row r="285" spans="1:13" x14ac:dyDescent="0.25">
      <c r="A285" s="197"/>
      <c r="B285" s="475">
        <v>42235</v>
      </c>
      <c r="C285" s="197">
        <v>100</v>
      </c>
      <c r="D285" s="198">
        <v>17.350000000000001</v>
      </c>
      <c r="E285" s="198">
        <v>0</v>
      </c>
      <c r="F285" s="198">
        <f t="shared" si="24"/>
        <v>1735.0000000000002</v>
      </c>
      <c r="G285" s="202">
        <v>42362</v>
      </c>
      <c r="H285" s="197">
        <v>440</v>
      </c>
      <c r="I285" s="198">
        <v>14.66</v>
      </c>
      <c r="J285" s="198">
        <v>0.12</v>
      </c>
      <c r="K285" s="198">
        <f t="shared" si="23"/>
        <v>6450.28</v>
      </c>
      <c r="L285" s="197"/>
      <c r="M285" s="197"/>
    </row>
    <row r="286" spans="1:13" x14ac:dyDescent="0.25">
      <c r="A286" s="197"/>
      <c r="B286" s="475">
        <v>42235</v>
      </c>
      <c r="C286" s="197">
        <v>100</v>
      </c>
      <c r="D286" s="198">
        <v>17.55</v>
      </c>
      <c r="E286" s="198">
        <v>0</v>
      </c>
      <c r="F286" s="198">
        <f t="shared" si="24"/>
        <v>1755</v>
      </c>
      <c r="G286" s="202">
        <v>42362</v>
      </c>
      <c r="H286" s="197">
        <v>1000</v>
      </c>
      <c r="I286" s="198">
        <v>14.76</v>
      </c>
      <c r="J286" s="198">
        <v>0.27</v>
      </c>
      <c r="K286" s="198">
        <f t="shared" si="23"/>
        <v>14759.73</v>
      </c>
      <c r="L286" s="197"/>
      <c r="M286" s="197"/>
    </row>
    <row r="287" spans="1:13" x14ac:dyDescent="0.25">
      <c r="A287" s="197"/>
      <c r="B287" s="475">
        <v>42235</v>
      </c>
      <c r="C287" s="197">
        <v>100</v>
      </c>
      <c r="D287" s="198">
        <v>17.170000000000002</v>
      </c>
      <c r="E287" s="198">
        <v>0</v>
      </c>
      <c r="F287" s="198">
        <f t="shared" si="24"/>
        <v>1717.0000000000002</v>
      </c>
      <c r="G287" s="202">
        <v>42398</v>
      </c>
      <c r="H287" s="197">
        <v>260</v>
      </c>
      <c r="I287" s="198">
        <v>10.78</v>
      </c>
      <c r="J287" s="198">
        <v>0.05</v>
      </c>
      <c r="K287" s="198">
        <f t="shared" si="23"/>
        <v>2802.7499999999995</v>
      </c>
      <c r="L287" s="197"/>
      <c r="M287" s="197"/>
    </row>
    <row r="288" spans="1:13" x14ac:dyDescent="0.25">
      <c r="A288" s="197"/>
      <c r="B288" s="475">
        <v>42235</v>
      </c>
      <c r="C288" s="197">
        <v>100</v>
      </c>
      <c r="D288" s="198">
        <v>17</v>
      </c>
      <c r="E288" s="198">
        <v>0</v>
      </c>
      <c r="F288" s="198">
        <f t="shared" si="24"/>
        <v>1700</v>
      </c>
      <c r="G288" s="202">
        <v>42418</v>
      </c>
      <c r="H288" s="197">
        <v>500</v>
      </c>
      <c r="I288" s="198">
        <v>10.67</v>
      </c>
      <c r="J288" s="198">
        <v>0.12</v>
      </c>
      <c r="K288" s="198">
        <f t="shared" si="23"/>
        <v>5334.88</v>
      </c>
      <c r="L288" s="197"/>
      <c r="M288" s="197"/>
    </row>
    <row r="289" spans="1:13" x14ac:dyDescent="0.25">
      <c r="A289" s="197"/>
      <c r="B289" s="475">
        <v>42236</v>
      </c>
      <c r="C289" s="197">
        <v>100</v>
      </c>
      <c r="D289" s="198">
        <v>16.559999999999999</v>
      </c>
      <c r="E289" s="198">
        <v>0</v>
      </c>
      <c r="F289" s="198">
        <f t="shared" si="24"/>
        <v>1655.9999999999998</v>
      </c>
      <c r="G289" s="202">
        <v>42418</v>
      </c>
      <c r="H289" s="197">
        <v>760</v>
      </c>
      <c r="I289" s="198">
        <v>10.85</v>
      </c>
      <c r="J289" s="198">
        <v>0.18</v>
      </c>
      <c r="K289" s="198">
        <f t="shared" si="23"/>
        <v>8245.82</v>
      </c>
      <c r="L289" s="197"/>
      <c r="M289" s="197"/>
    </row>
    <row r="290" spans="1:13" x14ac:dyDescent="0.25">
      <c r="A290" s="197"/>
      <c r="B290" s="475">
        <v>42236</v>
      </c>
      <c r="C290" s="197">
        <v>200</v>
      </c>
      <c r="D290" s="198">
        <v>16.21</v>
      </c>
      <c r="E290" s="198">
        <v>0</v>
      </c>
      <c r="F290" s="198">
        <f t="shared" si="24"/>
        <v>3242</v>
      </c>
      <c r="G290" s="202">
        <v>42418</v>
      </c>
      <c r="H290" s="197">
        <v>200</v>
      </c>
      <c r="I290" s="198">
        <v>11.46</v>
      </c>
      <c r="J290" s="198">
        <v>0.21</v>
      </c>
      <c r="K290" s="198">
        <f t="shared" si="23"/>
        <v>2291.79</v>
      </c>
      <c r="L290" s="197"/>
      <c r="M290" s="197"/>
    </row>
    <row r="291" spans="1:13" x14ac:dyDescent="0.25">
      <c r="A291" s="197"/>
      <c r="B291" s="475">
        <v>42236</v>
      </c>
      <c r="C291" s="197">
        <v>100</v>
      </c>
      <c r="D291" s="198">
        <v>16.399999999999999</v>
      </c>
      <c r="E291" s="198">
        <v>0</v>
      </c>
      <c r="F291" s="198">
        <f t="shared" si="24"/>
        <v>1639.9999999999998</v>
      </c>
      <c r="G291" s="202">
        <v>42418</v>
      </c>
      <c r="H291" s="203">
        <v>200</v>
      </c>
      <c r="I291" s="198">
        <v>11.7</v>
      </c>
      <c r="J291" s="198">
        <v>0.05</v>
      </c>
      <c r="K291" s="198">
        <f t="shared" si="23"/>
        <v>2339.9499999999998</v>
      </c>
      <c r="L291" s="197"/>
      <c r="M291" s="197"/>
    </row>
    <row r="292" spans="1:13" x14ac:dyDescent="0.25">
      <c r="A292" s="197"/>
      <c r="B292" s="475">
        <v>42237</v>
      </c>
      <c r="C292" s="197">
        <v>200</v>
      </c>
      <c r="D292" s="198">
        <v>16.32</v>
      </c>
      <c r="E292" s="198">
        <v>0</v>
      </c>
      <c r="F292" s="198">
        <f t="shared" si="24"/>
        <v>3264</v>
      </c>
      <c r="G292" s="202">
        <v>42431</v>
      </c>
      <c r="H292" s="203">
        <v>500</v>
      </c>
      <c r="I292" s="198">
        <v>11.57</v>
      </c>
      <c r="J292" s="198">
        <v>0.13</v>
      </c>
      <c r="K292" s="198">
        <f t="shared" si="23"/>
        <v>5784.87</v>
      </c>
      <c r="L292" s="197"/>
      <c r="M292" s="197"/>
    </row>
    <row r="293" spans="1:13" x14ac:dyDescent="0.25">
      <c r="A293" s="197"/>
      <c r="B293" s="475">
        <v>42237</v>
      </c>
      <c r="C293" s="197">
        <v>100</v>
      </c>
      <c r="D293" s="198">
        <v>16.420000000000002</v>
      </c>
      <c r="E293" s="198">
        <v>0</v>
      </c>
      <c r="F293" s="198">
        <f t="shared" si="24"/>
        <v>1642.0000000000002</v>
      </c>
      <c r="G293" s="202">
        <v>42436</v>
      </c>
      <c r="H293" s="203">
        <v>520</v>
      </c>
      <c r="I293" s="198">
        <v>11.59</v>
      </c>
      <c r="J293" s="198">
        <v>0.13</v>
      </c>
      <c r="K293" s="198">
        <f t="shared" si="23"/>
        <v>6026.67</v>
      </c>
      <c r="L293" s="197"/>
      <c r="M293" s="197"/>
    </row>
    <row r="294" spans="1:13" x14ac:dyDescent="0.25">
      <c r="A294" s="197"/>
      <c r="B294" s="475">
        <v>42240</v>
      </c>
      <c r="C294" s="197">
        <v>200</v>
      </c>
      <c r="D294" s="198">
        <v>16.27</v>
      </c>
      <c r="E294" s="198">
        <v>0</v>
      </c>
      <c r="F294" s="198">
        <f t="shared" si="24"/>
        <v>3254</v>
      </c>
      <c r="G294" s="202">
        <v>42446</v>
      </c>
      <c r="H294" s="203">
        <v>500</v>
      </c>
      <c r="I294" s="198">
        <v>10.95</v>
      </c>
      <c r="J294" s="198">
        <v>0.12</v>
      </c>
      <c r="K294" s="198">
        <f t="shared" si="23"/>
        <v>5474.88</v>
      </c>
      <c r="L294" s="197"/>
      <c r="M294" s="197"/>
    </row>
    <row r="295" spans="1:13" x14ac:dyDescent="0.25">
      <c r="A295" s="197"/>
      <c r="B295" s="475">
        <v>42240</v>
      </c>
      <c r="C295" s="197">
        <v>200</v>
      </c>
      <c r="D295" s="198">
        <v>16.2</v>
      </c>
      <c r="E295" s="198">
        <v>0</v>
      </c>
      <c r="F295" s="198">
        <f t="shared" si="24"/>
        <v>3240</v>
      </c>
      <c r="G295" s="202">
        <v>42447</v>
      </c>
      <c r="H295" s="203">
        <v>2000</v>
      </c>
      <c r="I295" s="198">
        <v>11.12</v>
      </c>
      <c r="J295" s="198">
        <v>0.48</v>
      </c>
      <c r="K295" s="198">
        <f t="shared" si="23"/>
        <v>22239.52</v>
      </c>
      <c r="L295" s="197"/>
      <c r="M295" s="197"/>
    </row>
    <row r="296" spans="1:13" x14ac:dyDescent="0.25">
      <c r="A296" s="197"/>
      <c r="B296" s="475">
        <v>42240</v>
      </c>
      <c r="C296" s="197">
        <v>100</v>
      </c>
      <c r="D296" s="198">
        <v>16.100000000000001</v>
      </c>
      <c r="E296" s="198">
        <v>0</v>
      </c>
      <c r="F296" s="198">
        <f t="shared" si="24"/>
        <v>1610.0000000000002</v>
      </c>
      <c r="G296" s="592">
        <v>42447</v>
      </c>
      <c r="H296" s="203">
        <v>355</v>
      </c>
      <c r="I296" s="198">
        <v>11.13</v>
      </c>
      <c r="J296" s="198">
        <v>0.12</v>
      </c>
      <c r="K296" s="198">
        <f t="shared" si="23"/>
        <v>3951.03</v>
      </c>
      <c r="L296" s="197"/>
      <c r="M296" s="197"/>
    </row>
    <row r="297" spans="1:13" x14ac:dyDescent="0.25">
      <c r="A297" s="197"/>
      <c r="B297" s="475">
        <v>42269</v>
      </c>
      <c r="C297" s="197">
        <v>800</v>
      </c>
      <c r="D297" s="198">
        <v>16.399999999999999</v>
      </c>
      <c r="E297" s="198">
        <v>0</v>
      </c>
      <c r="F297" s="198">
        <f t="shared" si="24"/>
        <v>13119.999999999998</v>
      </c>
      <c r="G297" s="592"/>
      <c r="H297" s="203">
        <v>40</v>
      </c>
      <c r="I297" s="198">
        <v>11.13</v>
      </c>
      <c r="J297" s="198">
        <v>0</v>
      </c>
      <c r="K297" s="198">
        <f t="shared" si="23"/>
        <v>445.20000000000005</v>
      </c>
      <c r="L297" s="197"/>
      <c r="M297" s="197"/>
    </row>
    <row r="298" spans="1:13" x14ac:dyDescent="0.25">
      <c r="A298" s="197"/>
      <c r="B298" s="475">
        <v>42270</v>
      </c>
      <c r="C298" s="197">
        <v>500</v>
      </c>
      <c r="D298" s="198">
        <v>15.8</v>
      </c>
      <c r="E298" s="198">
        <v>0</v>
      </c>
      <c r="F298" s="198">
        <f t="shared" si="24"/>
        <v>7900</v>
      </c>
      <c r="G298" s="592"/>
      <c r="H298" s="203">
        <v>105</v>
      </c>
      <c r="I298" s="198">
        <v>11.13</v>
      </c>
      <c r="J298" s="198">
        <v>0</v>
      </c>
      <c r="K298" s="198">
        <f t="shared" si="23"/>
        <v>1168.6500000000001</v>
      </c>
      <c r="L298" s="197"/>
      <c r="M298" s="197"/>
    </row>
    <row r="299" spans="1:13" x14ac:dyDescent="0.25">
      <c r="A299" s="197"/>
      <c r="B299" s="475">
        <v>42270</v>
      </c>
      <c r="C299" s="197">
        <v>1000</v>
      </c>
      <c r="D299" s="198">
        <v>15.6</v>
      </c>
      <c r="E299" s="198">
        <v>0</v>
      </c>
      <c r="F299" s="198">
        <f t="shared" si="24"/>
        <v>15600</v>
      </c>
      <c r="G299" s="202">
        <v>42450</v>
      </c>
      <c r="H299" s="203">
        <v>1300</v>
      </c>
      <c r="I299" s="198">
        <v>11.59</v>
      </c>
      <c r="J299" s="198">
        <v>0.33</v>
      </c>
      <c r="K299" s="198">
        <f t="shared" si="23"/>
        <v>15066.67</v>
      </c>
      <c r="L299" s="197"/>
      <c r="M299" s="197"/>
    </row>
    <row r="300" spans="1:13" x14ac:dyDescent="0.25">
      <c r="A300" s="197"/>
      <c r="B300" s="475">
        <v>42270</v>
      </c>
      <c r="C300" s="197">
        <v>180</v>
      </c>
      <c r="D300" s="198">
        <v>15.4</v>
      </c>
      <c r="E300" s="198">
        <v>0</v>
      </c>
      <c r="F300" s="198">
        <f t="shared" si="24"/>
        <v>2772</v>
      </c>
      <c r="G300" s="202">
        <v>42461</v>
      </c>
      <c r="H300" s="203">
        <v>100</v>
      </c>
      <c r="I300" s="198">
        <v>10.92</v>
      </c>
      <c r="J300" s="198">
        <v>0.02</v>
      </c>
      <c r="K300" s="198">
        <f t="shared" si="23"/>
        <v>1091.98</v>
      </c>
      <c r="L300" s="197"/>
      <c r="M300" s="197"/>
    </row>
    <row r="301" spans="1:13" x14ac:dyDescent="0.25">
      <c r="A301" s="197"/>
      <c r="B301" s="475">
        <v>42275</v>
      </c>
      <c r="C301" s="197">
        <v>200</v>
      </c>
      <c r="D301" s="198">
        <v>15</v>
      </c>
      <c r="E301" s="198">
        <v>0</v>
      </c>
      <c r="F301" s="198">
        <f t="shared" si="24"/>
        <v>3000</v>
      </c>
      <c r="G301" s="202">
        <v>42468</v>
      </c>
      <c r="H301" s="203">
        <v>500</v>
      </c>
      <c r="I301" s="198">
        <v>10.83</v>
      </c>
      <c r="J301" s="198">
        <v>0.12</v>
      </c>
      <c r="K301" s="198">
        <f t="shared" si="23"/>
        <v>5414.88</v>
      </c>
      <c r="L301" s="197"/>
      <c r="M301" s="197"/>
    </row>
    <row r="302" spans="1:13" x14ac:dyDescent="0.25">
      <c r="A302" s="197"/>
      <c r="B302" s="475">
        <v>42277</v>
      </c>
      <c r="C302" s="197">
        <v>200</v>
      </c>
      <c r="D302" s="198">
        <v>14.75</v>
      </c>
      <c r="E302" s="198">
        <v>0</v>
      </c>
      <c r="F302" s="198">
        <f t="shared" si="24"/>
        <v>2950</v>
      </c>
      <c r="G302" s="202">
        <v>42473</v>
      </c>
      <c r="H302" s="203">
        <v>600</v>
      </c>
      <c r="I302" s="198">
        <v>10.76</v>
      </c>
      <c r="J302" s="198">
        <v>0.14000000000000001</v>
      </c>
      <c r="K302" s="198">
        <f t="shared" si="23"/>
        <v>6455.86</v>
      </c>
      <c r="L302" s="197"/>
      <c r="M302" s="198"/>
    </row>
    <row r="303" spans="1:13" x14ac:dyDescent="0.25">
      <c r="A303" s="197"/>
      <c r="B303" s="475">
        <v>42291</v>
      </c>
      <c r="C303" s="197">
        <v>400</v>
      </c>
      <c r="D303" s="198">
        <v>18.7</v>
      </c>
      <c r="E303" s="198">
        <v>0</v>
      </c>
      <c r="F303" s="198">
        <f t="shared" si="24"/>
        <v>7480</v>
      </c>
      <c r="G303" s="202">
        <v>42486</v>
      </c>
      <c r="H303" s="203">
        <v>500</v>
      </c>
      <c r="I303" s="198">
        <v>11.19</v>
      </c>
      <c r="J303" s="198">
        <v>0.12</v>
      </c>
      <c r="K303" s="198">
        <f t="shared" si="23"/>
        <v>5594.88</v>
      </c>
      <c r="L303" s="197"/>
      <c r="M303" s="197"/>
    </row>
    <row r="304" spans="1:13" x14ac:dyDescent="0.25">
      <c r="A304" s="197"/>
      <c r="B304" s="475">
        <v>42297</v>
      </c>
      <c r="C304" s="197">
        <v>2000</v>
      </c>
      <c r="D304" s="198">
        <v>18.649999999999999</v>
      </c>
      <c r="E304" s="198">
        <v>0</v>
      </c>
      <c r="F304" s="198">
        <f t="shared" si="24"/>
        <v>37300</v>
      </c>
      <c r="G304" s="202">
        <v>42486</v>
      </c>
      <c r="H304" s="203">
        <v>500</v>
      </c>
      <c r="I304" s="198">
        <v>11.56</v>
      </c>
      <c r="J304" s="198">
        <v>0.13</v>
      </c>
      <c r="K304" s="198">
        <f t="shared" si="23"/>
        <v>5779.87</v>
      </c>
      <c r="L304" s="197"/>
      <c r="M304" s="197"/>
    </row>
    <row r="305" spans="1:13" x14ac:dyDescent="0.25">
      <c r="A305" s="197"/>
      <c r="B305" s="475">
        <v>42300</v>
      </c>
      <c r="C305" s="197">
        <v>1000</v>
      </c>
      <c r="D305" s="198">
        <v>17.7</v>
      </c>
      <c r="E305" s="198">
        <v>0</v>
      </c>
      <c r="F305" s="198">
        <f t="shared" si="24"/>
        <v>17700</v>
      </c>
      <c r="G305" s="202">
        <v>42488</v>
      </c>
      <c r="H305" s="203">
        <v>600</v>
      </c>
      <c r="I305" s="198">
        <v>12.19</v>
      </c>
      <c r="J305" s="198">
        <v>0.16</v>
      </c>
      <c r="K305" s="198">
        <f t="shared" si="23"/>
        <v>7313.84</v>
      </c>
      <c r="L305" s="197"/>
      <c r="M305" s="197"/>
    </row>
    <row r="306" spans="1:13" x14ac:dyDescent="0.25">
      <c r="A306" s="197"/>
      <c r="B306" s="475">
        <v>42300</v>
      </c>
      <c r="C306" s="197">
        <v>700</v>
      </c>
      <c r="D306" s="198">
        <v>17.22</v>
      </c>
      <c r="E306" s="198">
        <v>0</v>
      </c>
      <c r="F306" s="198">
        <f t="shared" si="24"/>
        <v>12054</v>
      </c>
      <c r="G306" s="202">
        <v>42488</v>
      </c>
      <c r="H306" s="203">
        <v>600</v>
      </c>
      <c r="I306" s="198">
        <v>12.4</v>
      </c>
      <c r="J306" s="198">
        <v>2.2599999999999998</v>
      </c>
      <c r="K306" s="198">
        <f t="shared" si="23"/>
        <v>7437.74</v>
      </c>
      <c r="L306" s="197"/>
      <c r="M306" s="197"/>
    </row>
    <row r="307" spans="1:13" x14ac:dyDescent="0.25">
      <c r="A307" s="197"/>
      <c r="B307" s="475">
        <v>42300</v>
      </c>
      <c r="C307" s="197">
        <v>1000</v>
      </c>
      <c r="D307" s="198">
        <v>16.999500000000001</v>
      </c>
      <c r="E307" s="198">
        <v>0</v>
      </c>
      <c r="F307" s="198">
        <f t="shared" si="24"/>
        <v>16999.5</v>
      </c>
      <c r="G307" s="202">
        <v>42495</v>
      </c>
      <c r="H307" s="203">
        <v>1000</v>
      </c>
      <c r="I307" s="198">
        <v>10.31</v>
      </c>
      <c r="J307" s="198">
        <v>0.22</v>
      </c>
      <c r="K307" s="198">
        <f t="shared" si="23"/>
        <v>10309.780000000001</v>
      </c>
      <c r="L307" s="197"/>
      <c r="M307" s="197"/>
    </row>
    <row r="308" spans="1:13" x14ac:dyDescent="0.25">
      <c r="A308" s="197"/>
      <c r="B308" s="475">
        <v>42310</v>
      </c>
      <c r="C308" s="197">
        <v>900</v>
      </c>
      <c r="D308" s="198">
        <v>16.89667</v>
      </c>
      <c r="E308" s="198">
        <v>6.95</v>
      </c>
      <c r="F308" s="198">
        <f t="shared" si="24"/>
        <v>15213.953000000001</v>
      </c>
      <c r="G308" s="202">
        <v>42503</v>
      </c>
      <c r="H308" s="203">
        <v>2000</v>
      </c>
      <c r="I308" s="198">
        <v>9.73</v>
      </c>
      <c r="J308" s="198">
        <v>0.42</v>
      </c>
      <c r="K308" s="198">
        <f t="shared" si="23"/>
        <v>19459.580000000002</v>
      </c>
      <c r="L308" s="197"/>
      <c r="M308" s="197"/>
    </row>
    <row r="309" spans="1:13" x14ac:dyDescent="0.25">
      <c r="A309" s="197"/>
      <c r="B309" s="475">
        <v>42311</v>
      </c>
      <c r="C309" s="197">
        <v>200</v>
      </c>
      <c r="D309" s="198">
        <v>16.27</v>
      </c>
      <c r="E309" s="198">
        <v>6.95</v>
      </c>
      <c r="F309" s="198">
        <f t="shared" si="24"/>
        <v>3260.95</v>
      </c>
      <c r="G309" s="202">
        <v>42503</v>
      </c>
      <c r="H309" s="203">
        <v>2000</v>
      </c>
      <c r="I309" s="198">
        <v>9.76</v>
      </c>
      <c r="J309" s="198">
        <v>0.43</v>
      </c>
      <c r="K309" s="198">
        <f t="shared" si="23"/>
        <v>19519.57</v>
      </c>
      <c r="L309" s="197"/>
      <c r="M309" s="197"/>
    </row>
    <row r="310" spans="1:13" x14ac:dyDescent="0.25">
      <c r="A310" s="197"/>
      <c r="B310" s="594">
        <v>42317</v>
      </c>
      <c r="C310" s="197">
        <v>190</v>
      </c>
      <c r="D310" s="198">
        <v>17.100000000000001</v>
      </c>
      <c r="E310" s="198">
        <v>0</v>
      </c>
      <c r="F310" s="198">
        <f t="shared" si="24"/>
        <v>3249.0000000000005</v>
      </c>
      <c r="G310" s="592">
        <v>42510</v>
      </c>
      <c r="H310" s="203">
        <v>240</v>
      </c>
      <c r="I310" s="198">
        <v>10.75</v>
      </c>
      <c r="J310" s="198">
        <v>0.12</v>
      </c>
      <c r="K310" s="198">
        <f t="shared" si="23"/>
        <v>2579.88</v>
      </c>
      <c r="L310" s="197"/>
      <c r="M310" s="197"/>
    </row>
    <row r="311" spans="1:13" x14ac:dyDescent="0.25">
      <c r="A311" s="197"/>
      <c r="B311" s="594"/>
      <c r="C311" s="197">
        <v>2</v>
      </c>
      <c r="D311" s="198">
        <v>17.100000000000001</v>
      </c>
      <c r="E311" s="198">
        <v>0</v>
      </c>
      <c r="F311" s="198">
        <f t="shared" si="24"/>
        <v>34.200000000000003</v>
      </c>
      <c r="G311" s="592"/>
      <c r="H311" s="203">
        <v>260</v>
      </c>
      <c r="I311" s="198">
        <v>10.75</v>
      </c>
      <c r="J311" s="198">
        <v>0</v>
      </c>
      <c r="K311" s="198">
        <f t="shared" si="23"/>
        <v>2795</v>
      </c>
      <c r="L311" s="197"/>
      <c r="M311" s="197"/>
    </row>
    <row r="312" spans="1:13" x14ac:dyDescent="0.25">
      <c r="A312" s="197"/>
      <c r="B312" s="594">
        <v>42318</v>
      </c>
      <c r="C312" s="197">
        <v>8</v>
      </c>
      <c r="D312" s="198">
        <v>16.989999999999998</v>
      </c>
      <c r="E312" s="198">
        <v>0</v>
      </c>
      <c r="F312" s="198">
        <f t="shared" si="24"/>
        <v>135.91999999999999</v>
      </c>
      <c r="G312" s="202">
        <v>42514</v>
      </c>
      <c r="H312" s="203">
        <v>500</v>
      </c>
      <c r="I312" s="198">
        <v>11.37</v>
      </c>
      <c r="J312" s="198">
        <v>0.12</v>
      </c>
      <c r="K312" s="198">
        <f t="shared" si="23"/>
        <v>5684.88</v>
      </c>
      <c r="L312" s="197"/>
      <c r="M312" s="197"/>
    </row>
    <row r="313" spans="1:13" x14ac:dyDescent="0.25">
      <c r="A313" s="197"/>
      <c r="B313" s="594"/>
      <c r="C313" s="197">
        <v>500</v>
      </c>
      <c r="D313" s="198">
        <v>16.989999999999998</v>
      </c>
      <c r="E313" s="198">
        <v>0</v>
      </c>
      <c r="F313" s="198">
        <f>C313*D313+E313</f>
        <v>8495</v>
      </c>
      <c r="G313" s="202">
        <v>42514</v>
      </c>
      <c r="H313" s="203">
        <v>500</v>
      </c>
      <c r="I313" s="198">
        <v>11.54</v>
      </c>
      <c r="J313" s="198">
        <v>0.13</v>
      </c>
      <c r="K313" s="198">
        <f t="shared" si="23"/>
        <v>5769.87</v>
      </c>
      <c r="L313" s="197"/>
      <c r="M313" s="197"/>
    </row>
    <row r="314" spans="1:13" x14ac:dyDescent="0.25">
      <c r="A314" s="197"/>
      <c r="B314" s="594"/>
      <c r="C314" s="197">
        <v>300</v>
      </c>
      <c r="D314" s="198">
        <v>16.989999999999998</v>
      </c>
      <c r="E314" s="198">
        <v>0</v>
      </c>
      <c r="F314" s="198">
        <f>C314*D314+E314</f>
        <v>5096.9999999999991</v>
      </c>
      <c r="G314" s="202">
        <v>42514</v>
      </c>
      <c r="H314" s="203">
        <v>500</v>
      </c>
      <c r="I314" s="198">
        <v>11.76</v>
      </c>
      <c r="J314" s="198">
        <v>0.13</v>
      </c>
      <c r="K314" s="198">
        <f t="shared" si="23"/>
        <v>5879.87</v>
      </c>
      <c r="L314" s="197"/>
      <c r="M314" s="197"/>
    </row>
    <row r="315" spans="1:13" x14ac:dyDescent="0.25">
      <c r="A315" s="197"/>
      <c r="B315" s="594"/>
      <c r="C315" s="197">
        <v>1000</v>
      </c>
      <c r="D315" s="198">
        <v>16.989999999999998</v>
      </c>
      <c r="E315" s="198">
        <v>0</v>
      </c>
      <c r="F315" s="198">
        <f>C315*D315+E315</f>
        <v>16990</v>
      </c>
      <c r="G315" s="202">
        <v>42515</v>
      </c>
      <c r="H315" s="203">
        <v>500</v>
      </c>
      <c r="I315" s="198">
        <v>11.96</v>
      </c>
      <c r="J315" s="198">
        <v>0.13</v>
      </c>
      <c r="K315" s="198">
        <f t="shared" si="23"/>
        <v>5979.87</v>
      </c>
      <c r="L315" s="197"/>
      <c r="M315" s="197"/>
    </row>
    <row r="316" spans="1:13" x14ac:dyDescent="0.25">
      <c r="A316" s="197"/>
      <c r="B316" s="475">
        <v>42318</v>
      </c>
      <c r="C316" s="197">
        <v>500</v>
      </c>
      <c r="D316" s="198">
        <v>16.59</v>
      </c>
      <c r="E316" s="198">
        <v>0</v>
      </c>
      <c r="F316" s="198">
        <f t="shared" ref="F316:F379" si="25">C316*D316+E316</f>
        <v>8295</v>
      </c>
      <c r="G316" s="202">
        <v>42517</v>
      </c>
      <c r="H316" s="203">
        <v>1000</v>
      </c>
      <c r="I316" s="198">
        <v>12.31</v>
      </c>
      <c r="J316" s="198">
        <v>0.27</v>
      </c>
      <c r="K316" s="198">
        <f t="shared" si="23"/>
        <v>12309.73</v>
      </c>
      <c r="L316" s="197"/>
      <c r="M316" s="197"/>
    </row>
    <row r="317" spans="1:13" x14ac:dyDescent="0.25">
      <c r="A317" s="197"/>
      <c r="B317" s="475">
        <v>42318</v>
      </c>
      <c r="C317" s="197">
        <v>500</v>
      </c>
      <c r="D317" s="198">
        <v>16.489999999999998</v>
      </c>
      <c r="E317" s="198">
        <v>0</v>
      </c>
      <c r="F317" s="198">
        <f t="shared" si="25"/>
        <v>8245</v>
      </c>
      <c r="G317" s="202">
        <v>42517</v>
      </c>
      <c r="H317" s="203">
        <v>1000</v>
      </c>
      <c r="I317" s="198">
        <v>12.33</v>
      </c>
      <c r="J317" s="198">
        <v>0.27</v>
      </c>
      <c r="K317" s="198">
        <f t="shared" si="23"/>
        <v>12329.73</v>
      </c>
      <c r="L317" s="197"/>
      <c r="M317" s="197"/>
    </row>
    <row r="318" spans="1:13" x14ac:dyDescent="0.25">
      <c r="A318" s="197"/>
      <c r="B318" s="475">
        <v>42321</v>
      </c>
      <c r="C318" s="197">
        <v>350</v>
      </c>
      <c r="D318" s="198">
        <v>15.82</v>
      </c>
      <c r="E318" s="198">
        <v>0</v>
      </c>
      <c r="F318" s="198">
        <f t="shared" si="25"/>
        <v>5537</v>
      </c>
      <c r="G318" s="202">
        <v>42521</v>
      </c>
      <c r="H318" s="203">
        <v>500</v>
      </c>
      <c r="I318" s="198">
        <v>12.76</v>
      </c>
      <c r="J318" s="198">
        <v>0.14000000000000001</v>
      </c>
      <c r="K318" s="198">
        <f t="shared" si="23"/>
        <v>6379.86</v>
      </c>
      <c r="L318" s="197"/>
      <c r="M318" s="197"/>
    </row>
    <row r="319" spans="1:13" x14ac:dyDescent="0.25">
      <c r="A319" s="197"/>
      <c r="B319" s="475">
        <v>42327</v>
      </c>
      <c r="C319" s="197">
        <v>500</v>
      </c>
      <c r="D319" s="198">
        <v>14.82</v>
      </c>
      <c r="E319" s="198">
        <v>0</v>
      </c>
      <c r="F319" s="198">
        <f t="shared" si="25"/>
        <v>7410</v>
      </c>
      <c r="G319" s="202">
        <v>42521</v>
      </c>
      <c r="H319" s="203">
        <v>500</v>
      </c>
      <c r="I319" s="198">
        <v>12.76</v>
      </c>
      <c r="J319" s="198">
        <v>0.14000000000000001</v>
      </c>
      <c r="K319" s="198">
        <f t="shared" si="23"/>
        <v>6379.86</v>
      </c>
      <c r="L319" s="197"/>
      <c r="M319" s="197"/>
    </row>
    <row r="320" spans="1:13" x14ac:dyDescent="0.25">
      <c r="A320" s="197"/>
      <c r="B320" s="475">
        <v>42327</v>
      </c>
      <c r="C320" s="197">
        <v>440</v>
      </c>
      <c r="D320" s="198">
        <v>14.68</v>
      </c>
      <c r="E320" s="198">
        <v>0</v>
      </c>
      <c r="F320" s="198">
        <f t="shared" si="25"/>
        <v>6459.2</v>
      </c>
      <c r="G320" s="197"/>
      <c r="H320" s="197"/>
      <c r="I320" s="198"/>
      <c r="J320" s="198"/>
      <c r="K320" s="198"/>
      <c r="L320" s="197"/>
      <c r="M320" s="197"/>
    </row>
    <row r="321" spans="1:13" x14ac:dyDescent="0.25">
      <c r="A321" s="197"/>
      <c r="B321" s="475">
        <v>42333</v>
      </c>
      <c r="C321" s="197">
        <v>940</v>
      </c>
      <c r="D321" s="197">
        <v>15.35</v>
      </c>
      <c r="E321" s="198">
        <v>0</v>
      </c>
      <c r="F321" s="198">
        <f t="shared" si="25"/>
        <v>14429</v>
      </c>
      <c r="G321" s="197"/>
      <c r="H321" s="197"/>
      <c r="I321" s="198"/>
      <c r="J321" s="198"/>
      <c r="K321" s="198"/>
      <c r="L321" s="197"/>
      <c r="M321" s="197"/>
    </row>
    <row r="322" spans="1:13" ht="15" customHeight="1" x14ac:dyDescent="0.25">
      <c r="A322" s="197"/>
      <c r="B322" s="475">
        <v>42340</v>
      </c>
      <c r="C322" s="197">
        <v>350</v>
      </c>
      <c r="D322" s="197">
        <v>15.85</v>
      </c>
      <c r="E322" s="198">
        <v>0</v>
      </c>
      <c r="F322" s="198">
        <f t="shared" si="25"/>
        <v>5547.5</v>
      </c>
      <c r="G322" s="197"/>
      <c r="H322" s="197"/>
      <c r="I322" s="198"/>
      <c r="J322" s="198"/>
      <c r="K322" s="198"/>
      <c r="L322" s="197"/>
      <c r="M322" s="197"/>
    </row>
    <row r="323" spans="1:13" x14ac:dyDescent="0.25">
      <c r="A323" s="197"/>
      <c r="B323" s="475">
        <v>42346</v>
      </c>
      <c r="C323" s="197">
        <v>200</v>
      </c>
      <c r="D323" s="197">
        <v>15.55</v>
      </c>
      <c r="E323" s="198">
        <v>0</v>
      </c>
      <c r="F323" s="198">
        <f t="shared" si="25"/>
        <v>3110</v>
      </c>
      <c r="G323" s="197"/>
      <c r="H323" s="197"/>
      <c r="I323" s="198"/>
      <c r="J323" s="198"/>
      <c r="K323" s="198"/>
      <c r="L323" s="197"/>
      <c r="M323" s="197"/>
    </row>
    <row r="324" spans="1:13" x14ac:dyDescent="0.25">
      <c r="A324" s="197"/>
      <c r="B324" s="475">
        <v>42352</v>
      </c>
      <c r="C324" s="197">
        <v>200</v>
      </c>
      <c r="D324" s="198">
        <v>14.4</v>
      </c>
      <c r="E324" s="198">
        <v>0</v>
      </c>
      <c r="F324" s="198">
        <f t="shared" si="25"/>
        <v>2880</v>
      </c>
      <c r="G324" s="197"/>
      <c r="H324" s="197"/>
      <c r="I324" s="198"/>
      <c r="J324" s="198"/>
      <c r="K324" s="198"/>
      <c r="L324" s="197"/>
      <c r="M324" s="197"/>
    </row>
    <row r="325" spans="1:13" x14ac:dyDescent="0.25">
      <c r="A325" s="197"/>
      <c r="B325" s="475">
        <v>42354</v>
      </c>
      <c r="C325" s="197">
        <v>940</v>
      </c>
      <c r="D325" s="198">
        <v>14.1</v>
      </c>
      <c r="E325" s="198">
        <v>0</v>
      </c>
      <c r="F325" s="198">
        <f t="shared" si="25"/>
        <v>13254</v>
      </c>
      <c r="G325" s="197"/>
      <c r="H325" s="197"/>
      <c r="I325" s="198"/>
      <c r="J325" s="198"/>
      <c r="K325" s="198"/>
      <c r="L325" s="197"/>
      <c r="M325" s="197"/>
    </row>
    <row r="326" spans="1:13" x14ac:dyDescent="0.25">
      <c r="A326" s="197"/>
      <c r="B326" s="475">
        <v>42354</v>
      </c>
      <c r="C326" s="197">
        <v>940</v>
      </c>
      <c r="D326" s="197">
        <v>14.03</v>
      </c>
      <c r="E326" s="198">
        <v>0</v>
      </c>
      <c r="F326" s="198">
        <f t="shared" si="25"/>
        <v>13188.199999999999</v>
      </c>
      <c r="G326" s="197"/>
      <c r="H326" s="197"/>
      <c r="I326" s="198"/>
      <c r="J326" s="198"/>
      <c r="K326" s="198"/>
      <c r="L326" s="197"/>
      <c r="M326" s="197"/>
    </row>
    <row r="327" spans="1:13" x14ac:dyDescent="0.25">
      <c r="A327" s="197"/>
      <c r="B327" s="475">
        <v>42354</v>
      </c>
      <c r="C327" s="197">
        <v>200</v>
      </c>
      <c r="D327" s="197">
        <v>14.01</v>
      </c>
      <c r="E327" s="198">
        <v>0</v>
      </c>
      <c r="F327" s="198">
        <f t="shared" si="25"/>
        <v>2802</v>
      </c>
      <c r="G327" s="197"/>
      <c r="H327" s="197"/>
      <c r="I327" s="198"/>
      <c r="J327" s="198"/>
      <c r="K327" s="198"/>
      <c r="L327" s="197"/>
      <c r="M327" s="197"/>
    </row>
    <row r="328" spans="1:13" x14ac:dyDescent="0.25">
      <c r="A328" s="197"/>
      <c r="B328" s="475">
        <v>42355</v>
      </c>
      <c r="C328" s="197">
        <v>1840</v>
      </c>
      <c r="D328" s="198">
        <v>14.5</v>
      </c>
      <c r="E328" s="198">
        <v>3.4</v>
      </c>
      <c r="F328" s="198">
        <f t="shared" si="25"/>
        <v>26683.4</v>
      </c>
      <c r="G328" s="202"/>
      <c r="H328" s="203"/>
      <c r="I328" s="198"/>
      <c r="J328" s="198"/>
      <c r="K328" s="198"/>
      <c r="L328" s="197"/>
      <c r="M328" s="197"/>
    </row>
    <row r="329" spans="1:13" x14ac:dyDescent="0.25">
      <c r="A329" s="197"/>
      <c r="B329" s="594">
        <v>42361</v>
      </c>
      <c r="C329" s="197">
        <v>1000</v>
      </c>
      <c r="D329" s="198">
        <v>14.33</v>
      </c>
      <c r="E329" s="198">
        <v>0</v>
      </c>
      <c r="F329" s="198">
        <f t="shared" si="25"/>
        <v>14330</v>
      </c>
      <c r="G329" s="202"/>
      <c r="H329" s="203"/>
      <c r="I329" s="198"/>
      <c r="J329" s="198"/>
      <c r="K329" s="198"/>
      <c r="L329" s="197"/>
      <c r="M329" s="197"/>
    </row>
    <row r="330" spans="1:13" x14ac:dyDescent="0.25">
      <c r="A330" s="197"/>
      <c r="B330" s="594"/>
      <c r="C330" s="197">
        <v>500</v>
      </c>
      <c r="D330" s="198">
        <v>14.33</v>
      </c>
      <c r="E330" s="198">
        <v>0</v>
      </c>
      <c r="F330" s="198">
        <f t="shared" si="25"/>
        <v>7165</v>
      </c>
      <c r="G330" s="202"/>
      <c r="H330" s="203"/>
      <c r="I330" s="198"/>
      <c r="J330" s="198"/>
      <c r="K330" s="198"/>
      <c r="L330" s="197"/>
      <c r="M330" s="197"/>
    </row>
    <row r="331" spans="1:13" x14ac:dyDescent="0.25">
      <c r="A331" s="197"/>
      <c r="B331" s="594"/>
      <c r="C331" s="197">
        <v>440</v>
      </c>
      <c r="D331" s="198">
        <v>14.33</v>
      </c>
      <c r="E331" s="198">
        <v>0</v>
      </c>
      <c r="F331" s="198">
        <f t="shared" si="25"/>
        <v>6305.2</v>
      </c>
      <c r="G331" s="197"/>
      <c r="H331" s="203"/>
      <c r="I331" s="198"/>
      <c r="J331" s="198"/>
      <c r="K331" s="198"/>
      <c r="L331" s="197"/>
      <c r="M331" s="197"/>
    </row>
    <row r="332" spans="1:13" x14ac:dyDescent="0.25">
      <c r="A332" s="197"/>
      <c r="B332" s="475">
        <v>42366</v>
      </c>
      <c r="C332" s="197">
        <v>1000</v>
      </c>
      <c r="D332" s="198">
        <v>14.74</v>
      </c>
      <c r="E332" s="198">
        <v>0</v>
      </c>
      <c r="F332" s="198">
        <f t="shared" si="25"/>
        <v>14740</v>
      </c>
      <c r="G332" s="197"/>
      <c r="H332" s="197"/>
      <c r="I332" s="198"/>
      <c r="J332" s="198"/>
      <c r="K332" s="198"/>
      <c r="L332" s="197"/>
      <c r="M332" s="197"/>
    </row>
    <row r="333" spans="1:13" x14ac:dyDescent="0.25">
      <c r="A333" s="197"/>
      <c r="B333" s="475">
        <v>42377</v>
      </c>
      <c r="C333" s="197">
        <v>200</v>
      </c>
      <c r="D333" s="198">
        <v>13.35</v>
      </c>
      <c r="E333" s="198">
        <v>0</v>
      </c>
      <c r="F333" s="198">
        <f t="shared" si="25"/>
        <v>2670</v>
      </c>
      <c r="G333" s="197"/>
      <c r="H333" s="197"/>
      <c r="I333" s="198"/>
      <c r="J333" s="198"/>
      <c r="K333" s="198"/>
      <c r="L333" s="197"/>
      <c r="M333" s="197"/>
    </row>
    <row r="334" spans="1:13" x14ac:dyDescent="0.25">
      <c r="A334" s="197"/>
      <c r="B334" s="475">
        <v>42401</v>
      </c>
      <c r="C334" s="197">
        <v>260</v>
      </c>
      <c r="D334" s="198">
        <v>10.69</v>
      </c>
      <c r="E334" s="198">
        <v>0</v>
      </c>
      <c r="F334" s="198">
        <f t="shared" si="25"/>
        <v>2779.4</v>
      </c>
      <c r="G334" s="197"/>
      <c r="H334" s="197"/>
      <c r="I334" s="198"/>
      <c r="J334" s="198"/>
      <c r="K334" s="198"/>
      <c r="L334" s="197"/>
      <c r="M334" s="197"/>
    </row>
    <row r="335" spans="1:13" x14ac:dyDescent="0.25">
      <c r="A335" s="197"/>
      <c r="B335" s="475">
        <v>42423</v>
      </c>
      <c r="C335" s="197">
        <v>1660</v>
      </c>
      <c r="D335" s="198">
        <v>10.77</v>
      </c>
      <c r="E335" s="198">
        <v>0</v>
      </c>
      <c r="F335" s="198">
        <f t="shared" si="25"/>
        <v>17878.2</v>
      </c>
      <c r="G335" s="197"/>
      <c r="H335" s="197"/>
      <c r="I335" s="198"/>
      <c r="J335" s="198"/>
      <c r="K335" s="198"/>
      <c r="L335" s="197"/>
      <c r="M335" s="198"/>
    </row>
    <row r="336" spans="1:13" x14ac:dyDescent="0.25">
      <c r="A336" s="197"/>
      <c r="B336" s="475">
        <v>42436</v>
      </c>
      <c r="C336" s="197">
        <v>520</v>
      </c>
      <c r="D336" s="198">
        <v>11.1</v>
      </c>
      <c r="E336" s="198">
        <v>0.16</v>
      </c>
      <c r="F336" s="198">
        <f t="shared" si="25"/>
        <v>5772.16</v>
      </c>
      <c r="G336" s="197"/>
      <c r="H336" s="197"/>
      <c r="I336" s="198"/>
      <c r="J336" s="198"/>
      <c r="K336" s="198"/>
      <c r="L336" s="197"/>
      <c r="M336" s="198"/>
    </row>
    <row r="337" spans="1:13" x14ac:dyDescent="0.25">
      <c r="A337" s="197"/>
      <c r="B337" s="594">
        <v>42436</v>
      </c>
      <c r="C337" s="197">
        <v>500</v>
      </c>
      <c r="D337" s="197">
        <v>11.35</v>
      </c>
      <c r="E337" s="198">
        <v>0</v>
      </c>
      <c r="F337" s="198">
        <f t="shared" si="25"/>
        <v>5675</v>
      </c>
      <c r="G337" s="197"/>
      <c r="H337" s="197"/>
      <c r="I337" s="198"/>
      <c r="J337" s="198"/>
      <c r="K337" s="198"/>
      <c r="L337" s="197"/>
      <c r="M337" s="197"/>
    </row>
    <row r="338" spans="1:13" x14ac:dyDescent="0.25">
      <c r="A338" s="197"/>
      <c r="B338" s="594"/>
      <c r="C338" s="197">
        <v>30</v>
      </c>
      <c r="D338" s="197">
        <v>11.35</v>
      </c>
      <c r="E338" s="198">
        <v>0</v>
      </c>
      <c r="F338" s="198">
        <f t="shared" si="25"/>
        <v>340.5</v>
      </c>
      <c r="G338" s="197"/>
      <c r="H338" s="197"/>
      <c r="I338" s="198"/>
      <c r="J338" s="198"/>
      <c r="K338" s="198"/>
      <c r="L338" s="197"/>
      <c r="M338" s="197"/>
    </row>
    <row r="339" spans="1:13" x14ac:dyDescent="0.25">
      <c r="A339" s="197"/>
      <c r="B339" s="594">
        <v>42447</v>
      </c>
      <c r="C339" s="197">
        <v>5</v>
      </c>
      <c r="D339" s="197">
        <v>10.75</v>
      </c>
      <c r="E339" s="198">
        <v>0</v>
      </c>
      <c r="F339" s="198">
        <f t="shared" si="25"/>
        <v>53.75</v>
      </c>
      <c r="G339" s="197"/>
      <c r="H339" s="197"/>
      <c r="I339" s="198"/>
      <c r="J339" s="198"/>
      <c r="K339" s="198"/>
      <c r="L339" s="197"/>
      <c r="M339" s="197"/>
    </row>
    <row r="340" spans="1:13" x14ac:dyDescent="0.25">
      <c r="A340" s="197"/>
      <c r="B340" s="594"/>
      <c r="C340" s="197">
        <v>500</v>
      </c>
      <c r="D340" s="197">
        <v>10.75</v>
      </c>
      <c r="E340" s="198">
        <v>0</v>
      </c>
      <c r="F340" s="198">
        <f t="shared" si="25"/>
        <v>5375</v>
      </c>
      <c r="G340" s="197"/>
      <c r="H340" s="197"/>
      <c r="I340" s="198"/>
      <c r="J340" s="198"/>
      <c r="K340" s="198"/>
      <c r="L340" s="197"/>
      <c r="M340" s="197"/>
    </row>
    <row r="341" spans="1:13" x14ac:dyDescent="0.25">
      <c r="A341" s="197"/>
      <c r="B341" s="594">
        <v>42447</v>
      </c>
      <c r="C341" s="197">
        <v>2000</v>
      </c>
      <c r="D341" s="197">
        <v>11.07</v>
      </c>
      <c r="E341" s="198">
        <v>0</v>
      </c>
      <c r="F341" s="198">
        <f t="shared" si="25"/>
        <v>22140</v>
      </c>
      <c r="G341" s="197"/>
      <c r="H341" s="197"/>
      <c r="I341" s="198"/>
      <c r="J341" s="198"/>
      <c r="K341" s="198"/>
      <c r="L341" s="197"/>
      <c r="M341" s="197"/>
    </row>
    <row r="342" spans="1:13" x14ac:dyDescent="0.25">
      <c r="A342" s="197"/>
      <c r="B342" s="594"/>
      <c r="C342" s="197">
        <v>5</v>
      </c>
      <c r="D342" s="197">
        <v>11.07</v>
      </c>
      <c r="E342" s="198">
        <v>0</v>
      </c>
      <c r="F342" s="198">
        <f t="shared" si="25"/>
        <v>55.35</v>
      </c>
      <c r="G342" s="197"/>
      <c r="H342" s="197"/>
      <c r="I342" s="198"/>
      <c r="J342" s="198"/>
      <c r="K342" s="198"/>
      <c r="L342" s="197"/>
      <c r="M342" s="197"/>
    </row>
    <row r="343" spans="1:13" x14ac:dyDescent="0.25">
      <c r="A343" s="197"/>
      <c r="B343" s="475">
        <v>42447</v>
      </c>
      <c r="C343" s="197">
        <v>355</v>
      </c>
      <c r="D343" s="197">
        <v>11.11</v>
      </c>
      <c r="E343" s="198">
        <v>0</v>
      </c>
      <c r="F343" s="198">
        <f t="shared" si="25"/>
        <v>3944.0499999999997</v>
      </c>
      <c r="G343" s="197"/>
      <c r="H343" s="197"/>
      <c r="I343" s="198"/>
      <c r="J343" s="198"/>
      <c r="K343" s="198"/>
      <c r="L343" s="197"/>
      <c r="M343" s="197"/>
    </row>
    <row r="344" spans="1:13" x14ac:dyDescent="0.25">
      <c r="A344" s="197"/>
      <c r="B344" s="475">
        <v>42450</v>
      </c>
      <c r="C344" s="197">
        <v>100</v>
      </c>
      <c r="D344" s="197">
        <v>11.51</v>
      </c>
      <c r="E344" s="198">
        <v>0</v>
      </c>
      <c r="F344" s="198">
        <f t="shared" si="25"/>
        <v>1151</v>
      </c>
      <c r="G344" s="197"/>
      <c r="H344" s="197"/>
      <c r="I344" s="198"/>
      <c r="J344" s="198"/>
      <c r="K344" s="198"/>
      <c r="L344" s="197"/>
      <c r="M344" s="197"/>
    </row>
    <row r="345" spans="1:13" x14ac:dyDescent="0.25">
      <c r="A345" s="197"/>
      <c r="B345" s="475">
        <v>42451</v>
      </c>
      <c r="C345" s="197">
        <v>1305</v>
      </c>
      <c r="D345" s="198">
        <v>11.4</v>
      </c>
      <c r="E345" s="198">
        <v>-1</v>
      </c>
      <c r="F345" s="198">
        <f t="shared" si="25"/>
        <v>14876</v>
      </c>
      <c r="G345" s="197"/>
      <c r="H345" s="197"/>
      <c r="I345" s="198"/>
      <c r="J345" s="198"/>
      <c r="K345" s="198"/>
      <c r="L345" s="197"/>
      <c r="M345" s="197"/>
    </row>
    <row r="346" spans="1:13" x14ac:dyDescent="0.25">
      <c r="A346" s="197"/>
      <c r="B346" s="475">
        <v>42452</v>
      </c>
      <c r="C346" s="197">
        <v>100</v>
      </c>
      <c r="D346" s="198">
        <v>10.82</v>
      </c>
      <c r="E346" s="198">
        <v>0</v>
      </c>
      <c r="F346" s="198">
        <f t="shared" si="25"/>
        <v>1082</v>
      </c>
      <c r="G346" s="197"/>
      <c r="H346" s="197"/>
      <c r="I346" s="198"/>
      <c r="J346" s="198"/>
      <c r="K346" s="198"/>
      <c r="L346" s="197"/>
      <c r="M346" s="197"/>
    </row>
    <row r="347" spans="1:13" x14ac:dyDescent="0.25">
      <c r="A347" s="197"/>
      <c r="B347" s="475">
        <v>42466</v>
      </c>
      <c r="C347" s="197">
        <v>500</v>
      </c>
      <c r="D347" s="198">
        <v>10.41</v>
      </c>
      <c r="E347" s="198">
        <v>0</v>
      </c>
      <c r="F347" s="198">
        <f t="shared" si="25"/>
        <v>5205</v>
      </c>
      <c r="G347" s="197"/>
      <c r="H347" s="197"/>
      <c r="I347" s="198"/>
      <c r="J347" s="198"/>
      <c r="K347" s="198"/>
      <c r="L347" s="197"/>
      <c r="M347" s="197"/>
    </row>
    <row r="348" spans="1:13" x14ac:dyDescent="0.25">
      <c r="A348" s="197"/>
      <c r="B348" s="475">
        <v>42472</v>
      </c>
      <c r="C348" s="197">
        <v>600</v>
      </c>
      <c r="D348" s="198">
        <v>10.31</v>
      </c>
      <c r="E348" s="198">
        <v>0</v>
      </c>
      <c r="F348" s="198">
        <f t="shared" si="25"/>
        <v>6186</v>
      </c>
      <c r="G348" s="197"/>
      <c r="H348" s="197"/>
      <c r="I348" s="198"/>
      <c r="J348" s="198"/>
      <c r="K348" s="198"/>
      <c r="L348" s="197"/>
      <c r="M348" s="197"/>
    </row>
    <row r="349" spans="1:13" x14ac:dyDescent="0.25">
      <c r="A349" s="197"/>
      <c r="B349" s="475">
        <v>42487</v>
      </c>
      <c r="C349" s="197">
        <v>1000</v>
      </c>
      <c r="D349" s="198">
        <v>11.29</v>
      </c>
      <c r="E349" s="198">
        <v>0</v>
      </c>
      <c r="F349" s="198">
        <f t="shared" si="25"/>
        <v>11290</v>
      </c>
      <c r="G349" s="197"/>
      <c r="H349" s="197"/>
      <c r="I349" s="198"/>
      <c r="J349" s="198"/>
      <c r="K349" s="198"/>
      <c r="L349" s="197"/>
      <c r="M349" s="197"/>
    </row>
    <row r="350" spans="1:13" x14ac:dyDescent="0.25">
      <c r="A350" s="197"/>
      <c r="B350" s="475">
        <v>42488</v>
      </c>
      <c r="C350" s="197">
        <v>1200</v>
      </c>
      <c r="D350" s="198">
        <v>12.2</v>
      </c>
      <c r="E350" s="198">
        <v>0</v>
      </c>
      <c r="F350" s="198">
        <f t="shared" si="25"/>
        <v>14640</v>
      </c>
      <c r="G350" s="197"/>
      <c r="H350" s="197"/>
      <c r="I350" s="198"/>
      <c r="J350" s="198"/>
      <c r="K350" s="198"/>
      <c r="L350" s="197"/>
      <c r="M350" s="197"/>
    </row>
    <row r="351" spans="1:13" ht="30" x14ac:dyDescent="0.25">
      <c r="A351" s="595" t="s">
        <v>197</v>
      </c>
      <c r="B351" s="475">
        <v>42489</v>
      </c>
      <c r="C351" s="197">
        <v>240</v>
      </c>
      <c r="D351" s="198">
        <v>10.81</v>
      </c>
      <c r="E351" s="198">
        <v>0</v>
      </c>
      <c r="F351" s="198">
        <f t="shared" si="25"/>
        <v>2594.4</v>
      </c>
      <c r="G351" s="197"/>
      <c r="H351" s="197"/>
      <c r="I351" s="198"/>
      <c r="J351" s="198"/>
      <c r="K351" s="198"/>
      <c r="L351" s="197"/>
      <c r="M351" s="197"/>
    </row>
    <row r="352" spans="1:13" x14ac:dyDescent="0.25">
      <c r="A352" s="595"/>
      <c r="B352" s="475">
        <v>42494</v>
      </c>
      <c r="C352" s="197">
        <v>500</v>
      </c>
      <c r="D352" s="198">
        <v>10.130000000000001</v>
      </c>
      <c r="E352" s="198">
        <v>-1</v>
      </c>
      <c r="F352" s="198">
        <f t="shared" si="25"/>
        <v>5064</v>
      </c>
      <c r="G352" s="197"/>
      <c r="H352" s="197"/>
      <c r="I352" s="198"/>
      <c r="J352" s="198"/>
      <c r="K352" s="198"/>
      <c r="L352" s="197"/>
      <c r="M352" s="197"/>
    </row>
    <row r="353" spans="1:13" x14ac:dyDescent="0.25">
      <c r="A353" s="595"/>
      <c r="B353" s="475">
        <v>42494</v>
      </c>
      <c r="C353" s="197">
        <v>500</v>
      </c>
      <c r="D353" s="198">
        <v>9.92</v>
      </c>
      <c r="E353" s="198">
        <v>0</v>
      </c>
      <c r="F353" s="198">
        <f t="shared" si="25"/>
        <v>4960</v>
      </c>
      <c r="G353" s="197"/>
      <c r="H353" s="197"/>
      <c r="I353" s="198"/>
      <c r="J353" s="198"/>
      <c r="K353" s="198"/>
      <c r="L353" s="197"/>
      <c r="M353" s="197"/>
    </row>
    <row r="354" spans="1:13" x14ac:dyDescent="0.25">
      <c r="A354" s="197"/>
      <c r="B354" s="475">
        <v>42502</v>
      </c>
      <c r="C354" s="197">
        <v>1000</v>
      </c>
      <c r="D354" s="198">
        <v>9.86</v>
      </c>
      <c r="E354" s="198">
        <v>0</v>
      </c>
      <c r="F354" s="198">
        <f t="shared" si="25"/>
        <v>9860</v>
      </c>
      <c r="G354" s="197"/>
      <c r="H354" s="197"/>
      <c r="I354" s="198"/>
      <c r="J354" s="198"/>
      <c r="K354" s="198"/>
      <c r="L354" s="197"/>
      <c r="M354" s="197"/>
    </row>
    <row r="355" spans="1:13" x14ac:dyDescent="0.25">
      <c r="A355" s="197"/>
      <c r="B355" s="475">
        <v>42502</v>
      </c>
      <c r="C355" s="197">
        <v>1000</v>
      </c>
      <c r="D355" s="198">
        <v>9.68</v>
      </c>
      <c r="E355" s="198">
        <v>0</v>
      </c>
      <c r="F355" s="198">
        <f t="shared" si="25"/>
        <v>9680</v>
      </c>
      <c r="G355" s="197"/>
      <c r="H355" s="197"/>
      <c r="I355" s="198"/>
      <c r="J355" s="198"/>
      <c r="K355" s="198"/>
      <c r="L355" s="197"/>
      <c r="M355" s="197"/>
    </row>
    <row r="356" spans="1:13" ht="15" customHeight="1" x14ac:dyDescent="0.25">
      <c r="A356" s="197"/>
      <c r="B356" s="475">
        <v>42502</v>
      </c>
      <c r="C356" s="197">
        <v>1000</v>
      </c>
      <c r="D356" s="198">
        <v>9.5</v>
      </c>
      <c r="E356" s="198">
        <v>0</v>
      </c>
      <c r="F356" s="198">
        <f t="shared" si="25"/>
        <v>9500</v>
      </c>
      <c r="G356" s="197"/>
      <c r="H356" s="197"/>
      <c r="I356" s="198"/>
      <c r="J356" s="198"/>
      <c r="K356" s="198"/>
      <c r="L356" s="197"/>
      <c r="M356" s="197"/>
    </row>
    <row r="357" spans="1:13" x14ac:dyDescent="0.25">
      <c r="A357" s="197"/>
      <c r="B357" s="475">
        <v>42503</v>
      </c>
      <c r="C357" s="197">
        <v>1000</v>
      </c>
      <c r="D357" s="198">
        <v>9.6999999999999993</v>
      </c>
      <c r="E357" s="198">
        <v>9.9</v>
      </c>
      <c r="F357" s="198">
        <f t="shared" si="25"/>
        <v>9709.9</v>
      </c>
      <c r="G357" s="197"/>
      <c r="H357" s="197"/>
      <c r="I357" s="198"/>
      <c r="J357" s="198"/>
      <c r="K357" s="198"/>
      <c r="L357" s="197"/>
      <c r="M357" s="197"/>
    </row>
    <row r="358" spans="1:13" x14ac:dyDescent="0.25">
      <c r="A358" s="197"/>
      <c r="B358" s="475">
        <v>42514</v>
      </c>
      <c r="C358" s="197">
        <v>500</v>
      </c>
      <c r="D358" s="198">
        <v>11.22</v>
      </c>
      <c r="E358" s="198">
        <v>-2.5</v>
      </c>
      <c r="F358" s="198">
        <f t="shared" si="25"/>
        <v>5607.5</v>
      </c>
      <c r="G358" s="197"/>
      <c r="H358" s="197"/>
      <c r="I358" s="198"/>
      <c r="J358" s="198"/>
      <c r="K358" s="198"/>
      <c r="L358" s="197"/>
      <c r="M358" s="197"/>
    </row>
    <row r="359" spans="1:13" x14ac:dyDescent="0.25">
      <c r="A359" s="197"/>
      <c r="B359" s="475">
        <v>42515</v>
      </c>
      <c r="C359" s="197">
        <v>500</v>
      </c>
      <c r="D359" s="198">
        <v>11.62</v>
      </c>
      <c r="E359" s="198">
        <v>0</v>
      </c>
      <c r="F359" s="198">
        <f t="shared" si="25"/>
        <v>5810</v>
      </c>
      <c r="G359" s="197"/>
      <c r="H359" s="197"/>
      <c r="I359" s="198"/>
      <c r="J359" s="198"/>
      <c r="K359" s="198"/>
      <c r="L359" s="197"/>
      <c r="M359" s="197"/>
    </row>
    <row r="360" spans="1:13" x14ac:dyDescent="0.25">
      <c r="A360" s="197"/>
      <c r="B360" s="475">
        <v>42517</v>
      </c>
      <c r="C360" s="197">
        <v>1000</v>
      </c>
      <c r="D360" s="198">
        <v>12.25</v>
      </c>
      <c r="E360" s="198">
        <v>0</v>
      </c>
      <c r="F360" s="198">
        <f t="shared" si="25"/>
        <v>12250</v>
      </c>
      <c r="G360" s="197"/>
      <c r="H360" s="197"/>
      <c r="I360" s="198"/>
      <c r="J360" s="198"/>
      <c r="K360" s="198"/>
      <c r="L360" s="197"/>
      <c r="M360" s="197"/>
    </row>
    <row r="361" spans="1:13" x14ac:dyDescent="0.25">
      <c r="A361" s="197"/>
      <c r="B361" s="475">
        <v>42517</v>
      </c>
      <c r="C361" s="197">
        <v>1000</v>
      </c>
      <c r="D361" s="198">
        <v>12.3</v>
      </c>
      <c r="E361" s="198">
        <v>0</v>
      </c>
      <c r="F361" s="198">
        <f t="shared" si="25"/>
        <v>12300</v>
      </c>
      <c r="G361" s="197"/>
      <c r="H361" s="197"/>
      <c r="I361" s="198"/>
      <c r="J361" s="198"/>
      <c r="K361" s="198"/>
      <c r="L361" s="197"/>
      <c r="M361" s="197"/>
    </row>
    <row r="362" spans="1:13" x14ac:dyDescent="0.25">
      <c r="A362" s="197"/>
      <c r="B362" s="475">
        <v>42521</v>
      </c>
      <c r="C362" s="197">
        <v>500</v>
      </c>
      <c r="D362" s="198">
        <v>12.61</v>
      </c>
      <c r="E362" s="198">
        <v>0</v>
      </c>
      <c r="F362" s="198">
        <f t="shared" si="25"/>
        <v>6305</v>
      </c>
      <c r="G362" s="197"/>
      <c r="H362" s="197"/>
      <c r="I362" s="198"/>
      <c r="J362" s="198"/>
      <c r="K362" s="198"/>
      <c r="L362" s="197"/>
      <c r="M362" s="197"/>
    </row>
    <row r="363" spans="1:13" x14ac:dyDescent="0.25">
      <c r="A363" s="197"/>
      <c r="B363" s="475">
        <v>42521</v>
      </c>
      <c r="C363" s="197">
        <v>500</v>
      </c>
      <c r="D363" s="198">
        <v>12.72</v>
      </c>
      <c r="E363" s="198">
        <v>0</v>
      </c>
      <c r="F363" s="198">
        <f t="shared" si="25"/>
        <v>6360</v>
      </c>
      <c r="G363" s="202">
        <v>42522</v>
      </c>
      <c r="H363" s="203">
        <v>500</v>
      </c>
      <c r="I363" s="198">
        <v>12.72</v>
      </c>
      <c r="J363" s="198">
        <v>0.14000000000000001</v>
      </c>
      <c r="K363" s="198">
        <f>H363*I363-J363</f>
        <v>6359.86</v>
      </c>
      <c r="L363" s="197"/>
      <c r="M363" s="197"/>
    </row>
    <row r="364" spans="1:13" x14ac:dyDescent="0.25">
      <c r="A364" s="197"/>
      <c r="B364" s="475">
        <v>42522</v>
      </c>
      <c r="C364" s="197">
        <v>500</v>
      </c>
      <c r="D364" s="198">
        <v>12.6</v>
      </c>
      <c r="E364" s="198">
        <v>0</v>
      </c>
      <c r="F364" s="198">
        <f t="shared" si="25"/>
        <v>6300</v>
      </c>
      <c r="G364" s="202">
        <v>42522</v>
      </c>
      <c r="H364" s="203">
        <v>500</v>
      </c>
      <c r="I364" s="198">
        <v>12.96</v>
      </c>
      <c r="J364" s="198">
        <v>0.14000000000000001</v>
      </c>
      <c r="K364" s="198">
        <f>H364*I364-J364</f>
        <v>6479.86</v>
      </c>
      <c r="L364" s="197"/>
      <c r="M364" s="197"/>
    </row>
    <row r="365" spans="1:13" x14ac:dyDescent="0.25">
      <c r="A365" s="197"/>
      <c r="B365" s="475">
        <v>42524</v>
      </c>
      <c r="C365" s="197">
        <v>625</v>
      </c>
      <c r="D365" s="198">
        <v>12.69</v>
      </c>
      <c r="E365" s="198">
        <v>0</v>
      </c>
      <c r="F365" s="198">
        <f t="shared" si="25"/>
        <v>7931.25</v>
      </c>
      <c r="G365" s="202">
        <v>42522</v>
      </c>
      <c r="H365" s="203">
        <v>125</v>
      </c>
      <c r="I365" s="198">
        <v>13.12</v>
      </c>
      <c r="J365" s="198">
        <v>0.04</v>
      </c>
      <c r="K365" s="198">
        <f>H365*I365-J365</f>
        <v>1639.96</v>
      </c>
      <c r="L365" s="197"/>
      <c r="M365" s="197"/>
    </row>
    <row r="366" spans="1:13" x14ac:dyDescent="0.25">
      <c r="A366" s="197"/>
      <c r="B366" s="475">
        <v>42524</v>
      </c>
      <c r="C366" s="197">
        <v>625</v>
      </c>
      <c r="D366" s="198">
        <v>12.8</v>
      </c>
      <c r="E366" s="198">
        <v>0</v>
      </c>
      <c r="F366" s="198">
        <f t="shared" si="25"/>
        <v>8000</v>
      </c>
      <c r="G366" s="202">
        <v>42524</v>
      </c>
      <c r="H366" s="203">
        <v>625</v>
      </c>
      <c r="I366" s="198">
        <v>12.85</v>
      </c>
      <c r="J366" s="198">
        <v>0.18</v>
      </c>
      <c r="K366" s="198">
        <f>H366*I366-J366</f>
        <v>8031.07</v>
      </c>
      <c r="L366" s="197"/>
      <c r="M366" s="197"/>
    </row>
    <row r="367" spans="1:13" x14ac:dyDescent="0.25">
      <c r="A367" s="197"/>
      <c r="B367" s="475">
        <v>42530</v>
      </c>
      <c r="C367" s="197">
        <v>500</v>
      </c>
      <c r="D367" s="198">
        <v>12.25</v>
      </c>
      <c r="E367" s="198">
        <v>0</v>
      </c>
      <c r="F367" s="198">
        <f t="shared" si="25"/>
        <v>6125</v>
      </c>
      <c r="G367" s="202">
        <v>42530</v>
      </c>
      <c r="H367" s="203">
        <v>500</v>
      </c>
      <c r="I367" s="198">
        <v>12.61</v>
      </c>
      <c r="J367" s="198">
        <v>0.14000000000000001</v>
      </c>
      <c r="K367" s="198">
        <f>H367*I367-J367</f>
        <v>6304.86</v>
      </c>
      <c r="L367" s="197"/>
      <c r="M367" s="197"/>
    </row>
    <row r="368" spans="1:13" x14ac:dyDescent="0.25">
      <c r="A368" s="197"/>
      <c r="B368" s="475">
        <v>42531</v>
      </c>
      <c r="C368" s="197">
        <v>760</v>
      </c>
      <c r="D368" s="198">
        <v>12.19</v>
      </c>
      <c r="E368" s="198">
        <v>0</v>
      </c>
      <c r="F368" s="198">
        <f t="shared" si="25"/>
        <v>9264.4</v>
      </c>
      <c r="G368" s="197"/>
      <c r="H368" s="197"/>
      <c r="I368" s="198"/>
      <c r="J368" s="198"/>
      <c r="K368" s="198"/>
      <c r="L368" s="197"/>
      <c r="M368" s="197"/>
    </row>
    <row r="369" spans="1:13" x14ac:dyDescent="0.25">
      <c r="A369" s="197"/>
      <c r="B369" s="475">
        <v>42537</v>
      </c>
      <c r="C369" s="197">
        <v>500</v>
      </c>
      <c r="D369" s="198">
        <v>11.71</v>
      </c>
      <c r="E369" s="198">
        <v>0</v>
      </c>
      <c r="F369" s="198">
        <f t="shared" si="25"/>
        <v>5855</v>
      </c>
      <c r="G369" s="202">
        <v>42537</v>
      </c>
      <c r="H369" s="203">
        <v>500</v>
      </c>
      <c r="I369" s="198">
        <v>11.95</v>
      </c>
      <c r="J369" s="198">
        <v>0.13</v>
      </c>
      <c r="K369" s="198">
        <f t="shared" ref="K369:K375" si="26">H369*I369-J369</f>
        <v>5974.87</v>
      </c>
      <c r="L369" s="197"/>
      <c r="M369" s="197"/>
    </row>
    <row r="370" spans="1:13" x14ac:dyDescent="0.25">
      <c r="A370" s="197"/>
      <c r="B370" s="475">
        <v>42541</v>
      </c>
      <c r="C370" s="197">
        <v>500</v>
      </c>
      <c r="D370" s="198">
        <v>12.4</v>
      </c>
      <c r="E370" s="198">
        <v>0</v>
      </c>
      <c r="F370" s="198">
        <f t="shared" si="25"/>
        <v>6200</v>
      </c>
      <c r="G370" s="202">
        <v>42541</v>
      </c>
      <c r="H370" s="203">
        <v>760</v>
      </c>
      <c r="I370" s="198">
        <v>12.63</v>
      </c>
      <c r="J370" s="198">
        <v>0.21</v>
      </c>
      <c r="K370" s="198">
        <f t="shared" si="26"/>
        <v>9598.590000000002</v>
      </c>
      <c r="L370" s="197"/>
      <c r="M370" s="197"/>
    </row>
    <row r="371" spans="1:13" x14ac:dyDescent="0.25">
      <c r="A371" s="197"/>
      <c r="B371" s="475">
        <v>42541</v>
      </c>
      <c r="C371" s="197">
        <v>100</v>
      </c>
      <c r="D371" s="198">
        <v>12.32</v>
      </c>
      <c r="E371" s="198">
        <v>0</v>
      </c>
      <c r="F371" s="198">
        <f t="shared" si="25"/>
        <v>1232</v>
      </c>
      <c r="G371" s="372">
        <v>42542</v>
      </c>
      <c r="H371" s="203">
        <v>600</v>
      </c>
      <c r="I371" s="198">
        <v>12.79</v>
      </c>
      <c r="J371" s="198">
        <v>0.17</v>
      </c>
      <c r="K371" s="198">
        <f t="shared" si="26"/>
        <v>7673.829999999999</v>
      </c>
      <c r="L371" s="197"/>
      <c r="M371" s="197"/>
    </row>
    <row r="372" spans="1:13" x14ac:dyDescent="0.25">
      <c r="A372" s="197"/>
      <c r="B372" s="475">
        <v>42545</v>
      </c>
      <c r="C372" s="197">
        <v>500</v>
      </c>
      <c r="D372" s="198">
        <v>13.52</v>
      </c>
      <c r="E372" s="198">
        <v>0</v>
      </c>
      <c r="F372" s="198">
        <f t="shared" si="25"/>
        <v>6760</v>
      </c>
      <c r="G372" s="202">
        <v>42544</v>
      </c>
      <c r="H372" s="203">
        <v>400</v>
      </c>
      <c r="I372" s="198">
        <v>13.42</v>
      </c>
      <c r="J372" s="198">
        <v>0.12</v>
      </c>
      <c r="K372" s="198">
        <f t="shared" si="26"/>
        <v>5367.88</v>
      </c>
      <c r="L372" s="197"/>
      <c r="M372" s="197"/>
    </row>
    <row r="373" spans="1:13" x14ac:dyDescent="0.25">
      <c r="A373" s="197"/>
      <c r="B373" s="475">
        <v>42545</v>
      </c>
      <c r="C373" s="197">
        <v>500</v>
      </c>
      <c r="D373" s="198">
        <v>13.46</v>
      </c>
      <c r="E373" s="198">
        <v>0</v>
      </c>
      <c r="F373" s="198">
        <f t="shared" si="25"/>
        <v>6730</v>
      </c>
      <c r="G373" s="202">
        <v>42544</v>
      </c>
      <c r="H373" s="203">
        <v>600</v>
      </c>
      <c r="I373" s="198">
        <v>13.78</v>
      </c>
      <c r="J373" s="198">
        <v>0.18</v>
      </c>
      <c r="K373" s="198">
        <f t="shared" si="26"/>
        <v>8267.82</v>
      </c>
      <c r="L373" s="197"/>
      <c r="M373" s="197"/>
    </row>
    <row r="374" spans="1:13" x14ac:dyDescent="0.25">
      <c r="A374" s="197"/>
      <c r="B374" s="475">
        <v>42545</v>
      </c>
      <c r="C374" s="197">
        <v>500</v>
      </c>
      <c r="D374" s="198">
        <v>13.32</v>
      </c>
      <c r="E374" s="198">
        <v>0</v>
      </c>
      <c r="F374" s="198">
        <f t="shared" si="25"/>
        <v>6660</v>
      </c>
      <c r="G374" s="202">
        <v>42544</v>
      </c>
      <c r="H374" s="203">
        <v>500</v>
      </c>
      <c r="I374" s="198">
        <v>14.05</v>
      </c>
      <c r="J374" s="198">
        <v>0.15</v>
      </c>
      <c r="K374" s="198">
        <f t="shared" si="26"/>
        <v>7024.85</v>
      </c>
      <c r="L374" s="197"/>
      <c r="M374" s="197"/>
    </row>
    <row r="375" spans="1:13" ht="15" customHeight="1" x14ac:dyDescent="0.25">
      <c r="A375" s="197"/>
      <c r="B375" s="475">
        <v>42548</v>
      </c>
      <c r="C375" s="197">
        <v>760</v>
      </c>
      <c r="D375" s="198">
        <v>12.81</v>
      </c>
      <c r="E375" s="198">
        <v>-3.8</v>
      </c>
      <c r="F375" s="198">
        <f t="shared" si="25"/>
        <v>9731.8000000000011</v>
      </c>
      <c r="G375" s="202">
        <v>42549</v>
      </c>
      <c r="H375" s="203">
        <v>760</v>
      </c>
      <c r="I375" s="198">
        <v>12.97</v>
      </c>
      <c r="J375" s="198">
        <v>0.21</v>
      </c>
      <c r="K375" s="198">
        <f t="shared" si="26"/>
        <v>9856.9900000000016</v>
      </c>
      <c r="L375" s="197"/>
      <c r="M375" s="197"/>
    </row>
    <row r="376" spans="1:13" x14ac:dyDescent="0.25">
      <c r="A376" s="197"/>
      <c r="B376" s="475">
        <v>42548</v>
      </c>
      <c r="C376" s="197">
        <v>500</v>
      </c>
      <c r="D376" s="198">
        <v>12.58</v>
      </c>
      <c r="E376" s="198">
        <v>0</v>
      </c>
      <c r="F376" s="198">
        <f t="shared" si="25"/>
        <v>6290</v>
      </c>
      <c r="G376" s="202">
        <v>42551</v>
      </c>
      <c r="H376" s="203">
        <v>500</v>
      </c>
      <c r="I376" s="198">
        <v>13.75</v>
      </c>
      <c r="J376" s="198">
        <v>7.1</v>
      </c>
      <c r="K376" s="198">
        <f>H376*I376-J376</f>
        <v>6867.9</v>
      </c>
      <c r="L376" s="197"/>
      <c r="M376" s="197"/>
    </row>
    <row r="377" spans="1:13" x14ac:dyDescent="0.25">
      <c r="A377" s="197"/>
      <c r="B377" s="475">
        <v>42551</v>
      </c>
      <c r="C377" s="197">
        <v>500</v>
      </c>
      <c r="D377" s="198">
        <v>12.42</v>
      </c>
      <c r="E377" s="198">
        <v>6.95</v>
      </c>
      <c r="F377" s="198">
        <f t="shared" si="25"/>
        <v>6216.95</v>
      </c>
      <c r="G377" s="197"/>
      <c r="H377" s="197"/>
      <c r="I377" s="198"/>
      <c r="J377" s="198"/>
      <c r="K377" s="198"/>
      <c r="L377" s="197"/>
      <c r="M377" s="197"/>
    </row>
    <row r="378" spans="1:13" x14ac:dyDescent="0.25">
      <c r="A378" s="197"/>
      <c r="B378" s="475">
        <v>42556</v>
      </c>
      <c r="C378" s="203">
        <v>500</v>
      </c>
      <c r="D378" s="198">
        <v>11.88</v>
      </c>
      <c r="E378" s="198">
        <v>-2.5</v>
      </c>
      <c r="F378" s="198">
        <f t="shared" si="25"/>
        <v>5937.5</v>
      </c>
      <c r="G378" s="197"/>
      <c r="H378" s="197"/>
      <c r="I378" s="198"/>
      <c r="J378" s="198"/>
      <c r="K378" s="198"/>
      <c r="L378" s="197"/>
      <c r="M378" s="197"/>
    </row>
    <row r="379" spans="1:13" x14ac:dyDescent="0.25">
      <c r="A379" s="197"/>
      <c r="B379" s="475">
        <v>42558</v>
      </c>
      <c r="C379" s="197">
        <v>500</v>
      </c>
      <c r="D379" s="198">
        <v>12.28</v>
      </c>
      <c r="E379" s="198">
        <v>0</v>
      </c>
      <c r="F379" s="198">
        <f t="shared" si="25"/>
        <v>6140</v>
      </c>
      <c r="G379" s="202">
        <v>42558</v>
      </c>
      <c r="H379" s="203">
        <v>1000</v>
      </c>
      <c r="I379" s="198">
        <v>12.48</v>
      </c>
      <c r="J379" s="198">
        <v>0.27</v>
      </c>
      <c r="K379" s="198">
        <f t="shared" ref="K379:K411" si="27">H379*I379-J379</f>
        <v>12479.73</v>
      </c>
      <c r="L379" s="197"/>
      <c r="M379" s="197"/>
    </row>
    <row r="380" spans="1:13" x14ac:dyDescent="0.25">
      <c r="A380" s="197"/>
      <c r="B380" s="475">
        <v>42578</v>
      </c>
      <c r="C380" s="197">
        <v>200</v>
      </c>
      <c r="D380" s="198">
        <v>14.12</v>
      </c>
      <c r="E380" s="198">
        <v>0</v>
      </c>
      <c r="F380" s="198">
        <f t="shared" ref="F380:F407" si="28">C380*D380+E380</f>
        <v>2824</v>
      </c>
      <c r="G380" s="202">
        <v>42576</v>
      </c>
      <c r="H380" s="203">
        <v>500</v>
      </c>
      <c r="I380" s="198">
        <v>13.82</v>
      </c>
      <c r="J380" s="198">
        <v>0.15</v>
      </c>
      <c r="K380" s="198">
        <f t="shared" si="27"/>
        <v>6909.85</v>
      </c>
      <c r="L380" s="197"/>
      <c r="M380" s="197"/>
    </row>
    <row r="381" spans="1:13" x14ac:dyDescent="0.25">
      <c r="A381" s="202"/>
      <c r="B381" s="475">
        <v>42579</v>
      </c>
      <c r="C381" s="197">
        <v>300</v>
      </c>
      <c r="D381" s="198">
        <v>13.82</v>
      </c>
      <c r="E381" s="198">
        <v>0</v>
      </c>
      <c r="F381" s="198">
        <f t="shared" si="28"/>
        <v>4146</v>
      </c>
      <c r="G381" s="202">
        <v>42577</v>
      </c>
      <c r="H381" s="197">
        <v>500</v>
      </c>
      <c r="I381" s="198">
        <v>14.33</v>
      </c>
      <c r="J381" s="198">
        <v>0.16</v>
      </c>
      <c r="K381" s="198">
        <f t="shared" si="27"/>
        <v>7164.84</v>
      </c>
      <c r="L381" s="197"/>
      <c r="M381" s="197"/>
    </row>
    <row r="382" spans="1:13" x14ac:dyDescent="0.25">
      <c r="A382" s="197"/>
      <c r="B382" s="475">
        <v>42579</v>
      </c>
      <c r="C382" s="197">
        <v>300</v>
      </c>
      <c r="D382" s="198">
        <v>13.82</v>
      </c>
      <c r="E382" s="198">
        <v>0</v>
      </c>
      <c r="F382" s="198">
        <f t="shared" si="28"/>
        <v>4146</v>
      </c>
      <c r="G382" s="202">
        <v>42577</v>
      </c>
      <c r="H382" s="197">
        <v>300</v>
      </c>
      <c r="I382" s="198">
        <v>14.58</v>
      </c>
      <c r="J382" s="198">
        <v>0.1</v>
      </c>
      <c r="K382" s="198">
        <f t="shared" si="27"/>
        <v>4373.8999999999996</v>
      </c>
      <c r="L382" s="197"/>
      <c r="M382" s="197"/>
    </row>
    <row r="383" spans="1:13" x14ac:dyDescent="0.25">
      <c r="A383" s="197"/>
      <c r="B383" s="475">
        <v>42580</v>
      </c>
      <c r="C383" s="197">
        <v>500</v>
      </c>
      <c r="D383" s="198">
        <v>13.62</v>
      </c>
      <c r="E383" s="198">
        <v>0</v>
      </c>
      <c r="F383" s="198">
        <f t="shared" si="28"/>
        <v>6810</v>
      </c>
      <c r="G383" s="202">
        <v>42586</v>
      </c>
      <c r="H383" s="197">
        <v>200</v>
      </c>
      <c r="I383" s="198">
        <v>13.89</v>
      </c>
      <c r="J383" s="198">
        <v>-0.54</v>
      </c>
      <c r="K383" s="198">
        <f t="shared" si="27"/>
        <v>2778.54</v>
      </c>
      <c r="L383" s="197"/>
      <c r="M383" s="197"/>
    </row>
    <row r="384" spans="1:13" x14ac:dyDescent="0.25">
      <c r="A384" s="197"/>
      <c r="B384" s="475">
        <v>42584</v>
      </c>
      <c r="C384" s="197">
        <v>200</v>
      </c>
      <c r="D384" s="198">
        <v>13.08</v>
      </c>
      <c r="E384" s="198">
        <v>0</v>
      </c>
      <c r="F384" s="198">
        <f t="shared" si="28"/>
        <v>2616</v>
      </c>
      <c r="G384" s="202">
        <v>42587</v>
      </c>
      <c r="H384" s="197">
        <v>500</v>
      </c>
      <c r="I384" s="198">
        <v>14.65</v>
      </c>
      <c r="J384" s="198">
        <v>0.16</v>
      </c>
      <c r="K384" s="198">
        <f t="shared" si="27"/>
        <v>7324.84</v>
      </c>
      <c r="L384" s="197"/>
      <c r="M384" s="197"/>
    </row>
    <row r="385" spans="1:13" ht="30" x14ac:dyDescent="0.25">
      <c r="A385" s="197"/>
      <c r="B385" s="475">
        <v>42599</v>
      </c>
      <c r="C385" s="197">
        <v>500</v>
      </c>
      <c r="D385" s="198">
        <v>15.6</v>
      </c>
      <c r="E385" s="198">
        <v>0</v>
      </c>
      <c r="F385" s="198">
        <f t="shared" si="28"/>
        <v>7800</v>
      </c>
      <c r="G385" s="202">
        <v>42593</v>
      </c>
      <c r="H385" s="197">
        <v>500</v>
      </c>
      <c r="I385" s="198">
        <v>14.45</v>
      </c>
      <c r="J385" s="198">
        <v>0.16</v>
      </c>
      <c r="K385" s="198">
        <f t="shared" si="27"/>
        <v>7224.84</v>
      </c>
      <c r="L385" s="197"/>
      <c r="M385" s="596" t="s">
        <v>249</v>
      </c>
    </row>
    <row r="386" spans="1:13" x14ac:dyDescent="0.25">
      <c r="A386" s="197"/>
      <c r="B386" s="475">
        <v>42619</v>
      </c>
      <c r="C386" s="197">
        <v>200</v>
      </c>
      <c r="D386" s="198">
        <v>16.850000000000001</v>
      </c>
      <c r="E386" s="198">
        <v>0</v>
      </c>
      <c r="F386" s="198">
        <f t="shared" si="28"/>
        <v>3370.0000000000005</v>
      </c>
      <c r="G386" s="202">
        <v>42594</v>
      </c>
      <c r="H386" s="197">
        <v>500</v>
      </c>
      <c r="I386" s="198">
        <v>14.88</v>
      </c>
      <c r="J386" s="198">
        <v>0.16</v>
      </c>
      <c r="K386" s="198">
        <f t="shared" si="27"/>
        <v>7439.84</v>
      </c>
      <c r="L386" s="197"/>
      <c r="M386" s="596"/>
    </row>
    <row r="387" spans="1:13" x14ac:dyDescent="0.25">
      <c r="A387" s="197"/>
      <c r="B387" s="475">
        <v>42619</v>
      </c>
      <c r="C387" s="197">
        <v>300</v>
      </c>
      <c r="D387" s="198">
        <v>16.850000000000001</v>
      </c>
      <c r="E387" s="198">
        <v>0</v>
      </c>
      <c r="F387" s="198">
        <f t="shared" si="28"/>
        <v>5055</v>
      </c>
      <c r="G387" s="202">
        <v>42594</v>
      </c>
      <c r="H387" s="197">
        <v>500</v>
      </c>
      <c r="I387" s="198">
        <v>14.98</v>
      </c>
      <c r="J387" s="198">
        <v>0.16</v>
      </c>
      <c r="K387" s="198">
        <f t="shared" si="27"/>
        <v>7489.84</v>
      </c>
      <c r="L387" s="197"/>
      <c r="M387" s="596"/>
    </row>
    <row r="388" spans="1:13" x14ac:dyDescent="0.25">
      <c r="A388" s="197"/>
      <c r="B388" s="475">
        <v>42620</v>
      </c>
      <c r="C388" s="197">
        <v>500</v>
      </c>
      <c r="D388" s="198">
        <v>17.12</v>
      </c>
      <c r="E388" s="198">
        <v>0</v>
      </c>
      <c r="F388" s="198">
        <f t="shared" si="28"/>
        <v>8560</v>
      </c>
      <c r="G388" s="202">
        <v>42597</v>
      </c>
      <c r="H388" s="197">
        <v>500</v>
      </c>
      <c r="I388" s="198">
        <v>15.48</v>
      </c>
      <c r="J388" s="198">
        <v>0.17</v>
      </c>
      <c r="K388" s="198">
        <f t="shared" si="27"/>
        <v>7739.83</v>
      </c>
      <c r="L388" s="197"/>
      <c r="M388" s="596"/>
    </row>
    <row r="389" spans="1:13" x14ac:dyDescent="0.25">
      <c r="A389" s="197"/>
      <c r="B389" s="475">
        <v>42622</v>
      </c>
      <c r="C389" s="197">
        <v>500</v>
      </c>
      <c r="D389" s="198">
        <v>17.05</v>
      </c>
      <c r="E389" s="198">
        <v>-2.5</v>
      </c>
      <c r="F389" s="198">
        <f t="shared" si="28"/>
        <v>8522.5</v>
      </c>
      <c r="G389" s="202">
        <v>42599</v>
      </c>
      <c r="H389" s="197">
        <v>500</v>
      </c>
      <c r="I389" s="198">
        <v>15.75</v>
      </c>
      <c r="J389" s="198">
        <v>0.17</v>
      </c>
      <c r="K389" s="198">
        <f t="shared" si="27"/>
        <v>7874.83</v>
      </c>
      <c r="L389" s="197"/>
      <c r="M389" s="197"/>
    </row>
    <row r="390" spans="1:13" x14ac:dyDescent="0.25">
      <c r="A390" s="197"/>
      <c r="B390" s="475">
        <v>42626</v>
      </c>
      <c r="C390" s="197">
        <v>100</v>
      </c>
      <c r="D390" s="198">
        <v>16.48</v>
      </c>
      <c r="E390" s="198">
        <v>0</v>
      </c>
      <c r="F390" s="198">
        <f t="shared" si="28"/>
        <v>1648</v>
      </c>
      <c r="G390" s="202">
        <v>42619</v>
      </c>
      <c r="H390" s="197">
        <v>500</v>
      </c>
      <c r="I390" s="198">
        <v>17.079999999999998</v>
      </c>
      <c r="J390" s="198">
        <v>0.19</v>
      </c>
      <c r="K390" s="198">
        <f t="shared" si="27"/>
        <v>8539.81</v>
      </c>
      <c r="L390" s="197"/>
      <c r="M390" s="197"/>
    </row>
    <row r="391" spans="1:13" x14ac:dyDescent="0.25">
      <c r="A391" s="197"/>
      <c r="B391" s="475">
        <v>42641</v>
      </c>
      <c r="C391" s="197">
        <v>200</v>
      </c>
      <c r="D391" s="198">
        <v>17.260000000000002</v>
      </c>
      <c r="E391" s="198">
        <v>-0.68</v>
      </c>
      <c r="F391" s="198">
        <f t="shared" si="28"/>
        <v>3451.3200000000006</v>
      </c>
      <c r="G391" s="202">
        <v>42620</v>
      </c>
      <c r="H391" s="197">
        <v>500</v>
      </c>
      <c r="I391" s="198">
        <v>17.28</v>
      </c>
      <c r="J391" s="198">
        <v>0.19</v>
      </c>
      <c r="K391" s="198">
        <f t="shared" si="27"/>
        <v>8639.81</v>
      </c>
      <c r="L391" s="197"/>
      <c r="M391" s="197"/>
    </row>
    <row r="392" spans="1:13" x14ac:dyDescent="0.25">
      <c r="A392" s="197"/>
      <c r="B392" s="475">
        <v>42647</v>
      </c>
      <c r="C392" s="197">
        <v>200</v>
      </c>
      <c r="D392" s="198">
        <v>17.079999999999998</v>
      </c>
      <c r="E392" s="198">
        <v>0</v>
      </c>
      <c r="F392" s="198">
        <f t="shared" si="28"/>
        <v>3415.9999999999995</v>
      </c>
      <c r="G392" s="202">
        <v>42621</v>
      </c>
      <c r="H392" s="197">
        <v>500</v>
      </c>
      <c r="I392" s="198">
        <v>17.43</v>
      </c>
      <c r="J392" s="198">
        <v>0.19</v>
      </c>
      <c r="K392" s="198">
        <f t="shared" si="27"/>
        <v>8714.81</v>
      </c>
      <c r="L392" s="197"/>
      <c r="M392" s="197"/>
    </row>
    <row r="393" spans="1:13" x14ac:dyDescent="0.25">
      <c r="A393" s="197"/>
      <c r="B393" s="475">
        <v>42654</v>
      </c>
      <c r="C393" s="197">
        <v>200</v>
      </c>
      <c r="D393" s="198">
        <v>16.68</v>
      </c>
      <c r="E393" s="198">
        <v>0</v>
      </c>
      <c r="F393" s="198">
        <f t="shared" si="28"/>
        <v>3336</v>
      </c>
      <c r="G393" s="202">
        <v>42634</v>
      </c>
      <c r="H393" s="197">
        <v>500</v>
      </c>
      <c r="I393" s="198">
        <v>17.63</v>
      </c>
      <c r="J393" s="198">
        <v>2.69</v>
      </c>
      <c r="K393" s="198">
        <f t="shared" si="27"/>
        <v>8812.31</v>
      </c>
      <c r="L393" s="197"/>
      <c r="M393" s="197"/>
    </row>
    <row r="394" spans="1:13" x14ac:dyDescent="0.25">
      <c r="A394" s="197"/>
      <c r="B394" s="475">
        <v>42670</v>
      </c>
      <c r="C394" s="197">
        <v>150</v>
      </c>
      <c r="D394" s="198">
        <v>17.510000000000002</v>
      </c>
      <c r="E394" s="198">
        <v>0</v>
      </c>
      <c r="F394" s="198">
        <f t="shared" si="28"/>
        <v>2626.5000000000005</v>
      </c>
      <c r="G394" s="202">
        <v>42662</v>
      </c>
      <c r="H394" s="203">
        <v>200</v>
      </c>
      <c r="I394" s="198">
        <v>17.239999999999998</v>
      </c>
      <c r="J394" s="198">
        <v>0.08</v>
      </c>
      <c r="K394" s="198">
        <f t="shared" si="27"/>
        <v>3447.9199999999996</v>
      </c>
      <c r="L394" s="197"/>
      <c r="M394" s="197"/>
    </row>
    <row r="395" spans="1:13" x14ac:dyDescent="0.25">
      <c r="A395" s="197"/>
      <c r="B395" s="475">
        <v>42670</v>
      </c>
      <c r="C395" s="197">
        <v>200</v>
      </c>
      <c r="D395" s="198">
        <v>17.510000000000002</v>
      </c>
      <c r="E395" s="198">
        <v>0</v>
      </c>
      <c r="F395" s="198">
        <f t="shared" si="28"/>
        <v>3502.0000000000005</v>
      </c>
      <c r="G395" s="202">
        <v>42668</v>
      </c>
      <c r="H395" s="197">
        <v>200</v>
      </c>
      <c r="I395" s="198">
        <v>17.55</v>
      </c>
      <c r="J395" s="198">
        <v>0.08</v>
      </c>
      <c r="K395" s="198">
        <f t="shared" si="27"/>
        <v>3509.92</v>
      </c>
      <c r="L395" s="197"/>
      <c r="M395" s="197"/>
    </row>
    <row r="396" spans="1:13" x14ac:dyDescent="0.25">
      <c r="A396" s="197"/>
      <c r="B396" s="475">
        <v>42670</v>
      </c>
      <c r="C396" s="197">
        <v>450</v>
      </c>
      <c r="D396" s="198">
        <v>17.510000000000002</v>
      </c>
      <c r="E396" s="198">
        <v>0</v>
      </c>
      <c r="F396" s="198">
        <f t="shared" si="28"/>
        <v>7879.5000000000009</v>
      </c>
      <c r="G396" s="202">
        <v>42669</v>
      </c>
      <c r="H396" s="197">
        <v>800</v>
      </c>
      <c r="I396" s="198">
        <v>17.760000000000002</v>
      </c>
      <c r="J396" s="198">
        <v>0.31</v>
      </c>
      <c r="K396" s="198">
        <f t="shared" si="27"/>
        <v>14207.690000000002</v>
      </c>
      <c r="L396" s="197"/>
      <c r="M396" s="197"/>
    </row>
    <row r="397" spans="1:13" x14ac:dyDescent="0.25">
      <c r="A397" s="197"/>
      <c r="B397" s="475">
        <v>42670</v>
      </c>
      <c r="C397" s="197">
        <v>200</v>
      </c>
      <c r="D397" s="198">
        <v>17.420000000000002</v>
      </c>
      <c r="E397" s="198">
        <v>0</v>
      </c>
      <c r="F397" s="198">
        <f t="shared" si="28"/>
        <v>3484.0000000000005</v>
      </c>
      <c r="G397" s="202">
        <v>42671</v>
      </c>
      <c r="H397" s="197">
        <v>400</v>
      </c>
      <c r="I397" s="198">
        <v>17.64</v>
      </c>
      <c r="J397" s="198">
        <v>0.15</v>
      </c>
      <c r="K397" s="198">
        <f t="shared" si="27"/>
        <v>7055.85</v>
      </c>
      <c r="L397" s="197"/>
      <c r="M397" s="197"/>
    </row>
    <row r="398" spans="1:13" x14ac:dyDescent="0.25">
      <c r="A398" s="197"/>
      <c r="B398" s="475">
        <v>42671</v>
      </c>
      <c r="C398" s="197">
        <v>400</v>
      </c>
      <c r="D398" s="198">
        <v>17.3</v>
      </c>
      <c r="E398" s="198">
        <v>0</v>
      </c>
      <c r="F398" s="198">
        <f t="shared" si="28"/>
        <v>6920</v>
      </c>
      <c r="G398" s="202">
        <v>42675</v>
      </c>
      <c r="H398" s="197">
        <v>200</v>
      </c>
      <c r="I398" s="198">
        <v>16.989999999999998</v>
      </c>
      <c r="J398" s="198">
        <v>7.0000000000000007E-2</v>
      </c>
      <c r="K398" s="198">
        <f t="shared" si="27"/>
        <v>3397.9299999999994</v>
      </c>
      <c r="L398" s="197"/>
      <c r="M398" s="197"/>
    </row>
    <row r="399" spans="1:13" x14ac:dyDescent="0.25">
      <c r="A399" s="197"/>
      <c r="B399" s="475">
        <v>42675</v>
      </c>
      <c r="C399" s="197">
        <v>200</v>
      </c>
      <c r="D399" s="198">
        <v>16.89</v>
      </c>
      <c r="E399" s="198">
        <v>0</v>
      </c>
      <c r="F399" s="198">
        <f t="shared" si="28"/>
        <v>3378</v>
      </c>
      <c r="G399" s="202">
        <v>42678</v>
      </c>
      <c r="H399" s="197">
        <v>200</v>
      </c>
      <c r="I399" s="198">
        <v>17</v>
      </c>
      <c r="J399" s="198">
        <v>7.0000000000000007E-2</v>
      </c>
      <c r="K399" s="198">
        <f t="shared" si="27"/>
        <v>3399.93</v>
      </c>
      <c r="L399" s="197"/>
      <c r="M399" s="197"/>
    </row>
    <row r="400" spans="1:13" x14ac:dyDescent="0.25">
      <c r="A400" s="197"/>
      <c r="B400" s="475">
        <v>42678</v>
      </c>
      <c r="C400" s="197">
        <v>200</v>
      </c>
      <c r="D400" s="198">
        <v>16.8</v>
      </c>
      <c r="E400" s="198">
        <v>0</v>
      </c>
      <c r="F400" s="198">
        <f t="shared" si="28"/>
        <v>3360</v>
      </c>
      <c r="G400" s="202">
        <v>42685</v>
      </c>
      <c r="H400" s="197">
        <v>200</v>
      </c>
      <c r="I400" s="198">
        <v>17.579999999999998</v>
      </c>
      <c r="J400" s="198">
        <v>0.08</v>
      </c>
      <c r="K400" s="198">
        <f t="shared" si="27"/>
        <v>3515.9199999999996</v>
      </c>
      <c r="L400" s="197"/>
      <c r="M400" s="197"/>
    </row>
    <row r="401" spans="1:13" x14ac:dyDescent="0.25">
      <c r="A401" s="197"/>
      <c r="B401" s="475">
        <v>42705</v>
      </c>
      <c r="C401" s="197">
        <v>150</v>
      </c>
      <c r="D401" s="198">
        <v>19.079999999999998</v>
      </c>
      <c r="E401" s="198">
        <v>0</v>
      </c>
      <c r="F401" s="198">
        <f t="shared" si="28"/>
        <v>2861.9999999999995</v>
      </c>
      <c r="G401" s="202">
        <v>42702</v>
      </c>
      <c r="H401" s="197">
        <v>150</v>
      </c>
      <c r="I401" s="198">
        <v>20.11</v>
      </c>
      <c r="J401" s="198">
        <v>7.0000000000000007E-2</v>
      </c>
      <c r="K401" s="198">
        <f t="shared" si="27"/>
        <v>3016.43</v>
      </c>
      <c r="L401" s="197"/>
      <c r="M401" s="197"/>
    </row>
    <row r="402" spans="1:13" x14ac:dyDescent="0.25">
      <c r="A402" s="197"/>
      <c r="B402" s="475">
        <v>42705</v>
      </c>
      <c r="C402" s="197">
        <v>200</v>
      </c>
      <c r="D402" s="198">
        <v>18.2</v>
      </c>
      <c r="E402" s="198">
        <v>0</v>
      </c>
      <c r="F402" s="198">
        <f t="shared" si="28"/>
        <v>3640</v>
      </c>
      <c r="G402" s="202">
        <v>42706</v>
      </c>
      <c r="H402" s="197">
        <v>200</v>
      </c>
      <c r="I402" s="198">
        <v>18.79</v>
      </c>
      <c r="J402" s="198">
        <v>0.08</v>
      </c>
      <c r="K402" s="198">
        <f t="shared" si="27"/>
        <v>3757.92</v>
      </c>
      <c r="L402" s="197"/>
      <c r="M402" s="197"/>
    </row>
    <row r="403" spans="1:13" x14ac:dyDescent="0.25">
      <c r="A403" s="197"/>
      <c r="B403" s="475"/>
      <c r="C403" s="197"/>
      <c r="D403" s="198"/>
      <c r="E403" s="198"/>
      <c r="F403" s="198">
        <f t="shared" si="28"/>
        <v>0</v>
      </c>
      <c r="G403" s="202">
        <v>42710</v>
      </c>
      <c r="H403" s="197">
        <v>200</v>
      </c>
      <c r="I403" s="198">
        <v>18.98</v>
      </c>
      <c r="J403" s="198">
        <v>0.08</v>
      </c>
      <c r="K403" s="198">
        <f t="shared" si="27"/>
        <v>3795.92</v>
      </c>
      <c r="L403" s="197"/>
      <c r="M403" s="197"/>
    </row>
    <row r="404" spans="1:13" ht="45" x14ac:dyDescent="0.25">
      <c r="A404" s="197"/>
      <c r="B404" s="475"/>
      <c r="C404" s="197"/>
      <c r="D404" s="198"/>
      <c r="E404" s="198"/>
      <c r="F404" s="198">
        <f t="shared" si="28"/>
        <v>0</v>
      </c>
      <c r="G404" s="593" t="s">
        <v>303</v>
      </c>
      <c r="H404" s="197">
        <v>100</v>
      </c>
      <c r="I404" s="198">
        <v>19.68</v>
      </c>
      <c r="J404" s="198">
        <v>0.04</v>
      </c>
      <c r="K404" s="198">
        <f t="shared" si="27"/>
        <v>1967.96</v>
      </c>
      <c r="L404" s="197"/>
      <c r="M404" s="197"/>
    </row>
    <row r="405" spans="1:13" x14ac:dyDescent="0.25">
      <c r="A405" s="197"/>
      <c r="B405" s="475"/>
      <c r="C405" s="197"/>
      <c r="D405" s="198"/>
      <c r="E405" s="198"/>
      <c r="F405" s="198">
        <f t="shared" si="28"/>
        <v>0</v>
      </c>
      <c r="G405" s="593"/>
      <c r="H405" s="197">
        <v>200</v>
      </c>
      <c r="I405" s="198">
        <v>19.88</v>
      </c>
      <c r="J405" s="198">
        <v>0.09</v>
      </c>
      <c r="K405" s="198">
        <f t="shared" si="27"/>
        <v>3975.91</v>
      </c>
      <c r="L405" s="197"/>
      <c r="M405" s="197"/>
    </row>
    <row r="406" spans="1:13" x14ac:dyDescent="0.25">
      <c r="A406" s="197"/>
      <c r="B406" s="475"/>
      <c r="C406" s="197"/>
      <c r="D406" s="198"/>
      <c r="E406" s="198"/>
      <c r="F406" s="198">
        <f t="shared" si="28"/>
        <v>0</v>
      </c>
      <c r="G406" s="593"/>
      <c r="H406" s="197">
        <v>200</v>
      </c>
      <c r="I406" s="198">
        <v>20.32</v>
      </c>
      <c r="J406" s="198">
        <v>0.09</v>
      </c>
      <c r="K406" s="198">
        <f t="shared" si="27"/>
        <v>4063.91</v>
      </c>
      <c r="L406" s="197"/>
      <c r="M406" s="197"/>
    </row>
    <row r="407" spans="1:13" x14ac:dyDescent="0.25">
      <c r="A407" s="197"/>
      <c r="B407" s="475"/>
      <c r="C407" s="197"/>
      <c r="D407" s="198"/>
      <c r="E407" s="198"/>
      <c r="F407" s="198">
        <f t="shared" si="28"/>
        <v>0</v>
      </c>
      <c r="G407" s="593"/>
      <c r="H407" s="197">
        <v>300</v>
      </c>
      <c r="I407" s="198">
        <v>20.53</v>
      </c>
      <c r="J407" s="198">
        <v>0.13</v>
      </c>
      <c r="K407" s="198">
        <f t="shared" si="27"/>
        <v>6158.87</v>
      </c>
      <c r="L407" s="197"/>
      <c r="M407" s="197"/>
    </row>
    <row r="408" spans="1:13" x14ac:dyDescent="0.25">
      <c r="A408" s="197"/>
      <c r="B408" s="475"/>
      <c r="C408" s="197"/>
      <c r="D408" s="198"/>
      <c r="E408" s="198"/>
      <c r="F408" s="198"/>
      <c r="G408" s="202">
        <v>42716</v>
      </c>
      <c r="H408" s="197">
        <v>200</v>
      </c>
      <c r="I408" s="198">
        <v>19.899999999999999</v>
      </c>
      <c r="J408" s="198">
        <v>0.09</v>
      </c>
      <c r="K408" s="198">
        <f t="shared" si="27"/>
        <v>3979.9099999999994</v>
      </c>
      <c r="L408" s="197"/>
      <c r="M408" s="197"/>
    </row>
    <row r="409" spans="1:13" x14ac:dyDescent="0.25">
      <c r="A409" s="197"/>
      <c r="B409" s="475"/>
      <c r="C409" s="197"/>
      <c r="D409" s="197"/>
      <c r="E409" s="197"/>
      <c r="F409" s="197"/>
      <c r="G409" s="202">
        <v>42716</v>
      </c>
      <c r="H409" s="197">
        <v>150</v>
      </c>
      <c r="I409" s="198">
        <v>19.989999999999998</v>
      </c>
      <c r="J409" s="198">
        <v>7.0000000000000007E-2</v>
      </c>
      <c r="K409" s="198">
        <f t="shared" si="27"/>
        <v>2998.4299999999994</v>
      </c>
      <c r="L409" s="197"/>
      <c r="M409" s="197"/>
    </row>
    <row r="410" spans="1:13" x14ac:dyDescent="0.25">
      <c r="A410" s="197"/>
      <c r="B410" s="475"/>
      <c r="C410" s="197"/>
      <c r="D410" s="197"/>
      <c r="E410" s="197"/>
      <c r="F410" s="197"/>
      <c r="G410" s="202">
        <v>42717</v>
      </c>
      <c r="H410" s="197">
        <v>100</v>
      </c>
      <c r="I410" s="198">
        <v>20.350000000000001</v>
      </c>
      <c r="J410" s="198">
        <v>0.04</v>
      </c>
      <c r="K410" s="198">
        <f t="shared" si="27"/>
        <v>2034.9600000000003</v>
      </c>
      <c r="L410" s="197"/>
      <c r="M410" s="197"/>
    </row>
    <row r="411" spans="1:13" x14ac:dyDescent="0.25">
      <c r="A411" s="197"/>
      <c r="B411" s="475"/>
      <c r="C411" s="197"/>
      <c r="D411" s="197"/>
      <c r="E411" s="197"/>
      <c r="F411" s="197"/>
      <c r="G411" s="202">
        <v>42738</v>
      </c>
      <c r="H411" s="197">
        <v>350</v>
      </c>
      <c r="I411" s="198">
        <v>22.58</v>
      </c>
      <c r="J411" s="198">
        <v>0.55000000000000004</v>
      </c>
      <c r="K411" s="198">
        <f t="shared" si="27"/>
        <v>7902.4499999999989</v>
      </c>
      <c r="L411" s="197"/>
      <c r="M411" s="197"/>
    </row>
    <row r="412" spans="1:13" x14ac:dyDescent="0.25">
      <c r="A412" s="197"/>
      <c r="B412" s="475"/>
      <c r="C412" s="197"/>
      <c r="D412" s="197"/>
      <c r="E412" s="197"/>
      <c r="F412" s="197"/>
      <c r="G412" s="197"/>
      <c r="H412" s="197"/>
      <c r="I412" s="198"/>
      <c r="J412" s="198"/>
      <c r="K412" s="198"/>
      <c r="L412" s="197"/>
      <c r="M412" s="197"/>
    </row>
    <row r="413" spans="1:13" x14ac:dyDescent="0.25">
      <c r="A413" s="197"/>
      <c r="B413" s="475">
        <v>42710</v>
      </c>
      <c r="C413" s="197">
        <v>200</v>
      </c>
      <c r="D413" s="198">
        <v>18.75</v>
      </c>
      <c r="E413" s="198">
        <v>0</v>
      </c>
      <c r="F413" s="198">
        <f t="shared" ref="F413:F418" si="29">C413*D413+E413</f>
        <v>3750</v>
      </c>
      <c r="G413" s="475">
        <v>42759</v>
      </c>
      <c r="H413" s="197">
        <v>200</v>
      </c>
      <c r="I413" s="198">
        <v>22.97</v>
      </c>
      <c r="J413" s="198">
        <v>0.1</v>
      </c>
      <c r="K413" s="198">
        <f>H413*I413-J413</f>
        <v>4593.8999999999996</v>
      </c>
      <c r="L413" s="197"/>
      <c r="M413" s="197"/>
    </row>
    <row r="414" spans="1:13" x14ac:dyDescent="0.25">
      <c r="A414" s="197"/>
      <c r="B414" s="475">
        <v>42716</v>
      </c>
      <c r="C414" s="197">
        <v>200</v>
      </c>
      <c r="D414" s="198">
        <v>20.100000000000001</v>
      </c>
      <c r="E414" s="198">
        <v>-1</v>
      </c>
      <c r="F414" s="198">
        <f t="shared" si="29"/>
        <v>4019.0000000000005</v>
      </c>
      <c r="G414" s="475">
        <v>42760</v>
      </c>
      <c r="H414" s="203">
        <v>600</v>
      </c>
      <c r="I414" s="198">
        <v>23.78</v>
      </c>
      <c r="J414" s="198">
        <v>0.31</v>
      </c>
      <c r="K414" s="198">
        <f>H414*I414-J414</f>
        <v>14267.69</v>
      </c>
      <c r="L414" s="197"/>
      <c r="M414" s="197"/>
    </row>
    <row r="415" spans="1:13" x14ac:dyDescent="0.25">
      <c r="A415" s="197"/>
      <c r="B415" s="475">
        <v>42716</v>
      </c>
      <c r="C415" s="197">
        <v>200</v>
      </c>
      <c r="D415" s="198">
        <v>19.850000000000001</v>
      </c>
      <c r="E415" s="198">
        <v>0</v>
      </c>
      <c r="F415" s="198">
        <f t="shared" si="29"/>
        <v>3970.0000000000005</v>
      </c>
      <c r="G415" s="475">
        <v>42762</v>
      </c>
      <c r="H415" s="203">
        <v>400</v>
      </c>
      <c r="I415" s="198">
        <v>23.98</v>
      </c>
      <c r="J415" s="198">
        <v>0.21</v>
      </c>
      <c r="K415" s="198">
        <f>H415*I415-J415</f>
        <v>9591.7900000000009</v>
      </c>
      <c r="L415" s="197"/>
      <c r="M415" s="197"/>
    </row>
    <row r="416" spans="1:13" x14ac:dyDescent="0.25">
      <c r="A416" s="197"/>
      <c r="B416" s="475">
        <v>42716</v>
      </c>
      <c r="C416" s="197">
        <v>600</v>
      </c>
      <c r="D416" s="198">
        <v>19.600000000000001</v>
      </c>
      <c r="E416" s="198">
        <v>0</v>
      </c>
      <c r="F416" s="198">
        <f t="shared" si="29"/>
        <v>11760</v>
      </c>
      <c r="G416" s="202"/>
      <c r="H416" s="197"/>
      <c r="I416" s="198"/>
      <c r="J416" s="198"/>
      <c r="K416" s="198"/>
      <c r="L416" s="197"/>
      <c r="M416" s="197"/>
    </row>
    <row r="417" spans="1:13" x14ac:dyDescent="0.25">
      <c r="A417" s="197"/>
      <c r="B417" s="406">
        <v>42738</v>
      </c>
      <c r="C417" s="7">
        <v>100</v>
      </c>
      <c r="D417" s="43">
        <v>22.35</v>
      </c>
      <c r="E417" s="43">
        <v>0</v>
      </c>
      <c r="F417" s="43">
        <f t="shared" si="29"/>
        <v>2235</v>
      </c>
      <c r="G417" s="406">
        <v>42769</v>
      </c>
      <c r="H417" s="80">
        <v>100</v>
      </c>
      <c r="I417" s="43">
        <v>25.15</v>
      </c>
      <c r="J417" s="43">
        <v>0.05</v>
      </c>
      <c r="K417" s="43">
        <f>I417*H417-J417</f>
        <v>2514.9499999999998</v>
      </c>
      <c r="L417" s="197"/>
      <c r="M417" s="197"/>
    </row>
    <row r="418" spans="1:13" x14ac:dyDescent="0.25">
      <c r="A418" s="197"/>
      <c r="B418" s="406">
        <v>42738</v>
      </c>
      <c r="C418" s="7">
        <v>100</v>
      </c>
      <c r="D418" s="7">
        <v>22.35</v>
      </c>
      <c r="E418" s="43">
        <v>0</v>
      </c>
      <c r="F418" s="43">
        <f t="shared" si="29"/>
        <v>2235</v>
      </c>
      <c r="G418" s="406">
        <v>42782</v>
      </c>
      <c r="H418" s="80">
        <v>100</v>
      </c>
      <c r="I418" s="43">
        <v>23.3</v>
      </c>
      <c r="J418" s="43">
        <v>0.05</v>
      </c>
      <c r="K418" s="43">
        <f>I418*H418-J418</f>
        <v>2329.9499999999998</v>
      </c>
      <c r="L418" s="197"/>
      <c r="M418" s="197"/>
    </row>
    <row r="419" spans="1:13" x14ac:dyDescent="0.25">
      <c r="A419" s="197"/>
      <c r="B419" s="475"/>
      <c r="C419" s="197"/>
      <c r="D419" s="197"/>
      <c r="E419" s="197"/>
      <c r="F419" s="197"/>
      <c r="G419" s="197"/>
      <c r="H419" s="197"/>
      <c r="I419" s="198"/>
      <c r="J419" s="198"/>
      <c r="K419" s="198"/>
      <c r="L419" s="197"/>
      <c r="M419" s="197"/>
    </row>
    <row r="420" spans="1:13" x14ac:dyDescent="0.25">
      <c r="A420" s="197"/>
      <c r="B420" s="406">
        <v>42738</v>
      </c>
      <c r="C420" s="7">
        <v>150</v>
      </c>
      <c r="D420" s="7">
        <v>22.35</v>
      </c>
      <c r="E420" s="43">
        <v>0</v>
      </c>
      <c r="F420" s="43">
        <f t="shared" ref="F420:F425" si="30">C420*D420+E420</f>
        <v>3352.5</v>
      </c>
      <c r="G420" s="406">
        <v>42795</v>
      </c>
      <c r="H420" s="80">
        <v>350</v>
      </c>
      <c r="I420" s="43">
        <v>24.16</v>
      </c>
      <c r="J420" s="43">
        <v>0.18</v>
      </c>
      <c r="K420" s="43">
        <f>I420*H420-J420</f>
        <v>8455.82</v>
      </c>
      <c r="L420" s="4"/>
      <c r="M420" s="197"/>
    </row>
    <row r="421" spans="1:13" x14ac:dyDescent="0.25">
      <c r="A421" s="197"/>
      <c r="B421" s="406">
        <v>42759</v>
      </c>
      <c r="C421" s="7">
        <v>200</v>
      </c>
      <c r="D421" s="43">
        <v>22.85</v>
      </c>
      <c r="E421" s="43">
        <v>0</v>
      </c>
      <c r="F421" s="43">
        <f t="shared" si="30"/>
        <v>4570</v>
      </c>
      <c r="G421" s="406">
        <v>42796</v>
      </c>
      <c r="H421" s="80">
        <v>600</v>
      </c>
      <c r="I421" s="43">
        <v>25.24</v>
      </c>
      <c r="J421" s="43">
        <v>0.33</v>
      </c>
      <c r="K421" s="43">
        <f>I421*H421-J421</f>
        <v>15143.669999999998</v>
      </c>
      <c r="L421" s="4"/>
      <c r="M421" s="197"/>
    </row>
    <row r="422" spans="1:13" x14ac:dyDescent="0.25">
      <c r="A422" s="197"/>
      <c r="B422" s="406">
        <v>42760</v>
      </c>
      <c r="C422" s="7">
        <v>600</v>
      </c>
      <c r="D422" s="43">
        <v>23.38</v>
      </c>
      <c r="E422" s="43">
        <v>0</v>
      </c>
      <c r="F422" s="43">
        <f t="shared" si="30"/>
        <v>14028</v>
      </c>
      <c r="G422" s="406">
        <v>42797</v>
      </c>
      <c r="H422" s="80">
        <v>200</v>
      </c>
      <c r="I422" s="43">
        <v>25.38</v>
      </c>
      <c r="J422" s="43">
        <v>0.11</v>
      </c>
      <c r="K422" s="43">
        <f>I422*H422-J422</f>
        <v>5075.8900000000003</v>
      </c>
      <c r="L422" s="4"/>
      <c r="M422" s="197"/>
    </row>
    <row r="423" spans="1:13" x14ac:dyDescent="0.25">
      <c r="A423" s="197"/>
      <c r="B423" s="406">
        <v>42765</v>
      </c>
      <c r="C423" s="7">
        <v>200</v>
      </c>
      <c r="D423" s="43">
        <v>23.78</v>
      </c>
      <c r="E423" s="43">
        <v>-0.5</v>
      </c>
      <c r="F423" s="43">
        <f t="shared" si="30"/>
        <v>4755.5</v>
      </c>
      <c r="G423" s="368">
        <v>42804</v>
      </c>
      <c r="H423" s="80">
        <v>100</v>
      </c>
      <c r="I423" s="43">
        <v>25.58</v>
      </c>
      <c r="J423" s="43">
        <v>0.06</v>
      </c>
      <c r="K423" s="43">
        <f>I423*H423-J423</f>
        <v>2557.94</v>
      </c>
      <c r="L423" s="4"/>
      <c r="M423" s="197"/>
    </row>
    <row r="424" spans="1:13" x14ac:dyDescent="0.25">
      <c r="A424" s="197"/>
      <c r="B424" s="406">
        <v>42769</v>
      </c>
      <c r="C424" s="7">
        <v>100</v>
      </c>
      <c r="D424" s="43">
        <v>24.7</v>
      </c>
      <c r="E424" s="43">
        <v>-0.32</v>
      </c>
      <c r="F424" s="43">
        <f t="shared" si="30"/>
        <v>2469.6799999999998</v>
      </c>
      <c r="G424" s="368">
        <v>42809</v>
      </c>
      <c r="H424" s="80">
        <v>200</v>
      </c>
      <c r="I424" s="43">
        <v>25.35</v>
      </c>
      <c r="J424" s="43">
        <v>0.11</v>
      </c>
      <c r="K424" s="43">
        <f>I424*H424-J424</f>
        <v>5069.8900000000003</v>
      </c>
      <c r="L424" s="4"/>
      <c r="M424" s="197"/>
    </row>
    <row r="425" spans="1:13" x14ac:dyDescent="0.25">
      <c r="A425" s="197"/>
      <c r="B425" s="406">
        <v>42776</v>
      </c>
      <c r="C425" s="7">
        <v>200</v>
      </c>
      <c r="D425" s="43">
        <v>23.95</v>
      </c>
      <c r="E425" s="43">
        <v>0</v>
      </c>
      <c r="F425" s="43">
        <f t="shared" si="30"/>
        <v>4790</v>
      </c>
      <c r="G425" s="72"/>
      <c r="H425" s="4"/>
      <c r="I425" s="3"/>
      <c r="J425" s="3"/>
      <c r="K425" s="3"/>
      <c r="L425" s="4"/>
      <c r="M425" s="197"/>
    </row>
    <row r="426" spans="1:13" x14ac:dyDescent="0.25">
      <c r="A426" s="197"/>
      <c r="B426" s="475"/>
      <c r="C426" s="197"/>
      <c r="D426" s="197"/>
      <c r="E426" s="197"/>
      <c r="F426" s="197"/>
      <c r="G426" s="197"/>
      <c r="H426" s="197"/>
      <c r="I426" s="198"/>
      <c r="J426" s="198"/>
      <c r="K426" s="198"/>
      <c r="L426" s="197"/>
      <c r="M426" s="197"/>
    </row>
    <row r="427" spans="1:13" x14ac:dyDescent="0.25">
      <c r="A427" s="197"/>
      <c r="B427" s="406">
        <v>42780</v>
      </c>
      <c r="C427" s="7">
        <v>100</v>
      </c>
      <c r="D427" s="43">
        <v>22.9</v>
      </c>
      <c r="E427" s="43">
        <v>0</v>
      </c>
      <c r="F427" s="43">
        <f>C427*D427+E427</f>
        <v>2290</v>
      </c>
      <c r="G427" s="406">
        <v>42815</v>
      </c>
      <c r="H427" s="80">
        <v>100</v>
      </c>
      <c r="I427" s="43">
        <v>28.98</v>
      </c>
      <c r="J427" s="43">
        <v>0.06</v>
      </c>
      <c r="K427" s="43">
        <f>H427*I427-J427</f>
        <v>2897.94</v>
      </c>
      <c r="L427" s="197"/>
      <c r="M427" s="197"/>
    </row>
    <row r="428" spans="1:13" x14ac:dyDescent="0.25">
      <c r="A428" s="197"/>
      <c r="B428" s="475"/>
      <c r="C428" s="197"/>
      <c r="D428" s="197"/>
      <c r="E428" s="197"/>
      <c r="F428" s="197"/>
      <c r="G428" s="197"/>
      <c r="H428" s="197"/>
      <c r="I428" s="198"/>
      <c r="J428" s="198"/>
      <c r="K428" s="198"/>
      <c r="L428" s="197"/>
      <c r="M428" s="197"/>
    </row>
    <row r="429" spans="1:13" x14ac:dyDescent="0.25">
      <c r="A429" s="197"/>
      <c r="B429" s="406">
        <v>42796</v>
      </c>
      <c r="C429" s="7">
        <v>50</v>
      </c>
      <c r="D429" s="43">
        <v>24.74</v>
      </c>
      <c r="E429" s="43">
        <v>0</v>
      </c>
      <c r="F429" s="43">
        <f t="shared" ref="F429:F436" si="31">C429*D429+E429</f>
        <v>1237</v>
      </c>
      <c r="G429" s="406">
        <v>42845</v>
      </c>
      <c r="H429" s="80">
        <v>200</v>
      </c>
      <c r="I429" s="43">
        <v>27.95</v>
      </c>
      <c r="J429" s="43">
        <v>0.12</v>
      </c>
      <c r="K429" s="43">
        <f t="shared" ref="K429:K435" si="32">I429*H429-J429</f>
        <v>5589.88</v>
      </c>
      <c r="L429" s="4"/>
      <c r="M429" s="4"/>
    </row>
    <row r="430" spans="1:13" x14ac:dyDescent="0.25">
      <c r="A430" s="197"/>
      <c r="B430" s="406">
        <v>42796</v>
      </c>
      <c r="C430" s="7">
        <v>550</v>
      </c>
      <c r="D430" s="7">
        <v>24.74</v>
      </c>
      <c r="E430" s="7">
        <v>0</v>
      </c>
      <c r="F430" s="43">
        <f t="shared" si="31"/>
        <v>13607</v>
      </c>
      <c r="G430" s="406">
        <v>42853</v>
      </c>
      <c r="H430" s="80">
        <v>200</v>
      </c>
      <c r="I430" s="43">
        <v>28.18</v>
      </c>
      <c r="J430" s="43">
        <v>0.12</v>
      </c>
      <c r="K430" s="43">
        <f t="shared" si="32"/>
        <v>5635.88</v>
      </c>
      <c r="L430" s="4"/>
      <c r="M430" s="4"/>
    </row>
    <row r="431" spans="1:13" x14ac:dyDescent="0.25">
      <c r="A431" s="197"/>
      <c r="B431" s="406">
        <v>42803</v>
      </c>
      <c r="C431" s="7">
        <v>100</v>
      </c>
      <c r="D431" s="43">
        <v>25.05</v>
      </c>
      <c r="E431" s="43">
        <v>0</v>
      </c>
      <c r="F431" s="43">
        <f t="shared" si="31"/>
        <v>2505</v>
      </c>
      <c r="G431" s="406">
        <v>42856</v>
      </c>
      <c r="H431" s="80">
        <v>50</v>
      </c>
      <c r="I431" s="43">
        <v>28.32</v>
      </c>
      <c r="J431" s="43">
        <v>0.03</v>
      </c>
      <c r="K431" s="43">
        <f t="shared" si="32"/>
        <v>1415.97</v>
      </c>
      <c r="L431" s="4"/>
      <c r="M431" s="4"/>
    </row>
    <row r="432" spans="1:13" x14ac:dyDescent="0.25">
      <c r="A432" s="197"/>
      <c r="B432" s="406">
        <v>42809</v>
      </c>
      <c r="C432" s="7">
        <v>200</v>
      </c>
      <c r="D432" s="43">
        <v>24.98</v>
      </c>
      <c r="E432" s="43">
        <v>0</v>
      </c>
      <c r="F432" s="43">
        <f t="shared" si="31"/>
        <v>4996</v>
      </c>
      <c r="G432" s="368">
        <v>42864</v>
      </c>
      <c r="H432" s="80">
        <v>450</v>
      </c>
      <c r="I432" s="43">
        <v>28.38</v>
      </c>
      <c r="J432" s="43">
        <v>0.28000000000000003</v>
      </c>
      <c r="K432" s="43">
        <f t="shared" si="32"/>
        <v>12770.72</v>
      </c>
      <c r="L432" s="4"/>
      <c r="M432" s="4"/>
    </row>
    <row r="433" spans="1:13" x14ac:dyDescent="0.25">
      <c r="A433" s="197"/>
      <c r="B433" s="406">
        <v>42818</v>
      </c>
      <c r="C433" s="7">
        <v>100</v>
      </c>
      <c r="D433" s="43">
        <v>28.48</v>
      </c>
      <c r="E433" s="43">
        <v>0</v>
      </c>
      <c r="F433" s="43">
        <f t="shared" si="31"/>
        <v>2848</v>
      </c>
      <c r="G433" s="368">
        <v>42864</v>
      </c>
      <c r="H433" s="80">
        <v>100</v>
      </c>
      <c r="I433" s="43">
        <v>28.67</v>
      </c>
      <c r="J433" s="43">
        <v>0.06</v>
      </c>
      <c r="K433" s="43">
        <f t="shared" si="32"/>
        <v>2866.94</v>
      </c>
      <c r="L433" s="4"/>
      <c r="M433" s="4"/>
    </row>
    <row r="434" spans="1:13" x14ac:dyDescent="0.25">
      <c r="A434" s="197"/>
      <c r="B434" s="406">
        <v>42835</v>
      </c>
      <c r="C434" s="7">
        <v>100</v>
      </c>
      <c r="D434" s="43">
        <v>28.08</v>
      </c>
      <c r="E434" s="43">
        <v>0</v>
      </c>
      <c r="F434" s="43">
        <f t="shared" si="31"/>
        <v>2808</v>
      </c>
      <c r="G434" s="368">
        <v>42874</v>
      </c>
      <c r="H434" s="80">
        <v>200</v>
      </c>
      <c r="I434" s="43">
        <v>28.08</v>
      </c>
      <c r="J434" s="43">
        <v>0.12</v>
      </c>
      <c r="K434" s="43">
        <f t="shared" si="32"/>
        <v>5615.88</v>
      </c>
      <c r="L434" s="4"/>
      <c r="M434" s="4"/>
    </row>
    <row r="435" spans="1:13" x14ac:dyDescent="0.25">
      <c r="A435" s="197"/>
      <c r="B435" s="406">
        <v>42836</v>
      </c>
      <c r="C435" s="7">
        <v>100</v>
      </c>
      <c r="D435" s="43">
        <v>27.06</v>
      </c>
      <c r="E435" s="43">
        <v>0</v>
      </c>
      <c r="F435" s="43">
        <f t="shared" si="31"/>
        <v>2706</v>
      </c>
      <c r="G435" s="368">
        <v>42879</v>
      </c>
      <c r="H435" s="80">
        <v>200</v>
      </c>
      <c r="I435" s="43">
        <v>28.65</v>
      </c>
      <c r="J435" s="43">
        <v>0.12</v>
      </c>
      <c r="K435" s="43">
        <f t="shared" si="32"/>
        <v>5729.88</v>
      </c>
      <c r="L435" s="4"/>
      <c r="M435" s="4"/>
    </row>
    <row r="436" spans="1:13" x14ac:dyDescent="0.25">
      <c r="A436" s="197"/>
      <c r="B436" s="406">
        <v>42846</v>
      </c>
      <c r="C436" s="7">
        <v>200</v>
      </c>
      <c r="D436" s="43">
        <v>27.34</v>
      </c>
      <c r="E436" s="43">
        <v>-0.78</v>
      </c>
      <c r="F436" s="43">
        <f t="shared" si="31"/>
        <v>5467.22</v>
      </c>
      <c r="G436" s="157"/>
      <c r="H436" s="4"/>
      <c r="I436" s="3"/>
      <c r="J436" s="3"/>
      <c r="K436" s="3"/>
      <c r="L436" s="4"/>
      <c r="M436" s="4"/>
    </row>
    <row r="438" spans="1:13" x14ac:dyDescent="0.25">
      <c r="B438" s="406">
        <v>42872</v>
      </c>
      <c r="C438" s="7">
        <v>100</v>
      </c>
      <c r="D438" s="43">
        <v>27.48</v>
      </c>
      <c r="E438" s="43">
        <v>0</v>
      </c>
      <c r="F438" s="43">
        <f>C438*D438+E438</f>
        <v>2748</v>
      </c>
      <c r="G438" s="406">
        <v>42955</v>
      </c>
      <c r="H438" s="80">
        <v>100</v>
      </c>
      <c r="I438" s="43">
        <v>29.18</v>
      </c>
      <c r="J438" s="43">
        <v>7.0000000000000007E-2</v>
      </c>
      <c r="K438" s="43">
        <f>I438*H438-J438</f>
        <v>2917.93</v>
      </c>
    </row>
    <row r="439" spans="1:13" x14ac:dyDescent="0.25">
      <c r="B439" s="406">
        <v>42872</v>
      </c>
      <c r="C439" s="7">
        <v>100</v>
      </c>
      <c r="D439" s="43">
        <v>27.48</v>
      </c>
      <c r="E439" s="43">
        <v>0</v>
      </c>
      <c r="F439" s="43">
        <f>C439*D439+E439</f>
        <v>2748</v>
      </c>
      <c r="G439" s="406">
        <v>42962</v>
      </c>
      <c r="H439" s="80">
        <v>100</v>
      </c>
      <c r="I439" s="43">
        <v>29.31</v>
      </c>
      <c r="J439" s="43">
        <v>7.0000000000000007E-2</v>
      </c>
      <c r="K439" s="43">
        <f>I439*H439-J439</f>
        <v>2930.93</v>
      </c>
    </row>
    <row r="440" spans="1:13" x14ac:dyDescent="0.25">
      <c r="B440" s="406">
        <v>42872</v>
      </c>
      <c r="C440" s="7">
        <v>200</v>
      </c>
      <c r="D440" s="43">
        <v>27.08</v>
      </c>
      <c r="E440" s="43">
        <v>0</v>
      </c>
      <c r="F440" s="43">
        <f>C440*D440+E440</f>
        <v>5416</v>
      </c>
      <c r="G440" s="406">
        <v>42963</v>
      </c>
      <c r="H440" s="80">
        <v>200</v>
      </c>
      <c r="I440" s="43">
        <v>30.38</v>
      </c>
      <c r="J440" s="43">
        <v>0.14000000000000001</v>
      </c>
      <c r="K440" s="43">
        <f>I440*H440-J440</f>
        <v>6075.86</v>
      </c>
    </row>
    <row r="441" spans="1:13" x14ac:dyDescent="0.25">
      <c r="B441" s="406">
        <v>42944</v>
      </c>
      <c r="C441" s="7">
        <v>50</v>
      </c>
      <c r="D441" s="43">
        <v>29.45</v>
      </c>
      <c r="E441" s="43">
        <v>-0.06</v>
      </c>
      <c r="F441" s="43">
        <f>C441*D441+E441</f>
        <v>1472.44</v>
      </c>
      <c r="G441" s="368">
        <v>42978</v>
      </c>
      <c r="H441" s="80">
        <v>50</v>
      </c>
      <c r="I441" s="43">
        <v>31.66</v>
      </c>
      <c r="J441" s="43">
        <v>0.04</v>
      </c>
      <c r="K441" s="43">
        <f>I441*H441-J441</f>
        <v>1582.96</v>
      </c>
    </row>
    <row r="442" spans="1:13" x14ac:dyDescent="0.25">
      <c r="B442" s="406">
        <v>42947</v>
      </c>
      <c r="C442" s="7">
        <v>50</v>
      </c>
      <c r="D442" s="43">
        <v>28.45</v>
      </c>
      <c r="E442" s="43">
        <v>0</v>
      </c>
      <c r="F442" s="43">
        <f>C442*D442+E442</f>
        <v>1422.5</v>
      </c>
      <c r="G442" s="368">
        <v>42979</v>
      </c>
      <c r="H442" s="80">
        <v>50</v>
      </c>
      <c r="I442" s="43">
        <v>32.28</v>
      </c>
      <c r="J442" s="43">
        <v>0.04</v>
      </c>
      <c r="K442" s="43">
        <f>I442*H442-J442</f>
        <v>1613.96</v>
      </c>
    </row>
    <row r="444" spans="1:13" x14ac:dyDescent="0.25">
      <c r="B444" s="406">
        <v>42950</v>
      </c>
      <c r="C444" s="7">
        <v>50</v>
      </c>
      <c r="D444" s="43">
        <v>27.7</v>
      </c>
      <c r="E444" s="43">
        <v>0</v>
      </c>
      <c r="F444" s="43">
        <f>C444*D444+E444</f>
        <v>1385</v>
      </c>
      <c r="G444" s="406">
        <v>42985</v>
      </c>
      <c r="H444" s="7">
        <v>50</v>
      </c>
      <c r="I444" s="43">
        <v>32.82</v>
      </c>
      <c r="J444" s="43">
        <v>-0.17</v>
      </c>
      <c r="K444" s="43">
        <f>H444*I444-J444</f>
        <v>1641.17</v>
      </c>
      <c r="L444" s="4"/>
      <c r="M444" s="4"/>
    </row>
    <row r="445" spans="1:13" x14ac:dyDescent="0.25">
      <c r="B445" s="407">
        <v>42957</v>
      </c>
      <c r="C445" s="7">
        <v>100</v>
      </c>
      <c r="D445" s="43">
        <v>27.88</v>
      </c>
      <c r="E445" s="43">
        <v>0</v>
      </c>
      <c r="F445" s="43">
        <f>C445*D445+E445</f>
        <v>2788</v>
      </c>
      <c r="G445" s="407">
        <v>42990</v>
      </c>
      <c r="H445" s="80">
        <v>100</v>
      </c>
      <c r="I445" s="43">
        <v>34.08</v>
      </c>
      <c r="J445" s="43">
        <v>0.08</v>
      </c>
      <c r="K445" s="43">
        <f>H445*I445-J445</f>
        <v>3407.92</v>
      </c>
      <c r="L445" s="4"/>
      <c r="M445" s="4"/>
    </row>
    <row r="449" spans="1:13" x14ac:dyDescent="0.25">
      <c r="A449" s="197"/>
      <c r="B449" s="475"/>
      <c r="C449" s="197"/>
      <c r="D449" s="197"/>
      <c r="E449" s="197"/>
      <c r="F449" s="197"/>
      <c r="G449" s="197"/>
      <c r="H449" s="197"/>
      <c r="I449" s="198"/>
      <c r="J449" s="198"/>
      <c r="K449" s="198"/>
      <c r="L449" s="197"/>
      <c r="M449" s="197"/>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73" t="s">
        <v>191</v>
      </c>
      <c r="B451" s="374"/>
      <c r="C451" s="375">
        <f>SumByColor($A$23,C261:C449)</f>
        <v>3800</v>
      </c>
      <c r="D451" s="375"/>
      <c r="E451" s="375"/>
      <c r="F451" s="376">
        <f>SumByColor($A$23,F261:F449)</f>
        <v>94879</v>
      </c>
      <c r="G451" s="375"/>
      <c r="H451" s="375">
        <f>SumByColor($A$23,H261:H449)</f>
        <v>3800</v>
      </c>
      <c r="I451" s="375"/>
      <c r="J451" s="375"/>
      <c r="K451" s="376">
        <f>SumByColor($A$23,K261:K449)</f>
        <v>103844</v>
      </c>
      <c r="L451" s="375"/>
      <c r="M451" s="376">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936" priority="137">
      <formula>F30&gt;0</formula>
    </cfRule>
    <cfRule type="expression" dxfId="935" priority="138">
      <formula>F30&lt;0</formula>
    </cfRule>
  </conditionalFormatting>
  <conditionalFormatting sqref="H47:H58">
    <cfRule type="expression" dxfId="934" priority="129">
      <formula>H47&gt;0</formula>
    </cfRule>
    <cfRule type="expression" dxfId="933" priority="130">
      <formula>H47&lt;0</formula>
    </cfRule>
  </conditionalFormatting>
  <conditionalFormatting sqref="H59">
    <cfRule type="expression" dxfId="932" priority="119">
      <formula>H59&gt;0</formula>
    </cfRule>
    <cfRule type="expression" dxfId="931" priority="120">
      <formula>H59&lt;0</formula>
    </cfRule>
  </conditionalFormatting>
  <conditionalFormatting sqref="H60">
    <cfRule type="expression" dxfId="930" priority="115">
      <formula>H60&gt;0</formula>
    </cfRule>
    <cfRule type="expression" dxfId="929" priority="116">
      <formula>H60&lt;0</formula>
    </cfRule>
  </conditionalFormatting>
  <conditionalFormatting sqref="H61:H66">
    <cfRule type="expression" dxfId="928" priority="111">
      <formula>H61&gt;0</formula>
    </cfRule>
    <cfRule type="expression" dxfId="927" priority="112">
      <formula>H61&lt;0</formula>
    </cfRule>
  </conditionalFormatting>
  <conditionalFormatting sqref="Q8">
    <cfRule type="expression" dxfId="926" priority="95">
      <formula>Q8&gt;0</formula>
    </cfRule>
    <cfRule type="expression" dxfId="925" priority="96">
      <formula>Q8&lt;0</formula>
    </cfRule>
  </conditionalFormatting>
  <conditionalFormatting sqref="Q7">
    <cfRule type="expression" dxfId="924" priority="97">
      <formula>Q7&gt;0</formula>
    </cfRule>
    <cfRule type="expression" dxfId="923" priority="98">
      <formula>Q7&lt;0</formula>
    </cfRule>
  </conditionalFormatting>
  <conditionalFormatting sqref="F178 H178">
    <cfRule type="expression" dxfId="922" priority="93">
      <formula>F178&gt;0</formula>
    </cfRule>
    <cfRule type="expression" dxfId="921" priority="94">
      <formula>F178&lt;0</formula>
    </cfRule>
  </conditionalFormatting>
  <conditionalFormatting sqref="Q10">
    <cfRule type="expression" dxfId="920" priority="87">
      <formula>Q10&gt;0</formula>
    </cfRule>
    <cfRule type="expression" dxfId="919" priority="88">
      <formula>Q10&lt;0</formula>
    </cfRule>
  </conditionalFormatting>
  <conditionalFormatting sqref="Q9">
    <cfRule type="expression" dxfId="918" priority="81">
      <formula>Q9&gt;0</formula>
    </cfRule>
    <cfRule type="expression" dxfId="917" priority="82">
      <formula>Q9&lt;0</formula>
    </cfRule>
  </conditionalFormatting>
  <conditionalFormatting sqref="F201:F248">
    <cfRule type="expression" dxfId="916" priority="41">
      <formula>F201&gt;0</formula>
    </cfRule>
    <cfRule type="expression" dxfId="915" priority="42">
      <formula>F201&lt;0</formula>
    </cfRule>
  </conditionalFormatting>
  <conditionalFormatting sqref="H201:H248">
    <cfRule type="expression" dxfId="914" priority="39">
      <formula>H201&gt;0</formula>
    </cfRule>
    <cfRule type="expression" dxfId="913" priority="40">
      <formula>H201&lt;0</formula>
    </cfRule>
  </conditionalFormatting>
  <conditionalFormatting sqref="J208">
    <cfRule type="expression" dxfId="912" priority="37">
      <formula>J208&gt;0</formula>
    </cfRule>
    <cfRule type="expression" dxfId="911" priority="38">
      <formula>J208&lt;0</formula>
    </cfRule>
  </conditionalFormatting>
  <conditionalFormatting sqref="J214:J215">
    <cfRule type="expression" dxfId="910" priority="35">
      <formula>J214&gt;0</formula>
    </cfRule>
    <cfRule type="expression" dxfId="909" priority="36">
      <formula>J214&lt;0</formula>
    </cfRule>
  </conditionalFormatting>
  <conditionalFormatting sqref="J216">
    <cfRule type="expression" dxfId="908" priority="33">
      <formula>J216&gt;0</formula>
    </cfRule>
    <cfRule type="expression" dxfId="907" priority="34">
      <formula>J216&lt;0</formula>
    </cfRule>
  </conditionalFormatting>
  <conditionalFormatting sqref="J217:J219 J221:J224">
    <cfRule type="expression" dxfId="906" priority="31">
      <formula>J217&gt;0</formula>
    </cfRule>
    <cfRule type="expression" dxfId="905" priority="32">
      <formula>J217&lt;0</formula>
    </cfRule>
  </conditionalFormatting>
  <conditionalFormatting sqref="K208">
    <cfRule type="expression" dxfId="904" priority="29">
      <formula>K208&gt;0</formula>
    </cfRule>
    <cfRule type="expression" dxfId="903" priority="30">
      <formula>K208&lt;0</formula>
    </cfRule>
  </conditionalFormatting>
  <conditionalFormatting sqref="K214:K215">
    <cfRule type="expression" dxfId="902" priority="27">
      <formula>K214&gt;0</formula>
    </cfRule>
    <cfRule type="expression" dxfId="901" priority="28">
      <formula>K214&lt;0</formula>
    </cfRule>
  </conditionalFormatting>
  <conditionalFormatting sqref="K216">
    <cfRule type="expression" dxfId="900" priority="25">
      <formula>K216&gt;0</formula>
    </cfRule>
    <cfRule type="expression" dxfId="899" priority="26">
      <formula>K216&lt;0</formula>
    </cfRule>
  </conditionalFormatting>
  <conditionalFormatting sqref="K217:K224">
    <cfRule type="expression" dxfId="898" priority="23">
      <formula>K217&gt;0</formula>
    </cfRule>
    <cfRule type="expression" dxfId="897" priority="24">
      <formula>K217&lt;0</formula>
    </cfRule>
  </conditionalFormatting>
  <conditionalFormatting sqref="L208">
    <cfRule type="expression" dxfId="896" priority="21">
      <formula>L208&gt;0</formula>
    </cfRule>
    <cfRule type="expression" dxfId="895" priority="22">
      <formula>L208&lt;0</formula>
    </cfRule>
  </conditionalFormatting>
  <conditionalFormatting sqref="L214:L215">
    <cfRule type="expression" dxfId="894" priority="19">
      <formula>L214&gt;0</formula>
    </cfRule>
    <cfRule type="expression" dxfId="893" priority="20">
      <formula>L214&lt;0</formula>
    </cfRule>
  </conditionalFormatting>
  <conditionalFormatting sqref="L216">
    <cfRule type="expression" dxfId="892" priority="17">
      <formula>L216&gt;0</formula>
    </cfRule>
    <cfRule type="expression" dxfId="891" priority="18">
      <formula>L216&lt;0</formula>
    </cfRule>
  </conditionalFormatting>
  <conditionalFormatting sqref="L217:L224">
    <cfRule type="expression" dxfId="890" priority="15">
      <formula>L217&gt;0</formula>
    </cfRule>
    <cfRule type="expression" dxfId="889" priority="16">
      <formula>L217&lt;0</formula>
    </cfRule>
  </conditionalFormatting>
  <conditionalFormatting sqref="K225">
    <cfRule type="expression" dxfId="888" priority="13">
      <formula>K225&gt;0</formula>
    </cfRule>
    <cfRule type="expression" dxfId="887" priority="14">
      <formula>K225&lt;0</formula>
    </cfRule>
  </conditionalFormatting>
  <conditionalFormatting sqref="L225:L232">
    <cfRule type="expression" dxfId="886" priority="11">
      <formula>L225&gt;0</formula>
    </cfRule>
    <cfRule type="expression" dxfId="885" priority="12">
      <formula>L225&lt;0</formula>
    </cfRule>
  </conditionalFormatting>
  <conditionalFormatting sqref="K226">
    <cfRule type="expression" dxfId="884" priority="9">
      <formula>K226&gt;0</formula>
    </cfRule>
    <cfRule type="expression" dxfId="883" priority="10">
      <formula>K226&lt;0</formula>
    </cfRule>
  </conditionalFormatting>
  <conditionalFormatting sqref="K227">
    <cfRule type="expression" dxfId="882" priority="7">
      <formula>K227&gt;0</formula>
    </cfRule>
    <cfRule type="expression" dxfId="881" priority="8">
      <formula>K227&lt;0</formula>
    </cfRule>
  </conditionalFormatting>
  <conditionalFormatting sqref="K228:K248">
    <cfRule type="expression" dxfId="880" priority="5">
      <formula>K228&gt;0</formula>
    </cfRule>
    <cfRule type="expression" dxfId="879" priority="6">
      <formula>K228&lt;0</formula>
    </cfRule>
  </conditionalFormatting>
  <conditionalFormatting sqref="L233:L237">
    <cfRule type="expression" dxfId="878" priority="3">
      <formula>L233&gt;0</formula>
    </cfRule>
    <cfRule type="expression" dxfId="877" priority="4">
      <formula>L233&lt;0</formula>
    </cfRule>
  </conditionalFormatting>
  <conditionalFormatting sqref="L238:L243">
    <cfRule type="expression" dxfId="876" priority="1">
      <formula>L238&gt;0</formula>
    </cfRule>
    <cfRule type="expression" dxfId="875"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70"/>
    <col min="18" max="18" width="7.28515625" style="33" customWidth="1"/>
    <col min="19" max="19" width="8.85546875" style="84"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4" t="s">
        <v>6</v>
      </c>
      <c r="I1" s="11" t="s">
        <v>7</v>
      </c>
      <c r="J1" s="11" t="s">
        <v>89</v>
      </c>
      <c r="K1" s="11" t="s">
        <v>61</v>
      </c>
      <c r="L1" s="11" t="s">
        <v>77</v>
      </c>
      <c r="M1" s="11" t="s">
        <v>38</v>
      </c>
      <c r="R1" s="32"/>
      <c r="S1" s="82" t="s">
        <v>70</v>
      </c>
      <c r="W1" s="91" t="s">
        <v>113</v>
      </c>
      <c r="X1" s="100" t="s">
        <v>114</v>
      </c>
      <c r="Y1" s="100" t="s">
        <v>115</v>
      </c>
      <c r="Z1" s="100" t="s">
        <v>116</v>
      </c>
      <c r="AA1" s="100" t="s">
        <v>117</v>
      </c>
      <c r="AB1" s="91" t="s">
        <v>118</v>
      </c>
      <c r="AC1" s="91" t="s">
        <v>119</v>
      </c>
      <c r="AD1" s="11" t="s">
        <v>125</v>
      </c>
      <c r="AE1" s="11" t="s">
        <v>127</v>
      </c>
    </row>
    <row r="2" spans="1:31" x14ac:dyDescent="0.25">
      <c r="A2" s="6" t="s">
        <v>171</v>
      </c>
      <c r="B2" s="72"/>
      <c r="C2" s="4"/>
      <c r="D2" s="3"/>
      <c r="E2" s="3"/>
      <c r="F2" s="3"/>
      <c r="G2" s="117"/>
      <c r="H2" s="310"/>
      <c r="I2" s="73"/>
      <c r="J2" s="73"/>
      <c r="K2" s="17"/>
      <c r="L2" s="72"/>
      <c r="M2" s="73"/>
      <c r="O2" s="11" t="s">
        <v>57</v>
      </c>
      <c r="Q2">
        <f>C18-H18</f>
        <v>0</v>
      </c>
      <c r="S2" s="112"/>
      <c r="T2" s="17"/>
      <c r="U2" s="17"/>
      <c r="V2" s="17"/>
      <c r="W2" s="97">
        <v>42830</v>
      </c>
      <c r="X2" s="101">
        <v>50.85</v>
      </c>
      <c r="Y2" s="101">
        <v>51.3</v>
      </c>
      <c r="Z2" s="101">
        <v>50.52</v>
      </c>
      <c r="AA2" s="101">
        <v>50.58</v>
      </c>
      <c r="AB2" s="99">
        <v>1493100</v>
      </c>
      <c r="AC2" s="98">
        <v>50.58</v>
      </c>
      <c r="AD2" s="2">
        <f>Y2-Z2</f>
        <v>0.77999999999999403</v>
      </c>
      <c r="AE2" s="134">
        <f>AC2/AC3-1</f>
        <v>-2.3668639053254781E-3</v>
      </c>
    </row>
    <row r="3" spans="1:31" x14ac:dyDescent="0.25">
      <c r="A3" s="22" t="s">
        <v>71</v>
      </c>
      <c r="B3" s="72"/>
      <c r="C3" s="4"/>
      <c r="D3" s="3"/>
      <c r="E3" s="3"/>
      <c r="F3" s="3"/>
      <c r="G3" s="72"/>
      <c r="H3" s="161"/>
      <c r="I3" s="4"/>
      <c r="J3" s="4"/>
      <c r="K3" s="17"/>
      <c r="L3" s="72"/>
      <c r="M3" s="4"/>
      <c r="O3" s="11" t="s">
        <v>58</v>
      </c>
      <c r="Q3" s="2">
        <f>IF(Q2=0, Q4, (F18-K18-M18)/Q2)</f>
        <v>47.31</v>
      </c>
      <c r="S3" s="113"/>
      <c r="T3" s="17"/>
      <c r="U3" s="17"/>
      <c r="V3" s="17"/>
      <c r="W3" s="97">
        <v>42829</v>
      </c>
      <c r="X3" s="101">
        <v>50.22</v>
      </c>
      <c r="Y3" s="101">
        <v>50.82</v>
      </c>
      <c r="Z3" s="101">
        <v>49.99</v>
      </c>
      <c r="AA3" s="101">
        <v>50.7</v>
      </c>
      <c r="AB3" s="99">
        <v>2345700</v>
      </c>
      <c r="AC3" s="98">
        <v>50.7</v>
      </c>
      <c r="AD3" s="2">
        <f t="shared" ref="AD3:AD66" si="0">Y3-Z3</f>
        <v>0.82999999999999829</v>
      </c>
      <c r="AE3" s="134">
        <f t="shared" ref="AE3:AE66" si="1">AC3/AC4-1</f>
        <v>1.0161386730424438E-2</v>
      </c>
    </row>
    <row r="4" spans="1:31" x14ac:dyDescent="0.25">
      <c r="B4" s="72"/>
      <c r="C4" s="4"/>
      <c r="D4" s="3"/>
      <c r="E4" s="3"/>
      <c r="F4" s="3"/>
      <c r="G4" s="72"/>
      <c r="H4" s="161"/>
      <c r="I4" s="4"/>
      <c r="J4" s="3"/>
      <c r="K4" s="73"/>
      <c r="L4" s="4"/>
      <c r="M4" s="4"/>
      <c r="O4" s="11" t="s">
        <v>66</v>
      </c>
      <c r="Q4" s="54">
        <v>47.31</v>
      </c>
      <c r="R4" s="420">
        <v>1.38E-2</v>
      </c>
      <c r="W4" s="97">
        <v>42828</v>
      </c>
      <c r="X4" s="101">
        <v>50.89</v>
      </c>
      <c r="Y4" s="101">
        <v>51.14</v>
      </c>
      <c r="Z4" s="101">
        <v>49.86</v>
      </c>
      <c r="AA4" s="101">
        <v>50.19</v>
      </c>
      <c r="AB4" s="99">
        <v>2662600</v>
      </c>
      <c r="AC4" s="98">
        <v>50.19</v>
      </c>
      <c r="AD4" s="2">
        <f t="shared" si="0"/>
        <v>1.2800000000000011</v>
      </c>
      <c r="AE4" s="134">
        <f t="shared" si="1"/>
        <v>-1.1618747538400975E-2</v>
      </c>
    </row>
    <row r="5" spans="1:31" x14ac:dyDescent="0.25">
      <c r="B5" s="72"/>
      <c r="C5" s="4"/>
      <c r="D5" s="3"/>
      <c r="E5" s="3"/>
      <c r="F5" s="3"/>
      <c r="G5" s="72"/>
      <c r="H5" s="161"/>
      <c r="I5" s="4"/>
      <c r="J5" s="3"/>
      <c r="K5" s="73"/>
      <c r="L5" s="4"/>
      <c r="M5" s="4"/>
      <c r="O5" s="11" t="s">
        <v>67</v>
      </c>
      <c r="Q5" s="3">
        <f>Q4*Q2</f>
        <v>0</v>
      </c>
      <c r="S5" s="83"/>
      <c r="W5" s="97">
        <v>42825</v>
      </c>
      <c r="X5" s="101">
        <v>50.9</v>
      </c>
      <c r="Y5" s="101">
        <v>51.25</v>
      </c>
      <c r="Z5" s="101">
        <v>50.72</v>
      </c>
      <c r="AA5" s="101">
        <v>50.78</v>
      </c>
      <c r="AB5" s="99">
        <v>3204800</v>
      </c>
      <c r="AC5" s="98">
        <v>50.78</v>
      </c>
      <c r="AD5" s="2">
        <f t="shared" si="0"/>
        <v>0.53000000000000114</v>
      </c>
      <c r="AE5" s="134">
        <f t="shared" si="1"/>
        <v>-7.0394994133750055E-3</v>
      </c>
    </row>
    <row r="6" spans="1:31" x14ac:dyDescent="0.25">
      <c r="O6" s="11" t="s">
        <v>64</v>
      </c>
      <c r="Q6" s="2">
        <f>Q3*Q2</f>
        <v>0</v>
      </c>
      <c r="S6" s="83"/>
      <c r="W6" s="97">
        <v>42824</v>
      </c>
      <c r="X6" s="101">
        <v>50.64</v>
      </c>
      <c r="Y6" s="101">
        <v>51.16</v>
      </c>
      <c r="Z6" s="101">
        <v>50.56</v>
      </c>
      <c r="AA6" s="101">
        <v>51.14</v>
      </c>
      <c r="AB6" s="99">
        <v>2109300</v>
      </c>
      <c r="AC6" s="98">
        <v>51.14</v>
      </c>
      <c r="AD6" s="2">
        <f t="shared" si="0"/>
        <v>0.59999999999999432</v>
      </c>
      <c r="AE6" s="134">
        <f t="shared" si="1"/>
        <v>7.8833267638942495E-3</v>
      </c>
    </row>
    <row r="7" spans="1:31" x14ac:dyDescent="0.25">
      <c r="O7" s="11" t="s">
        <v>177</v>
      </c>
      <c r="Q7" s="2">
        <f>Q10+Q8</f>
        <v>119.92000000000053</v>
      </c>
      <c r="R7">
        <v>0</v>
      </c>
      <c r="W7" s="97">
        <v>42823</v>
      </c>
      <c r="X7" s="101">
        <v>50.72</v>
      </c>
      <c r="Y7" s="101">
        <v>51.07</v>
      </c>
      <c r="Z7" s="101">
        <v>50.62</v>
      </c>
      <c r="AA7" s="101">
        <v>50.74</v>
      </c>
      <c r="AB7" s="99">
        <v>1697100</v>
      </c>
      <c r="AC7" s="98">
        <v>50.74</v>
      </c>
      <c r="AD7" s="2">
        <f t="shared" si="0"/>
        <v>0.45000000000000284</v>
      </c>
      <c r="AE7" s="134">
        <f t="shared" si="1"/>
        <v>-3.7306106420577079E-3</v>
      </c>
    </row>
    <row r="8" spans="1:31" x14ac:dyDescent="0.25">
      <c r="O8" s="11" t="s">
        <v>179</v>
      </c>
      <c r="P8" s="33"/>
      <c r="Q8" s="2">
        <f>K18+M18-F18+Q2*Q4</f>
        <v>0</v>
      </c>
      <c r="S8" s="118"/>
      <c r="W8" s="97">
        <v>42822</v>
      </c>
      <c r="X8" s="101">
        <v>50.19</v>
      </c>
      <c r="Y8" s="101">
        <v>51.08</v>
      </c>
      <c r="Z8" s="101">
        <v>50.14</v>
      </c>
      <c r="AA8" s="101">
        <v>50.93</v>
      </c>
      <c r="AB8" s="99">
        <v>1899900</v>
      </c>
      <c r="AC8" s="98">
        <v>50.93</v>
      </c>
      <c r="AD8" s="2">
        <f t="shared" si="0"/>
        <v>0.93999999999999773</v>
      </c>
      <c r="AE8" s="134">
        <f t="shared" si="1"/>
        <v>1.3129102844638973E-2</v>
      </c>
    </row>
    <row r="9" spans="1:31" x14ac:dyDescent="0.25">
      <c r="O9" s="11" t="s">
        <v>204</v>
      </c>
      <c r="Q9" s="134">
        <f>IF(Q2=0, 0, Q8/Q6)</f>
        <v>0</v>
      </c>
      <c r="W9" s="97">
        <v>42821</v>
      </c>
      <c r="X9" s="101">
        <v>50.21</v>
      </c>
      <c r="Y9" s="101">
        <v>50.4</v>
      </c>
      <c r="Z9" s="101">
        <v>49.62</v>
      </c>
      <c r="AA9" s="101">
        <v>50.27</v>
      </c>
      <c r="AB9" s="99">
        <v>2141200</v>
      </c>
      <c r="AC9" s="98">
        <v>50.27</v>
      </c>
      <c r="AD9" s="2">
        <f t="shared" si="0"/>
        <v>0.78000000000000114</v>
      </c>
      <c r="AE9" s="134">
        <f t="shared" si="1"/>
        <v>-1.0627829167486724E-2</v>
      </c>
    </row>
    <row r="10" spans="1:31" x14ac:dyDescent="0.25">
      <c r="O10" s="11" t="s">
        <v>203</v>
      </c>
      <c r="P10" s="33"/>
      <c r="Q10" s="2">
        <f>M30</f>
        <v>119.92000000000053</v>
      </c>
      <c r="W10" s="97">
        <v>42818</v>
      </c>
      <c r="X10" s="101">
        <v>51.4</v>
      </c>
      <c r="Y10" s="101">
        <v>51.48</v>
      </c>
      <c r="Z10" s="101">
        <v>50.56</v>
      </c>
      <c r="AA10" s="101">
        <v>50.81</v>
      </c>
      <c r="AB10" s="99">
        <v>2042500</v>
      </c>
      <c r="AC10" s="98">
        <v>50.81</v>
      </c>
      <c r="AD10" s="2">
        <f t="shared" si="0"/>
        <v>0.9199999999999946</v>
      </c>
      <c r="AE10" s="134">
        <f t="shared" si="1"/>
        <v>-9.7446891444162853E-3</v>
      </c>
    </row>
    <row r="11" spans="1:31" x14ac:dyDescent="0.25">
      <c r="O11" s="11" t="s">
        <v>175</v>
      </c>
      <c r="P11" s="33"/>
      <c r="Q11" s="134">
        <f>VALUE(TRIM(CLEAN(MID(U58, FIND("(", U58)+1, 5))))</f>
        <v>3.6400000000000002E-2</v>
      </c>
      <c r="W11" s="97">
        <v>42817</v>
      </c>
      <c r="X11" s="101">
        <v>51.2</v>
      </c>
      <c r="Y11" s="101">
        <v>51.89</v>
      </c>
      <c r="Z11" s="101">
        <v>51.05</v>
      </c>
      <c r="AA11" s="101">
        <v>51.31</v>
      </c>
      <c r="AB11" s="99">
        <v>1800800</v>
      </c>
      <c r="AC11" s="98">
        <v>51.31</v>
      </c>
      <c r="AD11" s="2">
        <f t="shared" si="0"/>
        <v>0.84000000000000341</v>
      </c>
      <c r="AE11" s="134">
        <f t="shared" si="1"/>
        <v>2.7359781121751858E-3</v>
      </c>
    </row>
    <row r="12" spans="1:31" x14ac:dyDescent="0.25">
      <c r="W12" s="97">
        <v>42816</v>
      </c>
      <c r="X12" s="101">
        <v>51.03</v>
      </c>
      <c r="Y12" s="101">
        <v>51.42</v>
      </c>
      <c r="Z12" s="101">
        <v>50.59</v>
      </c>
      <c r="AA12" s="101">
        <v>51.17</v>
      </c>
      <c r="AB12" s="99">
        <v>1556100</v>
      </c>
      <c r="AC12" s="98">
        <v>51.17</v>
      </c>
      <c r="AD12" s="2">
        <f t="shared" si="0"/>
        <v>0.82999999999999829</v>
      </c>
      <c r="AE12" s="134">
        <f t="shared" si="1"/>
        <v>4.9096622152395852E-3</v>
      </c>
    </row>
    <row r="13" spans="1:31" x14ac:dyDescent="0.25">
      <c r="W13" s="97">
        <v>42815</v>
      </c>
      <c r="X13" s="101">
        <v>52.37</v>
      </c>
      <c r="Y13" s="101">
        <v>52.47</v>
      </c>
      <c r="Z13" s="101">
        <v>50.77</v>
      </c>
      <c r="AA13" s="101">
        <v>50.92</v>
      </c>
      <c r="AB13" s="99">
        <v>3228700</v>
      </c>
      <c r="AC13" s="98">
        <v>50.92</v>
      </c>
      <c r="AD13" s="2">
        <f t="shared" si="0"/>
        <v>1.6999999999999957</v>
      </c>
      <c r="AE13" s="134">
        <f t="shared" si="1"/>
        <v>-2.4894676369207169E-2</v>
      </c>
    </row>
    <row r="14" spans="1:31" x14ac:dyDescent="0.25">
      <c r="W14" s="97">
        <v>42814</v>
      </c>
      <c r="X14" s="101">
        <v>51.48</v>
      </c>
      <c r="Y14" s="101">
        <v>52.27</v>
      </c>
      <c r="Z14" s="101">
        <v>51.06</v>
      </c>
      <c r="AA14" s="101">
        <v>52.22</v>
      </c>
      <c r="AB14" s="99">
        <v>2196500</v>
      </c>
      <c r="AC14" s="98">
        <v>52.22</v>
      </c>
      <c r="AD14" s="2">
        <f t="shared" si="0"/>
        <v>1.2100000000000009</v>
      </c>
      <c r="AE14" s="134">
        <f t="shared" si="1"/>
        <v>1.6744548286604433E-2</v>
      </c>
    </row>
    <row r="15" spans="1:31" x14ac:dyDescent="0.25">
      <c r="W15" s="97">
        <v>42811</v>
      </c>
      <c r="X15" s="101">
        <v>51.67</v>
      </c>
      <c r="Y15" s="101">
        <v>51.79</v>
      </c>
      <c r="Z15" s="101">
        <v>51.24</v>
      </c>
      <c r="AA15" s="101">
        <v>51.36</v>
      </c>
      <c r="AB15" s="99">
        <v>3744800</v>
      </c>
      <c r="AC15" s="98">
        <v>51.36</v>
      </c>
      <c r="AD15" s="2">
        <f t="shared" si="0"/>
        <v>0.54999999999999716</v>
      </c>
      <c r="AE15" s="134">
        <f t="shared" si="1"/>
        <v>-1.9432568985620069E-3</v>
      </c>
    </row>
    <row r="16" spans="1:31" x14ac:dyDescent="0.25">
      <c r="W16" s="97">
        <v>42810</v>
      </c>
      <c r="X16" s="101">
        <v>51.63</v>
      </c>
      <c r="Y16" s="101">
        <v>51.81</v>
      </c>
      <c r="Z16" s="101">
        <v>51.23</v>
      </c>
      <c r="AA16" s="101">
        <v>51.46</v>
      </c>
      <c r="AB16" s="99">
        <v>2669400</v>
      </c>
      <c r="AC16" s="98">
        <v>51.46</v>
      </c>
      <c r="AD16" s="2">
        <f t="shared" si="0"/>
        <v>0.5800000000000054</v>
      </c>
      <c r="AE16" s="134">
        <f t="shared" si="1"/>
        <v>1.9470404984422984E-3</v>
      </c>
    </row>
    <row r="17" spans="1:31" x14ac:dyDescent="0.25">
      <c r="W17" s="97">
        <v>42809</v>
      </c>
      <c r="X17" s="101">
        <v>50.95</v>
      </c>
      <c r="Y17" s="101">
        <v>51.61</v>
      </c>
      <c r="Z17" s="101">
        <v>50.73</v>
      </c>
      <c r="AA17" s="101">
        <v>51.36</v>
      </c>
      <c r="AB17" s="99">
        <v>2678400</v>
      </c>
      <c r="AC17" s="98">
        <v>51.36</v>
      </c>
      <c r="AD17" s="2">
        <f t="shared" si="0"/>
        <v>0.88000000000000256</v>
      </c>
      <c r="AE17" s="134">
        <f t="shared" si="1"/>
        <v>1.3417521704814472E-2</v>
      </c>
    </row>
    <row r="18" spans="1:31" x14ac:dyDescent="0.25">
      <c r="A18" s="21" t="s">
        <v>81</v>
      </c>
      <c r="B18" s="12"/>
      <c r="C18" s="12">
        <f>SUM(C2:C17)</f>
        <v>0</v>
      </c>
      <c r="D18" s="12"/>
      <c r="E18" s="12"/>
      <c r="F18" s="13">
        <f>SUM(F2:F17)</f>
        <v>0</v>
      </c>
      <c r="G18" s="13"/>
      <c r="H18" s="75">
        <f>SUM(H2:H17)</f>
        <v>0</v>
      </c>
      <c r="I18" s="13"/>
      <c r="J18" s="13"/>
      <c r="K18" s="13">
        <f>SUM(K2:K17)</f>
        <v>0</v>
      </c>
      <c r="L18" s="13"/>
      <c r="M18" s="13">
        <f>SUM(M2:M5)</f>
        <v>0</v>
      </c>
      <c r="W18" s="97">
        <v>42808</v>
      </c>
      <c r="X18" s="101">
        <v>50.57</v>
      </c>
      <c r="Y18" s="101">
        <v>50.8</v>
      </c>
      <c r="Z18" s="101">
        <v>50.28</v>
      </c>
      <c r="AA18" s="101">
        <v>50.68</v>
      </c>
      <c r="AB18" s="99">
        <v>1854600</v>
      </c>
      <c r="AC18" s="98">
        <v>50.68</v>
      </c>
      <c r="AD18" s="2">
        <f t="shared" si="0"/>
        <v>0.51999999999999602</v>
      </c>
      <c r="AE18" s="134">
        <f t="shared" si="1"/>
        <v>-1.9727756954035502E-4</v>
      </c>
    </row>
    <row r="19" spans="1:31" x14ac:dyDescent="0.25">
      <c r="W19" s="97">
        <v>42807</v>
      </c>
      <c r="X19" s="101">
        <v>50.84</v>
      </c>
      <c r="Y19" s="101">
        <v>51.12</v>
      </c>
      <c r="Z19" s="101">
        <v>50.58</v>
      </c>
      <c r="AA19" s="101">
        <v>50.69</v>
      </c>
      <c r="AB19" s="99">
        <v>4164900</v>
      </c>
      <c r="AC19" s="98">
        <v>50.69</v>
      </c>
      <c r="AD19" s="2">
        <f t="shared" si="0"/>
        <v>0.53999999999999915</v>
      </c>
      <c r="AE19" s="134">
        <f t="shared" si="1"/>
        <v>-1.9723865877718794E-4</v>
      </c>
    </row>
    <row r="20" spans="1:31" x14ac:dyDescent="0.25">
      <c r="W20" s="97">
        <v>42804</v>
      </c>
      <c r="X20" s="101">
        <v>50.93</v>
      </c>
      <c r="Y20" s="101">
        <v>51.5</v>
      </c>
      <c r="Z20" s="101">
        <v>50.42</v>
      </c>
      <c r="AA20" s="101">
        <v>50.7</v>
      </c>
      <c r="AB20" s="99">
        <v>3523100</v>
      </c>
      <c r="AC20" s="98">
        <v>50.7</v>
      </c>
      <c r="AD20" s="2">
        <f t="shared" si="0"/>
        <v>1.0799999999999983</v>
      </c>
      <c r="AE20" s="134">
        <f t="shared" si="1"/>
        <v>-5.913660555882938E-4</v>
      </c>
    </row>
    <row r="21" spans="1:31" x14ac:dyDescent="0.25">
      <c r="W21" s="97">
        <v>42803</v>
      </c>
      <c r="X21" s="101">
        <v>51.53</v>
      </c>
      <c r="Y21" s="101">
        <v>51.55</v>
      </c>
      <c r="Z21" s="101">
        <v>50.48</v>
      </c>
      <c r="AA21" s="101">
        <v>50.73</v>
      </c>
      <c r="AB21" s="99">
        <v>3131700</v>
      </c>
      <c r="AC21" s="98">
        <v>50.73</v>
      </c>
      <c r="AD21" s="2">
        <f t="shared" si="0"/>
        <v>1.0700000000000003</v>
      </c>
      <c r="AE21" s="134">
        <f t="shared" si="1"/>
        <v>-1.5715948777648481E-2</v>
      </c>
    </row>
    <row r="22" spans="1:31" x14ac:dyDescent="0.25">
      <c r="B22" s="162" t="s">
        <v>113</v>
      </c>
      <c r="C22" s="162" t="s">
        <v>145</v>
      </c>
      <c r="D22" s="163" t="s">
        <v>144</v>
      </c>
      <c r="E22" s="165" t="s">
        <v>146</v>
      </c>
      <c r="F22" s="165" t="s">
        <v>65</v>
      </c>
      <c r="G22" s="177" t="s">
        <v>150</v>
      </c>
      <c r="H22" s="177" t="s">
        <v>88</v>
      </c>
      <c r="I22" s="177" t="s">
        <v>153</v>
      </c>
      <c r="W22" s="97">
        <v>42802</v>
      </c>
      <c r="X22" s="101">
        <v>51.72</v>
      </c>
      <c r="Y22" s="101">
        <v>51.94</v>
      </c>
      <c r="Z22" s="101">
        <v>51.41</v>
      </c>
      <c r="AA22" s="101">
        <v>51.54</v>
      </c>
      <c r="AB22" s="99">
        <v>2268100</v>
      </c>
      <c r="AC22" s="98">
        <v>51.54</v>
      </c>
      <c r="AD22" s="2">
        <f t="shared" si="0"/>
        <v>0.53000000000000114</v>
      </c>
      <c r="AE22" s="134">
        <f t="shared" si="1"/>
        <v>1.1655011655011815E-3</v>
      </c>
    </row>
    <row r="23" spans="1:31" x14ac:dyDescent="0.25">
      <c r="B23" s="164">
        <v>42376</v>
      </c>
      <c r="C23" s="10">
        <v>100</v>
      </c>
      <c r="D23" s="39">
        <v>36.659999999999997</v>
      </c>
      <c r="E23" s="39">
        <v>36.29</v>
      </c>
      <c r="F23" s="39">
        <f>C23*(E23-D23)</f>
        <v>-36.999999999999744</v>
      </c>
      <c r="G23" s="39">
        <f>D23*C23</f>
        <v>3665.9999999999995</v>
      </c>
      <c r="H23" s="179">
        <f>(E23-D23)/D23</f>
        <v>-1.0092744135297258E-2</v>
      </c>
      <c r="I23" s="39"/>
      <c r="W23" s="97">
        <v>42801</v>
      </c>
      <c r="X23" s="101">
        <v>52.15</v>
      </c>
      <c r="Y23" s="101">
        <v>52.31</v>
      </c>
      <c r="Z23" s="101">
        <v>51.45</v>
      </c>
      <c r="AA23" s="101">
        <v>51.48</v>
      </c>
      <c r="AB23" s="99">
        <v>2731800</v>
      </c>
      <c r="AC23" s="98">
        <v>51.48</v>
      </c>
      <c r="AD23" s="2">
        <f t="shared" si="0"/>
        <v>0.85999999999999943</v>
      </c>
      <c r="AE23" s="134">
        <f t="shared" si="1"/>
        <v>-1.6243072807185177E-2</v>
      </c>
    </row>
    <row r="24" spans="1:31" x14ac:dyDescent="0.25">
      <c r="B24" s="164">
        <v>42403</v>
      </c>
      <c r="C24" s="10">
        <v>100</v>
      </c>
      <c r="D24" s="39">
        <v>36.659999999999997</v>
      </c>
      <c r="E24" s="39">
        <v>34.17</v>
      </c>
      <c r="F24" s="39">
        <f>C24*(E24-D24)</f>
        <v>-248.99999999999949</v>
      </c>
      <c r="G24" s="39">
        <f>D24*C24</f>
        <v>3665.9999999999995</v>
      </c>
      <c r="H24" s="179">
        <f>(E24-D24)/D24</f>
        <v>-6.7921440261865654E-2</v>
      </c>
      <c r="I24" s="39"/>
      <c r="W24" s="97">
        <v>42800</v>
      </c>
      <c r="X24" s="101">
        <v>53.64</v>
      </c>
      <c r="Y24" s="101">
        <v>53.88</v>
      </c>
      <c r="Z24" s="101">
        <v>52.13</v>
      </c>
      <c r="AA24" s="101">
        <v>52.33</v>
      </c>
      <c r="AB24" s="99">
        <v>3230000</v>
      </c>
      <c r="AC24" s="98">
        <v>52.33</v>
      </c>
      <c r="AD24" s="2">
        <f t="shared" si="0"/>
        <v>1.75</v>
      </c>
      <c r="AE24" s="134">
        <f t="shared" si="1"/>
        <v>-3.0925925925925912E-2</v>
      </c>
    </row>
    <row r="25" spans="1:31" x14ac:dyDescent="0.25">
      <c r="B25" s="164">
        <v>42430</v>
      </c>
      <c r="C25" s="10">
        <v>100</v>
      </c>
      <c r="D25" s="39">
        <v>36.659999999999997</v>
      </c>
      <c r="E25" s="39">
        <v>36.64</v>
      </c>
      <c r="F25" s="39">
        <f>C25*(E25-D25)</f>
        <v>-1.9999999999996021</v>
      </c>
      <c r="G25" s="39">
        <f>D25*C25</f>
        <v>3665.9999999999995</v>
      </c>
      <c r="H25" s="179">
        <f>(E25-D25)/D25</f>
        <v>-5.4555373704299028E-4</v>
      </c>
      <c r="I25" s="39"/>
      <c r="W25" s="97">
        <v>42797</v>
      </c>
      <c r="X25" s="101">
        <v>53.73</v>
      </c>
      <c r="Y25" s="101">
        <v>54.25</v>
      </c>
      <c r="Z25" s="101">
        <v>53.65</v>
      </c>
      <c r="AA25" s="101">
        <v>54</v>
      </c>
      <c r="AB25" s="99">
        <v>2942800</v>
      </c>
      <c r="AC25" s="98">
        <v>54</v>
      </c>
      <c r="AD25" s="2">
        <f t="shared" si="0"/>
        <v>0.60000000000000142</v>
      </c>
      <c r="AE25" s="134">
        <f t="shared" si="1"/>
        <v>5.2122114668653463E-3</v>
      </c>
    </row>
    <row r="26" spans="1:31" x14ac:dyDescent="0.25">
      <c r="B26" s="164">
        <v>42431</v>
      </c>
      <c r="C26" s="10">
        <v>100</v>
      </c>
      <c r="D26" s="39">
        <v>36.659999999999997</v>
      </c>
      <c r="E26" s="39">
        <v>36.78</v>
      </c>
      <c r="F26" s="39">
        <f>C26*(E26-D26)</f>
        <v>12.000000000000455</v>
      </c>
      <c r="G26" s="39">
        <f>D26*C26</f>
        <v>3665.9999999999995</v>
      </c>
      <c r="H26" s="179">
        <f>(E26-D26)/D26</f>
        <v>3.2733224222587167E-3</v>
      </c>
      <c r="I26" s="39"/>
      <c r="W26" s="97">
        <v>42796</v>
      </c>
      <c r="X26" s="101">
        <v>53.5</v>
      </c>
      <c r="Y26" s="101">
        <v>54.11</v>
      </c>
      <c r="Z26" s="101">
        <v>53.39</v>
      </c>
      <c r="AA26" s="101">
        <v>53.72</v>
      </c>
      <c r="AB26" s="99">
        <v>3816500</v>
      </c>
      <c r="AC26" s="98">
        <v>53.72</v>
      </c>
      <c r="AD26" s="2">
        <f t="shared" si="0"/>
        <v>0.71999999999999886</v>
      </c>
      <c r="AE26" s="134">
        <f t="shared" si="1"/>
        <v>9.3161915408979112E-4</v>
      </c>
    </row>
    <row r="27" spans="1:31" x14ac:dyDescent="0.25">
      <c r="B27" s="164">
        <v>42432</v>
      </c>
      <c r="C27" s="10">
        <v>0</v>
      </c>
      <c r="D27" s="39"/>
      <c r="E27" s="39"/>
      <c r="F27" s="39">
        <v>75.92</v>
      </c>
      <c r="G27" s="39"/>
      <c r="H27" s="179"/>
      <c r="I27" s="39"/>
      <c r="W27" s="97">
        <v>42795</v>
      </c>
      <c r="X27" s="101">
        <v>53.23</v>
      </c>
      <c r="Y27" s="101">
        <v>53.87</v>
      </c>
      <c r="Z27" s="101">
        <v>53.21</v>
      </c>
      <c r="AA27" s="101">
        <v>53.67</v>
      </c>
      <c r="AB27" s="99">
        <v>3095200</v>
      </c>
      <c r="AC27" s="98">
        <v>53.67</v>
      </c>
      <c r="AD27" s="2">
        <f t="shared" si="0"/>
        <v>0.65999999999999659</v>
      </c>
      <c r="AE27" s="134">
        <f t="shared" si="1"/>
        <v>1.8406072106261773E-2</v>
      </c>
    </row>
    <row r="28" spans="1:31" x14ac:dyDescent="0.25">
      <c r="B28" s="164">
        <v>42445</v>
      </c>
      <c r="C28" s="10">
        <v>0</v>
      </c>
      <c r="D28" s="39"/>
      <c r="E28" s="39"/>
      <c r="F28" s="39">
        <v>119.92</v>
      </c>
      <c r="G28" s="39"/>
      <c r="H28" s="179"/>
      <c r="I28" s="39" t="s">
        <v>181</v>
      </c>
      <c r="W28" s="97">
        <v>42794</v>
      </c>
      <c r="X28" s="101">
        <v>52.73</v>
      </c>
      <c r="Y28" s="101">
        <v>53</v>
      </c>
      <c r="Z28" s="101">
        <v>52.54</v>
      </c>
      <c r="AA28" s="101">
        <v>52.7</v>
      </c>
      <c r="AB28" s="99">
        <v>3447500</v>
      </c>
      <c r="AC28" s="98">
        <v>52.7</v>
      </c>
      <c r="AD28" s="2">
        <f t="shared" si="0"/>
        <v>0.46000000000000085</v>
      </c>
      <c r="AE28" s="134">
        <f t="shared" si="1"/>
        <v>-3.5923615050104107E-3</v>
      </c>
    </row>
    <row r="29" spans="1:31" x14ac:dyDescent="0.25">
      <c r="B29" s="164"/>
      <c r="C29" s="10"/>
      <c r="D29" s="39"/>
      <c r="E29" s="39"/>
      <c r="F29" s="39"/>
      <c r="G29" s="39"/>
      <c r="H29" s="179"/>
      <c r="I29" s="39"/>
      <c r="W29" s="97">
        <v>42793</v>
      </c>
      <c r="X29" s="101">
        <v>52.41</v>
      </c>
      <c r="Y29" s="101">
        <v>53.07</v>
      </c>
      <c r="Z29" s="101">
        <v>52.41</v>
      </c>
      <c r="AA29" s="101">
        <v>52.89</v>
      </c>
      <c r="AB29" s="99">
        <v>3016600</v>
      </c>
      <c r="AC29" s="98">
        <v>52.89</v>
      </c>
      <c r="AD29" s="2">
        <f t="shared" si="0"/>
        <v>0.66000000000000369</v>
      </c>
      <c r="AE29" s="134">
        <f t="shared" si="1"/>
        <v>5.1311288483466555E-3</v>
      </c>
    </row>
    <row r="30" spans="1:31" x14ac:dyDescent="0.25">
      <c r="L30" t="s">
        <v>203</v>
      </c>
      <c r="M30" s="2">
        <f>M37+K37-F37</f>
        <v>119.92000000000053</v>
      </c>
      <c r="W30" s="97">
        <v>42790</v>
      </c>
      <c r="X30" s="101">
        <v>52</v>
      </c>
      <c r="Y30" s="101">
        <v>52.67</v>
      </c>
      <c r="Z30" s="101">
        <v>51.9</v>
      </c>
      <c r="AA30" s="101">
        <v>52.62</v>
      </c>
      <c r="AB30" s="99">
        <v>2330700</v>
      </c>
      <c r="AC30" s="98">
        <v>52.62</v>
      </c>
      <c r="AD30" s="2">
        <f t="shared" si="0"/>
        <v>0.77000000000000313</v>
      </c>
      <c r="AE30" s="134">
        <f t="shared" si="1"/>
        <v>7.6599004212944966E-3</v>
      </c>
    </row>
    <row r="31" spans="1:31" x14ac:dyDescent="0.25">
      <c r="A31" s="304" t="s">
        <v>1</v>
      </c>
      <c r="B31" s="304" t="s">
        <v>2</v>
      </c>
      <c r="C31" s="304" t="s">
        <v>4</v>
      </c>
      <c r="D31" s="304" t="s">
        <v>5</v>
      </c>
      <c r="E31" s="304" t="s">
        <v>90</v>
      </c>
      <c r="F31" s="304" t="s">
        <v>60</v>
      </c>
      <c r="G31" s="304" t="s">
        <v>3</v>
      </c>
      <c r="H31" s="333" t="s">
        <v>6</v>
      </c>
      <c r="I31" s="304" t="s">
        <v>7</v>
      </c>
      <c r="J31" s="304" t="s">
        <v>89</v>
      </c>
      <c r="K31" s="304" t="s">
        <v>61</v>
      </c>
      <c r="L31" s="304" t="s">
        <v>77</v>
      </c>
      <c r="M31" s="304" t="s">
        <v>38</v>
      </c>
      <c r="W31" s="97">
        <v>42789</v>
      </c>
      <c r="X31" s="101">
        <v>52.26</v>
      </c>
      <c r="Y31" s="101">
        <v>52.89</v>
      </c>
      <c r="Z31" s="101">
        <v>51.93</v>
      </c>
      <c r="AA31" s="101">
        <v>52.22</v>
      </c>
      <c r="AB31" s="99">
        <v>3609600</v>
      </c>
      <c r="AC31" s="98">
        <v>52.22</v>
      </c>
      <c r="AD31" s="2">
        <f t="shared" si="0"/>
        <v>0.96000000000000085</v>
      </c>
      <c r="AE31" s="134">
        <f t="shared" si="1"/>
        <v>3.6517393811261734E-3</v>
      </c>
    </row>
    <row r="32" spans="1:31" x14ac:dyDescent="0.25">
      <c r="A32" s="307" t="s">
        <v>171</v>
      </c>
      <c r="B32" s="297">
        <v>42376</v>
      </c>
      <c r="C32" s="298">
        <v>100</v>
      </c>
      <c r="D32" s="299">
        <v>36.659999999999997</v>
      </c>
      <c r="E32" s="299">
        <v>0</v>
      </c>
      <c r="F32" s="299">
        <f>C32*D32+E32</f>
        <v>3665.9999999999995</v>
      </c>
      <c r="G32" s="334">
        <v>42432</v>
      </c>
      <c r="H32" s="317">
        <v>100</v>
      </c>
      <c r="I32" s="318">
        <v>37.42</v>
      </c>
      <c r="J32" s="318">
        <v>0.08</v>
      </c>
      <c r="K32" s="319">
        <f>I32*H32-J32</f>
        <v>3741.92</v>
      </c>
      <c r="L32" s="297">
        <v>42444</v>
      </c>
      <c r="M32" s="318">
        <v>44</v>
      </c>
      <c r="W32" s="97">
        <v>42788</v>
      </c>
      <c r="X32" s="101">
        <v>52.33</v>
      </c>
      <c r="Y32" s="101">
        <v>52.38</v>
      </c>
      <c r="Z32" s="101">
        <v>51.46</v>
      </c>
      <c r="AA32" s="101">
        <v>52.03</v>
      </c>
      <c r="AB32" s="99">
        <v>2956300</v>
      </c>
      <c r="AC32" s="98">
        <v>52.03</v>
      </c>
      <c r="AD32" s="2">
        <f t="shared" si="0"/>
        <v>0.92000000000000171</v>
      </c>
      <c r="AE32" s="134">
        <f t="shared" si="1"/>
        <v>-1.3836239575435894E-2</v>
      </c>
    </row>
    <row r="33" spans="1:31" x14ac:dyDescent="0.25">
      <c r="A33" s="308" t="s">
        <v>71</v>
      </c>
      <c r="B33" s="297"/>
      <c r="C33" s="298"/>
      <c r="D33" s="299"/>
      <c r="E33" s="299"/>
      <c r="F33" s="299"/>
      <c r="G33" s="297"/>
      <c r="H33" s="302"/>
      <c r="I33" s="298"/>
      <c r="J33" s="298"/>
      <c r="K33" s="319"/>
      <c r="L33" s="297"/>
      <c r="M33" s="298"/>
      <c r="W33" s="97">
        <v>42787</v>
      </c>
      <c r="X33" s="101">
        <v>52.25</v>
      </c>
      <c r="Y33" s="101">
        <v>52.85</v>
      </c>
      <c r="Z33" s="101">
        <v>52.15</v>
      </c>
      <c r="AA33" s="101">
        <v>52.76</v>
      </c>
      <c r="AB33" s="99">
        <v>2499700</v>
      </c>
      <c r="AC33" s="98">
        <v>52.76</v>
      </c>
      <c r="AD33" s="2">
        <f t="shared" si="0"/>
        <v>0.70000000000000284</v>
      </c>
      <c r="AE33" s="134">
        <f t="shared" si="1"/>
        <v>1.1697027804410398E-2</v>
      </c>
    </row>
    <row r="34" spans="1:31" x14ac:dyDescent="0.25">
      <c r="A34" s="298"/>
      <c r="B34" s="297"/>
      <c r="C34" s="298"/>
      <c r="D34" s="299"/>
      <c r="E34" s="299"/>
      <c r="F34" s="299"/>
      <c r="G34" s="297"/>
      <c r="H34" s="302"/>
      <c r="I34" s="298"/>
      <c r="J34" s="299"/>
      <c r="K34" s="318"/>
      <c r="L34" s="298"/>
      <c r="M34" s="298"/>
      <c r="W34" s="97">
        <v>42783</v>
      </c>
      <c r="X34" s="101">
        <v>53.2</v>
      </c>
      <c r="Y34" s="101">
        <v>53.36</v>
      </c>
      <c r="Z34" s="101">
        <v>51.93</v>
      </c>
      <c r="AA34" s="101">
        <v>52.15</v>
      </c>
      <c r="AB34" s="99">
        <v>3897100</v>
      </c>
      <c r="AC34" s="98">
        <v>52.15</v>
      </c>
      <c r="AD34" s="2">
        <f t="shared" si="0"/>
        <v>1.4299999999999997</v>
      </c>
      <c r="AE34" s="134">
        <f t="shared" si="1"/>
        <v>-2.3042337954290115E-2</v>
      </c>
    </row>
    <row r="35" spans="1:31" x14ac:dyDescent="0.25">
      <c r="A35" s="298"/>
      <c r="B35" s="297"/>
      <c r="C35" s="298"/>
      <c r="D35" s="299"/>
      <c r="E35" s="299"/>
      <c r="F35" s="299"/>
      <c r="G35" s="297"/>
      <c r="H35" s="302"/>
      <c r="I35" s="298"/>
      <c r="J35" s="299"/>
      <c r="K35" s="318"/>
      <c r="L35" s="298"/>
      <c r="M35" s="298"/>
      <c r="W35" s="97">
        <v>42782</v>
      </c>
      <c r="X35" s="101">
        <v>52.86</v>
      </c>
      <c r="Y35" s="101">
        <v>53.5</v>
      </c>
      <c r="Z35" s="101">
        <v>52.73</v>
      </c>
      <c r="AA35" s="101">
        <v>53.38</v>
      </c>
      <c r="AB35" s="99">
        <v>2912400</v>
      </c>
      <c r="AC35" s="98">
        <v>53.38</v>
      </c>
      <c r="AD35" s="2">
        <f t="shared" si="0"/>
        <v>0.77000000000000313</v>
      </c>
      <c r="AE35" s="134">
        <f t="shared" si="1"/>
        <v>1.1751326762699188E-2</v>
      </c>
    </row>
    <row r="36" spans="1:31" x14ac:dyDescent="0.25">
      <c r="A36" s="298"/>
      <c r="B36" s="298"/>
      <c r="C36" s="298"/>
      <c r="D36" s="298"/>
      <c r="E36" s="298"/>
      <c r="F36" s="298"/>
      <c r="G36" s="298"/>
      <c r="H36" s="302"/>
      <c r="I36" s="298"/>
      <c r="J36" s="298"/>
      <c r="K36" s="298"/>
      <c r="L36" s="298"/>
      <c r="M36" s="298"/>
      <c r="W36" s="97">
        <v>42781</v>
      </c>
      <c r="X36" s="101">
        <v>52.91</v>
      </c>
      <c r="Y36" s="101">
        <v>53.4</v>
      </c>
      <c r="Z36" s="101">
        <v>52.7</v>
      </c>
      <c r="AA36" s="101">
        <v>52.76</v>
      </c>
      <c r="AB36" s="99">
        <v>4401300</v>
      </c>
      <c r="AC36" s="98">
        <v>52.76</v>
      </c>
      <c r="AD36" s="2">
        <f t="shared" si="0"/>
        <v>0.69999999999999574</v>
      </c>
      <c r="AE36" s="134">
        <f t="shared" si="1"/>
        <v>-2.2692889561272134E-3</v>
      </c>
    </row>
    <row r="37" spans="1:31" x14ac:dyDescent="0.25">
      <c r="A37" s="21" t="s">
        <v>81</v>
      </c>
      <c r="B37" s="12"/>
      <c r="C37" s="12">
        <f>SUM(C32:C36)</f>
        <v>100</v>
      </c>
      <c r="D37" s="12"/>
      <c r="E37" s="12"/>
      <c r="F37" s="13">
        <f>SUM(F32:F36)</f>
        <v>3665.9999999999995</v>
      </c>
      <c r="G37" s="13"/>
      <c r="H37" s="75">
        <f>SUM(H32:H36)</f>
        <v>100</v>
      </c>
      <c r="I37" s="13"/>
      <c r="J37" s="13"/>
      <c r="K37" s="13">
        <f>SUM(K32:K36)</f>
        <v>3741.92</v>
      </c>
      <c r="L37" s="13"/>
      <c r="M37" s="13">
        <f>SUM(M32:M35)</f>
        <v>44</v>
      </c>
      <c r="W37" s="97">
        <v>42780</v>
      </c>
      <c r="X37" s="101">
        <v>52.49</v>
      </c>
      <c r="Y37" s="101">
        <v>52.92</v>
      </c>
      <c r="Z37" s="101">
        <v>52.33</v>
      </c>
      <c r="AA37" s="101">
        <v>52.88</v>
      </c>
      <c r="AB37" s="99">
        <v>2880200</v>
      </c>
      <c r="AC37" s="98">
        <v>52.88</v>
      </c>
      <c r="AD37" s="2">
        <f t="shared" si="0"/>
        <v>0.59000000000000341</v>
      </c>
      <c r="AE37" s="134">
        <f t="shared" si="1"/>
        <v>3.7965072133636646E-3</v>
      </c>
    </row>
    <row r="38" spans="1:31" x14ac:dyDescent="0.25">
      <c r="A38" s="298"/>
      <c r="B38" s="298"/>
      <c r="C38" s="298"/>
      <c r="D38" s="298"/>
      <c r="E38" s="298"/>
      <c r="F38" s="298"/>
      <c r="G38" s="298"/>
      <c r="H38" s="302"/>
      <c r="I38" s="298"/>
      <c r="J38" s="298"/>
      <c r="K38" s="298"/>
      <c r="L38" s="298"/>
      <c r="M38" s="298"/>
      <c r="W38" s="97">
        <v>42779</v>
      </c>
      <c r="X38" s="101">
        <v>52.5</v>
      </c>
      <c r="Y38" s="101">
        <v>53.47</v>
      </c>
      <c r="Z38" s="101">
        <v>52.35</v>
      </c>
      <c r="AA38" s="101">
        <v>52.68</v>
      </c>
      <c r="AB38" s="99">
        <v>3833700</v>
      </c>
      <c r="AC38" s="98">
        <v>52.68</v>
      </c>
      <c r="AD38" s="2">
        <f t="shared" si="0"/>
        <v>1.1199999999999974</v>
      </c>
      <c r="AE38" s="134" t="e">
        <f t="shared" si="1"/>
        <v>#DIV/0!</v>
      </c>
    </row>
    <row r="39" spans="1:31" x14ac:dyDescent="0.25">
      <c r="W39" s="97">
        <v>42779</v>
      </c>
      <c r="X39" s="101" t="s">
        <v>298</v>
      </c>
      <c r="Y39" s="101"/>
      <c r="Z39" s="101"/>
      <c r="AA39" s="101"/>
      <c r="AB39" s="99"/>
      <c r="AC39" s="98"/>
      <c r="AD39" s="2">
        <f t="shared" si="0"/>
        <v>0</v>
      </c>
      <c r="AE39" s="134">
        <f t="shared" si="1"/>
        <v>-1</v>
      </c>
    </row>
    <row r="40" spans="1:31" ht="20.25" thickBot="1" x14ac:dyDescent="0.35">
      <c r="O40" s="884" t="s">
        <v>78</v>
      </c>
      <c r="P40" s="884"/>
      <c r="W40" s="97">
        <v>42776</v>
      </c>
      <c r="X40" s="101">
        <v>52.38</v>
      </c>
      <c r="Y40" s="101">
        <v>53.03</v>
      </c>
      <c r="Z40" s="101">
        <v>51.91</v>
      </c>
      <c r="AA40" s="101">
        <v>52.89</v>
      </c>
      <c r="AB40" s="99">
        <v>3815300</v>
      </c>
      <c r="AC40" s="98">
        <v>52.43</v>
      </c>
      <c r="AD40" s="2">
        <f t="shared" si="0"/>
        <v>1.1200000000000045</v>
      </c>
      <c r="AE40" s="134">
        <f t="shared" si="1"/>
        <v>1.4119922630560833E-2</v>
      </c>
    </row>
    <row r="41" spans="1:31" ht="15.75" thickTop="1" x14ac:dyDescent="0.25">
      <c r="O41" s="81">
        <v>1.1000000000000001</v>
      </c>
      <c r="P41" s="81">
        <f>O41*$Q$4</f>
        <v>52.041000000000004</v>
      </c>
      <c r="Q41" s="2"/>
      <c r="W41" s="97">
        <v>42775</v>
      </c>
      <c r="X41" s="101">
        <v>53.1</v>
      </c>
      <c r="Y41" s="101">
        <v>53.1</v>
      </c>
      <c r="Z41" s="101">
        <v>52.05</v>
      </c>
      <c r="AA41" s="101">
        <v>52.16</v>
      </c>
      <c r="AB41" s="99">
        <v>4471000</v>
      </c>
      <c r="AC41" s="98">
        <v>51.7</v>
      </c>
      <c r="AD41" s="2">
        <f t="shared" si="0"/>
        <v>1.0500000000000043</v>
      </c>
      <c r="AE41" s="134">
        <f t="shared" si="1"/>
        <v>-1.7857142857142794E-2</v>
      </c>
    </row>
    <row r="42" spans="1:31" ht="20.25" thickBot="1" x14ac:dyDescent="0.35">
      <c r="O42" s="81">
        <v>1.0900000000000001</v>
      </c>
      <c r="P42" s="81">
        <f t="shared" ref="P42:P61" si="2">O42*$Q$4</f>
        <v>51.567900000000009</v>
      </c>
      <c r="Q42" s="2"/>
      <c r="T42" s="89" t="s">
        <v>112</v>
      </c>
      <c r="W42" s="97">
        <v>42774</v>
      </c>
      <c r="X42" s="101">
        <v>52.02</v>
      </c>
      <c r="Y42" s="101">
        <v>53.96</v>
      </c>
      <c r="Z42" s="101">
        <v>51.67</v>
      </c>
      <c r="AA42" s="101">
        <v>53.1</v>
      </c>
      <c r="AB42" s="99">
        <v>7574600</v>
      </c>
      <c r="AC42" s="98">
        <v>52.64</v>
      </c>
      <c r="AD42" s="2">
        <f t="shared" si="0"/>
        <v>2.2899999999999991</v>
      </c>
      <c r="AE42" s="134">
        <f t="shared" si="1"/>
        <v>1.8772982388232995E-2</v>
      </c>
    </row>
    <row r="43" spans="1:31" ht="15.75" thickTop="1" x14ac:dyDescent="0.25">
      <c r="O43" s="81">
        <v>1.08</v>
      </c>
      <c r="P43" s="81">
        <f t="shared" si="2"/>
        <v>51.094800000000006</v>
      </c>
      <c r="Q43" s="2"/>
      <c r="T43" s="95" t="s">
        <v>97</v>
      </c>
      <c r="U43" s="96">
        <v>50.7</v>
      </c>
      <c r="W43" s="97">
        <v>42773</v>
      </c>
      <c r="X43" s="101">
        <v>51.91</v>
      </c>
      <c r="Y43" s="101">
        <v>52.66</v>
      </c>
      <c r="Z43" s="101">
        <v>51.68</v>
      </c>
      <c r="AA43" s="101">
        <v>52.13</v>
      </c>
      <c r="AB43" s="99">
        <v>4606200</v>
      </c>
      <c r="AC43" s="98">
        <v>51.67</v>
      </c>
      <c r="AD43" s="2">
        <f t="shared" si="0"/>
        <v>0.97999999999999687</v>
      </c>
      <c r="AE43" s="134">
        <f t="shared" si="1"/>
        <v>1.0166177908113472E-2</v>
      </c>
    </row>
    <row r="44" spans="1:31" x14ac:dyDescent="0.25">
      <c r="O44" s="81">
        <v>1.07</v>
      </c>
      <c r="P44" s="81">
        <f t="shared" si="2"/>
        <v>50.621700000000004</v>
      </c>
      <c r="Q44" s="2"/>
      <c r="T44" s="85" t="s">
        <v>98</v>
      </c>
      <c r="U44" s="86">
        <v>50.85</v>
      </c>
      <c r="W44" s="97">
        <v>42772</v>
      </c>
      <c r="X44" s="101">
        <v>52.33</v>
      </c>
      <c r="Y44" s="101">
        <v>52.33</v>
      </c>
      <c r="Z44" s="101">
        <v>50.6</v>
      </c>
      <c r="AA44" s="101">
        <v>51.6</v>
      </c>
      <c r="AB44" s="99">
        <v>6180300</v>
      </c>
      <c r="AC44" s="98">
        <v>51.15</v>
      </c>
      <c r="AD44" s="2">
        <f t="shared" si="0"/>
        <v>1.7299999999999969</v>
      </c>
      <c r="AE44" s="134">
        <f t="shared" si="1"/>
        <v>-2.6641294005708804E-2</v>
      </c>
    </row>
    <row r="45" spans="1:31" x14ac:dyDescent="0.25">
      <c r="O45" s="81">
        <v>1.06</v>
      </c>
      <c r="P45" s="81">
        <f t="shared" si="2"/>
        <v>50.148600000000002</v>
      </c>
      <c r="Q45" s="2"/>
      <c r="T45" s="85" t="s">
        <v>99</v>
      </c>
      <c r="U45" s="86" t="s">
        <v>128</v>
      </c>
      <c r="W45" s="97">
        <v>42769</v>
      </c>
      <c r="X45" s="101">
        <v>53.55</v>
      </c>
      <c r="Y45" s="101">
        <v>53.67</v>
      </c>
      <c r="Z45" s="101">
        <v>52.22</v>
      </c>
      <c r="AA45" s="101">
        <v>53.01</v>
      </c>
      <c r="AB45" s="99">
        <v>5844200</v>
      </c>
      <c r="AC45" s="98">
        <v>52.55</v>
      </c>
      <c r="AD45" s="2">
        <f t="shared" si="0"/>
        <v>1.4500000000000028</v>
      </c>
      <c r="AE45" s="134">
        <f t="shared" si="1"/>
        <v>-6.2405446293495315E-3</v>
      </c>
    </row>
    <row r="46" spans="1:31" x14ac:dyDescent="0.25">
      <c r="O46" s="81">
        <v>1.05</v>
      </c>
      <c r="P46" s="81">
        <f t="shared" si="2"/>
        <v>49.675500000000007</v>
      </c>
      <c r="Q46" s="2"/>
      <c r="T46" s="85" t="s">
        <v>100</v>
      </c>
      <c r="U46" s="86" t="s">
        <v>128</v>
      </c>
      <c r="W46" s="97">
        <v>42768</v>
      </c>
      <c r="X46" s="101">
        <v>55.48</v>
      </c>
      <c r="Y46" s="101">
        <v>55.78</v>
      </c>
      <c r="Z46" s="101">
        <v>52.3</v>
      </c>
      <c r="AA46" s="101">
        <v>53.35</v>
      </c>
      <c r="AB46" s="99">
        <v>8057300</v>
      </c>
      <c r="AC46" s="98">
        <v>52.88</v>
      </c>
      <c r="AD46" s="2">
        <f t="shared" si="0"/>
        <v>3.480000000000004</v>
      </c>
      <c r="AE46" s="134">
        <f t="shared" si="1"/>
        <v>-5.5882878057489704E-2</v>
      </c>
    </row>
    <row r="47" spans="1:31" x14ac:dyDescent="0.25">
      <c r="O47" s="81">
        <v>1.04</v>
      </c>
      <c r="P47" s="81">
        <f t="shared" si="2"/>
        <v>49.202400000000004</v>
      </c>
      <c r="Q47" s="2"/>
      <c r="T47" s="85" t="s">
        <v>101</v>
      </c>
      <c r="U47" s="86">
        <v>56.08</v>
      </c>
      <c r="W47" s="97">
        <v>42767</v>
      </c>
      <c r="X47" s="101">
        <v>56.73</v>
      </c>
      <c r="Y47" s="101">
        <v>57.12</v>
      </c>
      <c r="Z47" s="101">
        <v>56.01</v>
      </c>
      <c r="AA47" s="101">
        <v>56.5</v>
      </c>
      <c r="AB47" s="99">
        <v>2990600</v>
      </c>
      <c r="AC47" s="98">
        <v>56.01</v>
      </c>
      <c r="AD47" s="2">
        <f t="shared" si="0"/>
        <v>1.1099999999999994</v>
      </c>
      <c r="AE47" s="134">
        <f t="shared" si="1"/>
        <v>-1.6042780748664054E-3</v>
      </c>
    </row>
    <row r="48" spans="1:31" x14ac:dyDescent="0.25">
      <c r="O48" s="81">
        <v>1.03</v>
      </c>
      <c r="P48" s="81">
        <f t="shared" si="2"/>
        <v>48.729300000000002</v>
      </c>
      <c r="Q48" s="2"/>
      <c r="T48" s="85" t="s">
        <v>102</v>
      </c>
      <c r="U48" s="86">
        <v>1.7318800000000001</v>
      </c>
      <c r="W48" s="97">
        <v>42766</v>
      </c>
      <c r="X48" s="101">
        <v>56.83</v>
      </c>
      <c r="Y48" s="101">
        <v>57.36</v>
      </c>
      <c r="Z48" s="101">
        <v>56.21</v>
      </c>
      <c r="AA48" s="101">
        <v>56.6</v>
      </c>
      <c r="AB48" s="99">
        <v>3747000</v>
      </c>
      <c r="AC48" s="98">
        <v>56.1</v>
      </c>
      <c r="AD48" s="2">
        <f t="shared" si="0"/>
        <v>1.1499999999999986</v>
      </c>
      <c r="AE48" s="134">
        <f t="shared" si="1"/>
        <v>-5.1427558077673519E-3</v>
      </c>
    </row>
    <row r="49" spans="15:31" x14ac:dyDescent="0.25">
      <c r="O49" s="81">
        <v>1.02</v>
      </c>
      <c r="P49" s="81">
        <f t="shared" si="2"/>
        <v>48.2562</v>
      </c>
      <c r="Q49" s="2"/>
      <c r="T49" s="85" t="s">
        <v>103</v>
      </c>
      <c r="U49" s="87" t="s">
        <v>383</v>
      </c>
      <c r="W49" s="97">
        <v>42765</v>
      </c>
      <c r="X49" s="101">
        <v>57.02</v>
      </c>
      <c r="Y49" s="101">
        <v>57.02</v>
      </c>
      <c r="Z49" s="101">
        <v>56.31</v>
      </c>
      <c r="AA49" s="101">
        <v>56.89</v>
      </c>
      <c r="AB49" s="99">
        <v>2272300</v>
      </c>
      <c r="AC49" s="98">
        <v>56.39</v>
      </c>
      <c r="AD49" s="2">
        <f t="shared" si="0"/>
        <v>0.71000000000000085</v>
      </c>
      <c r="AE49" s="134">
        <f t="shared" si="1"/>
        <v>-7.9169598874032632E-3</v>
      </c>
    </row>
    <row r="50" spans="15:31" x14ac:dyDescent="0.25">
      <c r="O50" s="81">
        <v>1.01</v>
      </c>
      <c r="P50" s="81">
        <f t="shared" si="2"/>
        <v>47.783100000000005</v>
      </c>
      <c r="Q50" s="2"/>
      <c r="T50" s="85"/>
      <c r="U50" s="86"/>
      <c r="W50" s="97">
        <v>42762</v>
      </c>
      <c r="X50" s="101">
        <v>57.73</v>
      </c>
      <c r="Y50" s="101">
        <v>57.84</v>
      </c>
      <c r="Z50" s="101">
        <v>57.19</v>
      </c>
      <c r="AA50" s="101">
        <v>57.34</v>
      </c>
      <c r="AB50" s="99">
        <v>2044300</v>
      </c>
      <c r="AC50" s="98">
        <v>56.84</v>
      </c>
      <c r="AD50" s="2">
        <f t="shared" si="0"/>
        <v>0.65000000000000568</v>
      </c>
      <c r="AE50" s="134">
        <f t="shared" si="1"/>
        <v>-2.9819329942114559E-3</v>
      </c>
    </row>
    <row r="51" spans="15:31" x14ac:dyDescent="0.25">
      <c r="O51" s="81">
        <v>1</v>
      </c>
      <c r="P51" s="81">
        <f t="shared" si="2"/>
        <v>47.31</v>
      </c>
      <c r="Q51" s="2"/>
      <c r="T51" s="85" t="s">
        <v>104</v>
      </c>
      <c r="U51" s="86" t="s">
        <v>581</v>
      </c>
      <c r="W51" s="97">
        <v>42761</v>
      </c>
      <c r="X51" s="101">
        <v>58.61</v>
      </c>
      <c r="Y51" s="101">
        <v>58.86</v>
      </c>
      <c r="Z51" s="101">
        <v>57.37</v>
      </c>
      <c r="AA51" s="101">
        <v>57.51</v>
      </c>
      <c r="AB51" s="99">
        <v>3650500</v>
      </c>
      <c r="AC51" s="98">
        <v>57.01</v>
      </c>
      <c r="AD51" s="2">
        <f t="shared" si="0"/>
        <v>1.490000000000002</v>
      </c>
      <c r="AE51" s="134">
        <f t="shared" si="1"/>
        <v>-8.1767571329157684E-3</v>
      </c>
    </row>
    <row r="52" spans="15:31" x14ac:dyDescent="0.25">
      <c r="O52" s="81">
        <v>0.99</v>
      </c>
      <c r="P52" s="81">
        <f t="shared" si="2"/>
        <v>46.8369</v>
      </c>
      <c r="Q52" s="2"/>
      <c r="T52" s="85" t="s">
        <v>105</v>
      </c>
      <c r="U52" s="86" t="s">
        <v>489</v>
      </c>
      <c r="W52" s="97">
        <v>42760</v>
      </c>
      <c r="X52" s="101">
        <v>56.48</v>
      </c>
      <c r="Y52" s="101">
        <v>58.26</v>
      </c>
      <c r="Z52" s="101">
        <v>56.46</v>
      </c>
      <c r="AA52" s="101">
        <v>57.99</v>
      </c>
      <c r="AB52" s="99">
        <v>5188000</v>
      </c>
      <c r="AC52" s="98">
        <v>57.48</v>
      </c>
      <c r="AD52" s="2">
        <f t="shared" si="0"/>
        <v>1.7999999999999972</v>
      </c>
      <c r="AE52" s="134">
        <f t="shared" si="1"/>
        <v>3.7357877639415227E-2</v>
      </c>
    </row>
    <row r="53" spans="15:31" x14ac:dyDescent="0.25">
      <c r="O53" s="81">
        <v>0.98</v>
      </c>
      <c r="P53" s="81">
        <f t="shared" si="2"/>
        <v>46.363800000000005</v>
      </c>
      <c r="Q53" s="2"/>
      <c r="T53" s="85" t="s">
        <v>106</v>
      </c>
      <c r="U53" s="88">
        <v>1524565</v>
      </c>
      <c r="W53" s="97">
        <v>42759</v>
      </c>
      <c r="X53" s="101">
        <v>54.51</v>
      </c>
      <c r="Y53" s="101">
        <v>56.01</v>
      </c>
      <c r="Z53" s="101">
        <v>54.48</v>
      </c>
      <c r="AA53" s="101">
        <v>55.9</v>
      </c>
      <c r="AB53" s="99">
        <v>3820500</v>
      </c>
      <c r="AC53" s="98">
        <v>55.41</v>
      </c>
      <c r="AD53" s="2">
        <f t="shared" si="0"/>
        <v>1.5300000000000011</v>
      </c>
      <c r="AE53" s="134">
        <f t="shared" si="1"/>
        <v>2.9351662641649678E-2</v>
      </c>
    </row>
    <row r="54" spans="15:31" x14ac:dyDescent="0.25">
      <c r="O54" s="81">
        <v>0.97</v>
      </c>
      <c r="P54" s="81">
        <f t="shared" si="2"/>
        <v>45.890700000000002</v>
      </c>
      <c r="T54" s="85" t="s">
        <v>109</v>
      </c>
      <c r="U54" s="88">
        <v>3121330</v>
      </c>
      <c r="W54" s="97">
        <v>42758</v>
      </c>
      <c r="X54" s="101">
        <v>53.77</v>
      </c>
      <c r="Y54" s="101">
        <v>54.36</v>
      </c>
      <c r="Z54" s="101">
        <v>53.65</v>
      </c>
      <c r="AA54" s="101">
        <v>54.31</v>
      </c>
      <c r="AB54" s="99">
        <v>2406600</v>
      </c>
      <c r="AC54" s="98">
        <v>53.83</v>
      </c>
      <c r="AD54" s="2">
        <f t="shared" si="0"/>
        <v>0.71000000000000085</v>
      </c>
      <c r="AE54" s="134">
        <f t="shared" si="1"/>
        <v>1.1461856444945573E-2</v>
      </c>
    </row>
    <row r="55" spans="15:31" x14ac:dyDescent="0.25">
      <c r="O55" s="81">
        <v>0.96</v>
      </c>
      <c r="P55" s="81">
        <f t="shared" si="2"/>
        <v>45.4176</v>
      </c>
      <c r="T55" s="85" t="s">
        <v>107</v>
      </c>
      <c r="U55" s="86" t="s">
        <v>582</v>
      </c>
      <c r="W55" s="97">
        <v>42755</v>
      </c>
      <c r="X55" s="101">
        <v>53.75</v>
      </c>
      <c r="Y55" s="101">
        <v>53.96</v>
      </c>
      <c r="Z55" s="101">
        <v>53.13</v>
      </c>
      <c r="AA55" s="101">
        <v>53.69</v>
      </c>
      <c r="AB55" s="99">
        <v>3085300</v>
      </c>
      <c r="AC55" s="98">
        <v>53.22</v>
      </c>
      <c r="AD55" s="2">
        <f t="shared" si="0"/>
        <v>0.82999999999999829</v>
      </c>
      <c r="AE55" s="134">
        <f t="shared" si="1"/>
        <v>1.9149751053236352E-2</v>
      </c>
    </row>
    <row r="56" spans="15:31" x14ac:dyDescent="0.25">
      <c r="O56" s="81">
        <v>0.95</v>
      </c>
      <c r="P56" s="81">
        <f t="shared" si="2"/>
        <v>44.944499999999998</v>
      </c>
      <c r="T56" s="85" t="s">
        <v>110</v>
      </c>
      <c r="U56" s="86">
        <v>23.22</v>
      </c>
      <c r="W56" s="97">
        <v>42754</v>
      </c>
      <c r="X56" s="101">
        <v>53.14</v>
      </c>
      <c r="Y56" s="101">
        <v>53.15</v>
      </c>
      <c r="Z56" s="101">
        <v>52.41</v>
      </c>
      <c r="AA56" s="101">
        <v>52.68</v>
      </c>
      <c r="AB56" s="99">
        <v>1934700</v>
      </c>
      <c r="AC56" s="98">
        <v>52.22</v>
      </c>
      <c r="AD56" s="2">
        <f t="shared" si="0"/>
        <v>0.74000000000000199</v>
      </c>
      <c r="AE56" s="134">
        <f t="shared" si="1"/>
        <v>-6.6577896138482195E-3</v>
      </c>
    </row>
    <row r="57" spans="15:31" x14ac:dyDescent="0.25">
      <c r="O57" s="81">
        <v>0.94</v>
      </c>
      <c r="P57" s="81">
        <f t="shared" si="2"/>
        <v>44.471400000000003</v>
      </c>
      <c r="T57" s="85" t="s">
        <v>111</v>
      </c>
      <c r="U57" s="86">
        <v>2.1800000000000002</v>
      </c>
      <c r="W57" s="97">
        <v>42753</v>
      </c>
      <c r="X57" s="101">
        <v>53.15</v>
      </c>
      <c r="Y57" s="101">
        <v>53.2</v>
      </c>
      <c r="Z57" s="101">
        <v>52.66</v>
      </c>
      <c r="AA57" s="101">
        <v>53.03</v>
      </c>
      <c r="AB57" s="99">
        <v>2223600</v>
      </c>
      <c r="AC57" s="98">
        <v>52.57</v>
      </c>
      <c r="AD57" s="2">
        <f t="shared" si="0"/>
        <v>0.54000000000000625</v>
      </c>
      <c r="AE57" s="134">
        <f t="shared" si="1"/>
        <v>7.6146963639822651E-4</v>
      </c>
    </row>
    <row r="58" spans="15:31" x14ac:dyDescent="0.25">
      <c r="O58" s="81">
        <v>0.93</v>
      </c>
      <c r="P58" s="81">
        <f t="shared" si="2"/>
        <v>43.998300000000008</v>
      </c>
      <c r="T58" s="85" t="s">
        <v>108</v>
      </c>
      <c r="U58" s="86" t="s">
        <v>528</v>
      </c>
      <c r="W58" s="97">
        <v>42752</v>
      </c>
      <c r="X58" s="101">
        <v>53.35</v>
      </c>
      <c r="Y58" s="101">
        <v>53.5</v>
      </c>
      <c r="Z58" s="101">
        <v>52.77</v>
      </c>
      <c r="AA58" s="101">
        <v>52.99</v>
      </c>
      <c r="AB58" s="99">
        <v>1799000</v>
      </c>
      <c r="AC58" s="98">
        <v>52.53</v>
      </c>
      <c r="AD58" s="2">
        <f t="shared" si="0"/>
        <v>0.72999999999999687</v>
      </c>
      <c r="AE58" s="134">
        <f t="shared" si="1"/>
        <v>-1.0361718161265965E-2</v>
      </c>
    </row>
    <row r="59" spans="15:31" x14ac:dyDescent="0.25">
      <c r="O59" s="81">
        <v>0.92</v>
      </c>
      <c r="P59" s="81">
        <f t="shared" si="2"/>
        <v>43.525200000000005</v>
      </c>
      <c r="W59" s="97">
        <v>42748</v>
      </c>
      <c r="X59" s="101">
        <v>53.68</v>
      </c>
      <c r="Y59" s="101">
        <v>54.08</v>
      </c>
      <c r="Z59" s="101">
        <v>53.44</v>
      </c>
      <c r="AA59" s="101">
        <v>53.55</v>
      </c>
      <c r="AB59" s="99">
        <v>1694500</v>
      </c>
      <c r="AC59" s="98">
        <v>53.08</v>
      </c>
      <c r="AD59" s="2">
        <f t="shared" si="0"/>
        <v>0.64000000000000057</v>
      </c>
      <c r="AE59" s="134">
        <f t="shared" si="1"/>
        <v>-2.2556390977443996E-3</v>
      </c>
    </row>
    <row r="60" spans="15:31" x14ac:dyDescent="0.25">
      <c r="O60" s="81">
        <v>0.91</v>
      </c>
      <c r="P60" s="81">
        <f t="shared" si="2"/>
        <v>43.052100000000003</v>
      </c>
      <c r="W60" s="97">
        <v>42747</v>
      </c>
      <c r="X60" s="101">
        <v>53.84</v>
      </c>
      <c r="Y60" s="101">
        <v>54.08</v>
      </c>
      <c r="Z60" s="101">
        <v>53.04</v>
      </c>
      <c r="AA60" s="101">
        <v>53.67</v>
      </c>
      <c r="AB60" s="99">
        <v>1915800</v>
      </c>
      <c r="AC60" s="98">
        <v>53.2</v>
      </c>
      <c r="AD60" s="2">
        <f t="shared" si="0"/>
        <v>1.0399999999999991</v>
      </c>
      <c r="AE60" s="134">
        <f t="shared" si="1"/>
        <v>-8.7572200484441476E-3</v>
      </c>
    </row>
    <row r="61" spans="15:31" x14ac:dyDescent="0.25">
      <c r="O61" s="81">
        <v>0.9</v>
      </c>
      <c r="P61" s="81">
        <f t="shared" si="2"/>
        <v>42.579000000000001</v>
      </c>
      <c r="W61" s="97">
        <v>42746</v>
      </c>
      <c r="X61" s="101">
        <v>53.58</v>
      </c>
      <c r="Y61" s="101">
        <v>54.2</v>
      </c>
      <c r="Z61" s="101">
        <v>53.45</v>
      </c>
      <c r="AA61" s="101">
        <v>54.14</v>
      </c>
      <c r="AB61" s="99">
        <v>1966400</v>
      </c>
      <c r="AC61" s="98">
        <v>53.67</v>
      </c>
      <c r="AD61" s="2">
        <f t="shared" si="0"/>
        <v>0.75</v>
      </c>
      <c r="AE61" s="134">
        <f t="shared" si="1"/>
        <v>6.7529544175577438E-3</v>
      </c>
    </row>
    <row r="62" spans="15:31" x14ac:dyDescent="0.25">
      <c r="W62" s="97">
        <v>42745</v>
      </c>
      <c r="X62" s="101">
        <v>53.7</v>
      </c>
      <c r="Y62" s="101">
        <v>54.22</v>
      </c>
      <c r="Z62" s="101">
        <v>53.45</v>
      </c>
      <c r="AA62" s="101">
        <v>53.78</v>
      </c>
      <c r="AB62" s="99">
        <v>2748600</v>
      </c>
      <c r="AC62" s="98">
        <v>53.31</v>
      </c>
      <c r="AD62" s="2">
        <f t="shared" si="0"/>
        <v>0.76999999999999602</v>
      </c>
      <c r="AE62" s="134">
        <f t="shared" si="1"/>
        <v>3.0103480714958053E-3</v>
      </c>
    </row>
    <row r="63" spans="15:31" x14ac:dyDescent="0.25">
      <c r="W63" s="97">
        <v>42744</v>
      </c>
      <c r="X63" s="101">
        <v>53.7</v>
      </c>
      <c r="Y63" s="101">
        <v>54.17</v>
      </c>
      <c r="Z63" s="101">
        <v>53.42</v>
      </c>
      <c r="AA63" s="101">
        <v>53.62</v>
      </c>
      <c r="AB63" s="99">
        <v>2987000</v>
      </c>
      <c r="AC63" s="98">
        <v>53.15</v>
      </c>
      <c r="AD63" s="2">
        <f t="shared" si="0"/>
        <v>0.75</v>
      </c>
      <c r="AE63" s="134">
        <f t="shared" si="1"/>
        <v>-1.877934272300541E-3</v>
      </c>
    </row>
    <row r="64" spans="15:31" x14ac:dyDescent="0.25">
      <c r="W64" s="97">
        <v>42741</v>
      </c>
      <c r="X64" s="101">
        <v>53.56</v>
      </c>
      <c r="Y64" s="101">
        <v>53.93</v>
      </c>
      <c r="Z64" s="101">
        <v>53.26</v>
      </c>
      <c r="AA64" s="101">
        <v>53.72</v>
      </c>
      <c r="AB64" s="99">
        <v>1253500</v>
      </c>
      <c r="AC64" s="98">
        <v>53.25</v>
      </c>
      <c r="AD64" s="2">
        <f t="shared" si="0"/>
        <v>0.67000000000000171</v>
      </c>
      <c r="AE64" s="134">
        <f t="shared" si="1"/>
        <v>2.0700037636431912E-3</v>
      </c>
    </row>
    <row r="65" spans="23:31" x14ac:dyDescent="0.25">
      <c r="W65" s="97">
        <v>42740</v>
      </c>
      <c r="X65" s="101">
        <v>53.9</v>
      </c>
      <c r="Y65" s="101">
        <v>54.26</v>
      </c>
      <c r="Z65" s="101">
        <v>53.33</v>
      </c>
      <c r="AA65" s="101">
        <v>53.61</v>
      </c>
      <c r="AB65" s="99">
        <v>2081100</v>
      </c>
      <c r="AC65" s="98">
        <v>53.14</v>
      </c>
      <c r="AD65" s="2">
        <f t="shared" si="0"/>
        <v>0.92999999999999972</v>
      </c>
      <c r="AE65" s="134">
        <f t="shared" si="1"/>
        <v>-8.2120194102276445E-3</v>
      </c>
    </row>
    <row r="66" spans="23:31" x14ac:dyDescent="0.25">
      <c r="W66" s="97">
        <v>42739</v>
      </c>
      <c r="X66" s="101">
        <v>53.64</v>
      </c>
      <c r="Y66" s="101">
        <v>54.17</v>
      </c>
      <c r="Z66" s="101">
        <v>53.5</v>
      </c>
      <c r="AA66" s="101">
        <v>54.05</v>
      </c>
      <c r="AB66" s="99">
        <v>2331000</v>
      </c>
      <c r="AC66" s="98">
        <v>53.58</v>
      </c>
      <c r="AD66" s="2">
        <f t="shared" si="0"/>
        <v>0.67000000000000171</v>
      </c>
      <c r="AE66" s="134">
        <f t="shared" si="1"/>
        <v>1.2471655328798015E-2</v>
      </c>
    </row>
    <row r="67" spans="23:31" x14ac:dyDescent="0.25">
      <c r="W67" s="97">
        <v>42738</v>
      </c>
      <c r="X67" s="101">
        <v>53.11</v>
      </c>
      <c r="Y67" s="101">
        <v>53.85</v>
      </c>
      <c r="Z67" s="101">
        <v>52.96</v>
      </c>
      <c r="AA67" s="101">
        <v>53.39</v>
      </c>
      <c r="AB67" s="99">
        <v>1927000</v>
      </c>
      <c r="AC67" s="98">
        <v>52.92</v>
      </c>
      <c r="AD67" s="2">
        <f>Y67-Z67</f>
        <v>0.89000000000000057</v>
      </c>
      <c r="AE67" s="134" t="e">
        <f>AC67/#REF!-1</f>
        <v>#REF!</v>
      </c>
    </row>
    <row r="68" spans="23:31" x14ac:dyDescent="0.25">
      <c r="W68" s="97">
        <v>42734</v>
      </c>
      <c r="X68" s="101">
        <v>53.44</v>
      </c>
      <c r="Y68" s="101">
        <v>53.5</v>
      </c>
      <c r="Z68" s="101">
        <v>52.67</v>
      </c>
      <c r="AA68" s="101">
        <v>53.06</v>
      </c>
      <c r="AB68" s="99">
        <v>2018100</v>
      </c>
      <c r="AC68" s="98">
        <v>52.6</v>
      </c>
      <c r="AD68" s="2" t="e">
        <f>#REF!-#REF!</f>
        <v>#REF!</v>
      </c>
      <c r="AE68" s="134" t="e">
        <f>#REF!/#REF!-1</f>
        <v>#REF!</v>
      </c>
    </row>
    <row r="69" spans="23:31" x14ac:dyDescent="0.25">
      <c r="W69" s="97" t="s">
        <v>120</v>
      </c>
      <c r="X69" s="101"/>
      <c r="Y69" s="101"/>
      <c r="Z69" s="101"/>
      <c r="AA69" s="101"/>
      <c r="AB69" s="99"/>
      <c r="AC69" s="98"/>
      <c r="AD69" s="2" t="e">
        <f>#REF!-#REF!</f>
        <v>#REF!</v>
      </c>
      <c r="AE69" s="134"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874" priority="11">
      <formula>F27&gt;0</formula>
    </cfRule>
    <cfRule type="expression" dxfId="873" priority="12">
      <formula>F27&lt;0</formula>
    </cfRule>
  </conditionalFormatting>
  <conditionalFormatting sqref="H27:H29">
    <cfRule type="expression" dxfId="872" priority="9">
      <formula>H27&gt;0</formula>
    </cfRule>
    <cfRule type="expression" dxfId="871" priority="10">
      <formula>H27&lt;0</formula>
    </cfRule>
  </conditionalFormatting>
  <conditionalFormatting sqref="F23:F26">
    <cfRule type="expression" dxfId="870" priority="7">
      <formula>F23&gt;0</formula>
    </cfRule>
    <cfRule type="expression" dxfId="869" priority="8">
      <formula>F23&lt;0</formula>
    </cfRule>
  </conditionalFormatting>
  <conditionalFormatting sqref="H23:H26">
    <cfRule type="expression" dxfId="868" priority="5">
      <formula>H23&gt;0</formula>
    </cfRule>
    <cfRule type="expression" dxfId="867" priority="6">
      <formula>H23&lt;0</formula>
    </cfRule>
  </conditionalFormatting>
  <conditionalFormatting sqref="Q8">
    <cfRule type="expression" dxfId="866" priority="1">
      <formula>Q8&gt;0</formula>
    </cfRule>
    <cfRule type="expression" dxfId="865" priority="2">
      <formula>Q8&lt;0</formula>
    </cfRule>
  </conditionalFormatting>
  <conditionalFormatting sqref="Q7">
    <cfRule type="expression" dxfId="864" priority="3">
      <formula>Q7&gt;0</formula>
    </cfRule>
    <cfRule type="expression" dxfId="863"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70"/>
    <col min="18" max="18" width="17.7109375" style="33" customWidth="1"/>
    <col min="19" max="19" width="13.7109375" style="84"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4" t="s">
        <v>6</v>
      </c>
      <c r="I1" s="11" t="s">
        <v>7</v>
      </c>
      <c r="J1" s="11" t="s">
        <v>89</v>
      </c>
      <c r="K1" s="11" t="s">
        <v>61</v>
      </c>
      <c r="L1" s="11" t="s">
        <v>77</v>
      </c>
      <c r="M1" s="11" t="s">
        <v>38</v>
      </c>
      <c r="R1" s="32"/>
      <c r="S1" s="82" t="s">
        <v>70</v>
      </c>
      <c r="W1" s="91" t="s">
        <v>113</v>
      </c>
      <c r="X1" s="100" t="s">
        <v>114</v>
      </c>
      <c r="Y1" s="100" t="s">
        <v>115</v>
      </c>
      <c r="Z1" s="100" t="s">
        <v>116</v>
      </c>
      <c r="AA1" s="100" t="s">
        <v>117</v>
      </c>
      <c r="AB1" s="91" t="s">
        <v>118</v>
      </c>
      <c r="AC1" s="91" t="s">
        <v>119</v>
      </c>
      <c r="AD1" s="11" t="s">
        <v>125</v>
      </c>
      <c r="AE1" s="11" t="s">
        <v>127</v>
      </c>
    </row>
    <row r="2" spans="1:31" x14ac:dyDescent="0.25">
      <c r="A2" s="6" t="s">
        <v>27</v>
      </c>
      <c r="B2" s="72"/>
      <c r="C2" s="4"/>
      <c r="D2" s="3"/>
      <c r="E2" s="3"/>
      <c r="F2" s="3"/>
      <c r="G2" s="117"/>
      <c r="H2" s="310"/>
      <c r="I2" s="73"/>
      <c r="J2" s="73"/>
      <c r="K2" s="17"/>
      <c r="L2" s="72"/>
      <c r="M2" s="73"/>
      <c r="O2" s="11" t="s">
        <v>57</v>
      </c>
      <c r="Q2">
        <f>C18-H18</f>
        <v>0</v>
      </c>
      <c r="S2" s="112"/>
      <c r="T2" s="17"/>
      <c r="U2" s="17"/>
      <c r="V2" s="17"/>
      <c r="W2" s="97">
        <v>42830</v>
      </c>
      <c r="X2" s="101">
        <v>36.43</v>
      </c>
      <c r="Y2" s="101">
        <v>36.76</v>
      </c>
      <c r="Z2" s="101">
        <v>36.17</v>
      </c>
      <c r="AA2" s="101">
        <v>36.22</v>
      </c>
      <c r="AB2" s="99">
        <v>22017600</v>
      </c>
      <c r="AC2" s="98">
        <v>36.22</v>
      </c>
      <c r="AD2" s="2">
        <f>Y2-Z2</f>
        <v>0.58999999999999631</v>
      </c>
      <c r="AE2" s="134">
        <f>AC2/AC3-1</f>
        <v>-1.6538037486218959E-3</v>
      </c>
    </row>
    <row r="3" spans="1:31" x14ac:dyDescent="0.25">
      <c r="A3" s="22" t="s">
        <v>71</v>
      </c>
      <c r="B3" s="72"/>
      <c r="C3" s="4"/>
      <c r="D3" s="3"/>
      <c r="E3" s="3"/>
      <c r="F3" s="3"/>
      <c r="G3" s="72"/>
      <c r="H3" s="161"/>
      <c r="I3" s="4"/>
      <c r="J3" s="4"/>
      <c r="K3" s="17"/>
      <c r="L3" s="72"/>
      <c r="M3" s="3"/>
      <c r="O3" s="11" t="s">
        <v>58</v>
      </c>
      <c r="Q3" s="2">
        <f>IF(Q2=0, Q4, (F18-K18-M18)/Q2)</f>
        <v>47.54</v>
      </c>
      <c r="S3" s="113"/>
      <c r="T3" s="17"/>
      <c r="U3" s="17"/>
      <c r="V3" s="17"/>
      <c r="W3" s="97">
        <v>42829</v>
      </c>
      <c r="X3" s="101">
        <v>36.119999999999997</v>
      </c>
      <c r="Y3" s="101">
        <v>36.380000000000003</v>
      </c>
      <c r="Z3" s="101">
        <v>35.99</v>
      </c>
      <c r="AA3" s="101">
        <v>36.28</v>
      </c>
      <c r="AB3" s="99">
        <v>18835500</v>
      </c>
      <c r="AC3" s="98">
        <v>36.28</v>
      </c>
      <c r="AD3" s="2">
        <f t="shared" ref="AD3:AD66" si="0">Y3-Z3</f>
        <v>0.39000000000000057</v>
      </c>
      <c r="AE3" s="134">
        <f t="shared" ref="AE3:AE66" si="1">AC3/AC4-1</f>
        <v>3.3185840707965486E-3</v>
      </c>
    </row>
    <row r="4" spans="1:31" x14ac:dyDescent="0.25">
      <c r="B4" s="72"/>
      <c r="C4" s="4"/>
      <c r="D4" s="3"/>
      <c r="E4" s="3"/>
      <c r="F4" s="3"/>
      <c r="G4" s="72"/>
      <c r="H4" s="161"/>
      <c r="I4" s="4"/>
      <c r="J4" s="3"/>
      <c r="K4" s="73"/>
      <c r="L4" s="4"/>
      <c r="M4" s="4"/>
      <c r="O4" s="11" t="s">
        <v>66</v>
      </c>
      <c r="Q4" s="54">
        <v>47.54</v>
      </c>
      <c r="R4" s="420">
        <v>3.8999999999999998E-3</v>
      </c>
      <c r="W4" s="97">
        <v>42828</v>
      </c>
      <c r="X4" s="101">
        <v>36.19</v>
      </c>
      <c r="Y4" s="101">
        <v>36.74</v>
      </c>
      <c r="Z4" s="101">
        <v>36.119999999999997</v>
      </c>
      <c r="AA4" s="101">
        <v>36.159999999999997</v>
      </c>
      <c r="AB4" s="99">
        <v>32003500</v>
      </c>
      <c r="AC4" s="98">
        <v>36.159999999999997</v>
      </c>
      <c r="AD4" s="2">
        <f t="shared" si="0"/>
        <v>0.62000000000000455</v>
      </c>
      <c r="AE4" s="134">
        <f t="shared" si="1"/>
        <v>2.4951483227058091E-3</v>
      </c>
    </row>
    <row r="5" spans="1:31" x14ac:dyDescent="0.25">
      <c r="B5" s="72"/>
      <c r="C5" s="4"/>
      <c r="D5" s="3"/>
      <c r="E5" s="3"/>
      <c r="F5" s="3"/>
      <c r="G5" s="72"/>
      <c r="H5" s="161"/>
      <c r="I5" s="4"/>
      <c r="J5" s="3"/>
      <c r="K5" s="73"/>
      <c r="L5" s="4"/>
      <c r="M5" s="4"/>
      <c r="O5" s="11" t="s">
        <v>67</v>
      </c>
      <c r="Q5" s="3">
        <f>Q4*Q2</f>
        <v>0</v>
      </c>
      <c r="S5" s="83"/>
      <c r="W5" s="97">
        <v>42825</v>
      </c>
      <c r="X5" s="101">
        <v>35.75</v>
      </c>
      <c r="Y5" s="101">
        <v>36.25</v>
      </c>
      <c r="Z5" s="101">
        <v>35.74</v>
      </c>
      <c r="AA5" s="101">
        <v>36.07</v>
      </c>
      <c r="AB5" s="99">
        <v>21405500</v>
      </c>
      <c r="AC5" s="98">
        <v>36.07</v>
      </c>
      <c r="AD5" s="2">
        <f t="shared" si="0"/>
        <v>0.50999999999999801</v>
      </c>
      <c r="AE5" s="134">
        <f t="shared" si="1"/>
        <v>8.9510489510489233E-3</v>
      </c>
    </row>
    <row r="6" spans="1:31" x14ac:dyDescent="0.25">
      <c r="B6" s="72"/>
      <c r="C6" s="4"/>
      <c r="D6" s="3"/>
      <c r="E6" s="3"/>
      <c r="F6" s="3"/>
      <c r="G6" s="72"/>
      <c r="H6" s="161"/>
      <c r="I6" s="4"/>
      <c r="J6" s="4"/>
      <c r="K6" s="73"/>
      <c r="L6" s="4"/>
      <c r="M6" s="4"/>
      <c r="O6" s="11" t="s">
        <v>64</v>
      </c>
      <c r="Q6" s="2">
        <f>Q3*Q2</f>
        <v>0</v>
      </c>
      <c r="S6" s="83"/>
      <c r="W6" s="97">
        <v>42824</v>
      </c>
      <c r="X6" s="101">
        <v>35.58</v>
      </c>
      <c r="Y6" s="101">
        <v>35.89</v>
      </c>
      <c r="Z6" s="101">
        <v>35.520000000000003</v>
      </c>
      <c r="AA6" s="101">
        <v>35.75</v>
      </c>
      <c r="AB6" s="99">
        <v>16313200</v>
      </c>
      <c r="AC6" s="98">
        <v>35.75</v>
      </c>
      <c r="AD6" s="2">
        <f t="shared" si="0"/>
        <v>0.36999999999999744</v>
      </c>
      <c r="AE6" s="134">
        <f t="shared" si="1"/>
        <v>5.0604441945458767E-3</v>
      </c>
    </row>
    <row r="7" spans="1:31" x14ac:dyDescent="0.25">
      <c r="B7" s="72"/>
      <c r="C7" s="4"/>
      <c r="D7" s="3"/>
      <c r="E7" s="3"/>
      <c r="F7" s="3"/>
      <c r="G7" s="72"/>
      <c r="H7" s="161"/>
      <c r="I7" s="4"/>
      <c r="J7" s="4"/>
      <c r="K7" s="73"/>
      <c r="L7" s="4"/>
      <c r="M7" s="4"/>
      <c r="O7" s="11" t="s">
        <v>177</v>
      </c>
      <c r="Q7" s="2">
        <f>Q10+Q8</f>
        <v>1407.5400000000009</v>
      </c>
      <c r="R7">
        <v>0</v>
      </c>
      <c r="W7" s="97">
        <v>42823</v>
      </c>
      <c r="X7" s="101">
        <v>35.520000000000003</v>
      </c>
      <c r="Y7" s="101">
        <v>35.700000000000003</v>
      </c>
      <c r="Z7" s="101">
        <v>35.44</v>
      </c>
      <c r="AA7" s="101">
        <v>35.57</v>
      </c>
      <c r="AB7" s="99">
        <v>17109000</v>
      </c>
      <c r="AC7" s="98">
        <v>35.57</v>
      </c>
      <c r="AD7" s="2">
        <f t="shared" si="0"/>
        <v>0.26000000000000512</v>
      </c>
      <c r="AE7" s="134">
        <f t="shared" si="1"/>
        <v>-8.4269662921354627E-4</v>
      </c>
    </row>
    <row r="8" spans="1:31" x14ac:dyDescent="0.25">
      <c r="B8" s="72"/>
      <c r="C8" s="4"/>
      <c r="D8" s="3"/>
      <c r="E8" s="3"/>
      <c r="F8" s="3"/>
      <c r="G8" s="72"/>
      <c r="H8" s="161"/>
      <c r="I8" s="4"/>
      <c r="J8" s="4"/>
      <c r="K8" s="73"/>
      <c r="L8" s="4"/>
      <c r="M8" s="4"/>
      <c r="O8" s="11" t="s">
        <v>179</v>
      </c>
      <c r="P8" s="33"/>
      <c r="Q8" s="2">
        <f>K18+M18-F18+Q2*Q4</f>
        <v>0</v>
      </c>
      <c r="S8" s="118"/>
      <c r="W8" s="97">
        <v>42822</v>
      </c>
      <c r="X8" s="101">
        <v>35.340000000000003</v>
      </c>
      <c r="Y8" s="101">
        <v>35.71</v>
      </c>
      <c r="Z8" s="101">
        <v>35.21</v>
      </c>
      <c r="AA8" s="101">
        <v>35.6</v>
      </c>
      <c r="AB8" s="99">
        <v>18394800</v>
      </c>
      <c r="AC8" s="98">
        <v>35.6</v>
      </c>
      <c r="AD8" s="2">
        <f t="shared" si="0"/>
        <v>0.5</v>
      </c>
      <c r="AE8" s="134">
        <f t="shared" si="1"/>
        <v>5.9338796270131944E-3</v>
      </c>
    </row>
    <row r="9" spans="1:31" x14ac:dyDescent="0.25">
      <c r="B9" s="72"/>
      <c r="C9" s="4"/>
      <c r="D9" s="3"/>
      <c r="E9" s="3"/>
      <c r="F9" s="3"/>
      <c r="G9" s="72"/>
      <c r="H9" s="161"/>
      <c r="I9" s="4"/>
      <c r="J9" s="4"/>
      <c r="K9" s="73"/>
      <c r="L9" s="4"/>
      <c r="M9" s="4"/>
      <c r="O9" s="11" t="s">
        <v>204</v>
      </c>
      <c r="Q9" s="134">
        <f>IF(Q2=0, 0, Q8/Q6)</f>
        <v>0</v>
      </c>
      <c r="W9" s="97">
        <v>42821</v>
      </c>
      <c r="X9" s="101">
        <v>35.07</v>
      </c>
      <c r="Y9" s="101">
        <v>35.5</v>
      </c>
      <c r="Z9" s="101">
        <v>34.94</v>
      </c>
      <c r="AA9" s="101">
        <v>35.39</v>
      </c>
      <c r="AB9" s="99">
        <v>16986300</v>
      </c>
      <c r="AC9" s="98">
        <v>35.39</v>
      </c>
      <c r="AD9" s="2">
        <f t="shared" si="0"/>
        <v>0.56000000000000227</v>
      </c>
      <c r="AE9" s="134">
        <f t="shared" si="1"/>
        <v>6.5415244596132016E-3</v>
      </c>
    </row>
    <row r="10" spans="1:31" x14ac:dyDescent="0.25">
      <c r="B10" s="72"/>
      <c r="C10" s="4"/>
      <c r="D10" s="3"/>
      <c r="E10" s="3"/>
      <c r="F10" s="3"/>
      <c r="G10" s="72"/>
      <c r="H10" s="161"/>
      <c r="I10" s="4"/>
      <c r="J10" s="4"/>
      <c r="K10" s="73"/>
      <c r="L10" s="4"/>
      <c r="M10" s="4"/>
      <c r="O10" s="11" t="s">
        <v>203</v>
      </c>
      <c r="P10" s="33"/>
      <c r="Q10" s="2">
        <f>M33</f>
        <v>1407.5400000000009</v>
      </c>
      <c r="W10" s="97">
        <v>42818</v>
      </c>
      <c r="X10" s="101">
        <v>35.65</v>
      </c>
      <c r="Y10" s="101">
        <v>35.729999999999997</v>
      </c>
      <c r="Z10" s="101">
        <v>35.119999999999997</v>
      </c>
      <c r="AA10" s="101">
        <v>35.159999999999997</v>
      </c>
      <c r="AB10" s="99">
        <v>22030600</v>
      </c>
      <c r="AC10" s="98">
        <v>35.159999999999997</v>
      </c>
      <c r="AD10" s="2">
        <f t="shared" si="0"/>
        <v>0.60999999999999943</v>
      </c>
      <c r="AE10" s="134">
        <f t="shared" si="1"/>
        <v>-3.1187978451944209E-3</v>
      </c>
    </row>
    <row r="11" spans="1:31" x14ac:dyDescent="0.25">
      <c r="B11" s="72"/>
      <c r="C11" s="4"/>
      <c r="D11" s="3"/>
      <c r="E11" s="3"/>
      <c r="F11" s="3"/>
      <c r="G11" s="4"/>
      <c r="H11" s="161"/>
      <c r="I11" s="4"/>
      <c r="J11" s="4"/>
      <c r="K11" s="4"/>
      <c r="L11" s="4"/>
      <c r="M11" s="4"/>
      <c r="O11" s="11" t="s">
        <v>175</v>
      </c>
      <c r="P11" s="33"/>
      <c r="Q11" s="134">
        <f>VALUE(TRIM(CLEAN(MID(U58, FIND("(", U58)+1, 5))))</f>
        <v>3.0200000000000001E-2</v>
      </c>
      <c r="W11" s="97">
        <v>42817</v>
      </c>
      <c r="X11" s="101">
        <v>35.49</v>
      </c>
      <c r="Y11" s="101">
        <v>35.49</v>
      </c>
      <c r="Z11" s="101">
        <v>35.020000000000003</v>
      </c>
      <c r="AA11" s="101">
        <v>35.270000000000003</v>
      </c>
      <c r="AB11" s="99">
        <v>20529600</v>
      </c>
      <c r="AC11" s="98">
        <v>35.270000000000003</v>
      </c>
      <c r="AD11" s="2">
        <f t="shared" si="0"/>
        <v>0.46999999999999886</v>
      </c>
      <c r="AE11" s="134">
        <f t="shared" si="1"/>
        <v>-2.8272547356514854E-3</v>
      </c>
    </row>
    <row r="12" spans="1:31" x14ac:dyDescent="0.25">
      <c r="B12" s="72"/>
      <c r="C12" s="4"/>
      <c r="D12" s="3"/>
      <c r="E12" s="3"/>
      <c r="F12" s="3"/>
      <c r="G12" s="4"/>
      <c r="H12" s="161"/>
      <c r="I12" s="4"/>
      <c r="J12" s="4"/>
      <c r="K12" s="4"/>
      <c r="L12" s="4"/>
      <c r="M12" s="4"/>
      <c r="W12" s="97">
        <v>42816</v>
      </c>
      <c r="X12" s="101">
        <v>35.22</v>
      </c>
      <c r="Y12" s="101">
        <v>35.46</v>
      </c>
      <c r="Z12" s="101">
        <v>35</v>
      </c>
      <c r="AA12" s="101">
        <v>35.369999999999997</v>
      </c>
      <c r="AB12" s="99">
        <v>18704600</v>
      </c>
      <c r="AC12" s="98">
        <v>35.369999999999997</v>
      </c>
      <c r="AD12" s="2">
        <f t="shared" si="0"/>
        <v>0.46000000000000085</v>
      </c>
      <c r="AE12" s="134">
        <f t="shared" si="1"/>
        <v>9.4178082191780366E-3</v>
      </c>
    </row>
    <row r="13" spans="1:31" x14ac:dyDescent="0.25">
      <c r="B13" s="72"/>
      <c r="C13" s="4"/>
      <c r="D13" s="3"/>
      <c r="E13" s="3"/>
      <c r="F13" s="3"/>
      <c r="G13" s="4"/>
      <c r="H13" s="161"/>
      <c r="I13" s="4"/>
      <c r="J13" s="4"/>
      <c r="K13" s="4"/>
      <c r="L13" s="4"/>
      <c r="M13" s="4"/>
      <c r="W13" s="97">
        <v>42815</v>
      </c>
      <c r="X13" s="101">
        <v>35.590000000000003</v>
      </c>
      <c r="Y13" s="101">
        <v>35.6</v>
      </c>
      <c r="Z13" s="101">
        <v>35</v>
      </c>
      <c r="AA13" s="101">
        <v>35.04</v>
      </c>
      <c r="AB13" s="99">
        <v>22513700</v>
      </c>
      <c r="AC13" s="98">
        <v>35.04</v>
      </c>
      <c r="AD13" s="2">
        <f t="shared" si="0"/>
        <v>0.60000000000000142</v>
      </c>
      <c r="AE13" s="134">
        <f t="shared" si="1"/>
        <v>-1.100762066045724E-2</v>
      </c>
    </row>
    <row r="14" spans="1:31" x14ac:dyDescent="0.25">
      <c r="B14" s="72"/>
      <c r="C14" s="4"/>
      <c r="D14" s="4"/>
      <c r="E14" s="3"/>
      <c r="F14" s="3"/>
      <c r="G14" s="4"/>
      <c r="H14" s="161"/>
      <c r="I14" s="4"/>
      <c r="J14" s="4"/>
      <c r="K14" s="4"/>
      <c r="L14" s="4"/>
      <c r="M14" s="4"/>
      <c r="W14" s="97">
        <v>42814</v>
      </c>
      <c r="X14" s="101">
        <v>35.369999999999997</v>
      </c>
      <c r="Y14" s="101">
        <v>35.630000000000003</v>
      </c>
      <c r="Z14" s="101">
        <v>35.26</v>
      </c>
      <c r="AA14" s="101">
        <v>35.43</v>
      </c>
      <c r="AB14" s="99">
        <v>16686200</v>
      </c>
      <c r="AC14" s="98">
        <v>35.43</v>
      </c>
      <c r="AD14" s="2">
        <f t="shared" si="0"/>
        <v>0.37000000000000455</v>
      </c>
      <c r="AE14" s="134">
        <f t="shared" si="1"/>
        <v>4.53643322937336E-3</v>
      </c>
    </row>
    <row r="15" spans="1:31" x14ac:dyDescent="0.25">
      <c r="B15" s="72"/>
      <c r="C15" s="4"/>
      <c r="D15" s="3"/>
      <c r="E15" s="3"/>
      <c r="F15" s="3"/>
      <c r="G15" s="4"/>
      <c r="H15" s="161"/>
      <c r="I15" s="4"/>
      <c r="J15" s="4"/>
      <c r="K15" s="4"/>
      <c r="L15" s="4"/>
      <c r="M15" s="4"/>
      <c r="W15" s="97">
        <v>42811</v>
      </c>
      <c r="X15" s="101">
        <v>35.31</v>
      </c>
      <c r="Y15" s="101">
        <v>35.33</v>
      </c>
      <c r="Z15" s="101">
        <v>35.1</v>
      </c>
      <c r="AA15" s="101">
        <v>35.270000000000003</v>
      </c>
      <c r="AB15" s="99">
        <v>30446300</v>
      </c>
      <c r="AC15" s="98">
        <v>35.270000000000003</v>
      </c>
      <c r="AD15" s="2">
        <f t="shared" si="0"/>
        <v>0.22999999999999687</v>
      </c>
      <c r="AE15" s="134">
        <f t="shared" si="1"/>
        <v>3.6994877632328116E-3</v>
      </c>
    </row>
    <row r="16" spans="1:31" x14ac:dyDescent="0.25">
      <c r="B16" s="4"/>
      <c r="C16" s="4"/>
      <c r="D16" s="4"/>
      <c r="E16" s="4"/>
      <c r="F16" s="4"/>
      <c r="G16" s="4"/>
      <c r="H16" s="161"/>
      <c r="I16" s="4"/>
      <c r="J16" s="4"/>
      <c r="K16" s="4"/>
      <c r="L16" s="4"/>
      <c r="M16" s="4"/>
      <c r="W16" s="97">
        <v>42810</v>
      </c>
      <c r="X16" s="101">
        <v>35.17</v>
      </c>
      <c r="Y16" s="101">
        <v>35.36</v>
      </c>
      <c r="Z16" s="101">
        <v>35.07</v>
      </c>
      <c r="AA16" s="101">
        <v>35.14</v>
      </c>
      <c r="AB16" s="99">
        <v>19377700</v>
      </c>
      <c r="AC16" s="98">
        <v>35.14</v>
      </c>
      <c r="AD16" s="2">
        <f t="shared" si="0"/>
        <v>0.28999999999999915</v>
      </c>
      <c r="AE16" s="134">
        <f t="shared" si="1"/>
        <v>1.1396011396012096E-3</v>
      </c>
    </row>
    <row r="17" spans="1:31" x14ac:dyDescent="0.25">
      <c r="W17" s="97">
        <v>42809</v>
      </c>
      <c r="X17" s="101">
        <v>34.94</v>
      </c>
      <c r="Y17" s="101">
        <v>35.17</v>
      </c>
      <c r="Z17" s="101">
        <v>34.68</v>
      </c>
      <c r="AA17" s="101">
        <v>35.1</v>
      </c>
      <c r="AB17" s="99">
        <v>27964300</v>
      </c>
      <c r="AC17" s="98">
        <v>35.1</v>
      </c>
      <c r="AD17" s="2">
        <f t="shared" si="0"/>
        <v>0.49000000000000199</v>
      </c>
      <c r="AE17" s="134">
        <f t="shared" si="1"/>
        <v>-2.2740193291642674E-3</v>
      </c>
    </row>
    <row r="18" spans="1:31" x14ac:dyDescent="0.25">
      <c r="A18" s="21" t="s">
        <v>81</v>
      </c>
      <c r="B18" s="12"/>
      <c r="C18" s="12">
        <f>SUM(C2:C17)</f>
        <v>0</v>
      </c>
      <c r="D18" s="12"/>
      <c r="E18" s="12"/>
      <c r="F18" s="13">
        <f>SUM(F2:F17)</f>
        <v>0</v>
      </c>
      <c r="G18" s="13"/>
      <c r="H18" s="75">
        <f>SUM(H2:H17)</f>
        <v>0</v>
      </c>
      <c r="I18" s="13"/>
      <c r="J18" s="13"/>
      <c r="K18" s="13">
        <f>SUM(K2:K17)</f>
        <v>0</v>
      </c>
      <c r="L18" s="13"/>
      <c r="M18" s="13">
        <f>SUM(M2:M15)</f>
        <v>0</v>
      </c>
      <c r="W18" s="97">
        <v>42808</v>
      </c>
      <c r="X18" s="101">
        <v>35.06</v>
      </c>
      <c r="Y18" s="101">
        <v>35.229999999999997</v>
      </c>
      <c r="Z18" s="101">
        <v>34.659999999999997</v>
      </c>
      <c r="AA18" s="101">
        <v>35.18</v>
      </c>
      <c r="AB18" s="99">
        <v>28538100</v>
      </c>
      <c r="AC18" s="98">
        <v>35.18</v>
      </c>
      <c r="AD18" s="2">
        <f t="shared" si="0"/>
        <v>0.57000000000000028</v>
      </c>
      <c r="AE18" s="134">
        <f t="shared" si="1"/>
        <v>5.6882821387960192E-4</v>
      </c>
    </row>
    <row r="19" spans="1:31" x14ac:dyDescent="0.25">
      <c r="W19" s="97">
        <v>42807</v>
      </c>
      <c r="X19" s="101">
        <v>35.85</v>
      </c>
      <c r="Y19" s="101">
        <v>36.04</v>
      </c>
      <c r="Z19" s="101">
        <v>34.94</v>
      </c>
      <c r="AA19" s="101">
        <v>35.159999999999997</v>
      </c>
      <c r="AB19" s="99">
        <v>52088500</v>
      </c>
      <c r="AC19" s="98">
        <v>35.159999999999997</v>
      </c>
      <c r="AD19" s="2">
        <f t="shared" si="0"/>
        <v>1.1000000000000014</v>
      </c>
      <c r="AE19" s="134">
        <f t="shared" si="1"/>
        <v>-2.0885547201336729E-2</v>
      </c>
    </row>
    <row r="20" spans="1:31" x14ac:dyDescent="0.25">
      <c r="B20" s="162" t="s">
        <v>113</v>
      </c>
      <c r="C20" s="162" t="s">
        <v>145</v>
      </c>
      <c r="D20" s="163" t="s">
        <v>144</v>
      </c>
      <c r="E20" s="165" t="s">
        <v>146</v>
      </c>
      <c r="F20" s="166" t="s">
        <v>65</v>
      </c>
      <c r="G20" s="177" t="s">
        <v>150</v>
      </c>
      <c r="W20" s="97">
        <v>42804</v>
      </c>
      <c r="X20" s="101">
        <v>36.119999999999997</v>
      </c>
      <c r="Y20" s="101">
        <v>36.299999999999997</v>
      </c>
      <c r="Z20" s="101">
        <v>35.78</v>
      </c>
      <c r="AA20" s="101">
        <v>35.909999999999997</v>
      </c>
      <c r="AB20" s="99">
        <v>24626400</v>
      </c>
      <c r="AC20" s="98">
        <v>35.909999999999997</v>
      </c>
      <c r="AD20" s="2">
        <f t="shared" si="0"/>
        <v>0.51999999999999602</v>
      </c>
      <c r="AE20" s="134">
        <f t="shared" si="1"/>
        <v>2.5125628140703071E-3</v>
      </c>
    </row>
    <row r="21" spans="1:31" x14ac:dyDescent="0.25">
      <c r="B21" s="164"/>
      <c r="C21" s="10"/>
      <c r="D21" s="39"/>
      <c r="E21" s="39"/>
      <c r="F21" s="39"/>
      <c r="G21" s="39"/>
      <c r="W21" s="97">
        <v>42803</v>
      </c>
      <c r="X21" s="101">
        <v>35.6</v>
      </c>
      <c r="Y21" s="101">
        <v>35.94</v>
      </c>
      <c r="Z21" s="101">
        <v>35.5</v>
      </c>
      <c r="AA21" s="101">
        <v>35.82</v>
      </c>
      <c r="AB21" s="99">
        <v>23543100</v>
      </c>
      <c r="AC21" s="98">
        <v>35.82</v>
      </c>
      <c r="AD21" s="2">
        <f t="shared" si="0"/>
        <v>0.43999999999999773</v>
      </c>
      <c r="AE21" s="134">
        <f t="shared" si="1"/>
        <v>5.6148231330714893E-3</v>
      </c>
    </row>
    <row r="22" spans="1:31" x14ac:dyDescent="0.25">
      <c r="B22" s="164"/>
      <c r="C22" s="10"/>
      <c r="D22" s="39"/>
      <c r="E22" s="39"/>
      <c r="F22" s="39"/>
      <c r="G22" s="39"/>
      <c r="W22" s="97">
        <v>42802</v>
      </c>
      <c r="X22" s="101">
        <v>35.67</v>
      </c>
      <c r="Y22" s="101">
        <v>35.9</v>
      </c>
      <c r="Z22" s="101">
        <v>35.53</v>
      </c>
      <c r="AA22" s="101">
        <v>35.619999999999997</v>
      </c>
      <c r="AB22" s="99">
        <v>20899400</v>
      </c>
      <c r="AC22" s="98">
        <v>35.619999999999997</v>
      </c>
      <c r="AD22" s="2">
        <f t="shared" si="0"/>
        <v>0.36999999999999744</v>
      </c>
      <c r="AE22" s="134">
        <f t="shared" si="1"/>
        <v>-5.0279329608938772E-3</v>
      </c>
    </row>
    <row r="23" spans="1:31" x14ac:dyDescent="0.25">
      <c r="B23" s="10"/>
      <c r="C23" s="10"/>
      <c r="D23" s="39"/>
      <c r="E23" s="39"/>
      <c r="F23" s="39"/>
      <c r="G23" s="39"/>
      <c r="W23" s="97">
        <v>42801</v>
      </c>
      <c r="X23" s="101">
        <v>35.54</v>
      </c>
      <c r="Y23" s="101">
        <v>35.799999999999997</v>
      </c>
      <c r="Z23" s="101">
        <v>35.39</v>
      </c>
      <c r="AA23" s="101">
        <v>35.799999999999997</v>
      </c>
      <c r="AB23" s="99">
        <v>23337700</v>
      </c>
      <c r="AC23" s="98">
        <v>35.799999999999997</v>
      </c>
      <c r="AD23" s="2">
        <f t="shared" si="0"/>
        <v>0.40999999999999659</v>
      </c>
      <c r="AE23" s="134">
        <f t="shared" si="1"/>
        <v>6.4661231374754102E-3</v>
      </c>
    </row>
    <row r="24" spans="1:31" x14ac:dyDescent="0.25">
      <c r="B24" s="10"/>
      <c r="C24" s="10"/>
      <c r="D24" s="39"/>
      <c r="E24" s="39"/>
      <c r="F24" s="39"/>
      <c r="G24" s="39"/>
      <c r="W24" s="97">
        <v>42800</v>
      </c>
      <c r="X24" s="101">
        <v>35.79</v>
      </c>
      <c r="Y24" s="101">
        <v>35.799999999999997</v>
      </c>
      <c r="Z24" s="101">
        <v>35.42</v>
      </c>
      <c r="AA24" s="101">
        <v>35.57</v>
      </c>
      <c r="AB24" s="99">
        <v>24280300</v>
      </c>
      <c r="AC24" s="98">
        <v>35.57</v>
      </c>
      <c r="AD24" s="2">
        <f t="shared" si="0"/>
        <v>0.37999999999999545</v>
      </c>
      <c r="AE24" s="134">
        <f t="shared" si="1"/>
        <v>-9.1922005571030141E-3</v>
      </c>
    </row>
    <row r="25" spans="1:31" x14ac:dyDescent="0.25">
      <c r="B25" s="10"/>
      <c r="C25" s="10"/>
      <c r="D25" s="39"/>
      <c r="E25" s="39"/>
      <c r="F25" s="39"/>
      <c r="G25" s="39"/>
      <c r="W25" s="97">
        <v>42797</v>
      </c>
      <c r="X25" s="101">
        <v>35.94</v>
      </c>
      <c r="Y25" s="101">
        <v>36.090000000000003</v>
      </c>
      <c r="Z25" s="101">
        <v>35.67</v>
      </c>
      <c r="AA25" s="101">
        <v>35.9</v>
      </c>
      <c r="AB25" s="99">
        <v>17538100</v>
      </c>
      <c r="AC25" s="98">
        <v>35.9</v>
      </c>
      <c r="AD25" s="2">
        <f t="shared" si="0"/>
        <v>0.42000000000000171</v>
      </c>
      <c r="AE25" s="134">
        <f t="shared" si="1"/>
        <v>-2.7847396268443347E-4</v>
      </c>
    </row>
    <row r="26" spans="1:31" x14ac:dyDescent="0.25">
      <c r="B26" s="10"/>
      <c r="C26" s="10"/>
      <c r="D26" s="39"/>
      <c r="E26" s="39"/>
      <c r="F26" s="39"/>
      <c r="G26" s="39"/>
      <c r="W26" s="97">
        <v>42796</v>
      </c>
      <c r="X26" s="101">
        <v>35.93</v>
      </c>
      <c r="Y26" s="101">
        <v>36.020000000000003</v>
      </c>
      <c r="Z26" s="101">
        <v>35.65</v>
      </c>
      <c r="AA26" s="101">
        <v>35.909999999999997</v>
      </c>
      <c r="AB26" s="99">
        <v>23591200</v>
      </c>
      <c r="AC26" s="98">
        <v>35.909999999999997</v>
      </c>
      <c r="AD26" s="2">
        <f t="shared" si="0"/>
        <v>0.37000000000000455</v>
      </c>
      <c r="AE26" s="134">
        <f t="shared" si="1"/>
        <v>-5.5663790704152394E-4</v>
      </c>
    </row>
    <row r="27" spans="1:31" x14ac:dyDescent="0.25">
      <c r="B27" s="10"/>
      <c r="C27" s="10"/>
      <c r="D27" s="39"/>
      <c r="E27" s="39"/>
      <c r="F27" s="39"/>
      <c r="G27" s="39"/>
      <c r="W27" s="97">
        <v>42795</v>
      </c>
      <c r="X27" s="101">
        <v>35.85</v>
      </c>
      <c r="Y27" s="101">
        <v>36.1</v>
      </c>
      <c r="Z27" s="101">
        <v>35.44</v>
      </c>
      <c r="AA27" s="101">
        <v>35.93</v>
      </c>
      <c r="AB27" s="99">
        <v>33969900</v>
      </c>
      <c r="AC27" s="98">
        <v>35.93</v>
      </c>
      <c r="AD27" s="2">
        <f t="shared" si="0"/>
        <v>0.66000000000000369</v>
      </c>
      <c r="AE27" s="134">
        <f t="shared" si="1"/>
        <v>-7.4585635359116775E-3</v>
      </c>
    </row>
    <row r="28" spans="1:31" x14ac:dyDescent="0.25">
      <c r="B28" s="10"/>
      <c r="C28" s="10"/>
      <c r="D28" s="39"/>
      <c r="E28" s="39"/>
      <c r="F28" s="39"/>
      <c r="G28" s="39"/>
      <c r="W28" s="97">
        <v>42794</v>
      </c>
      <c r="X28" s="101">
        <v>36.42</v>
      </c>
      <c r="Y28" s="101">
        <v>36.46</v>
      </c>
      <c r="Z28" s="101">
        <v>36</v>
      </c>
      <c r="AA28" s="101">
        <v>36.200000000000003</v>
      </c>
      <c r="AB28" s="99">
        <v>24793100</v>
      </c>
      <c r="AC28" s="98">
        <v>36.200000000000003</v>
      </c>
      <c r="AD28" s="2">
        <f t="shared" si="0"/>
        <v>0.46000000000000085</v>
      </c>
      <c r="AE28" s="134">
        <f t="shared" si="1"/>
        <v>-8.4908244316623804E-3</v>
      </c>
    </row>
    <row r="29" spans="1:31" x14ac:dyDescent="0.25">
      <c r="B29" s="10"/>
      <c r="C29" s="10"/>
      <c r="D29" s="39"/>
      <c r="E29" s="39"/>
      <c r="F29" s="39"/>
      <c r="G29" s="39"/>
      <c r="W29" s="97">
        <v>42793</v>
      </c>
      <c r="X29" s="101">
        <v>36.42</v>
      </c>
      <c r="Y29" s="101">
        <v>36.68</v>
      </c>
      <c r="Z29" s="101">
        <v>36.270000000000003</v>
      </c>
      <c r="AA29" s="101">
        <v>36.51</v>
      </c>
      <c r="AB29" s="99">
        <v>14063400</v>
      </c>
      <c r="AC29" s="98">
        <v>36.51</v>
      </c>
      <c r="AD29" s="2">
        <f t="shared" si="0"/>
        <v>0.40999999999999659</v>
      </c>
      <c r="AE29" s="134">
        <f t="shared" si="1"/>
        <v>-5.474952094169927E-4</v>
      </c>
    </row>
    <row r="30" spans="1:31" x14ac:dyDescent="0.25">
      <c r="B30" s="10"/>
      <c r="C30" s="10"/>
      <c r="D30" s="39"/>
      <c r="E30" s="39"/>
      <c r="F30" s="39"/>
      <c r="G30" s="39"/>
      <c r="W30" s="97">
        <v>42790</v>
      </c>
      <c r="X30" s="101">
        <v>36.14</v>
      </c>
      <c r="Y30" s="101">
        <v>36.53</v>
      </c>
      <c r="Z30" s="101">
        <v>35.950000000000003</v>
      </c>
      <c r="AA30" s="101">
        <v>36.53</v>
      </c>
      <c r="AB30" s="99">
        <v>18515100</v>
      </c>
      <c r="AC30" s="98">
        <v>36.53</v>
      </c>
      <c r="AD30" s="2">
        <f t="shared" si="0"/>
        <v>0.57999999999999829</v>
      </c>
      <c r="AE30" s="134">
        <f t="shared" si="1"/>
        <v>9.6738529574351695E-3</v>
      </c>
    </row>
    <row r="31" spans="1:31" x14ac:dyDescent="0.25">
      <c r="W31" s="97">
        <v>42789</v>
      </c>
      <c r="X31" s="101">
        <v>36.24</v>
      </c>
      <c r="Y31" s="101">
        <v>36.299999999999997</v>
      </c>
      <c r="Z31" s="101">
        <v>35.9</v>
      </c>
      <c r="AA31" s="101">
        <v>36.18</v>
      </c>
      <c r="AB31" s="99">
        <v>22509000</v>
      </c>
      <c r="AC31" s="98">
        <v>36.18</v>
      </c>
      <c r="AD31" s="2">
        <f t="shared" si="0"/>
        <v>0.39999999999999858</v>
      </c>
      <c r="AE31" s="134">
        <f t="shared" si="1"/>
        <v>3.0496257277514704E-3</v>
      </c>
    </row>
    <row r="32" spans="1:31" x14ac:dyDescent="0.25">
      <c r="W32" s="97">
        <v>42788</v>
      </c>
      <c r="X32" s="101">
        <v>36.340000000000003</v>
      </c>
      <c r="Y32" s="101">
        <v>36.4</v>
      </c>
      <c r="Z32" s="101">
        <v>35.79</v>
      </c>
      <c r="AA32" s="101">
        <v>36.07</v>
      </c>
      <c r="AB32" s="99">
        <v>29868400</v>
      </c>
      <c r="AC32" s="98">
        <v>36.07</v>
      </c>
      <c r="AD32" s="2">
        <f t="shared" si="0"/>
        <v>0.60999999999999943</v>
      </c>
      <c r="AE32" s="134">
        <f t="shared" si="1"/>
        <v>-1.232201533406363E-2</v>
      </c>
    </row>
    <row r="33" spans="1:31" x14ac:dyDescent="0.25">
      <c r="L33" t="s">
        <v>203</v>
      </c>
      <c r="M33" s="2">
        <f>M56+K56-F56</f>
        <v>1407.5400000000009</v>
      </c>
      <c r="W33" s="97">
        <v>42787</v>
      </c>
      <c r="X33" s="101">
        <v>36.53</v>
      </c>
      <c r="Y33" s="101">
        <v>36.65</v>
      </c>
      <c r="Z33" s="101">
        <v>36.33</v>
      </c>
      <c r="AA33" s="101">
        <v>36.520000000000003</v>
      </c>
      <c r="AB33" s="99">
        <v>20542400</v>
      </c>
      <c r="AC33" s="98">
        <v>36.520000000000003</v>
      </c>
      <c r="AD33" s="2">
        <f t="shared" si="0"/>
        <v>0.32000000000000028</v>
      </c>
      <c r="AE33" s="134">
        <f t="shared" si="1"/>
        <v>1.0964912280704286E-3</v>
      </c>
    </row>
    <row r="34" spans="1:31" x14ac:dyDescent="0.25">
      <c r="A34" s="199" t="s">
        <v>1</v>
      </c>
      <c r="B34" s="199" t="s">
        <v>2</v>
      </c>
      <c r="C34" s="199" t="s">
        <v>4</v>
      </c>
      <c r="D34" s="199" t="s">
        <v>5</v>
      </c>
      <c r="E34" s="199" t="s">
        <v>90</v>
      </c>
      <c r="F34" s="199" t="s">
        <v>60</v>
      </c>
      <c r="G34" s="199" t="s">
        <v>3</v>
      </c>
      <c r="H34" s="326" t="s">
        <v>6</v>
      </c>
      <c r="I34" s="199" t="s">
        <v>7</v>
      </c>
      <c r="J34" s="199" t="s">
        <v>89</v>
      </c>
      <c r="K34" s="199" t="s">
        <v>61</v>
      </c>
      <c r="L34" s="199" t="s">
        <v>77</v>
      </c>
      <c r="M34" s="199" t="s">
        <v>38</v>
      </c>
      <c r="W34" s="97">
        <v>42783</v>
      </c>
      <c r="X34" s="101">
        <v>36.32</v>
      </c>
      <c r="Y34" s="101">
        <v>36.479999999999997</v>
      </c>
      <c r="Z34" s="101">
        <v>36.1</v>
      </c>
      <c r="AA34" s="101">
        <v>36.479999999999997</v>
      </c>
      <c r="AB34" s="99">
        <v>18712800</v>
      </c>
      <c r="AC34" s="98">
        <v>36.479999999999997</v>
      </c>
      <c r="AD34" s="2">
        <f t="shared" si="0"/>
        <v>0.37999999999999545</v>
      </c>
      <c r="AE34" s="134">
        <f t="shared" si="1"/>
        <v>1.9225487503433669E-3</v>
      </c>
    </row>
    <row r="35" spans="1:31" x14ac:dyDescent="0.25">
      <c r="A35" s="201" t="s">
        <v>27</v>
      </c>
      <c r="B35" s="202">
        <v>42164</v>
      </c>
      <c r="C35" s="197">
        <v>30</v>
      </c>
      <c r="D35" s="198">
        <v>32.200000000000003</v>
      </c>
      <c r="E35" s="198">
        <v>0</v>
      </c>
      <c r="F35" s="198">
        <f>C35*D35</f>
        <v>966.00000000000011</v>
      </c>
      <c r="G35" s="327">
        <v>42247</v>
      </c>
      <c r="H35" s="328">
        <v>100</v>
      </c>
      <c r="I35" s="290">
        <v>27.15</v>
      </c>
      <c r="J35" s="290">
        <v>0.05</v>
      </c>
      <c r="K35" s="211">
        <f t="shared" ref="K35:K43" si="2">H35*I35-J35</f>
        <v>2714.95</v>
      </c>
      <c r="L35" s="202">
        <v>42248</v>
      </c>
      <c r="M35" s="290">
        <v>156</v>
      </c>
      <c r="W35" s="97">
        <v>42782</v>
      </c>
      <c r="X35" s="101">
        <v>36.18</v>
      </c>
      <c r="Y35" s="101">
        <v>36.56</v>
      </c>
      <c r="Z35" s="101">
        <v>36.1</v>
      </c>
      <c r="AA35" s="101">
        <v>36.409999999999997</v>
      </c>
      <c r="AB35" s="99">
        <v>21181700</v>
      </c>
      <c r="AC35" s="98">
        <v>36.409999999999997</v>
      </c>
      <c r="AD35" s="2">
        <f t="shared" si="0"/>
        <v>0.46000000000000085</v>
      </c>
      <c r="AE35" s="134">
        <f t="shared" si="1"/>
        <v>9.986130374479929E-3</v>
      </c>
    </row>
    <row r="36" spans="1:31" x14ac:dyDescent="0.25">
      <c r="A36" s="204" t="s">
        <v>71</v>
      </c>
      <c r="B36" s="202">
        <v>42166</v>
      </c>
      <c r="C36" s="197">
        <v>30</v>
      </c>
      <c r="D36" s="198">
        <v>31.3</v>
      </c>
      <c r="E36" s="198">
        <v>0</v>
      </c>
      <c r="F36" s="198">
        <f t="shared" ref="F36:F43" si="3">C36*D36</f>
        <v>939</v>
      </c>
      <c r="G36" s="202">
        <v>42263</v>
      </c>
      <c r="H36" s="203">
        <v>230</v>
      </c>
      <c r="I36" s="197">
        <v>29.47</v>
      </c>
      <c r="J36" s="197">
        <v>0.12</v>
      </c>
      <c r="K36" s="211">
        <f t="shared" si="2"/>
        <v>6777.98</v>
      </c>
      <c r="L36" s="202">
        <v>42339</v>
      </c>
      <c r="M36" s="198">
        <v>26.4</v>
      </c>
      <c r="W36" s="97">
        <v>42781</v>
      </c>
      <c r="X36" s="101">
        <v>35.979999999999997</v>
      </c>
      <c r="Y36" s="101">
        <v>36.06</v>
      </c>
      <c r="Z36" s="101">
        <v>35.67</v>
      </c>
      <c r="AA36" s="101">
        <v>36.049999999999997</v>
      </c>
      <c r="AB36" s="99">
        <v>18364200</v>
      </c>
      <c r="AC36" s="98">
        <v>36.049999999999997</v>
      </c>
      <c r="AD36" s="2">
        <f t="shared" si="0"/>
        <v>0.39000000000000057</v>
      </c>
      <c r="AE36" s="134">
        <f t="shared" si="1"/>
        <v>3.3398274422486995E-3</v>
      </c>
    </row>
    <row r="37" spans="1:31" x14ac:dyDescent="0.25">
      <c r="A37" s="197"/>
      <c r="B37" s="202">
        <v>42186</v>
      </c>
      <c r="C37" s="197">
        <v>140</v>
      </c>
      <c r="D37" s="198">
        <v>31.1</v>
      </c>
      <c r="E37" s="198">
        <v>0</v>
      </c>
      <c r="F37" s="198">
        <f t="shared" si="3"/>
        <v>4354</v>
      </c>
      <c r="G37" s="202">
        <v>42263</v>
      </c>
      <c r="H37" s="203">
        <v>180</v>
      </c>
      <c r="I37" s="197">
        <v>29.49</v>
      </c>
      <c r="J37" s="198">
        <v>0.09</v>
      </c>
      <c r="K37" s="290">
        <f t="shared" si="2"/>
        <v>5308.11</v>
      </c>
      <c r="L37" s="197"/>
      <c r="M37" s="197"/>
      <c r="W37" s="97">
        <v>42780</v>
      </c>
      <c r="X37" s="101">
        <v>35.840000000000003</v>
      </c>
      <c r="Y37" s="101">
        <v>35.96</v>
      </c>
      <c r="Z37" s="101">
        <v>35.53</v>
      </c>
      <c r="AA37" s="101">
        <v>35.93</v>
      </c>
      <c r="AB37" s="99">
        <v>25725100</v>
      </c>
      <c r="AC37" s="98">
        <v>35.93</v>
      </c>
      <c r="AD37" s="2">
        <f t="shared" si="0"/>
        <v>0.42999999999999972</v>
      </c>
      <c r="AE37" s="134">
        <f t="shared" si="1"/>
        <v>3.6312849162012384E-3</v>
      </c>
    </row>
    <row r="38" spans="1:31" x14ac:dyDescent="0.25">
      <c r="A38" s="197"/>
      <c r="B38" s="202">
        <v>42186</v>
      </c>
      <c r="C38" s="197">
        <v>200</v>
      </c>
      <c r="D38" s="198">
        <v>30.9</v>
      </c>
      <c r="E38" s="198">
        <v>0</v>
      </c>
      <c r="F38" s="198">
        <f t="shared" si="3"/>
        <v>6180</v>
      </c>
      <c r="G38" s="202">
        <v>42282</v>
      </c>
      <c r="H38" s="203">
        <v>710</v>
      </c>
      <c r="I38" s="197">
        <v>30.05</v>
      </c>
      <c r="J38" s="198">
        <v>0.39</v>
      </c>
      <c r="K38" s="290">
        <f t="shared" si="2"/>
        <v>21335.11</v>
      </c>
      <c r="L38" s="197"/>
      <c r="M38" s="197"/>
      <c r="W38" s="97">
        <v>42779</v>
      </c>
      <c r="X38" s="101">
        <v>35.57</v>
      </c>
      <c r="Y38" s="101">
        <v>35.85</v>
      </c>
      <c r="Z38" s="101">
        <v>35.340000000000003</v>
      </c>
      <c r="AA38" s="101">
        <v>35.799999999999997</v>
      </c>
      <c r="AB38" s="99">
        <v>28180600</v>
      </c>
      <c r="AC38" s="98">
        <v>35.799999999999997</v>
      </c>
      <c r="AD38" s="2">
        <f t="shared" si="0"/>
        <v>0.50999999999999801</v>
      </c>
      <c r="AE38" s="134">
        <f t="shared" si="1"/>
        <v>1.3016411997736066E-2</v>
      </c>
    </row>
    <row r="39" spans="1:31" x14ac:dyDescent="0.25">
      <c r="A39" s="197"/>
      <c r="B39" s="202">
        <v>42194</v>
      </c>
      <c r="C39" s="197">
        <v>100</v>
      </c>
      <c r="D39" s="198">
        <v>29.8</v>
      </c>
      <c r="E39" s="198">
        <v>0</v>
      </c>
      <c r="F39" s="198">
        <f t="shared" si="3"/>
        <v>2980</v>
      </c>
      <c r="G39" s="202">
        <v>42291</v>
      </c>
      <c r="H39" s="203">
        <v>60</v>
      </c>
      <c r="I39" s="197">
        <v>32.450000000000003</v>
      </c>
      <c r="J39" s="197">
        <v>0.04</v>
      </c>
      <c r="K39" s="290">
        <f t="shared" si="2"/>
        <v>1946.9600000000003</v>
      </c>
      <c r="L39" s="197"/>
      <c r="M39" s="197"/>
      <c r="W39" s="97">
        <v>42776</v>
      </c>
      <c r="X39" s="101">
        <v>35.26</v>
      </c>
      <c r="Y39" s="101">
        <v>35.43</v>
      </c>
      <c r="Z39" s="101">
        <v>34.840000000000003</v>
      </c>
      <c r="AA39" s="101">
        <v>35.340000000000003</v>
      </c>
      <c r="AB39" s="99">
        <v>44106500</v>
      </c>
      <c r="AC39" s="98">
        <v>35.340000000000003</v>
      </c>
      <c r="AD39" s="2">
        <f t="shared" si="0"/>
        <v>0.58999999999999631</v>
      </c>
      <c r="AE39" s="134">
        <f t="shared" si="1"/>
        <v>-3.3840947546530664E-3</v>
      </c>
    </row>
    <row r="40" spans="1:31" ht="20.25" thickBot="1" x14ac:dyDescent="0.35">
      <c r="A40" s="197"/>
      <c r="B40" s="202">
        <v>42207</v>
      </c>
      <c r="C40" s="197">
        <v>50</v>
      </c>
      <c r="D40" s="198">
        <v>29.32</v>
      </c>
      <c r="E40" s="198">
        <v>0</v>
      </c>
      <c r="F40" s="198">
        <f t="shared" si="3"/>
        <v>1466</v>
      </c>
      <c r="G40" s="202">
        <v>42296</v>
      </c>
      <c r="H40" s="203">
        <v>200</v>
      </c>
      <c r="I40" s="197">
        <v>32.82</v>
      </c>
      <c r="J40" s="197">
        <v>0.12</v>
      </c>
      <c r="K40" s="290">
        <f t="shared" si="2"/>
        <v>6563.88</v>
      </c>
      <c r="L40" s="197"/>
      <c r="M40" s="197"/>
      <c r="O40" s="884" t="s">
        <v>78</v>
      </c>
      <c r="P40" s="884"/>
      <c r="W40" s="97">
        <v>42775</v>
      </c>
      <c r="X40" s="101">
        <v>36.5</v>
      </c>
      <c r="Y40" s="101">
        <v>36.5</v>
      </c>
      <c r="Z40" s="101">
        <v>35.4</v>
      </c>
      <c r="AA40" s="101">
        <v>35.46</v>
      </c>
      <c r="AB40" s="99">
        <v>47802700</v>
      </c>
      <c r="AC40" s="98">
        <v>35.46</v>
      </c>
      <c r="AD40" s="2">
        <f t="shared" si="0"/>
        <v>1.1000000000000014</v>
      </c>
      <c r="AE40" s="134">
        <f t="shared" si="1"/>
        <v>-2.5288620120945571E-2</v>
      </c>
    </row>
    <row r="41" spans="1:31" ht="15.75" thickTop="1" x14ac:dyDescent="0.25">
      <c r="A41" s="197"/>
      <c r="B41" s="202">
        <v>42209</v>
      </c>
      <c r="C41" s="197">
        <v>50</v>
      </c>
      <c r="D41" s="198">
        <v>28.6</v>
      </c>
      <c r="E41" s="198">
        <v>0</v>
      </c>
      <c r="F41" s="198">
        <f t="shared" si="3"/>
        <v>1430</v>
      </c>
      <c r="G41" s="202">
        <v>42299</v>
      </c>
      <c r="H41" s="203">
        <v>80</v>
      </c>
      <c r="I41" s="197">
        <v>33.549999999999997</v>
      </c>
      <c r="J41" s="197">
        <v>0.05</v>
      </c>
      <c r="K41" s="290">
        <f t="shared" si="2"/>
        <v>2683.95</v>
      </c>
      <c r="L41" s="197"/>
      <c r="M41" s="197"/>
      <c r="O41" s="81">
        <v>1.1000000000000001</v>
      </c>
      <c r="P41" s="81">
        <f>O41*$Q$4</f>
        <v>52.294000000000004</v>
      </c>
      <c r="Q41" s="2"/>
      <c r="W41" s="97">
        <v>42774</v>
      </c>
      <c r="X41" s="101">
        <v>36.340000000000003</v>
      </c>
      <c r="Y41" s="101">
        <v>36.65</v>
      </c>
      <c r="Z41" s="101">
        <v>36.14</v>
      </c>
      <c r="AA41" s="101">
        <v>36.380000000000003</v>
      </c>
      <c r="AB41" s="99">
        <v>20807400</v>
      </c>
      <c r="AC41" s="98">
        <v>36.380000000000003</v>
      </c>
      <c r="AD41" s="2">
        <f t="shared" si="0"/>
        <v>0.50999999999999801</v>
      </c>
      <c r="AE41" s="134">
        <f t="shared" si="1"/>
        <v>8.2530949105907858E-4</v>
      </c>
    </row>
    <row r="42" spans="1:31" ht="20.25" thickBot="1" x14ac:dyDescent="0.35">
      <c r="A42" s="197"/>
      <c r="B42" s="202">
        <v>42214</v>
      </c>
      <c r="C42" s="197">
        <v>50</v>
      </c>
      <c r="D42" s="198">
        <v>28.19</v>
      </c>
      <c r="E42" s="198">
        <v>0</v>
      </c>
      <c r="F42" s="198">
        <f t="shared" si="3"/>
        <v>1409.5</v>
      </c>
      <c r="G42" s="202">
        <v>42304</v>
      </c>
      <c r="H42" s="203">
        <v>40</v>
      </c>
      <c r="I42" s="197">
        <v>34.049999999999997</v>
      </c>
      <c r="J42" s="197">
        <v>0.03</v>
      </c>
      <c r="K42" s="290">
        <f t="shared" si="2"/>
        <v>1361.97</v>
      </c>
      <c r="L42" s="197"/>
      <c r="M42" s="197"/>
      <c r="O42" s="81">
        <v>1.0900000000000001</v>
      </c>
      <c r="P42" s="81">
        <f t="shared" ref="P42:P61" si="4">O42*$Q$4</f>
        <v>51.818600000000004</v>
      </c>
      <c r="Q42" s="2"/>
      <c r="T42" s="89" t="s">
        <v>112</v>
      </c>
      <c r="W42" s="97">
        <v>42773</v>
      </c>
      <c r="X42" s="101">
        <v>36.450000000000003</v>
      </c>
      <c r="Y42" s="101">
        <v>36.520000000000003</v>
      </c>
      <c r="Z42" s="101">
        <v>36.24</v>
      </c>
      <c r="AA42" s="101">
        <v>36.35</v>
      </c>
      <c r="AB42" s="99">
        <v>18581900</v>
      </c>
      <c r="AC42" s="98">
        <v>36.35</v>
      </c>
      <c r="AD42" s="2">
        <f t="shared" si="0"/>
        <v>0.28000000000000114</v>
      </c>
      <c r="AE42" s="134">
        <f t="shared" si="1"/>
        <v>2.2056796250344846E-3</v>
      </c>
    </row>
    <row r="43" spans="1:31" ht="15.75" thickTop="1" x14ac:dyDescent="0.25">
      <c r="A43" s="197"/>
      <c r="B43" s="202">
        <v>42240</v>
      </c>
      <c r="C43" s="197">
        <v>100</v>
      </c>
      <c r="D43" s="198">
        <v>28.4</v>
      </c>
      <c r="E43" s="198">
        <v>0</v>
      </c>
      <c r="F43" s="198">
        <f t="shared" si="3"/>
        <v>2840</v>
      </c>
      <c r="G43" s="202">
        <v>42332</v>
      </c>
      <c r="H43" s="203">
        <v>110</v>
      </c>
      <c r="I43" s="197">
        <v>34.450000000000003</v>
      </c>
      <c r="J43" s="197">
        <v>7.0000000000000007E-2</v>
      </c>
      <c r="K43" s="290">
        <f t="shared" si="2"/>
        <v>3789.4300000000003</v>
      </c>
      <c r="L43" s="197"/>
      <c r="M43" s="197"/>
      <c r="O43" s="81">
        <v>1.08</v>
      </c>
      <c r="P43" s="81">
        <f t="shared" si="4"/>
        <v>51.343200000000003</v>
      </c>
      <c r="Q43" s="2"/>
      <c r="T43" s="95" t="s">
        <v>97</v>
      </c>
      <c r="U43" s="96">
        <v>36.28</v>
      </c>
      <c r="V43" s="329"/>
      <c r="W43" s="97">
        <v>42772</v>
      </c>
      <c r="X43" s="101">
        <v>36.51</v>
      </c>
      <c r="Y43" s="101">
        <v>36.51</v>
      </c>
      <c r="Z43" s="101">
        <v>36.15</v>
      </c>
      <c r="AA43" s="101">
        <v>36.270000000000003</v>
      </c>
      <c r="AB43" s="99">
        <v>21427000</v>
      </c>
      <c r="AC43" s="98">
        <v>36.270000000000003</v>
      </c>
      <c r="AD43" s="2">
        <f t="shared" si="0"/>
        <v>0.35999999999999943</v>
      </c>
      <c r="AE43" s="134">
        <f t="shared" si="1"/>
        <v>-6.8455640744797819E-3</v>
      </c>
    </row>
    <row r="44" spans="1:31" x14ac:dyDescent="0.25">
      <c r="A44" s="197"/>
      <c r="B44" s="202">
        <v>42240</v>
      </c>
      <c r="C44" s="197">
        <v>50</v>
      </c>
      <c r="D44" s="198">
        <v>28.3</v>
      </c>
      <c r="E44" s="198">
        <v>0</v>
      </c>
      <c r="F44" s="198">
        <f>C44*D44</f>
        <v>1415</v>
      </c>
      <c r="G44" s="197"/>
      <c r="H44" s="203"/>
      <c r="I44" s="197"/>
      <c r="J44" s="197"/>
      <c r="K44" s="197"/>
      <c r="L44" s="197"/>
      <c r="M44" s="197"/>
      <c r="O44" s="81">
        <v>1.07</v>
      </c>
      <c r="P44" s="81">
        <f t="shared" si="4"/>
        <v>50.867800000000003</v>
      </c>
      <c r="Q44" s="2"/>
      <c r="T44" s="85" t="s">
        <v>98</v>
      </c>
      <c r="U44" s="86">
        <v>36.43</v>
      </c>
      <c r="V44" s="330"/>
      <c r="W44" s="97">
        <v>42769</v>
      </c>
      <c r="X44" s="101">
        <v>36.69</v>
      </c>
      <c r="Y44" s="101">
        <v>36.82</v>
      </c>
      <c r="Z44" s="101">
        <v>36.450000000000003</v>
      </c>
      <c r="AA44" s="101">
        <v>36.520000000000003</v>
      </c>
      <c r="AB44" s="99">
        <v>21038100</v>
      </c>
      <c r="AC44" s="98">
        <v>36.520000000000003</v>
      </c>
      <c r="AD44" s="2">
        <f t="shared" si="0"/>
        <v>0.36999999999999744</v>
      </c>
      <c r="AE44" s="134" t="e">
        <f t="shared" si="1"/>
        <v>#DIV/0!</v>
      </c>
    </row>
    <row r="45" spans="1:31" x14ac:dyDescent="0.25">
      <c r="A45" s="197"/>
      <c r="B45" s="202">
        <v>42244</v>
      </c>
      <c r="C45" s="197">
        <v>100</v>
      </c>
      <c r="D45" s="198">
        <v>26.7</v>
      </c>
      <c r="E45" s="198">
        <v>0</v>
      </c>
      <c r="F45" s="198">
        <f t="shared" ref="F45:F51" si="5">C45*D45</f>
        <v>2670</v>
      </c>
      <c r="G45" s="197"/>
      <c r="H45" s="203"/>
      <c r="I45" s="197"/>
      <c r="J45" s="197"/>
      <c r="K45" s="197"/>
      <c r="L45" s="197"/>
      <c r="M45" s="197"/>
      <c r="O45" s="81">
        <v>1.06</v>
      </c>
      <c r="P45" s="81">
        <f t="shared" si="4"/>
        <v>50.392400000000002</v>
      </c>
      <c r="Q45" s="2"/>
      <c r="T45" s="85" t="s">
        <v>99</v>
      </c>
      <c r="U45" s="86" t="s">
        <v>583</v>
      </c>
      <c r="V45" s="330"/>
      <c r="W45" s="97">
        <v>42769</v>
      </c>
      <c r="X45" s="101" t="s">
        <v>138</v>
      </c>
      <c r="Y45" s="101"/>
      <c r="Z45" s="101"/>
      <c r="AA45" s="101"/>
      <c r="AB45" s="99"/>
      <c r="AC45" s="98"/>
      <c r="AD45" s="2">
        <f t="shared" si="0"/>
        <v>0</v>
      </c>
      <c r="AE45" s="134">
        <f t="shared" si="1"/>
        <v>-1</v>
      </c>
    </row>
    <row r="46" spans="1:31" x14ac:dyDescent="0.25">
      <c r="A46" s="197"/>
      <c r="B46" s="202">
        <v>42270</v>
      </c>
      <c r="C46" s="197">
        <v>330</v>
      </c>
      <c r="D46" s="198">
        <v>29.15</v>
      </c>
      <c r="E46" s="198">
        <v>0</v>
      </c>
      <c r="F46" s="198">
        <f t="shared" si="5"/>
        <v>9619.5</v>
      </c>
      <c r="G46" s="197"/>
      <c r="H46" s="203"/>
      <c r="I46" s="197"/>
      <c r="J46" s="197"/>
      <c r="K46" s="197"/>
      <c r="L46" s="197"/>
      <c r="M46" s="197"/>
      <c r="O46" s="81">
        <v>1.05</v>
      </c>
      <c r="P46" s="81">
        <f t="shared" si="4"/>
        <v>49.917000000000002</v>
      </c>
      <c r="Q46" s="2"/>
      <c r="T46" s="85" t="s">
        <v>100</v>
      </c>
      <c r="U46" s="86" t="s">
        <v>584</v>
      </c>
      <c r="V46" s="330"/>
      <c r="W46" s="97">
        <v>42768</v>
      </c>
      <c r="X46" s="101">
        <v>36.26</v>
      </c>
      <c r="Y46" s="101">
        <v>36.700000000000003</v>
      </c>
      <c r="Z46" s="101">
        <v>36.200000000000003</v>
      </c>
      <c r="AA46" s="101">
        <v>36.68</v>
      </c>
      <c r="AB46" s="99">
        <v>31916900</v>
      </c>
      <c r="AC46" s="98">
        <v>36.42</v>
      </c>
      <c r="AD46" s="2">
        <f t="shared" si="0"/>
        <v>0.5</v>
      </c>
      <c r="AE46" s="134">
        <f t="shared" si="1"/>
        <v>4.4125758411472926E-3</v>
      </c>
    </row>
    <row r="47" spans="1:31" x14ac:dyDescent="0.25">
      <c r="A47" s="197"/>
      <c r="B47" s="202">
        <v>42276</v>
      </c>
      <c r="C47" s="197">
        <v>50</v>
      </c>
      <c r="D47" s="197">
        <v>27.95</v>
      </c>
      <c r="E47" s="198">
        <v>0</v>
      </c>
      <c r="F47" s="198">
        <f t="shared" si="5"/>
        <v>1397.5</v>
      </c>
      <c r="G47" s="197"/>
      <c r="H47" s="203"/>
      <c r="I47" s="197"/>
      <c r="J47" s="197"/>
      <c r="K47" s="197"/>
      <c r="L47" s="197"/>
      <c r="M47" s="197"/>
      <c r="O47" s="81">
        <v>1.04</v>
      </c>
      <c r="P47" s="81">
        <f t="shared" si="4"/>
        <v>49.441600000000001</v>
      </c>
      <c r="Q47" s="2"/>
      <c r="T47" s="85" t="s">
        <v>101</v>
      </c>
      <c r="U47" s="86">
        <v>40.03</v>
      </c>
      <c r="V47" s="330"/>
      <c r="W47" s="97">
        <v>42767</v>
      </c>
      <c r="X47" s="101">
        <v>36.82</v>
      </c>
      <c r="Y47" s="101">
        <v>36.950000000000003</v>
      </c>
      <c r="Z47" s="101">
        <v>36.020000000000003</v>
      </c>
      <c r="AA47" s="101">
        <v>36.520000000000003</v>
      </c>
      <c r="AB47" s="99">
        <v>28380600</v>
      </c>
      <c r="AC47" s="98">
        <v>36.26</v>
      </c>
      <c r="AD47" s="2">
        <f t="shared" si="0"/>
        <v>0.92999999999999972</v>
      </c>
      <c r="AE47" s="134">
        <f t="shared" si="1"/>
        <v>-8.2056892778994417E-3</v>
      </c>
    </row>
    <row r="48" spans="1:31" x14ac:dyDescent="0.25">
      <c r="A48" s="197"/>
      <c r="B48" s="202">
        <v>42293</v>
      </c>
      <c r="C48" s="197">
        <v>80</v>
      </c>
      <c r="D48" s="198">
        <v>32.090000000000003</v>
      </c>
      <c r="E48" s="198">
        <v>0</v>
      </c>
      <c r="F48" s="198">
        <f t="shared" si="5"/>
        <v>2567.2000000000003</v>
      </c>
      <c r="G48" s="197"/>
      <c r="H48" s="203"/>
      <c r="I48" s="197"/>
      <c r="J48" s="197"/>
      <c r="K48" s="197"/>
      <c r="L48" s="197"/>
      <c r="M48" s="197"/>
      <c r="O48" s="81">
        <v>1.03</v>
      </c>
      <c r="P48" s="81">
        <f t="shared" si="4"/>
        <v>48.966200000000001</v>
      </c>
      <c r="Q48" s="2"/>
      <c r="T48" s="85" t="s">
        <v>102</v>
      </c>
      <c r="U48" s="86">
        <v>1.1121399999999999</v>
      </c>
      <c r="V48" s="330"/>
      <c r="W48" s="97">
        <v>42766</v>
      </c>
      <c r="X48" s="101">
        <v>37.22</v>
      </c>
      <c r="Y48" s="101">
        <v>37.369999999999997</v>
      </c>
      <c r="Z48" s="101">
        <v>36.64</v>
      </c>
      <c r="AA48" s="101">
        <v>36.82</v>
      </c>
      <c r="AB48" s="99">
        <v>27059100</v>
      </c>
      <c r="AC48" s="98">
        <v>36.56</v>
      </c>
      <c r="AD48" s="2">
        <f t="shared" si="0"/>
        <v>0.72999999999999687</v>
      </c>
      <c r="AE48" s="134">
        <f t="shared" si="1"/>
        <v>-1.5881561238223374E-2</v>
      </c>
    </row>
    <row r="49" spans="1:31" x14ac:dyDescent="0.25">
      <c r="A49" s="197"/>
      <c r="B49" s="202">
        <v>42293</v>
      </c>
      <c r="C49" s="197">
        <v>80</v>
      </c>
      <c r="D49" s="198">
        <v>31.95</v>
      </c>
      <c r="E49" s="198">
        <v>0</v>
      </c>
      <c r="F49" s="198">
        <f t="shared" si="5"/>
        <v>2556</v>
      </c>
      <c r="G49" s="197"/>
      <c r="H49" s="203"/>
      <c r="I49" s="197"/>
      <c r="J49" s="197"/>
      <c r="K49" s="197"/>
      <c r="L49" s="197"/>
      <c r="M49" s="197"/>
      <c r="O49" s="81">
        <v>1.02</v>
      </c>
      <c r="P49" s="81">
        <f t="shared" si="4"/>
        <v>48.4908</v>
      </c>
      <c r="Q49" s="2"/>
      <c r="T49" s="85" t="s">
        <v>103</v>
      </c>
      <c r="U49" s="87" t="s">
        <v>415</v>
      </c>
      <c r="V49" s="331"/>
      <c r="W49" s="97">
        <v>42765</v>
      </c>
      <c r="X49" s="101">
        <v>37.74</v>
      </c>
      <c r="Y49" s="101">
        <v>37.840000000000003</v>
      </c>
      <c r="Z49" s="101">
        <v>37.33</v>
      </c>
      <c r="AA49" s="101">
        <v>37.42</v>
      </c>
      <c r="AB49" s="99">
        <v>23954700</v>
      </c>
      <c r="AC49" s="98">
        <v>37.15</v>
      </c>
      <c r="AD49" s="2">
        <f t="shared" si="0"/>
        <v>0.51000000000000512</v>
      </c>
      <c r="AE49" s="134">
        <f t="shared" si="1"/>
        <v>-1.4850172368072179E-2</v>
      </c>
    </row>
    <row r="50" spans="1:31" x14ac:dyDescent="0.25">
      <c r="A50" s="197"/>
      <c r="B50" s="202">
        <v>42293</v>
      </c>
      <c r="C50" s="197">
        <v>120</v>
      </c>
      <c r="D50" s="198">
        <v>31.75</v>
      </c>
      <c r="E50" s="198">
        <v>0</v>
      </c>
      <c r="F50" s="198">
        <f t="shared" si="5"/>
        <v>3810</v>
      </c>
      <c r="G50" s="197"/>
      <c r="H50" s="203"/>
      <c r="I50" s="197"/>
      <c r="J50" s="197"/>
      <c r="K50" s="197"/>
      <c r="L50" s="197"/>
      <c r="M50" s="197"/>
      <c r="O50" s="81">
        <v>1.01</v>
      </c>
      <c r="P50" s="81">
        <f t="shared" si="4"/>
        <v>48.0154</v>
      </c>
      <c r="Q50" s="2"/>
      <c r="T50" s="85"/>
      <c r="U50" s="86"/>
      <c r="V50" s="330"/>
      <c r="W50" s="97">
        <v>42762</v>
      </c>
      <c r="X50" s="101">
        <v>38</v>
      </c>
      <c r="Y50" s="101">
        <v>38.450000000000003</v>
      </c>
      <c r="Z50" s="101">
        <v>37.81</v>
      </c>
      <c r="AA50" s="101">
        <v>37.979999999999997</v>
      </c>
      <c r="AB50" s="99">
        <v>44368600</v>
      </c>
      <c r="AC50" s="98">
        <v>37.71</v>
      </c>
      <c r="AD50" s="2">
        <f t="shared" si="0"/>
        <v>0.64000000000000057</v>
      </c>
      <c r="AE50" s="134">
        <f t="shared" si="1"/>
        <v>1.1263073209975882E-2</v>
      </c>
    </row>
    <row r="51" spans="1:31" x14ac:dyDescent="0.25">
      <c r="A51" s="197"/>
      <c r="B51" s="202">
        <v>42293</v>
      </c>
      <c r="C51" s="197">
        <v>150</v>
      </c>
      <c r="D51" s="198">
        <v>31.05</v>
      </c>
      <c r="E51" s="198">
        <v>0</v>
      </c>
      <c r="F51" s="198">
        <f t="shared" si="5"/>
        <v>4657.5</v>
      </c>
      <c r="G51" s="198"/>
      <c r="H51" s="203"/>
      <c r="I51" s="197"/>
      <c r="J51" s="197"/>
      <c r="K51" s="198"/>
      <c r="L51" s="197"/>
      <c r="M51" s="197"/>
      <c r="O51" s="81">
        <v>1</v>
      </c>
      <c r="P51" s="81">
        <f t="shared" si="4"/>
        <v>47.54</v>
      </c>
      <c r="Q51" s="2"/>
      <c r="T51" s="85" t="s">
        <v>104</v>
      </c>
      <c r="U51" s="86" t="s">
        <v>585</v>
      </c>
      <c r="V51" s="330"/>
      <c r="W51" s="97">
        <v>42761</v>
      </c>
      <c r="X51" s="101">
        <v>37.82</v>
      </c>
      <c r="Y51" s="101">
        <v>37.92</v>
      </c>
      <c r="Z51" s="101">
        <v>37.42</v>
      </c>
      <c r="AA51" s="101">
        <v>37.56</v>
      </c>
      <c r="AB51" s="99">
        <v>34144800</v>
      </c>
      <c r="AC51" s="98">
        <v>37.29</v>
      </c>
      <c r="AD51" s="2">
        <f t="shared" si="0"/>
        <v>0.5</v>
      </c>
      <c r="AE51" s="134">
        <f t="shared" si="1"/>
        <v>-6.3948840927259276E-3</v>
      </c>
    </row>
    <row r="52" spans="1:31" x14ac:dyDescent="0.25">
      <c r="A52" s="197"/>
      <c r="B52" s="197"/>
      <c r="C52" s="197"/>
      <c r="D52" s="197"/>
      <c r="E52" s="198"/>
      <c r="F52" s="197"/>
      <c r="G52" s="198"/>
      <c r="H52" s="203"/>
      <c r="I52" s="198"/>
      <c r="J52" s="197"/>
      <c r="K52" s="198"/>
      <c r="L52" s="197"/>
      <c r="M52" s="197"/>
      <c r="O52" s="81">
        <v>0.99</v>
      </c>
      <c r="P52" s="81">
        <f t="shared" si="4"/>
        <v>47.064599999999999</v>
      </c>
      <c r="Q52" s="2"/>
      <c r="T52" s="85" t="s">
        <v>105</v>
      </c>
      <c r="U52" s="86" t="s">
        <v>497</v>
      </c>
      <c r="V52" s="330"/>
      <c r="W52" s="97">
        <v>42760</v>
      </c>
      <c r="X52" s="101">
        <v>37.869999999999997</v>
      </c>
      <c r="Y52" s="101">
        <v>38</v>
      </c>
      <c r="Z52" s="101">
        <v>37.520000000000003</v>
      </c>
      <c r="AA52" s="101">
        <v>37.799999999999997</v>
      </c>
      <c r="AB52" s="99">
        <v>32276400</v>
      </c>
      <c r="AC52" s="98">
        <v>37.53</v>
      </c>
      <c r="AD52" s="2">
        <f t="shared" si="0"/>
        <v>0.47999999999999687</v>
      </c>
      <c r="AE52" s="134">
        <f t="shared" si="1"/>
        <v>4.8192771084336616E-3</v>
      </c>
    </row>
    <row r="53" spans="1:31" x14ac:dyDescent="0.25">
      <c r="A53" s="197"/>
      <c r="B53" s="197"/>
      <c r="C53" s="197"/>
      <c r="D53" s="197"/>
      <c r="E53" s="197"/>
      <c r="F53" s="197"/>
      <c r="G53" s="197"/>
      <c r="H53" s="203"/>
      <c r="I53" s="197"/>
      <c r="J53" s="197"/>
      <c r="K53" s="197"/>
      <c r="L53" s="197"/>
      <c r="M53" s="197"/>
      <c r="O53" s="81">
        <v>0.98</v>
      </c>
      <c r="P53" s="81">
        <f t="shared" si="4"/>
        <v>46.589199999999998</v>
      </c>
      <c r="Q53" s="2"/>
      <c r="T53" s="85" t="s">
        <v>106</v>
      </c>
      <c r="U53" s="88">
        <v>22455525</v>
      </c>
      <c r="V53" s="332"/>
      <c r="W53" s="97">
        <v>42759</v>
      </c>
      <c r="X53" s="101">
        <v>36.840000000000003</v>
      </c>
      <c r="Y53" s="101">
        <v>37.74</v>
      </c>
      <c r="Z53" s="101">
        <v>36.81</v>
      </c>
      <c r="AA53" s="101">
        <v>37.619999999999997</v>
      </c>
      <c r="AB53" s="99">
        <v>35140900</v>
      </c>
      <c r="AC53" s="98">
        <v>37.35</v>
      </c>
      <c r="AD53" s="2">
        <f t="shared" si="0"/>
        <v>0.92999999999999972</v>
      </c>
      <c r="AE53" s="134">
        <f t="shared" si="1"/>
        <v>2.3007395234182493E-2</v>
      </c>
    </row>
    <row r="54" spans="1:31" x14ac:dyDescent="0.25">
      <c r="A54" s="197"/>
      <c r="B54" s="197"/>
      <c r="C54" s="197"/>
      <c r="D54" s="197"/>
      <c r="E54" s="197"/>
      <c r="F54" s="197"/>
      <c r="G54" s="197"/>
      <c r="H54" s="203"/>
      <c r="I54" s="197"/>
      <c r="J54" s="197"/>
      <c r="K54" s="197"/>
      <c r="L54" s="197"/>
      <c r="M54" s="197"/>
      <c r="O54" s="81">
        <v>0.97</v>
      </c>
      <c r="P54" s="81">
        <f t="shared" si="4"/>
        <v>46.113799999999998</v>
      </c>
      <c r="T54" s="85" t="s">
        <v>109</v>
      </c>
      <c r="U54" s="88">
        <v>24240000</v>
      </c>
      <c r="V54" s="332"/>
      <c r="W54" s="97">
        <v>42758</v>
      </c>
      <c r="X54" s="101">
        <v>37.07</v>
      </c>
      <c r="Y54" s="101">
        <v>37.21</v>
      </c>
      <c r="Z54" s="101">
        <v>36.549999999999997</v>
      </c>
      <c r="AA54" s="101">
        <v>36.770000000000003</v>
      </c>
      <c r="AB54" s="99">
        <v>27752600</v>
      </c>
      <c r="AC54" s="98">
        <v>36.51</v>
      </c>
      <c r="AD54" s="2">
        <f t="shared" si="0"/>
        <v>0.66000000000000369</v>
      </c>
      <c r="AE54" s="134">
        <f t="shared" si="1"/>
        <v>-4.6346782988004875E-3</v>
      </c>
    </row>
    <row r="55" spans="1:31" x14ac:dyDescent="0.25">
      <c r="A55" s="197"/>
      <c r="B55" s="197"/>
      <c r="C55" s="197"/>
      <c r="D55" s="197"/>
      <c r="E55" s="197"/>
      <c r="F55" s="197"/>
      <c r="G55" s="197"/>
      <c r="H55" s="203"/>
      <c r="I55" s="197"/>
      <c r="J55" s="197"/>
      <c r="K55" s="197"/>
      <c r="L55" s="197"/>
      <c r="M55" s="197"/>
      <c r="O55" s="81">
        <v>0.96</v>
      </c>
      <c r="P55" s="81">
        <f t="shared" si="4"/>
        <v>45.638399999999997</v>
      </c>
      <c r="T55" s="85" t="s">
        <v>107</v>
      </c>
      <c r="U55" s="86" t="s">
        <v>586</v>
      </c>
      <c r="V55" s="330"/>
      <c r="W55" s="97">
        <v>42755</v>
      </c>
      <c r="X55" s="101">
        <v>36.76</v>
      </c>
      <c r="Y55" s="101">
        <v>37.03</v>
      </c>
      <c r="Z55" s="101">
        <v>36.58</v>
      </c>
      <c r="AA55" s="101">
        <v>36.94</v>
      </c>
      <c r="AB55" s="99">
        <v>23950900</v>
      </c>
      <c r="AC55" s="98">
        <v>36.68</v>
      </c>
      <c r="AD55" s="2">
        <f t="shared" si="0"/>
        <v>0.45000000000000284</v>
      </c>
      <c r="AE55" s="134">
        <f t="shared" si="1"/>
        <v>1.0190030294684682E-2</v>
      </c>
    </row>
    <row r="56" spans="1:31" x14ac:dyDescent="0.25">
      <c r="A56" s="31" t="s">
        <v>81</v>
      </c>
      <c r="B56" s="14"/>
      <c r="C56" s="14">
        <f>SUM(C35:C55)</f>
        <v>1710</v>
      </c>
      <c r="D56" s="14"/>
      <c r="E56" s="14"/>
      <c r="F56" s="18">
        <f>SUM(F35:F55)</f>
        <v>51257.2</v>
      </c>
      <c r="G56" s="18"/>
      <c r="H56" s="71">
        <f>SUM(H35:H55)</f>
        <v>1710</v>
      </c>
      <c r="I56" s="18"/>
      <c r="J56" s="18"/>
      <c r="K56" s="18">
        <f>SUM(K35:K55)</f>
        <v>52482.34</v>
      </c>
      <c r="L56" s="18"/>
      <c r="M56" s="18">
        <f>SUM(M35:M49)</f>
        <v>182.4</v>
      </c>
      <c r="O56" s="81">
        <v>0.95</v>
      </c>
      <c r="P56" s="81">
        <f t="shared" si="4"/>
        <v>45.162999999999997</v>
      </c>
      <c r="T56" s="85" t="s">
        <v>110</v>
      </c>
      <c r="U56" s="86">
        <v>17.079999999999998</v>
      </c>
      <c r="V56" s="330"/>
      <c r="W56" s="97">
        <v>42754</v>
      </c>
      <c r="X56" s="101">
        <v>36.51</v>
      </c>
      <c r="Y56" s="101">
        <v>36.909999999999997</v>
      </c>
      <c r="Z56" s="101">
        <v>36.51</v>
      </c>
      <c r="AA56" s="101">
        <v>36.57</v>
      </c>
      <c r="AB56" s="99">
        <v>13654500</v>
      </c>
      <c r="AC56" s="98">
        <v>36.31</v>
      </c>
      <c r="AD56" s="2">
        <f t="shared" si="0"/>
        <v>0.39999999999999858</v>
      </c>
      <c r="AE56" s="134">
        <f t="shared" si="1"/>
        <v>-5.2054794520547398E-3</v>
      </c>
    </row>
    <row r="57" spans="1:31" x14ac:dyDescent="0.25">
      <c r="O57" s="81">
        <v>0.94</v>
      </c>
      <c r="P57" s="81">
        <f t="shared" si="4"/>
        <v>44.687599999999996</v>
      </c>
      <c r="T57" s="85" t="s">
        <v>111</v>
      </c>
      <c r="U57" s="86">
        <v>2.12</v>
      </c>
      <c r="V57" s="330"/>
      <c r="W57" s="97">
        <v>42753</v>
      </c>
      <c r="X57" s="101">
        <v>36.89</v>
      </c>
      <c r="Y57" s="101">
        <v>37.01</v>
      </c>
      <c r="Z57" s="101">
        <v>36.61</v>
      </c>
      <c r="AA57" s="101">
        <v>36.76</v>
      </c>
      <c r="AB57" s="99">
        <v>15382500</v>
      </c>
      <c r="AC57" s="98">
        <v>36.5</v>
      </c>
      <c r="AD57" s="2">
        <f t="shared" si="0"/>
        <v>0.39999999999999858</v>
      </c>
      <c r="AE57" s="134">
        <f t="shared" si="1"/>
        <v>-1.0946907498631253E-3</v>
      </c>
    </row>
    <row r="58" spans="1:31" x14ac:dyDescent="0.25">
      <c r="O58" s="81">
        <v>0.93</v>
      </c>
      <c r="P58" s="81">
        <f t="shared" si="4"/>
        <v>44.212200000000003</v>
      </c>
      <c r="T58" s="85" t="s">
        <v>108</v>
      </c>
      <c r="U58" s="86" t="s">
        <v>529</v>
      </c>
      <c r="V58" s="330"/>
      <c r="W58" s="97">
        <v>42752</v>
      </c>
      <c r="X58" s="101">
        <v>36.67</v>
      </c>
      <c r="Y58" s="101">
        <v>36.83</v>
      </c>
      <c r="Z58" s="101">
        <v>36.590000000000003</v>
      </c>
      <c r="AA58" s="101">
        <v>36.799999999999997</v>
      </c>
      <c r="AB58" s="99">
        <v>20195200</v>
      </c>
      <c r="AC58" s="98">
        <v>36.54</v>
      </c>
      <c r="AD58" s="2">
        <f t="shared" si="0"/>
        <v>0.23999999999999488</v>
      </c>
      <c r="AE58" s="134">
        <f t="shared" si="1"/>
        <v>2.7374760470832982E-4</v>
      </c>
    </row>
    <row r="59" spans="1:31" x14ac:dyDescent="0.25">
      <c r="O59" s="81">
        <v>0.92</v>
      </c>
      <c r="P59" s="81">
        <f t="shared" si="4"/>
        <v>43.736800000000002</v>
      </c>
      <c r="W59" s="97">
        <v>42748</v>
      </c>
      <c r="X59" s="101">
        <v>36.71</v>
      </c>
      <c r="Y59" s="101">
        <v>36.86</v>
      </c>
      <c r="Z59" s="101">
        <v>36.619999999999997</v>
      </c>
      <c r="AA59" s="101">
        <v>36.79</v>
      </c>
      <c r="AB59" s="99">
        <v>15072200</v>
      </c>
      <c r="AC59" s="98">
        <v>36.53</v>
      </c>
      <c r="AD59" s="2">
        <f t="shared" si="0"/>
        <v>0.24000000000000199</v>
      </c>
      <c r="AE59" s="134">
        <f t="shared" si="1"/>
        <v>2.1947873799725848E-3</v>
      </c>
    </row>
    <row r="60" spans="1:31" x14ac:dyDescent="0.25">
      <c r="O60" s="81">
        <v>0.91</v>
      </c>
      <c r="P60" s="81">
        <f t="shared" si="4"/>
        <v>43.261400000000002</v>
      </c>
      <c r="W60" s="97">
        <v>42747</v>
      </c>
      <c r="X60" s="101">
        <v>36.83</v>
      </c>
      <c r="Y60" s="101">
        <v>36.83</v>
      </c>
      <c r="Z60" s="101">
        <v>36.32</v>
      </c>
      <c r="AA60" s="101">
        <v>36.71</v>
      </c>
      <c r="AB60" s="99">
        <v>20391900</v>
      </c>
      <c r="AC60" s="98">
        <v>36.450000000000003</v>
      </c>
      <c r="AD60" s="2">
        <f t="shared" si="0"/>
        <v>0.50999999999999801</v>
      </c>
      <c r="AE60" s="134">
        <f t="shared" si="1"/>
        <v>-6.5412919051511809E-3</v>
      </c>
    </row>
    <row r="61" spans="1:31" x14ac:dyDescent="0.25">
      <c r="O61" s="81">
        <v>0.9</v>
      </c>
      <c r="P61" s="81">
        <f t="shared" si="4"/>
        <v>42.786000000000001</v>
      </c>
      <c r="W61" s="97">
        <v>42746</v>
      </c>
      <c r="X61" s="101">
        <v>36.51</v>
      </c>
      <c r="Y61" s="101">
        <v>37</v>
      </c>
      <c r="Z61" s="101">
        <v>36.51</v>
      </c>
      <c r="AA61" s="101">
        <v>36.950000000000003</v>
      </c>
      <c r="AB61" s="99">
        <v>22398400</v>
      </c>
      <c r="AC61" s="98">
        <v>36.69</v>
      </c>
      <c r="AD61" s="2">
        <f t="shared" si="0"/>
        <v>0.49000000000000199</v>
      </c>
      <c r="AE61" s="134">
        <f t="shared" si="1"/>
        <v>1.1300992282249123E-2</v>
      </c>
    </row>
    <row r="62" spans="1:31" x14ac:dyDescent="0.25">
      <c r="W62" s="97">
        <v>42745</v>
      </c>
      <c r="X62" s="101">
        <v>36.549999999999997</v>
      </c>
      <c r="Y62" s="101">
        <v>36.93</v>
      </c>
      <c r="Z62" s="101">
        <v>36.53</v>
      </c>
      <c r="AA62" s="101">
        <v>36.54</v>
      </c>
      <c r="AB62" s="99">
        <v>15918800</v>
      </c>
      <c r="AC62" s="98">
        <v>36.28</v>
      </c>
      <c r="AD62" s="2">
        <f t="shared" si="0"/>
        <v>0.39999999999999858</v>
      </c>
      <c r="AE62" s="134">
        <f t="shared" si="1"/>
        <v>-1.9257221458046647E-3</v>
      </c>
    </row>
    <row r="63" spans="1:31" x14ac:dyDescent="0.25">
      <c r="W63" s="97">
        <v>42744</v>
      </c>
      <c r="X63" s="101">
        <v>36.479999999999997</v>
      </c>
      <c r="Y63" s="101">
        <v>36.89</v>
      </c>
      <c r="Z63" s="101">
        <v>36.479999999999997</v>
      </c>
      <c r="AA63" s="101">
        <v>36.61</v>
      </c>
      <c r="AB63" s="99">
        <v>19449400</v>
      </c>
      <c r="AC63" s="98">
        <v>36.35</v>
      </c>
      <c r="AD63" s="2">
        <f t="shared" si="0"/>
        <v>0.41000000000000369</v>
      </c>
      <c r="AE63" s="134">
        <f t="shared" si="1"/>
        <v>3.5891772501381869E-3</v>
      </c>
    </row>
    <row r="64" spans="1:31" x14ac:dyDescent="0.25">
      <c r="W64" s="97">
        <v>42741</v>
      </c>
      <c r="X64" s="101">
        <v>36.590000000000003</v>
      </c>
      <c r="Y64" s="101">
        <v>36.68</v>
      </c>
      <c r="Z64" s="101">
        <v>36.19</v>
      </c>
      <c r="AA64" s="101">
        <v>36.479999999999997</v>
      </c>
      <c r="AB64" s="99">
        <v>15114000</v>
      </c>
      <c r="AC64" s="98">
        <v>36.22</v>
      </c>
      <c r="AD64" s="2">
        <f t="shared" si="0"/>
        <v>0.49000000000000199</v>
      </c>
      <c r="AE64" s="134">
        <f t="shared" si="1"/>
        <v>3.6021058464947853E-3</v>
      </c>
    </row>
    <row r="65" spans="23:31" x14ac:dyDescent="0.25">
      <c r="W65" s="97">
        <v>42740</v>
      </c>
      <c r="X65" s="101">
        <v>36.450000000000003</v>
      </c>
      <c r="Y65" s="101">
        <v>36.72</v>
      </c>
      <c r="Z65" s="101">
        <v>36.31</v>
      </c>
      <c r="AA65" s="101">
        <v>36.35</v>
      </c>
      <c r="AB65" s="99">
        <v>13986000</v>
      </c>
      <c r="AC65" s="98">
        <v>36.090000000000003</v>
      </c>
      <c r="AD65" s="2">
        <f t="shared" si="0"/>
        <v>0.40999999999999659</v>
      </c>
      <c r="AE65" s="134">
        <f t="shared" si="1"/>
        <v>-1.6597510373442814E-3</v>
      </c>
    </row>
    <row r="66" spans="23:31" x14ac:dyDescent="0.25">
      <c r="W66" s="97">
        <v>42739</v>
      </c>
      <c r="X66" s="101">
        <v>36.71</v>
      </c>
      <c r="Y66" s="101">
        <v>36.770000000000003</v>
      </c>
      <c r="Z66" s="101">
        <v>36.340000000000003</v>
      </c>
      <c r="AA66" s="101">
        <v>36.409999999999997</v>
      </c>
      <c r="AB66" s="99">
        <v>15915700</v>
      </c>
      <c r="AC66" s="98">
        <v>36.15</v>
      </c>
      <c r="AD66" s="2">
        <f t="shared" si="0"/>
        <v>0.42999999999999972</v>
      </c>
      <c r="AE66" s="134">
        <f t="shared" si="1"/>
        <v>-5.2283984589984733E-3</v>
      </c>
    </row>
    <row r="67" spans="23:31" x14ac:dyDescent="0.25">
      <c r="W67" s="97">
        <v>42738</v>
      </c>
      <c r="X67" s="101">
        <v>36.61</v>
      </c>
      <c r="Y67" s="101">
        <v>36.93</v>
      </c>
      <c r="Z67" s="101">
        <v>36.270000000000003</v>
      </c>
      <c r="AA67" s="101">
        <v>36.6</v>
      </c>
      <c r="AB67" s="99">
        <v>20196500</v>
      </c>
      <c r="AC67" s="98">
        <v>36.340000000000003</v>
      </c>
      <c r="AD67" s="2">
        <f>Y67-Z67</f>
        <v>0.65999999999999659</v>
      </c>
      <c r="AE67" s="134" t="e">
        <f>AC67/#REF!-1</f>
        <v>#REF!</v>
      </c>
    </row>
    <row r="68" spans="23:31" x14ac:dyDescent="0.25">
      <c r="W68" s="97">
        <v>42734</v>
      </c>
      <c r="X68" s="101">
        <v>36.79</v>
      </c>
      <c r="Y68" s="101">
        <v>36.799999999999997</v>
      </c>
      <c r="Z68" s="101">
        <v>36.200000000000003</v>
      </c>
      <c r="AA68" s="101">
        <v>36.270000000000003</v>
      </c>
      <c r="AB68" s="99">
        <v>17468000</v>
      </c>
      <c r="AC68" s="98">
        <v>36.01</v>
      </c>
      <c r="AD68" s="2" t="e">
        <f>#REF!-#REF!</f>
        <v>#REF!</v>
      </c>
      <c r="AE68" s="134" t="e">
        <f>#REF!/AC69-1</f>
        <v>#REF!</v>
      </c>
    </row>
    <row r="69" spans="23:31" x14ac:dyDescent="0.25">
      <c r="W69" s="97" t="s">
        <v>120</v>
      </c>
      <c r="X69" s="101"/>
      <c r="Y69" s="101"/>
      <c r="Z69" s="101"/>
      <c r="AA69" s="101"/>
      <c r="AB69" s="99"/>
      <c r="AC69" s="98"/>
      <c r="AD69" s="2">
        <f>Y69-Z69</f>
        <v>0</v>
      </c>
      <c r="AE69" s="134"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862" priority="7">
      <formula>F21&gt;0</formula>
    </cfRule>
    <cfRule type="expression" dxfId="861" priority="8">
      <formula>F21&lt;0</formula>
    </cfRule>
  </conditionalFormatting>
  <conditionalFormatting sqref="F22">
    <cfRule type="expression" dxfId="860" priority="5">
      <formula>F22&gt;0</formula>
    </cfRule>
    <cfRule type="expression" dxfId="859" priority="6">
      <formula>F22&lt;0</formula>
    </cfRule>
  </conditionalFormatting>
  <conditionalFormatting sqref="Q8">
    <cfRule type="expression" dxfId="858" priority="1">
      <formula>Q8&gt;0</formula>
    </cfRule>
    <cfRule type="expression" dxfId="857" priority="2">
      <formula>Q8&lt;0</formula>
    </cfRule>
  </conditionalFormatting>
  <conditionalFormatting sqref="Q7">
    <cfRule type="expression" dxfId="856" priority="3">
      <formula>Q7&gt;0</formula>
    </cfRule>
    <cfRule type="expression" dxfId="855"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8"/>
    <col min="5" max="5" width="9.140625" style="2"/>
    <col min="6" max="6" width="12.140625" style="2" bestFit="1" customWidth="1"/>
    <col min="8" max="8" width="11.85546875" style="70"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4" t="s">
        <v>2</v>
      </c>
      <c r="C1" s="46" t="s">
        <v>4</v>
      </c>
      <c r="D1" s="169" t="s">
        <v>5</v>
      </c>
      <c r="E1" s="47" t="s">
        <v>90</v>
      </c>
      <c r="F1" s="47" t="s">
        <v>60</v>
      </c>
      <c r="G1" s="46" t="s">
        <v>3</v>
      </c>
      <c r="H1" s="69" t="s">
        <v>6</v>
      </c>
      <c r="I1" s="47" t="s">
        <v>7</v>
      </c>
      <c r="J1" s="47" t="s">
        <v>89</v>
      </c>
      <c r="K1" s="47" t="s">
        <v>61</v>
      </c>
      <c r="L1" s="46" t="s">
        <v>43</v>
      </c>
      <c r="M1" s="46" t="s">
        <v>38</v>
      </c>
      <c r="T1" s="114" t="s">
        <v>70</v>
      </c>
      <c r="W1" s="122" t="s">
        <v>113</v>
      </c>
      <c r="X1" s="123" t="s">
        <v>114</v>
      </c>
      <c r="Y1" s="123" t="s">
        <v>115</v>
      </c>
      <c r="Z1" s="123" t="s">
        <v>116</v>
      </c>
      <c r="AA1" s="123" t="s">
        <v>117</v>
      </c>
      <c r="AB1" s="122" t="s">
        <v>118</v>
      </c>
      <c r="AC1" s="123" t="s">
        <v>119</v>
      </c>
      <c r="AD1" s="46" t="s">
        <v>125</v>
      </c>
      <c r="AE1" s="46" t="s">
        <v>126</v>
      </c>
    </row>
    <row r="2" spans="1:40" x14ac:dyDescent="0.25">
      <c r="A2" s="6" t="s">
        <v>22</v>
      </c>
      <c r="B2" s="115"/>
      <c r="C2" s="4"/>
      <c r="D2" s="188"/>
      <c r="E2" s="3"/>
      <c r="F2" s="3"/>
      <c r="G2" s="72"/>
      <c r="H2" s="310"/>
      <c r="I2" s="73"/>
      <c r="J2" s="73"/>
      <c r="K2" s="73"/>
      <c r="L2" s="72"/>
      <c r="M2" s="3"/>
      <c r="O2" s="11" t="s">
        <v>57</v>
      </c>
      <c r="Q2">
        <f>C18-H18</f>
        <v>0</v>
      </c>
      <c r="W2" s="108">
        <v>42830</v>
      </c>
      <c r="X2" s="40">
        <v>48.24</v>
      </c>
      <c r="Y2" s="40">
        <v>48.59</v>
      </c>
      <c r="Z2" s="40">
        <v>47.1</v>
      </c>
      <c r="AA2" s="40">
        <v>47.21</v>
      </c>
      <c r="AB2" s="102">
        <v>5796600</v>
      </c>
      <c r="AC2" s="40">
        <v>47.21</v>
      </c>
      <c r="AD2" s="2">
        <f>Y2-Z2</f>
        <v>1.490000000000002</v>
      </c>
      <c r="AE2" s="134">
        <f>AC2/AC3-1</f>
        <v>-9.0260285474391688E-3</v>
      </c>
    </row>
    <row r="3" spans="1:40" x14ac:dyDescent="0.25">
      <c r="A3" s="22" t="s">
        <v>71</v>
      </c>
      <c r="B3" s="115"/>
      <c r="C3" s="4"/>
      <c r="D3" s="188"/>
      <c r="E3" s="3"/>
      <c r="F3" s="3"/>
      <c r="G3" s="72"/>
      <c r="H3" s="310"/>
      <c r="I3" s="73"/>
      <c r="J3" s="73"/>
      <c r="K3" s="73"/>
      <c r="L3" s="72"/>
      <c r="M3" s="3"/>
      <c r="O3" s="11" t="s">
        <v>58</v>
      </c>
      <c r="Q3" s="78">
        <f>IF(Q2=0, Q4, (F18-K18-M18)/Q2)</f>
        <v>53.93</v>
      </c>
      <c r="W3" s="108">
        <v>42829</v>
      </c>
      <c r="X3" s="40">
        <v>47.11</v>
      </c>
      <c r="Y3" s="40">
        <v>47.71</v>
      </c>
      <c r="Z3" s="40">
        <v>46.51</v>
      </c>
      <c r="AA3" s="40">
        <v>47.64</v>
      </c>
      <c r="AB3" s="102">
        <v>6301100</v>
      </c>
      <c r="AC3" s="40">
        <v>47.64</v>
      </c>
      <c r="AD3" s="2">
        <f t="shared" ref="AD3:AD66" si="0">Y3-Z3</f>
        <v>1.2000000000000028</v>
      </c>
      <c r="AE3" s="134">
        <f t="shared" ref="AE3:AE66" si="1">AC3/AC4-1</f>
        <v>1.426442410048967E-2</v>
      </c>
      <c r="AK3" s="182"/>
      <c r="AN3" s="182"/>
    </row>
    <row r="4" spans="1:40" x14ac:dyDescent="0.25">
      <c r="B4" s="115"/>
      <c r="C4" s="4"/>
      <c r="D4" s="188"/>
      <c r="E4" s="3"/>
      <c r="F4" s="3"/>
      <c r="G4" s="72"/>
      <c r="H4" s="161"/>
      <c r="I4" s="3"/>
      <c r="J4" s="3"/>
      <c r="K4" s="73"/>
      <c r="L4" s="72"/>
      <c r="M4" s="3"/>
      <c r="O4" s="11" t="s">
        <v>66</v>
      </c>
      <c r="Q4" s="172">
        <v>53.93</v>
      </c>
      <c r="R4" s="405">
        <v>3.0000000000000001E-3</v>
      </c>
      <c r="T4" s="121"/>
      <c r="U4" s="29"/>
      <c r="V4" s="34"/>
      <c r="W4" s="108">
        <v>42828</v>
      </c>
      <c r="X4" s="40">
        <v>48.37</v>
      </c>
      <c r="Y4" s="40">
        <v>48.53</v>
      </c>
      <c r="Z4" s="40">
        <v>46.58</v>
      </c>
      <c r="AA4" s="40">
        <v>46.97</v>
      </c>
      <c r="AB4" s="102">
        <v>4992600</v>
      </c>
      <c r="AC4" s="40">
        <v>46.97</v>
      </c>
      <c r="AD4" s="2">
        <f t="shared" si="0"/>
        <v>1.9500000000000028</v>
      </c>
      <c r="AE4" s="134">
        <f t="shared" si="1"/>
        <v>-2.5720804812279674E-2</v>
      </c>
      <c r="AK4" s="182"/>
      <c r="AN4" s="182"/>
    </row>
    <row r="5" spans="1:40" x14ac:dyDescent="0.25">
      <c r="B5" s="107"/>
      <c r="C5" s="4"/>
      <c r="D5" s="188"/>
      <c r="E5" s="3"/>
      <c r="F5" s="3"/>
      <c r="G5" s="4"/>
      <c r="H5" s="161"/>
      <c r="I5" s="3"/>
      <c r="J5" s="3"/>
      <c r="K5" s="3"/>
      <c r="L5" s="4"/>
      <c r="M5" s="4"/>
      <c r="O5" s="11" t="s">
        <v>67</v>
      </c>
      <c r="Q5" s="3">
        <f>Q4*Q2</f>
        <v>0</v>
      </c>
      <c r="W5" s="108">
        <v>42825</v>
      </c>
      <c r="X5" s="40">
        <v>48.82</v>
      </c>
      <c r="Y5" s="40">
        <v>49.31</v>
      </c>
      <c r="Z5" s="40">
        <v>47.94</v>
      </c>
      <c r="AA5" s="40">
        <v>48.21</v>
      </c>
      <c r="AB5" s="102">
        <v>5024900</v>
      </c>
      <c r="AC5" s="40">
        <v>48.21</v>
      </c>
      <c r="AD5" s="2">
        <f t="shared" si="0"/>
        <v>1.3700000000000045</v>
      </c>
      <c r="AE5" s="134">
        <f t="shared" si="1"/>
        <v>-1.5720702327480574E-2</v>
      </c>
      <c r="AK5" s="182"/>
      <c r="AN5" s="182"/>
    </row>
    <row r="6" spans="1:40" x14ac:dyDescent="0.25">
      <c r="B6" s="107"/>
      <c r="C6" s="4"/>
      <c r="D6" s="188"/>
      <c r="E6" s="3"/>
      <c r="F6" s="3"/>
      <c r="G6" s="4"/>
      <c r="H6" s="161"/>
      <c r="I6" s="3"/>
      <c r="J6" s="3"/>
      <c r="K6" s="3"/>
      <c r="L6" s="4"/>
      <c r="M6" s="4"/>
      <c r="O6" s="11" t="s">
        <v>64</v>
      </c>
      <c r="Q6" s="2">
        <f>Q3*Q2</f>
        <v>0</v>
      </c>
      <c r="W6" s="108">
        <v>42824</v>
      </c>
      <c r="X6" s="40">
        <v>50</v>
      </c>
      <c r="Y6" s="40">
        <v>50.47</v>
      </c>
      <c r="Z6" s="40">
        <v>48.75</v>
      </c>
      <c r="AA6" s="40">
        <v>48.98</v>
      </c>
      <c r="AB6" s="102">
        <v>7162900</v>
      </c>
      <c r="AC6" s="40">
        <v>48.98</v>
      </c>
      <c r="AD6" s="2">
        <f t="shared" si="0"/>
        <v>1.7199999999999989</v>
      </c>
      <c r="AE6" s="134">
        <f t="shared" si="1"/>
        <v>-1.5675241157556252E-2</v>
      </c>
      <c r="AK6" s="182"/>
      <c r="AN6" s="182"/>
    </row>
    <row r="7" spans="1:40" x14ac:dyDescent="0.25">
      <c r="O7" s="11" t="s">
        <v>177</v>
      </c>
      <c r="Q7" s="2">
        <f>Q10+Q8</f>
        <v>3178.8000000000466</v>
      </c>
      <c r="R7">
        <v>0</v>
      </c>
      <c r="W7" s="108">
        <v>42823</v>
      </c>
      <c r="X7" s="40">
        <v>47.44</v>
      </c>
      <c r="Y7" s="40">
        <v>49.93</v>
      </c>
      <c r="Z7" s="40">
        <v>47.37</v>
      </c>
      <c r="AA7" s="40">
        <v>49.76</v>
      </c>
      <c r="AB7" s="102">
        <v>5019600</v>
      </c>
      <c r="AC7" s="40">
        <v>49.76</v>
      </c>
      <c r="AD7" s="2">
        <f t="shared" si="0"/>
        <v>2.5600000000000023</v>
      </c>
      <c r="AE7" s="134">
        <f t="shared" si="1"/>
        <v>4.8682824025289673E-2</v>
      </c>
    </row>
    <row r="8" spans="1:40" x14ac:dyDescent="0.25">
      <c r="O8" s="11" t="s">
        <v>179</v>
      </c>
      <c r="P8" s="33"/>
      <c r="Q8" s="2">
        <f>K18+M18-F18+Q2*Q4</f>
        <v>0</v>
      </c>
      <c r="W8" s="108">
        <v>42822</v>
      </c>
      <c r="X8" s="40">
        <v>46</v>
      </c>
      <c r="Y8" s="40">
        <v>47.58</v>
      </c>
      <c r="Z8" s="40">
        <v>45.83</v>
      </c>
      <c r="AA8" s="40">
        <v>47.45</v>
      </c>
      <c r="AB8" s="102">
        <v>4137100</v>
      </c>
      <c r="AC8" s="40">
        <v>47.45</v>
      </c>
      <c r="AD8" s="2">
        <f t="shared" si="0"/>
        <v>1.75</v>
      </c>
      <c r="AE8" s="134">
        <f t="shared" si="1"/>
        <v>3.6252456868312022E-2</v>
      </c>
    </row>
    <row r="9" spans="1:40" x14ac:dyDescent="0.25">
      <c r="O9" s="11" t="s">
        <v>204</v>
      </c>
      <c r="Q9" s="134">
        <f>IF(Q2=0, 0, Q8/Q6)</f>
        <v>0</v>
      </c>
      <c r="W9" s="108">
        <v>42821</v>
      </c>
      <c r="X9" s="40">
        <v>45.5</v>
      </c>
      <c r="Y9" s="40">
        <v>45.89</v>
      </c>
      <c r="Z9" s="40">
        <v>45.12</v>
      </c>
      <c r="AA9" s="40">
        <v>45.79</v>
      </c>
      <c r="AB9" s="102">
        <v>3251100</v>
      </c>
      <c r="AC9" s="40">
        <v>45.79</v>
      </c>
      <c r="AD9" s="2">
        <f t="shared" si="0"/>
        <v>0.77000000000000313</v>
      </c>
      <c r="AE9" s="134">
        <f t="shared" si="1"/>
        <v>-6.7245119305857637E-3</v>
      </c>
    </row>
    <row r="10" spans="1:40" x14ac:dyDescent="0.25">
      <c r="O10" s="11" t="s">
        <v>203</v>
      </c>
      <c r="P10" s="33"/>
      <c r="Q10" s="2">
        <f>M75</f>
        <v>3178.8000000000466</v>
      </c>
      <c r="W10" s="108">
        <v>42818</v>
      </c>
      <c r="X10" s="40">
        <v>46.69</v>
      </c>
      <c r="Y10" s="40">
        <v>47.13</v>
      </c>
      <c r="Z10" s="40">
        <v>45.89</v>
      </c>
      <c r="AA10" s="40">
        <v>46.1</v>
      </c>
      <c r="AB10" s="102">
        <v>2625600</v>
      </c>
      <c r="AC10" s="40">
        <v>46.1</v>
      </c>
      <c r="AD10" s="2">
        <f t="shared" si="0"/>
        <v>1.240000000000002</v>
      </c>
      <c r="AE10" s="134">
        <f t="shared" si="1"/>
        <v>-9.4542329179200246E-3</v>
      </c>
    </row>
    <row r="11" spans="1:40" x14ac:dyDescent="0.25">
      <c r="O11" s="11" t="s">
        <v>175</v>
      </c>
      <c r="P11" s="33"/>
      <c r="Q11" s="134">
        <f>VALUE(TRIM(CLEAN(MID(U58, FIND("(", U58)+1, 5))))</f>
        <v>2.07E-2</v>
      </c>
      <c r="T11" s="19"/>
      <c r="W11" s="108">
        <v>42817</v>
      </c>
      <c r="X11" s="40">
        <v>46.69</v>
      </c>
      <c r="Y11" s="40">
        <v>47.1</v>
      </c>
      <c r="Z11" s="40">
        <v>46.45</v>
      </c>
      <c r="AA11" s="40">
        <v>46.54</v>
      </c>
      <c r="AB11" s="102">
        <v>2565000</v>
      </c>
      <c r="AC11" s="40">
        <v>46.54</v>
      </c>
      <c r="AD11" s="2">
        <f t="shared" si="0"/>
        <v>0.64999999999999858</v>
      </c>
      <c r="AE11" s="134">
        <f t="shared" si="1"/>
        <v>-6.4047822374040386E-3</v>
      </c>
    </row>
    <row r="12" spans="1:40" x14ac:dyDescent="0.25">
      <c r="T12" s="19"/>
      <c r="W12" s="108">
        <v>42816</v>
      </c>
      <c r="X12" s="40">
        <v>47.46</v>
      </c>
      <c r="Y12" s="40">
        <v>47.46</v>
      </c>
      <c r="Z12" s="40">
        <v>46.64</v>
      </c>
      <c r="AA12" s="40">
        <v>46.84</v>
      </c>
      <c r="AB12" s="102">
        <v>2768600</v>
      </c>
      <c r="AC12" s="40">
        <v>46.84</v>
      </c>
      <c r="AD12" s="2">
        <f t="shared" si="0"/>
        <v>0.82000000000000028</v>
      </c>
      <c r="AE12" s="134">
        <f t="shared" si="1"/>
        <v>-1.7411369834277268E-2</v>
      </c>
    </row>
    <row r="13" spans="1:40" x14ac:dyDescent="0.25">
      <c r="W13" s="108">
        <v>42815</v>
      </c>
      <c r="X13" s="40">
        <v>48.53</v>
      </c>
      <c r="Y13" s="40">
        <v>48.62</v>
      </c>
      <c r="Z13" s="40">
        <v>47.27</v>
      </c>
      <c r="AA13" s="40">
        <v>47.67</v>
      </c>
      <c r="AB13" s="102">
        <v>3033600</v>
      </c>
      <c r="AC13" s="40">
        <v>47.67</v>
      </c>
      <c r="AD13" s="2">
        <f t="shared" si="0"/>
        <v>1.3499999999999943</v>
      </c>
      <c r="AE13" s="134">
        <f t="shared" si="1"/>
        <v>-1.304347826086949E-2</v>
      </c>
    </row>
    <row r="14" spans="1:40" x14ac:dyDescent="0.25">
      <c r="W14" s="108">
        <v>42814</v>
      </c>
      <c r="X14" s="40">
        <v>47.84</v>
      </c>
      <c r="Y14" s="40">
        <v>48.44</v>
      </c>
      <c r="Z14" s="40">
        <v>47.48</v>
      </c>
      <c r="AA14" s="40">
        <v>48.3</v>
      </c>
      <c r="AB14" s="102">
        <v>3233400</v>
      </c>
      <c r="AC14" s="40">
        <v>48.3</v>
      </c>
      <c r="AD14" s="2">
        <f t="shared" si="0"/>
        <v>0.96000000000000085</v>
      </c>
      <c r="AE14" s="134">
        <f t="shared" si="1"/>
        <v>8.2884376295067064E-4</v>
      </c>
    </row>
    <row r="15" spans="1:40" x14ac:dyDescent="0.25">
      <c r="W15" s="108">
        <v>42811</v>
      </c>
      <c r="X15" s="40">
        <v>48.71</v>
      </c>
      <c r="Y15" s="40">
        <v>48.94</v>
      </c>
      <c r="Z15" s="40">
        <v>48.08</v>
      </c>
      <c r="AA15" s="40">
        <v>48.26</v>
      </c>
      <c r="AB15" s="102">
        <v>3236300</v>
      </c>
      <c r="AC15" s="40">
        <v>48.26</v>
      </c>
      <c r="AD15" s="2">
        <f t="shared" si="0"/>
        <v>0.85999999999999943</v>
      </c>
      <c r="AE15" s="134">
        <f t="shared" si="1"/>
        <v>-6.791520889071978E-3</v>
      </c>
    </row>
    <row r="16" spans="1:40" x14ac:dyDescent="0.25">
      <c r="W16" s="108">
        <v>42810</v>
      </c>
      <c r="X16" s="40">
        <v>49.16</v>
      </c>
      <c r="Y16" s="40">
        <v>49.24</v>
      </c>
      <c r="Z16" s="40">
        <v>48.21</v>
      </c>
      <c r="AA16" s="40">
        <v>48.59</v>
      </c>
      <c r="AB16" s="102">
        <v>2473900</v>
      </c>
      <c r="AC16" s="40">
        <v>48.59</v>
      </c>
      <c r="AD16" s="2">
        <f t="shared" si="0"/>
        <v>1.0300000000000011</v>
      </c>
      <c r="AE16" s="134">
        <f t="shared" si="1"/>
        <v>-1.1393692777212472E-2</v>
      </c>
    </row>
    <row r="17" spans="1:31" x14ac:dyDescent="0.25">
      <c r="C17" s="4"/>
      <c r="D17" s="188"/>
      <c r="E17" s="3"/>
      <c r="F17" s="3"/>
      <c r="W17" s="108">
        <v>42809</v>
      </c>
      <c r="X17" s="40">
        <v>47.71</v>
      </c>
      <c r="Y17" s="40">
        <v>49.31</v>
      </c>
      <c r="Z17" s="40">
        <v>47.36</v>
      </c>
      <c r="AA17" s="40">
        <v>49.15</v>
      </c>
      <c r="AB17" s="102">
        <v>3989100</v>
      </c>
      <c r="AC17" s="40">
        <v>49.15</v>
      </c>
      <c r="AD17" s="2">
        <f t="shared" si="0"/>
        <v>1.9500000000000028</v>
      </c>
      <c r="AE17" s="134">
        <f t="shared" si="1"/>
        <v>4.1975832096671439E-2</v>
      </c>
    </row>
    <row r="18" spans="1:31" x14ac:dyDescent="0.25">
      <c r="A18" s="31" t="s">
        <v>81</v>
      </c>
      <c r="B18" s="116"/>
      <c r="C18" s="14">
        <f>SUM(C2:C17)</f>
        <v>0</v>
      </c>
      <c r="D18" s="79"/>
      <c r="E18" s="14"/>
      <c r="F18" s="18">
        <f>SUM(F2:F17)</f>
        <v>0</v>
      </c>
      <c r="G18" s="14"/>
      <c r="H18" s="71">
        <f>SUM(H2:H17)</f>
        <v>0</v>
      </c>
      <c r="I18" s="14"/>
      <c r="J18" s="14"/>
      <c r="K18" s="18">
        <f>SUM(K2:K17)</f>
        <v>0</v>
      </c>
      <c r="L18" s="14"/>
      <c r="M18" s="18">
        <f>SUM(M2:M4)</f>
        <v>0</v>
      </c>
      <c r="W18" s="108">
        <v>42808</v>
      </c>
      <c r="X18" s="40">
        <v>47.13</v>
      </c>
      <c r="Y18" s="40">
        <v>47.31</v>
      </c>
      <c r="Z18" s="40">
        <v>46.15</v>
      </c>
      <c r="AA18" s="40">
        <v>47.17</v>
      </c>
      <c r="AB18" s="102">
        <v>3517300</v>
      </c>
      <c r="AC18" s="40">
        <v>47.17</v>
      </c>
      <c r="AD18" s="2">
        <f t="shared" si="0"/>
        <v>1.1600000000000037</v>
      </c>
      <c r="AE18" s="134">
        <f t="shared" si="1"/>
        <v>-1.2973425402803884E-2</v>
      </c>
    </row>
    <row r="19" spans="1:31" x14ac:dyDescent="0.25">
      <c r="W19" s="108">
        <v>42807</v>
      </c>
      <c r="X19" s="40">
        <v>47.11</v>
      </c>
      <c r="Y19" s="40">
        <v>47.92</v>
      </c>
      <c r="Z19" s="40">
        <v>47.11</v>
      </c>
      <c r="AA19" s="40">
        <v>47.79</v>
      </c>
      <c r="AB19" s="102">
        <v>6241200</v>
      </c>
      <c r="AC19" s="40">
        <v>47.79</v>
      </c>
      <c r="AD19" s="2">
        <f t="shared" si="0"/>
        <v>0.81000000000000227</v>
      </c>
      <c r="AE19" s="134" t="e">
        <f t="shared" si="1"/>
        <v>#DIV/0!</v>
      </c>
    </row>
    <row r="20" spans="1:31" x14ac:dyDescent="0.25">
      <c r="B20" s="162" t="s">
        <v>113</v>
      </c>
      <c r="C20" s="162" t="s">
        <v>145</v>
      </c>
      <c r="D20" s="170" t="s">
        <v>144</v>
      </c>
      <c r="E20" s="165" t="s">
        <v>146</v>
      </c>
      <c r="F20" s="166" t="s">
        <v>65</v>
      </c>
      <c r="G20" s="177" t="s">
        <v>150</v>
      </c>
      <c r="H20" s="166" t="s">
        <v>88</v>
      </c>
      <c r="I20" s="166" t="s">
        <v>153</v>
      </c>
      <c r="J20" s="2" t="s">
        <v>123</v>
      </c>
      <c r="W20" s="108">
        <v>42807</v>
      </c>
      <c r="X20" s="40" t="s">
        <v>124</v>
      </c>
      <c r="Y20" s="40"/>
      <c r="Z20" s="40"/>
      <c r="AA20" s="40"/>
      <c r="AB20" s="102"/>
      <c r="AC20" s="40"/>
      <c r="AD20" s="2">
        <f t="shared" si="0"/>
        <v>0</v>
      </c>
      <c r="AE20" s="134">
        <f t="shared" si="1"/>
        <v>-1</v>
      </c>
    </row>
    <row r="21" spans="1:31" x14ac:dyDescent="0.25">
      <c r="B21" s="164">
        <v>42304</v>
      </c>
      <c r="C21" s="10">
        <v>5</v>
      </c>
      <c r="D21" s="171">
        <v>-47.95</v>
      </c>
      <c r="E21" s="39">
        <v>56.93</v>
      </c>
      <c r="F21" s="39">
        <f>C21*(E21-D21)</f>
        <v>524.4</v>
      </c>
      <c r="G21" s="39">
        <f>D21*C21</f>
        <v>-239.75</v>
      </c>
      <c r="H21" s="179"/>
      <c r="I21" s="166"/>
      <c r="W21" s="108">
        <v>42804</v>
      </c>
      <c r="X21" s="40">
        <v>48.84</v>
      </c>
      <c r="Y21" s="40">
        <v>48.95</v>
      </c>
      <c r="Z21" s="40">
        <v>47.07</v>
      </c>
      <c r="AA21" s="40">
        <v>47.42</v>
      </c>
      <c r="AB21" s="102">
        <v>3426600</v>
      </c>
      <c r="AC21" s="40">
        <v>47.17</v>
      </c>
      <c r="AD21" s="2">
        <f t="shared" si="0"/>
        <v>1.8800000000000026</v>
      </c>
      <c r="AE21" s="134">
        <f t="shared" si="1"/>
        <v>-1.9742310889443004E-2</v>
      </c>
    </row>
    <row r="22" spans="1:31" x14ac:dyDescent="0.25">
      <c r="B22" s="164">
        <v>42305</v>
      </c>
      <c r="C22" s="10">
        <v>125</v>
      </c>
      <c r="D22" s="171">
        <v>50.5</v>
      </c>
      <c r="E22" s="39">
        <v>57.07</v>
      </c>
      <c r="F22" s="39">
        <f>C22*(E22-D22)</f>
        <v>821.25</v>
      </c>
      <c r="G22" s="39">
        <f>D22*C22</f>
        <v>6312.5</v>
      </c>
      <c r="H22" s="179">
        <f>(E22-D22)/D22</f>
        <v>0.1300990099009901</v>
      </c>
      <c r="I22" s="39"/>
      <c r="U22" s="2"/>
      <c r="W22" s="108">
        <v>42803</v>
      </c>
      <c r="X22" s="40">
        <v>47.91</v>
      </c>
      <c r="Y22" s="40">
        <v>48.55</v>
      </c>
      <c r="Z22" s="40">
        <v>46.83</v>
      </c>
      <c r="AA22" s="40">
        <v>48.38</v>
      </c>
      <c r="AB22" s="102">
        <v>4181600</v>
      </c>
      <c r="AC22" s="40">
        <v>48.12</v>
      </c>
      <c r="AD22" s="2">
        <f t="shared" si="0"/>
        <v>1.7199999999999989</v>
      </c>
      <c r="AE22" s="134">
        <f t="shared" si="1"/>
        <v>1.0499790004199872E-2</v>
      </c>
    </row>
    <row r="23" spans="1:31" x14ac:dyDescent="0.25">
      <c r="B23" s="164">
        <v>42311</v>
      </c>
      <c r="C23" s="10">
        <v>115</v>
      </c>
      <c r="D23" s="171">
        <v>49.704999999999998</v>
      </c>
      <c r="E23" s="39">
        <v>60.15</v>
      </c>
      <c r="F23" s="39">
        <f>C23*(E23-D23)</f>
        <v>1201.175</v>
      </c>
      <c r="G23" s="39">
        <f>D23*C23</f>
        <v>5716.0749999999998</v>
      </c>
      <c r="H23" s="179">
        <f>(E23-D23)/D23</f>
        <v>0.21013982496730713</v>
      </c>
      <c r="I23" s="39"/>
      <c r="W23" s="108">
        <v>42802</v>
      </c>
      <c r="X23" s="40">
        <v>49.17</v>
      </c>
      <c r="Y23" s="40">
        <v>49.69</v>
      </c>
      <c r="Z23" s="40">
        <v>47.78</v>
      </c>
      <c r="AA23" s="40">
        <v>47.87</v>
      </c>
      <c r="AB23" s="102">
        <v>3786800</v>
      </c>
      <c r="AC23" s="40">
        <v>47.62</v>
      </c>
      <c r="AD23" s="2">
        <f t="shared" si="0"/>
        <v>1.9099999999999966</v>
      </c>
      <c r="AE23" s="134">
        <f t="shared" si="1"/>
        <v>-3.3096446700507709E-2</v>
      </c>
    </row>
    <row r="24" spans="1:31" x14ac:dyDescent="0.25">
      <c r="B24" s="164">
        <v>42332</v>
      </c>
      <c r="C24" s="10">
        <v>40</v>
      </c>
      <c r="D24" s="171">
        <v>27.61</v>
      </c>
      <c r="E24" s="39">
        <v>61.36</v>
      </c>
      <c r="F24" s="39">
        <f>C24*(E24-D24)</f>
        <v>1350</v>
      </c>
      <c r="G24" s="39">
        <f>D24*C24</f>
        <v>1104.4000000000001</v>
      </c>
      <c r="H24" s="179">
        <f>(E24-D24)/D24</f>
        <v>1.2223831944947483</v>
      </c>
      <c r="I24" s="39"/>
      <c r="W24" s="108">
        <v>42801</v>
      </c>
      <c r="X24" s="40">
        <v>51.15</v>
      </c>
      <c r="Y24" s="40">
        <v>51.26</v>
      </c>
      <c r="Z24" s="40">
        <v>49.25</v>
      </c>
      <c r="AA24" s="40">
        <v>49.51</v>
      </c>
      <c r="AB24" s="102">
        <v>3781200</v>
      </c>
      <c r="AC24" s="40">
        <v>49.25</v>
      </c>
      <c r="AD24" s="2">
        <f t="shared" si="0"/>
        <v>2.009999999999998</v>
      </c>
      <c r="AE24" s="134">
        <f t="shared" si="1"/>
        <v>-2.9747832939322261E-2</v>
      </c>
    </row>
    <row r="25" spans="1:31" x14ac:dyDescent="0.25">
      <c r="B25" s="164">
        <v>42335</v>
      </c>
      <c r="C25" s="10">
        <v>80</v>
      </c>
      <c r="D25" s="171">
        <v>43.104999999999997</v>
      </c>
      <c r="E25" s="39">
        <v>59.09</v>
      </c>
      <c r="F25" s="39">
        <f>C25*(E25-D25)</f>
        <v>1278.8000000000006</v>
      </c>
      <c r="G25" s="39">
        <f>D25*C25</f>
        <v>3448.3999999999996</v>
      </c>
      <c r="H25" s="179">
        <f>(E25-D25)/D25</f>
        <v>0.37083864980860709</v>
      </c>
      <c r="I25" s="166"/>
      <c r="W25" s="108">
        <v>42800</v>
      </c>
      <c r="X25" s="40">
        <v>51.12</v>
      </c>
      <c r="Y25" s="40">
        <v>51.19</v>
      </c>
      <c r="Z25" s="40">
        <v>50.47</v>
      </c>
      <c r="AA25" s="40">
        <v>51.03</v>
      </c>
      <c r="AB25" s="102">
        <v>2413600</v>
      </c>
      <c r="AC25" s="40">
        <v>50.76</v>
      </c>
      <c r="AD25" s="2">
        <f t="shared" si="0"/>
        <v>0.71999999999999886</v>
      </c>
      <c r="AE25" s="134">
        <f t="shared" si="1"/>
        <v>0</v>
      </c>
    </row>
    <row r="26" spans="1:31" x14ac:dyDescent="0.25">
      <c r="B26" s="164">
        <v>42344</v>
      </c>
      <c r="C26" s="10">
        <v>80</v>
      </c>
      <c r="D26" s="171">
        <v>43.104999999999997</v>
      </c>
      <c r="E26" s="39">
        <v>54.9</v>
      </c>
      <c r="F26" s="39">
        <f t="shared" ref="F26:F62" si="2">C26*(E26-D26)</f>
        <v>943.60000000000014</v>
      </c>
      <c r="G26" s="39">
        <f t="shared" ref="G26:G62" si="3">D26*C26</f>
        <v>3448.3999999999996</v>
      </c>
      <c r="H26" s="179">
        <f t="shared" ref="H26:H58" si="4">(E26-D26)/D26</f>
        <v>0.27363414917062989</v>
      </c>
      <c r="I26" s="166"/>
      <c r="W26" s="108">
        <v>42797</v>
      </c>
      <c r="X26" s="40">
        <v>51.85</v>
      </c>
      <c r="Y26" s="40">
        <v>52.02</v>
      </c>
      <c r="Z26" s="40">
        <v>50.9</v>
      </c>
      <c r="AA26" s="40">
        <v>51.03</v>
      </c>
      <c r="AB26" s="102">
        <v>2890600</v>
      </c>
      <c r="AC26" s="40">
        <v>50.76</v>
      </c>
      <c r="AD26" s="2">
        <f t="shared" si="0"/>
        <v>1.1200000000000045</v>
      </c>
      <c r="AE26" s="134">
        <f t="shared" si="1"/>
        <v>-1.4177510196154652E-2</v>
      </c>
    </row>
    <row r="27" spans="1:31" x14ac:dyDescent="0.25">
      <c r="B27" s="164">
        <v>42349</v>
      </c>
      <c r="C27" s="10">
        <v>125</v>
      </c>
      <c r="D27" s="171">
        <v>45.75</v>
      </c>
      <c r="E27" s="39">
        <v>50.43</v>
      </c>
      <c r="F27" s="39">
        <f t="shared" si="2"/>
        <v>585</v>
      </c>
      <c r="G27" s="39">
        <f t="shared" si="3"/>
        <v>5718.75</v>
      </c>
      <c r="H27" s="179">
        <f t="shared" si="4"/>
        <v>0.10229508196721311</v>
      </c>
      <c r="I27" s="166"/>
      <c r="W27" s="108">
        <v>42796</v>
      </c>
      <c r="X27" s="40">
        <v>51.25</v>
      </c>
      <c r="Y27" s="40">
        <v>52.2</v>
      </c>
      <c r="Z27" s="40">
        <v>51.23</v>
      </c>
      <c r="AA27" s="40">
        <v>51.76</v>
      </c>
      <c r="AB27" s="102">
        <v>3664100</v>
      </c>
      <c r="AC27" s="40">
        <v>51.49</v>
      </c>
      <c r="AD27" s="2">
        <f t="shared" si="0"/>
        <v>0.97000000000000597</v>
      </c>
      <c r="AE27" s="134">
        <f t="shared" si="1"/>
        <v>1.9459038723488309E-3</v>
      </c>
    </row>
    <row r="28" spans="1:31" x14ac:dyDescent="0.25">
      <c r="B28" s="164">
        <v>42349</v>
      </c>
      <c r="C28" s="10">
        <v>200</v>
      </c>
      <c r="D28" s="171">
        <v>47.5</v>
      </c>
      <c r="E28" s="39">
        <v>50.43</v>
      </c>
      <c r="F28" s="39">
        <f t="shared" si="2"/>
        <v>586</v>
      </c>
      <c r="G28" s="39">
        <f t="shared" si="3"/>
        <v>9500</v>
      </c>
      <c r="H28" s="179">
        <f t="shared" si="4"/>
        <v>6.1684210526315786E-2</v>
      </c>
      <c r="I28" s="166"/>
      <c r="W28" s="108">
        <v>42795</v>
      </c>
      <c r="X28" s="40">
        <v>51.9</v>
      </c>
      <c r="Y28" s="40">
        <v>52.3</v>
      </c>
      <c r="Z28" s="40">
        <v>51.28</v>
      </c>
      <c r="AA28" s="40">
        <v>51.66</v>
      </c>
      <c r="AB28" s="102">
        <v>5234200</v>
      </c>
      <c r="AC28" s="40">
        <v>51.39</v>
      </c>
      <c r="AD28" s="2">
        <f t="shared" si="0"/>
        <v>1.019999999999996</v>
      </c>
      <c r="AE28" s="134">
        <f t="shared" si="1"/>
        <v>4.2993941762752286E-3</v>
      </c>
    </row>
    <row r="29" spans="1:31" x14ac:dyDescent="0.25">
      <c r="B29" s="164">
        <v>42349</v>
      </c>
      <c r="C29" s="10">
        <v>700</v>
      </c>
      <c r="D29" s="171">
        <v>49.27</v>
      </c>
      <c r="E29" s="39">
        <v>50.43</v>
      </c>
      <c r="F29" s="39">
        <f t="shared" si="2"/>
        <v>811.99999999999761</v>
      </c>
      <c r="G29" s="39">
        <f t="shared" si="3"/>
        <v>34489</v>
      </c>
      <c r="H29" s="179">
        <f t="shared" si="4"/>
        <v>2.3543738583316348E-2</v>
      </c>
      <c r="I29" s="166"/>
      <c r="W29" s="108">
        <v>42794</v>
      </c>
      <c r="X29" s="40">
        <v>52.29</v>
      </c>
      <c r="Y29" s="40">
        <v>52.31</v>
      </c>
      <c r="Z29" s="40">
        <v>51.31</v>
      </c>
      <c r="AA29" s="40">
        <v>51.44</v>
      </c>
      <c r="AB29" s="102">
        <v>4384400</v>
      </c>
      <c r="AC29" s="40">
        <v>51.17</v>
      </c>
      <c r="AD29" s="2">
        <f t="shared" si="0"/>
        <v>1</v>
      </c>
      <c r="AE29" s="134">
        <f t="shared" si="1"/>
        <v>-2.3659606945239386E-2</v>
      </c>
    </row>
    <row r="30" spans="1:31" x14ac:dyDescent="0.25">
      <c r="B30" s="164">
        <v>42349</v>
      </c>
      <c r="C30" s="10">
        <v>500</v>
      </c>
      <c r="D30" s="171">
        <v>48.92</v>
      </c>
      <c r="E30" s="39">
        <v>50.43</v>
      </c>
      <c r="F30" s="39">
        <f t="shared" si="2"/>
        <v>754.99999999999898</v>
      </c>
      <c r="G30" s="39">
        <f t="shared" si="3"/>
        <v>24460</v>
      </c>
      <c r="H30" s="179">
        <f t="shared" si="4"/>
        <v>3.0866721177432502E-2</v>
      </c>
      <c r="I30" s="166"/>
      <c r="W30" s="108">
        <v>42793</v>
      </c>
      <c r="X30" s="40">
        <v>52.77</v>
      </c>
      <c r="Y30" s="40">
        <v>52.98</v>
      </c>
      <c r="Z30" s="40">
        <v>52.24</v>
      </c>
      <c r="AA30" s="40">
        <v>52.69</v>
      </c>
      <c r="AB30" s="102">
        <v>4058600</v>
      </c>
      <c r="AC30" s="40">
        <v>52.41</v>
      </c>
      <c r="AD30" s="2">
        <f t="shared" si="0"/>
        <v>0.73999999999999488</v>
      </c>
      <c r="AE30" s="134">
        <f t="shared" si="1"/>
        <v>3.8306837770540891E-3</v>
      </c>
    </row>
    <row r="31" spans="1:31" x14ac:dyDescent="0.25">
      <c r="B31" s="164">
        <v>42349</v>
      </c>
      <c r="C31" s="218">
        <v>400</v>
      </c>
      <c r="D31" s="219">
        <v>48.61</v>
      </c>
      <c r="E31" s="39">
        <v>50.43</v>
      </c>
      <c r="F31" s="39">
        <f t="shared" si="2"/>
        <v>728.00000000000011</v>
      </c>
      <c r="G31" s="39">
        <f t="shared" si="3"/>
        <v>19444</v>
      </c>
      <c r="H31" s="179">
        <f t="shared" si="4"/>
        <v>3.7440855790989512E-2</v>
      </c>
      <c r="I31" s="166"/>
      <c r="W31" s="108">
        <v>42790</v>
      </c>
      <c r="X31" s="168">
        <v>51.84</v>
      </c>
      <c r="Y31" s="40">
        <v>53.12</v>
      </c>
      <c r="Z31" s="40">
        <v>51.68</v>
      </c>
      <c r="AA31" s="40">
        <v>52.49</v>
      </c>
      <c r="AB31" s="102">
        <v>3092700</v>
      </c>
      <c r="AC31" s="40">
        <v>52.21</v>
      </c>
      <c r="AD31" s="2">
        <f t="shared" si="0"/>
        <v>1.4399999999999977</v>
      </c>
      <c r="AE31" s="134">
        <f t="shared" si="1"/>
        <v>-5.7427258805520243E-4</v>
      </c>
    </row>
    <row r="32" spans="1:31" x14ac:dyDescent="0.25">
      <c r="B32" s="164">
        <v>42356</v>
      </c>
      <c r="C32" s="10">
        <v>400</v>
      </c>
      <c r="D32" s="171">
        <v>48.61</v>
      </c>
      <c r="E32" s="39">
        <v>49.2</v>
      </c>
      <c r="F32" s="39">
        <f t="shared" si="2"/>
        <v>236.00000000000136</v>
      </c>
      <c r="G32" s="39">
        <f t="shared" si="3"/>
        <v>19444</v>
      </c>
      <c r="H32" s="179">
        <f t="shared" si="4"/>
        <v>1.2137420283892274E-2</v>
      </c>
      <c r="I32" s="166"/>
      <c r="W32" s="108">
        <v>42789</v>
      </c>
      <c r="X32" s="40">
        <v>52.57</v>
      </c>
      <c r="Y32" s="40">
        <v>53.34</v>
      </c>
      <c r="Z32" s="40">
        <v>51.89</v>
      </c>
      <c r="AA32" s="40">
        <v>52.52</v>
      </c>
      <c r="AB32" s="102">
        <v>5019200</v>
      </c>
      <c r="AC32" s="40">
        <v>52.24</v>
      </c>
      <c r="AD32" s="2">
        <f t="shared" si="0"/>
        <v>1.4500000000000028</v>
      </c>
      <c r="AE32" s="134">
        <f t="shared" si="1"/>
        <v>1.8522129069994175E-2</v>
      </c>
    </row>
    <row r="33" spans="2:31" x14ac:dyDescent="0.25">
      <c r="B33" s="164">
        <v>42359</v>
      </c>
      <c r="C33" s="10">
        <v>1000</v>
      </c>
      <c r="D33" s="171">
        <v>48.22</v>
      </c>
      <c r="E33" s="39">
        <v>48.02</v>
      </c>
      <c r="F33" s="39">
        <f t="shared" si="2"/>
        <v>-199.99999999999574</v>
      </c>
      <c r="G33" s="39">
        <f t="shared" si="3"/>
        <v>48220</v>
      </c>
      <c r="H33" s="179">
        <f t="shared" si="4"/>
        <v>-4.1476565740355817E-3</v>
      </c>
      <c r="I33" s="166"/>
      <c r="W33" s="108">
        <v>42788</v>
      </c>
      <c r="X33" s="40">
        <v>52.27</v>
      </c>
      <c r="Y33" s="40">
        <v>52.61</v>
      </c>
      <c r="Z33" s="40">
        <v>51.53</v>
      </c>
      <c r="AA33" s="40">
        <v>51.56</v>
      </c>
      <c r="AB33" s="102">
        <v>2940800</v>
      </c>
      <c r="AC33" s="40">
        <v>51.29</v>
      </c>
      <c r="AD33" s="2">
        <f t="shared" si="0"/>
        <v>1.0799999999999983</v>
      </c>
      <c r="AE33" s="134">
        <f t="shared" si="1"/>
        <v>-2.3791397030833661E-2</v>
      </c>
    </row>
    <row r="34" spans="2:31" x14ac:dyDescent="0.25">
      <c r="B34" s="164">
        <v>42361</v>
      </c>
      <c r="C34" s="10">
        <v>600</v>
      </c>
      <c r="D34" s="171">
        <v>47.125</v>
      </c>
      <c r="E34" s="39">
        <v>51.27</v>
      </c>
      <c r="F34" s="39">
        <f t="shared" si="2"/>
        <v>2487.0000000000018</v>
      </c>
      <c r="G34" s="39">
        <f t="shared" si="3"/>
        <v>28275</v>
      </c>
      <c r="H34" s="179">
        <f t="shared" si="4"/>
        <v>8.7957559681697675E-2</v>
      </c>
      <c r="I34" s="166"/>
      <c r="W34" s="108">
        <v>42787</v>
      </c>
      <c r="X34" s="40">
        <v>52.56</v>
      </c>
      <c r="Y34" s="40">
        <v>53.42</v>
      </c>
      <c r="Z34" s="40">
        <v>52.47</v>
      </c>
      <c r="AA34" s="40">
        <v>52.82</v>
      </c>
      <c r="AB34" s="102">
        <v>4058100</v>
      </c>
      <c r="AC34" s="40">
        <v>52.54</v>
      </c>
      <c r="AD34" s="2">
        <f t="shared" si="0"/>
        <v>0.95000000000000284</v>
      </c>
      <c r="AE34" s="134">
        <f t="shared" si="1"/>
        <v>2.0590520590520578E-2</v>
      </c>
    </row>
    <row r="35" spans="2:31" x14ac:dyDescent="0.25">
      <c r="B35" s="164">
        <v>46026</v>
      </c>
      <c r="C35" s="10">
        <v>600</v>
      </c>
      <c r="D35" s="171">
        <v>46.96</v>
      </c>
      <c r="E35" s="39">
        <v>48.18</v>
      </c>
      <c r="F35" s="39">
        <f t="shared" si="2"/>
        <v>731.99999999999932</v>
      </c>
      <c r="G35" s="39">
        <f t="shared" si="3"/>
        <v>28176</v>
      </c>
      <c r="H35" s="179">
        <f t="shared" si="4"/>
        <v>2.5979557069846653E-2</v>
      </c>
      <c r="I35" s="166"/>
      <c r="W35" s="108">
        <v>42783</v>
      </c>
      <c r="X35" s="40">
        <v>50.99</v>
      </c>
      <c r="Y35" s="40">
        <v>51.86</v>
      </c>
      <c r="Z35" s="40">
        <v>50.8</v>
      </c>
      <c r="AA35" s="40">
        <v>51.75</v>
      </c>
      <c r="AB35" s="102">
        <v>3355000</v>
      </c>
      <c r="AC35" s="40">
        <v>51.48</v>
      </c>
      <c r="AD35" s="2">
        <f t="shared" si="0"/>
        <v>1.0600000000000023</v>
      </c>
      <c r="AE35" s="134">
        <f t="shared" si="1"/>
        <v>8.818342151675429E-3</v>
      </c>
    </row>
    <row r="36" spans="2:31" x14ac:dyDescent="0.25">
      <c r="B36" s="164">
        <v>42374</v>
      </c>
      <c r="C36" s="218">
        <v>600</v>
      </c>
      <c r="D36" s="219">
        <v>46.887</v>
      </c>
      <c r="E36" s="39">
        <v>48.07</v>
      </c>
      <c r="F36" s="39">
        <f t="shared" si="2"/>
        <v>709.8</v>
      </c>
      <c r="G36" s="39">
        <f t="shared" si="3"/>
        <v>28132.2</v>
      </c>
      <c r="H36" s="179">
        <f t="shared" si="4"/>
        <v>2.5230874229530569E-2</v>
      </c>
      <c r="I36" s="166"/>
      <c r="W36" s="108">
        <v>42782</v>
      </c>
      <c r="X36" s="40">
        <v>51.4</v>
      </c>
      <c r="Y36" s="40">
        <v>51.62</v>
      </c>
      <c r="Z36" s="40">
        <v>50.86</v>
      </c>
      <c r="AA36" s="40">
        <v>51.3</v>
      </c>
      <c r="AB36" s="102">
        <v>4128000</v>
      </c>
      <c r="AC36" s="40">
        <v>51.03</v>
      </c>
      <c r="AD36" s="2">
        <f t="shared" si="0"/>
        <v>0.75999999999999801</v>
      </c>
      <c r="AE36" s="134">
        <f t="shared" si="1"/>
        <v>4.923198109491933E-3</v>
      </c>
    </row>
    <row r="37" spans="2:31" x14ac:dyDescent="0.25">
      <c r="B37" s="164">
        <v>42375</v>
      </c>
      <c r="C37" s="218">
        <v>750</v>
      </c>
      <c r="D37" s="219">
        <v>46.65</v>
      </c>
      <c r="E37" s="39">
        <v>45.07</v>
      </c>
      <c r="F37" s="39">
        <f t="shared" si="2"/>
        <v>-1184.9999999999986</v>
      </c>
      <c r="G37" s="39">
        <f t="shared" si="3"/>
        <v>34987.5</v>
      </c>
      <c r="H37" s="179">
        <f t="shared" si="4"/>
        <v>-3.3869239013933509E-2</v>
      </c>
      <c r="I37" s="166"/>
      <c r="W37" s="108">
        <v>42781</v>
      </c>
      <c r="X37" s="40">
        <v>51.9</v>
      </c>
      <c r="Y37" s="40">
        <v>52.13</v>
      </c>
      <c r="Z37" s="40">
        <v>51.02</v>
      </c>
      <c r="AA37" s="40">
        <v>51.05</v>
      </c>
      <c r="AB37" s="102">
        <v>2979700</v>
      </c>
      <c r="AC37" s="40">
        <v>50.78</v>
      </c>
      <c r="AD37" s="2">
        <f t="shared" si="0"/>
        <v>1.1099999999999994</v>
      </c>
      <c r="AE37" s="134">
        <f t="shared" si="1"/>
        <v>-1.8364585346993922E-2</v>
      </c>
    </row>
    <row r="38" spans="2:31" x14ac:dyDescent="0.25">
      <c r="B38" s="164">
        <v>42398</v>
      </c>
      <c r="C38" s="218">
        <v>600</v>
      </c>
      <c r="D38" s="219">
        <v>48.09</v>
      </c>
      <c r="E38" s="39">
        <v>41.28</v>
      </c>
      <c r="F38" s="39">
        <f t="shared" si="2"/>
        <v>-4086.0000000000014</v>
      </c>
      <c r="G38" s="39">
        <f t="shared" si="3"/>
        <v>28854.000000000004</v>
      </c>
      <c r="H38" s="180">
        <f t="shared" si="4"/>
        <v>-0.14160948222083597</v>
      </c>
      <c r="I38" s="166"/>
      <c r="W38" s="108">
        <v>42780</v>
      </c>
      <c r="X38" s="40">
        <v>52.12</v>
      </c>
      <c r="Y38" s="40">
        <v>52.25</v>
      </c>
      <c r="Z38" s="40">
        <v>51.4</v>
      </c>
      <c r="AA38" s="40">
        <v>52</v>
      </c>
      <c r="AB38" s="102">
        <v>2847600</v>
      </c>
      <c r="AC38" s="40">
        <v>51.73</v>
      </c>
      <c r="AD38" s="2">
        <f t="shared" si="0"/>
        <v>0.85000000000000142</v>
      </c>
      <c r="AE38" s="134">
        <f t="shared" si="1"/>
        <v>2.325130788606744E-3</v>
      </c>
    </row>
    <row r="39" spans="2:31" x14ac:dyDescent="0.25">
      <c r="B39" s="164">
        <v>42402</v>
      </c>
      <c r="C39" s="218">
        <v>750</v>
      </c>
      <c r="D39" s="219">
        <v>46.366</v>
      </c>
      <c r="E39" s="39">
        <v>39.36</v>
      </c>
      <c r="F39" s="39">
        <f t="shared" si="2"/>
        <v>-5254.5</v>
      </c>
      <c r="G39" s="39">
        <f t="shared" si="3"/>
        <v>34774.5</v>
      </c>
      <c r="H39" s="180">
        <f t="shared" si="4"/>
        <v>-0.15110210067722038</v>
      </c>
      <c r="I39" s="166"/>
      <c r="W39" s="108">
        <v>42779</v>
      </c>
      <c r="X39" s="40">
        <v>52.17</v>
      </c>
      <c r="Y39" s="40">
        <v>52.29</v>
      </c>
      <c r="Z39" s="40">
        <v>51.72</v>
      </c>
      <c r="AA39" s="40">
        <v>51.88</v>
      </c>
      <c r="AB39" s="102">
        <v>3600900</v>
      </c>
      <c r="AC39" s="40">
        <v>51.61</v>
      </c>
      <c r="AD39" s="2">
        <f t="shared" si="0"/>
        <v>0.57000000000000028</v>
      </c>
      <c r="AE39" s="134">
        <f t="shared" si="1"/>
        <v>-1.1870572467930218E-2</v>
      </c>
    </row>
    <row r="40" spans="2:31" x14ac:dyDescent="0.25">
      <c r="B40" s="164">
        <v>42405</v>
      </c>
      <c r="C40" s="218">
        <v>750</v>
      </c>
      <c r="D40" s="219">
        <v>46.357999999999997</v>
      </c>
      <c r="E40" s="39">
        <v>38.424999999999997</v>
      </c>
      <c r="F40" s="39">
        <f t="shared" si="2"/>
        <v>-5949.75</v>
      </c>
      <c r="G40" s="39">
        <f t="shared" si="3"/>
        <v>34768.5</v>
      </c>
      <c r="H40" s="180">
        <f t="shared" si="4"/>
        <v>-0.17112472496656456</v>
      </c>
      <c r="I40" s="166"/>
      <c r="W40" s="108">
        <v>42776</v>
      </c>
      <c r="X40" s="40">
        <v>53.08</v>
      </c>
      <c r="Y40" s="40">
        <v>53.53</v>
      </c>
      <c r="Z40" s="40">
        <v>52.2</v>
      </c>
      <c r="AA40" s="40">
        <v>52.51</v>
      </c>
      <c r="AB40" s="102">
        <v>2998000</v>
      </c>
      <c r="AC40" s="40">
        <v>52.23</v>
      </c>
      <c r="AD40" s="2">
        <f t="shared" si="0"/>
        <v>1.3299999999999983</v>
      </c>
      <c r="AE40" s="134">
        <f t="shared" si="1"/>
        <v>3.6510376633358543E-3</v>
      </c>
    </row>
    <row r="41" spans="2:31" x14ac:dyDescent="0.25">
      <c r="B41" s="164">
        <v>42421</v>
      </c>
      <c r="C41" s="218">
        <v>750</v>
      </c>
      <c r="D41" s="219">
        <v>46.357999999999997</v>
      </c>
      <c r="E41" s="39">
        <v>42.31</v>
      </c>
      <c r="F41" s="39">
        <f t="shared" si="2"/>
        <v>-3035.9999999999959</v>
      </c>
      <c r="G41" s="39">
        <f t="shared" si="3"/>
        <v>34768.5</v>
      </c>
      <c r="H41" s="180">
        <f t="shared" si="4"/>
        <v>-8.7320419345096753E-2</v>
      </c>
      <c r="I41" s="166"/>
      <c r="W41" s="108">
        <v>42775</v>
      </c>
      <c r="X41" s="40">
        <v>51.54</v>
      </c>
      <c r="Y41" s="40">
        <v>52.57</v>
      </c>
      <c r="Z41" s="40">
        <v>51.54</v>
      </c>
      <c r="AA41" s="40">
        <v>52.32</v>
      </c>
      <c r="AB41" s="102">
        <v>2532900</v>
      </c>
      <c r="AC41" s="40">
        <v>52.04</v>
      </c>
      <c r="AD41" s="2">
        <f t="shared" si="0"/>
        <v>1.0300000000000011</v>
      </c>
      <c r="AE41" s="134">
        <f t="shared" si="1"/>
        <v>1.5018529354398291E-2</v>
      </c>
    </row>
    <row r="42" spans="2:31" ht="20.25" thickBot="1" x14ac:dyDescent="0.35">
      <c r="B42" s="164">
        <v>42422</v>
      </c>
      <c r="C42" s="218">
        <v>750</v>
      </c>
      <c r="D42" s="219">
        <v>46.357999999999997</v>
      </c>
      <c r="E42" s="39">
        <v>44.58</v>
      </c>
      <c r="F42" s="39">
        <f t="shared" si="2"/>
        <v>-1333.4999999999991</v>
      </c>
      <c r="G42" s="39">
        <f t="shared" si="3"/>
        <v>34768.5</v>
      </c>
      <c r="H42" s="180">
        <f t="shared" si="4"/>
        <v>-3.8353682212347355E-2</v>
      </c>
      <c r="I42" s="166"/>
      <c r="T42" s="103" t="s">
        <v>92</v>
      </c>
      <c r="U42" s="33"/>
      <c r="W42" s="108">
        <v>42774</v>
      </c>
      <c r="X42" s="40">
        <v>51.03</v>
      </c>
      <c r="Y42" s="40">
        <v>52.39</v>
      </c>
      <c r="Z42" s="40">
        <v>50.43</v>
      </c>
      <c r="AA42" s="40">
        <v>51.54</v>
      </c>
      <c r="AB42" s="102">
        <v>4908800</v>
      </c>
      <c r="AC42" s="40">
        <v>51.27</v>
      </c>
      <c r="AD42" s="2">
        <f t="shared" si="0"/>
        <v>1.9600000000000009</v>
      </c>
      <c r="AE42" s="134">
        <f t="shared" si="1"/>
        <v>5.8548009367687115E-4</v>
      </c>
    </row>
    <row r="43" spans="2:31" ht="15.75" thickTop="1" x14ac:dyDescent="0.25">
      <c r="B43" s="164">
        <v>42424</v>
      </c>
      <c r="C43" s="218">
        <v>750</v>
      </c>
      <c r="D43" s="219">
        <v>46.357999999999997</v>
      </c>
      <c r="E43" s="39">
        <v>41.7</v>
      </c>
      <c r="F43" s="39">
        <f t="shared" si="2"/>
        <v>-3493.4999999999955</v>
      </c>
      <c r="G43" s="39">
        <f t="shared" si="3"/>
        <v>34768.5</v>
      </c>
      <c r="H43" s="180">
        <f t="shared" si="4"/>
        <v>-0.10047888174640826</v>
      </c>
      <c r="I43" s="166"/>
      <c r="T43" s="106" t="s">
        <v>97</v>
      </c>
      <c r="U43" s="104">
        <v>47.64</v>
      </c>
      <c r="W43" s="108">
        <v>42773</v>
      </c>
      <c r="X43" s="40">
        <v>52.63</v>
      </c>
      <c r="Y43" s="40">
        <v>52.64</v>
      </c>
      <c r="Z43" s="40">
        <v>51.07</v>
      </c>
      <c r="AA43" s="40">
        <v>51.51</v>
      </c>
      <c r="AB43" s="102">
        <v>4966700</v>
      </c>
      <c r="AC43" s="40">
        <v>51.24</v>
      </c>
      <c r="AD43" s="2">
        <f t="shared" si="0"/>
        <v>1.5700000000000003</v>
      </c>
      <c r="AE43" s="134">
        <f t="shared" si="1"/>
        <v>-3.1013615733736732E-2</v>
      </c>
    </row>
    <row r="44" spans="2:31" ht="20.25" thickBot="1" x14ac:dyDescent="0.35">
      <c r="B44" s="164">
        <v>42426</v>
      </c>
      <c r="C44" s="218">
        <v>750</v>
      </c>
      <c r="D44" s="219">
        <v>46.326000000000001</v>
      </c>
      <c r="E44" s="39">
        <v>43.09</v>
      </c>
      <c r="F44" s="39">
        <f t="shared" si="2"/>
        <v>-2426.9999999999977</v>
      </c>
      <c r="G44" s="39">
        <f t="shared" si="3"/>
        <v>34744.5</v>
      </c>
      <c r="H44" s="180">
        <f t="shared" si="4"/>
        <v>-6.9852782454776954E-2</v>
      </c>
      <c r="I44" s="166"/>
      <c r="O44" s="884" t="s">
        <v>78</v>
      </c>
      <c r="P44" s="884"/>
      <c r="T44" s="106" t="s">
        <v>98</v>
      </c>
      <c r="U44" s="104">
        <v>48.24</v>
      </c>
      <c r="W44" s="108">
        <v>42772</v>
      </c>
      <c r="X44" s="40">
        <v>54.39</v>
      </c>
      <c r="Y44" s="40">
        <v>54.48</v>
      </c>
      <c r="Z44" s="40">
        <v>52.66</v>
      </c>
      <c r="AA44" s="40">
        <v>53.16</v>
      </c>
      <c r="AB44" s="102">
        <v>3322200</v>
      </c>
      <c r="AC44" s="40">
        <v>52.88</v>
      </c>
      <c r="AD44" s="2">
        <f t="shared" si="0"/>
        <v>1.8200000000000003</v>
      </c>
      <c r="AE44" s="134">
        <f t="shared" si="1"/>
        <v>-2.110329507589781E-2</v>
      </c>
    </row>
    <row r="45" spans="2:31" ht="15.75" thickTop="1" x14ac:dyDescent="0.25">
      <c r="B45" s="164">
        <v>42426</v>
      </c>
      <c r="C45" s="218">
        <v>600</v>
      </c>
      <c r="D45" s="219">
        <v>47.058</v>
      </c>
      <c r="E45" s="39">
        <v>43.3</v>
      </c>
      <c r="F45" s="39">
        <f t="shared" si="2"/>
        <v>-2254.8000000000015</v>
      </c>
      <c r="G45" s="39">
        <f t="shared" si="3"/>
        <v>28234.799999999999</v>
      </c>
      <c r="H45" s="180">
        <f t="shared" si="4"/>
        <v>-7.9858897530706838E-2</v>
      </c>
      <c r="I45" s="166"/>
      <c r="O45" s="81">
        <v>1.1000000000000001</v>
      </c>
      <c r="P45" s="81">
        <f>O45*$Q$4</f>
        <v>59.323000000000008</v>
      </c>
      <c r="R45" s="33"/>
      <c r="T45" s="106" t="s">
        <v>99</v>
      </c>
      <c r="U45" s="104" t="s">
        <v>128</v>
      </c>
      <c r="W45" s="108">
        <v>42769</v>
      </c>
      <c r="X45" s="40">
        <v>54</v>
      </c>
      <c r="Y45" s="40">
        <v>54.76</v>
      </c>
      <c r="Z45" s="40">
        <v>53.62</v>
      </c>
      <c r="AA45" s="40">
        <v>54.31</v>
      </c>
      <c r="AB45" s="102">
        <v>3461700</v>
      </c>
      <c r="AC45" s="40">
        <v>54.02</v>
      </c>
      <c r="AD45" s="2">
        <f t="shared" si="0"/>
        <v>1.1400000000000006</v>
      </c>
      <c r="AE45" s="134">
        <f t="shared" si="1"/>
        <v>6.3338301043218692E-3</v>
      </c>
    </row>
    <row r="46" spans="2:31" x14ac:dyDescent="0.25">
      <c r="B46" s="164">
        <v>42426</v>
      </c>
      <c r="C46" s="218">
        <v>750</v>
      </c>
      <c r="D46" s="219">
        <v>46.225000000000001</v>
      </c>
      <c r="E46" s="39">
        <v>42.89</v>
      </c>
      <c r="F46" s="39">
        <f t="shared" si="2"/>
        <v>-2501.2500000000005</v>
      </c>
      <c r="G46" s="39">
        <f t="shared" si="3"/>
        <v>34668.75</v>
      </c>
      <c r="H46" s="180">
        <f t="shared" si="4"/>
        <v>-7.2147106544077896E-2</v>
      </c>
      <c r="I46" s="166"/>
      <c r="O46" s="81">
        <v>1.0900000000000001</v>
      </c>
      <c r="P46" s="81">
        <f t="shared" ref="P46:P65" si="5">O46*$Q$4</f>
        <v>58.783700000000003</v>
      </c>
      <c r="Q46" s="2"/>
      <c r="R46" s="33"/>
      <c r="T46" s="106" t="s">
        <v>100</v>
      </c>
      <c r="U46" s="104" t="s">
        <v>128</v>
      </c>
      <c r="W46" s="108">
        <v>42768</v>
      </c>
      <c r="X46" s="40">
        <v>53.7</v>
      </c>
      <c r="Y46" s="40">
        <v>54.29</v>
      </c>
      <c r="Z46" s="40">
        <v>52.94</v>
      </c>
      <c r="AA46" s="40">
        <v>53.96</v>
      </c>
      <c r="AB46" s="102">
        <v>3166600</v>
      </c>
      <c r="AC46" s="40">
        <v>53.68</v>
      </c>
      <c r="AD46" s="2">
        <f t="shared" si="0"/>
        <v>1.3500000000000014</v>
      </c>
      <c r="AE46" s="134">
        <f t="shared" si="1"/>
        <v>8.4538793913206955E-3</v>
      </c>
    </row>
    <row r="47" spans="2:31" x14ac:dyDescent="0.25">
      <c r="B47" s="164">
        <v>42430</v>
      </c>
      <c r="C47" s="218">
        <v>750</v>
      </c>
      <c r="D47" s="219">
        <v>46.225000000000001</v>
      </c>
      <c r="E47" s="39">
        <v>44.31</v>
      </c>
      <c r="F47" s="39">
        <f t="shared" si="2"/>
        <v>-1436.2499999999993</v>
      </c>
      <c r="G47" s="39">
        <f t="shared" si="3"/>
        <v>34668.75</v>
      </c>
      <c r="H47" s="180">
        <f t="shared" si="4"/>
        <v>-4.1427798810167636E-2</v>
      </c>
      <c r="I47" s="166"/>
      <c r="O47" s="81">
        <v>1.08</v>
      </c>
      <c r="P47" s="81">
        <f t="shared" si="5"/>
        <v>58.244400000000006</v>
      </c>
      <c r="Q47" s="2"/>
      <c r="R47" s="33"/>
      <c r="T47" s="106" t="s">
        <v>101</v>
      </c>
      <c r="U47" s="104">
        <v>64.09</v>
      </c>
      <c r="W47" s="108">
        <v>42767</v>
      </c>
      <c r="X47" s="40">
        <v>54.63</v>
      </c>
      <c r="Y47" s="40">
        <v>54.96</v>
      </c>
      <c r="Z47" s="40">
        <v>53.04</v>
      </c>
      <c r="AA47" s="40">
        <v>53.51</v>
      </c>
      <c r="AB47" s="102">
        <v>3991600</v>
      </c>
      <c r="AC47" s="40">
        <v>53.23</v>
      </c>
      <c r="AD47" s="2">
        <f t="shared" si="0"/>
        <v>1.9200000000000017</v>
      </c>
      <c r="AE47" s="134">
        <f t="shared" si="1"/>
        <v>-1.2247170161440057E-2</v>
      </c>
    </row>
    <row r="48" spans="2:31" x14ac:dyDescent="0.25">
      <c r="B48" s="164">
        <v>42431</v>
      </c>
      <c r="C48" s="218">
        <v>450</v>
      </c>
      <c r="D48" s="219">
        <v>45.706000000000003</v>
      </c>
      <c r="E48" s="39">
        <v>46.92</v>
      </c>
      <c r="F48" s="39">
        <f t="shared" si="2"/>
        <v>546.29999999999939</v>
      </c>
      <c r="G48" s="39">
        <f t="shared" si="3"/>
        <v>20567.7</v>
      </c>
      <c r="H48" s="180">
        <f t="shared" si="4"/>
        <v>2.6561064192884929E-2</v>
      </c>
      <c r="I48" s="166"/>
      <c r="O48" s="81">
        <v>1.07</v>
      </c>
      <c r="P48" s="81">
        <f t="shared" si="5"/>
        <v>57.705100000000002</v>
      </c>
      <c r="Q48" s="2"/>
      <c r="R48" s="33"/>
      <c r="T48" s="106" t="s">
        <v>102</v>
      </c>
      <c r="U48" s="104">
        <v>1.5303500000000001</v>
      </c>
      <c r="W48" s="108">
        <v>42766</v>
      </c>
      <c r="X48" s="40">
        <v>53.9</v>
      </c>
      <c r="Y48" s="40">
        <v>54.21</v>
      </c>
      <c r="Z48" s="40">
        <v>53.13</v>
      </c>
      <c r="AA48" s="40">
        <v>54.18</v>
      </c>
      <c r="AB48" s="102">
        <v>4163400</v>
      </c>
      <c r="AC48" s="40">
        <v>53.89</v>
      </c>
      <c r="AD48" s="2">
        <f t="shared" si="0"/>
        <v>1.0799999999999983</v>
      </c>
      <c r="AE48" s="134">
        <f t="shared" si="1"/>
        <v>4.2862467387254632E-3</v>
      </c>
    </row>
    <row r="49" spans="2:31" x14ac:dyDescent="0.25">
      <c r="B49" s="164">
        <v>42433</v>
      </c>
      <c r="C49" s="218">
        <v>400</v>
      </c>
      <c r="D49" s="219">
        <v>45.125</v>
      </c>
      <c r="E49" s="39">
        <v>50.41</v>
      </c>
      <c r="F49" s="39">
        <f t="shared" si="2"/>
        <v>2113.9999999999986</v>
      </c>
      <c r="G49" s="39">
        <f t="shared" si="3"/>
        <v>18050</v>
      </c>
      <c r="H49" s="180">
        <f t="shared" si="4"/>
        <v>0.11711911357340712</v>
      </c>
      <c r="I49" s="166"/>
      <c r="O49" s="81">
        <v>1.06</v>
      </c>
      <c r="P49" s="81">
        <f t="shared" si="5"/>
        <v>57.165800000000004</v>
      </c>
      <c r="Q49" s="2"/>
      <c r="R49" s="33"/>
      <c r="T49" s="106" t="s">
        <v>121</v>
      </c>
      <c r="U49" s="104" t="s">
        <v>363</v>
      </c>
      <c r="W49" s="108">
        <v>42765</v>
      </c>
      <c r="X49" s="40">
        <v>54.72</v>
      </c>
      <c r="Y49" s="40">
        <v>54.83</v>
      </c>
      <c r="Z49" s="40">
        <v>53</v>
      </c>
      <c r="AA49" s="40">
        <v>53.94</v>
      </c>
      <c r="AB49" s="102">
        <v>5820200</v>
      </c>
      <c r="AC49" s="40">
        <v>53.66</v>
      </c>
      <c r="AD49" s="2">
        <f t="shared" si="0"/>
        <v>1.8299999999999983</v>
      </c>
      <c r="AE49" s="134">
        <f t="shared" si="1"/>
        <v>-1.6855991205569798E-2</v>
      </c>
    </row>
    <row r="50" spans="2:31" x14ac:dyDescent="0.25">
      <c r="B50" s="164">
        <v>42433</v>
      </c>
      <c r="C50" s="218">
        <v>450</v>
      </c>
      <c r="D50" s="219">
        <v>45.606000000000002</v>
      </c>
      <c r="E50" s="39">
        <v>49.45</v>
      </c>
      <c r="F50" s="39">
        <f t="shared" si="2"/>
        <v>1729.8000000000006</v>
      </c>
      <c r="G50" s="39">
        <f t="shared" si="3"/>
        <v>20522.7</v>
      </c>
      <c r="H50" s="180">
        <f t="shared" si="4"/>
        <v>8.4287155198877362E-2</v>
      </c>
      <c r="I50" s="166"/>
      <c r="O50" s="81">
        <v>1.05</v>
      </c>
      <c r="P50" s="81">
        <f t="shared" si="5"/>
        <v>56.6265</v>
      </c>
      <c r="Q50" s="2"/>
      <c r="R50" s="33"/>
      <c r="T50" s="106"/>
      <c r="U50" s="104"/>
      <c r="W50" s="108">
        <v>42762</v>
      </c>
      <c r="X50" s="40">
        <v>55.83</v>
      </c>
      <c r="Y50" s="40">
        <v>55.96</v>
      </c>
      <c r="Z50" s="40">
        <v>54.51</v>
      </c>
      <c r="AA50" s="40">
        <v>54.87</v>
      </c>
      <c r="AB50" s="102">
        <v>3970500</v>
      </c>
      <c r="AC50" s="40">
        <v>54.58</v>
      </c>
      <c r="AD50" s="2">
        <f t="shared" si="0"/>
        <v>1.4500000000000028</v>
      </c>
      <c r="AE50" s="134">
        <f t="shared" si="1"/>
        <v>-2.3089314480042922E-2</v>
      </c>
    </row>
    <row r="51" spans="2:31" x14ac:dyDescent="0.25">
      <c r="B51" s="164">
        <v>42440</v>
      </c>
      <c r="C51" s="10">
        <v>150</v>
      </c>
      <c r="D51" s="171">
        <v>36.17</v>
      </c>
      <c r="E51" s="39">
        <v>50.73</v>
      </c>
      <c r="F51" s="39">
        <f t="shared" si="2"/>
        <v>2183.9999999999991</v>
      </c>
      <c r="G51" s="39">
        <f t="shared" si="3"/>
        <v>5425.5</v>
      </c>
      <c r="H51" s="180">
        <f t="shared" si="4"/>
        <v>0.40254354437379031</v>
      </c>
      <c r="I51" s="166"/>
      <c r="O51" s="81">
        <v>1.04</v>
      </c>
      <c r="P51" s="81">
        <f t="shared" si="5"/>
        <v>56.087200000000003</v>
      </c>
      <c r="Q51" s="2"/>
      <c r="R51" s="33"/>
      <c r="T51" s="106" t="s">
        <v>104</v>
      </c>
      <c r="U51" s="104" t="s">
        <v>587</v>
      </c>
      <c r="W51" s="108">
        <v>42761</v>
      </c>
      <c r="X51" s="40">
        <v>56.38</v>
      </c>
      <c r="Y51" s="40">
        <v>57.04</v>
      </c>
      <c r="Z51" s="40">
        <v>55.74</v>
      </c>
      <c r="AA51" s="40">
        <v>56.17</v>
      </c>
      <c r="AB51" s="102">
        <v>3905100</v>
      </c>
      <c r="AC51" s="40">
        <v>55.87</v>
      </c>
      <c r="AD51" s="2">
        <f t="shared" si="0"/>
        <v>1.2999999999999972</v>
      </c>
      <c r="AE51" s="134">
        <f t="shared" si="1"/>
        <v>-5.1638176638176825E-3</v>
      </c>
    </row>
    <row r="52" spans="2:31" x14ac:dyDescent="0.25">
      <c r="B52" s="164">
        <v>42440</v>
      </c>
      <c r="C52" s="10">
        <v>100</v>
      </c>
      <c r="D52" s="171">
        <v>28.724</v>
      </c>
      <c r="E52" s="39">
        <v>51.08</v>
      </c>
      <c r="F52" s="39">
        <f t="shared" si="2"/>
        <v>2235.6</v>
      </c>
      <c r="G52" s="39">
        <f t="shared" si="3"/>
        <v>2872.4</v>
      </c>
      <c r="H52" s="180">
        <f t="shared" si="4"/>
        <v>0.77830385740147601</v>
      </c>
      <c r="I52" s="166"/>
      <c r="O52" s="81">
        <v>1.03</v>
      </c>
      <c r="P52" s="81">
        <f t="shared" si="5"/>
        <v>55.547899999999998</v>
      </c>
      <c r="Q52" s="2"/>
      <c r="R52" s="33"/>
      <c r="T52" s="106" t="s">
        <v>105</v>
      </c>
      <c r="U52" s="104" t="s">
        <v>512</v>
      </c>
      <c r="W52" s="108">
        <v>42760</v>
      </c>
      <c r="X52" s="40">
        <v>57.05</v>
      </c>
      <c r="Y52" s="40">
        <v>58.5</v>
      </c>
      <c r="Z52" s="40">
        <v>56.22</v>
      </c>
      <c r="AA52" s="40">
        <v>56.46</v>
      </c>
      <c r="AB52" s="102">
        <v>6204900</v>
      </c>
      <c r="AC52" s="40">
        <v>56.16</v>
      </c>
      <c r="AD52" s="2">
        <f t="shared" si="0"/>
        <v>2.2800000000000011</v>
      </c>
      <c r="AE52" s="134">
        <f t="shared" si="1"/>
        <v>-1.8524991261796631E-2</v>
      </c>
    </row>
    <row r="53" spans="2:31" x14ac:dyDescent="0.25">
      <c r="B53" s="164">
        <v>42444</v>
      </c>
      <c r="C53" s="10">
        <v>150</v>
      </c>
      <c r="D53" s="171">
        <v>35.216000000000001</v>
      </c>
      <c r="E53" s="39">
        <v>50.17</v>
      </c>
      <c r="F53" s="39">
        <f t="shared" si="2"/>
        <v>2243.1</v>
      </c>
      <c r="G53" s="39">
        <f t="shared" si="3"/>
        <v>5282.4000000000005</v>
      </c>
      <c r="H53" s="180">
        <f t="shared" si="4"/>
        <v>0.4246365288505225</v>
      </c>
      <c r="I53" s="166"/>
      <c r="O53" s="81">
        <v>1.02</v>
      </c>
      <c r="P53" s="81">
        <f t="shared" si="5"/>
        <v>55.008600000000001</v>
      </c>
      <c r="Q53" s="2"/>
      <c r="R53" s="33"/>
      <c r="T53" s="106" t="s">
        <v>106</v>
      </c>
      <c r="U53" s="105">
        <v>5831898</v>
      </c>
      <c r="W53" s="108">
        <v>42759</v>
      </c>
      <c r="X53" s="40">
        <v>57.72</v>
      </c>
      <c r="Y53" s="40">
        <v>58.04</v>
      </c>
      <c r="Z53" s="40">
        <v>56.65</v>
      </c>
      <c r="AA53" s="40">
        <v>57.52</v>
      </c>
      <c r="AB53" s="102">
        <v>4016100</v>
      </c>
      <c r="AC53" s="40">
        <v>57.22</v>
      </c>
      <c r="AD53" s="2">
        <f t="shared" si="0"/>
        <v>1.3900000000000006</v>
      </c>
      <c r="AE53" s="134">
        <f t="shared" si="1"/>
        <v>6.5083553210201206E-3</v>
      </c>
    </row>
    <row r="54" spans="2:31" x14ac:dyDescent="0.25">
      <c r="B54" s="164">
        <v>42445</v>
      </c>
      <c r="C54" s="10">
        <v>130</v>
      </c>
      <c r="D54" s="171">
        <v>32.701000000000001</v>
      </c>
      <c r="E54" s="39">
        <v>51.83</v>
      </c>
      <c r="F54" s="39">
        <f t="shared" si="2"/>
        <v>2486.7699999999995</v>
      </c>
      <c r="G54" s="39">
        <f t="shared" si="3"/>
        <v>4251.13</v>
      </c>
      <c r="H54" s="180">
        <f t="shared" si="4"/>
        <v>0.58496682058652638</v>
      </c>
      <c r="I54" s="166"/>
      <c r="O54" s="81">
        <v>1.01</v>
      </c>
      <c r="P54" s="81">
        <f t="shared" si="5"/>
        <v>54.469299999999997</v>
      </c>
      <c r="Q54" s="2"/>
      <c r="R54" s="33"/>
      <c r="T54" s="106" t="s">
        <v>109</v>
      </c>
      <c r="U54" s="105">
        <v>4181200</v>
      </c>
      <c r="W54" s="108">
        <v>42758</v>
      </c>
      <c r="X54" s="40">
        <v>57.47</v>
      </c>
      <c r="Y54" s="40">
        <v>57.96</v>
      </c>
      <c r="Z54" s="40">
        <v>56.69</v>
      </c>
      <c r="AA54" s="40">
        <v>57.15</v>
      </c>
      <c r="AB54" s="102">
        <v>3033500</v>
      </c>
      <c r="AC54" s="40">
        <v>56.85</v>
      </c>
      <c r="AD54" s="2">
        <f t="shared" si="0"/>
        <v>1.2700000000000031</v>
      </c>
      <c r="AE54" s="134">
        <f t="shared" si="1"/>
        <v>-1.4218831281428868E-2</v>
      </c>
    </row>
    <row r="55" spans="2:31" x14ac:dyDescent="0.25">
      <c r="B55" s="164">
        <v>42446</v>
      </c>
      <c r="C55" s="10">
        <v>50</v>
      </c>
      <c r="D55" s="171">
        <v>-0.495</v>
      </c>
      <c r="E55" s="39">
        <v>53.19</v>
      </c>
      <c r="F55" s="39">
        <f t="shared" si="2"/>
        <v>2684.2499999999995</v>
      </c>
      <c r="G55" s="39">
        <f t="shared" si="3"/>
        <v>-24.75</v>
      </c>
      <c r="H55" s="180"/>
      <c r="I55" s="166"/>
      <c r="O55" s="81">
        <v>1</v>
      </c>
      <c r="P55" s="81">
        <f t="shared" si="5"/>
        <v>53.93</v>
      </c>
      <c r="Q55" s="2"/>
      <c r="R55" s="33"/>
      <c r="T55" s="106" t="s">
        <v>107</v>
      </c>
      <c r="U55" s="104" t="s">
        <v>588</v>
      </c>
      <c r="W55" s="108">
        <v>42755</v>
      </c>
      <c r="X55" s="40">
        <v>58.71</v>
      </c>
      <c r="Y55" s="40">
        <v>59.08</v>
      </c>
      <c r="Z55" s="40">
        <v>57.54</v>
      </c>
      <c r="AA55" s="40">
        <v>57.98</v>
      </c>
      <c r="AB55" s="102">
        <v>3215500</v>
      </c>
      <c r="AC55" s="40">
        <v>57.67</v>
      </c>
      <c r="AD55" s="2">
        <f t="shared" si="0"/>
        <v>1.5399999999999991</v>
      </c>
      <c r="AE55" s="134">
        <f t="shared" si="1"/>
        <v>4.3538836642285084E-3</v>
      </c>
    </row>
    <row r="56" spans="2:31" x14ac:dyDescent="0.25">
      <c r="B56" s="164">
        <v>42452</v>
      </c>
      <c r="C56" s="10">
        <v>100</v>
      </c>
      <c r="D56" s="171">
        <v>25.552</v>
      </c>
      <c r="E56" s="39">
        <v>51.6</v>
      </c>
      <c r="F56" s="39">
        <f t="shared" si="2"/>
        <v>2604.8000000000002</v>
      </c>
      <c r="G56" s="39">
        <f t="shared" si="3"/>
        <v>2555.1999999999998</v>
      </c>
      <c r="H56" s="180">
        <f t="shared" si="4"/>
        <v>1.0194113963681903</v>
      </c>
      <c r="I56" s="166"/>
      <c r="O56" s="81">
        <v>0.99</v>
      </c>
      <c r="P56" s="81">
        <f t="shared" si="5"/>
        <v>53.390700000000002</v>
      </c>
      <c r="Q56" s="2"/>
      <c r="R56" s="33"/>
      <c r="T56" s="106" t="s">
        <v>110</v>
      </c>
      <c r="U56" s="104" t="s">
        <v>128</v>
      </c>
      <c r="W56" s="108">
        <v>42754</v>
      </c>
      <c r="X56" s="40">
        <v>58.5</v>
      </c>
      <c r="Y56" s="40">
        <v>58.97</v>
      </c>
      <c r="Z56" s="40">
        <v>57.65</v>
      </c>
      <c r="AA56" s="40">
        <v>57.72</v>
      </c>
      <c r="AB56" s="102">
        <v>3172800</v>
      </c>
      <c r="AC56" s="40">
        <v>57.42</v>
      </c>
      <c r="AD56" s="2">
        <f t="shared" si="0"/>
        <v>1.3200000000000003</v>
      </c>
      <c r="AE56" s="134">
        <f t="shared" si="1"/>
        <v>-1.8796992481203034E-2</v>
      </c>
    </row>
    <row r="57" spans="2:31" x14ac:dyDescent="0.25">
      <c r="B57" s="164">
        <v>42460</v>
      </c>
      <c r="C57" s="10">
        <v>50</v>
      </c>
      <c r="D57" s="171">
        <v>-2.1339999999999999</v>
      </c>
      <c r="E57" s="39">
        <v>52.65</v>
      </c>
      <c r="F57" s="39">
        <f t="shared" si="2"/>
        <v>2739.2</v>
      </c>
      <c r="G57" s="39">
        <f t="shared" si="3"/>
        <v>-106.69999999999999</v>
      </c>
      <c r="H57" s="180"/>
      <c r="I57" s="166"/>
      <c r="O57" s="81">
        <v>0.98</v>
      </c>
      <c r="P57" s="81">
        <f t="shared" si="5"/>
        <v>52.851399999999998</v>
      </c>
      <c r="Q57" s="2"/>
      <c r="R57" s="33"/>
      <c r="T57" s="106" t="s">
        <v>111</v>
      </c>
      <c r="U57" s="104">
        <v>-19.920000000000002</v>
      </c>
      <c r="W57" s="108">
        <v>42753</v>
      </c>
      <c r="X57" s="40">
        <v>58.69</v>
      </c>
      <c r="Y57" s="40">
        <v>59.42</v>
      </c>
      <c r="Z57" s="40">
        <v>58.39</v>
      </c>
      <c r="AA57" s="40">
        <v>58.83</v>
      </c>
      <c r="AB57" s="102">
        <v>2618400</v>
      </c>
      <c r="AC57" s="40">
        <v>58.52</v>
      </c>
      <c r="AD57" s="2">
        <f t="shared" si="0"/>
        <v>1.0300000000000011</v>
      </c>
      <c r="AE57" s="134">
        <f t="shared" si="1"/>
        <v>-7.9674521105271845E-3</v>
      </c>
    </row>
    <row r="58" spans="2:31" x14ac:dyDescent="0.25">
      <c r="B58" s="164">
        <v>42464</v>
      </c>
      <c r="C58" s="10">
        <v>100</v>
      </c>
      <c r="D58" s="171">
        <v>24.242999999999999</v>
      </c>
      <c r="E58" s="39">
        <v>50.55</v>
      </c>
      <c r="F58" s="39">
        <f t="shared" si="2"/>
        <v>2630.7</v>
      </c>
      <c r="G58" s="39">
        <f t="shared" si="3"/>
        <v>2424.2999999999997</v>
      </c>
      <c r="H58" s="180">
        <f t="shared" si="4"/>
        <v>1.0851379779730232</v>
      </c>
      <c r="I58" s="166"/>
      <c r="O58" s="81">
        <v>0.97</v>
      </c>
      <c r="P58" s="81">
        <f t="shared" si="5"/>
        <v>52.312100000000001</v>
      </c>
      <c r="Q58" s="2"/>
      <c r="R58" s="33"/>
      <c r="T58" s="106" t="s">
        <v>108</v>
      </c>
      <c r="U58" s="104" t="s">
        <v>530</v>
      </c>
      <c r="W58" s="108">
        <v>42752</v>
      </c>
      <c r="X58" s="40">
        <v>59.27</v>
      </c>
      <c r="Y58" s="40">
        <v>60.13</v>
      </c>
      <c r="Z58" s="40">
        <v>58.41</v>
      </c>
      <c r="AA58" s="40">
        <v>59.3</v>
      </c>
      <c r="AB58" s="102">
        <v>5683200</v>
      </c>
      <c r="AC58" s="40">
        <v>58.99</v>
      </c>
      <c r="AD58" s="2">
        <f t="shared" si="0"/>
        <v>1.720000000000006</v>
      </c>
      <c r="AE58" s="134">
        <f t="shared" si="1"/>
        <v>6.9989757596449209E-3</v>
      </c>
    </row>
    <row r="59" spans="2:31" x14ac:dyDescent="0.25">
      <c r="B59" s="164">
        <v>42466</v>
      </c>
      <c r="C59" s="10">
        <v>50</v>
      </c>
      <c r="D59" s="171">
        <v>-4.7629999999999999</v>
      </c>
      <c r="E59" s="39">
        <v>54.48</v>
      </c>
      <c r="F59" s="39">
        <f t="shared" si="2"/>
        <v>2962.1499999999996</v>
      </c>
      <c r="G59" s="39">
        <f t="shared" si="3"/>
        <v>-238.15</v>
      </c>
      <c r="H59" s="180"/>
      <c r="I59" s="166"/>
      <c r="O59" s="81">
        <v>0.96</v>
      </c>
      <c r="P59" s="81">
        <f t="shared" si="5"/>
        <v>51.772799999999997</v>
      </c>
      <c r="W59" s="108">
        <v>42748</v>
      </c>
      <c r="X59" s="40">
        <v>58.4</v>
      </c>
      <c r="Y59" s="40">
        <v>59.87</v>
      </c>
      <c r="Z59" s="40">
        <v>58.25</v>
      </c>
      <c r="AA59" s="40">
        <v>58.89</v>
      </c>
      <c r="AB59" s="102">
        <v>13255600</v>
      </c>
      <c r="AC59" s="40">
        <v>58.58</v>
      </c>
      <c r="AD59" s="2">
        <f t="shared" si="0"/>
        <v>1.6199999999999974</v>
      </c>
      <c r="AE59" s="134">
        <f t="shared" si="1"/>
        <v>6.8329347454731959E-4</v>
      </c>
    </row>
    <row r="60" spans="2:31" x14ac:dyDescent="0.25">
      <c r="B60" s="164">
        <v>42471</v>
      </c>
      <c r="C60" s="10">
        <v>30</v>
      </c>
      <c r="D60" s="171">
        <v>-46.01</v>
      </c>
      <c r="E60" s="39">
        <v>57.36</v>
      </c>
      <c r="F60" s="39">
        <f t="shared" si="2"/>
        <v>3101.1000000000004</v>
      </c>
      <c r="G60" s="39">
        <f t="shared" si="3"/>
        <v>-1380.3</v>
      </c>
      <c r="H60" s="180"/>
      <c r="I60" s="166"/>
      <c r="O60" s="81">
        <v>0.95</v>
      </c>
      <c r="P60" s="81">
        <f t="shared" si="5"/>
        <v>51.233499999999999</v>
      </c>
      <c r="W60" s="108">
        <v>42747</v>
      </c>
      <c r="X60" s="40">
        <v>59.86</v>
      </c>
      <c r="Y60" s="40">
        <v>59.99</v>
      </c>
      <c r="Z60" s="40">
        <v>56.65</v>
      </c>
      <c r="AA60" s="40">
        <v>58.85</v>
      </c>
      <c r="AB60" s="102">
        <v>16844900</v>
      </c>
      <c r="AC60" s="40">
        <v>58.54</v>
      </c>
      <c r="AD60" s="2">
        <f t="shared" si="0"/>
        <v>3.3400000000000034</v>
      </c>
      <c r="AE60" s="134">
        <f t="shared" si="1"/>
        <v>-4.8284831734677236E-2</v>
      </c>
    </row>
    <row r="61" spans="2:31" x14ac:dyDescent="0.25">
      <c r="B61" s="164">
        <v>42478</v>
      </c>
      <c r="C61" s="10">
        <v>10</v>
      </c>
      <c r="D61" s="171">
        <v>-255.53399999999999</v>
      </c>
      <c r="E61" s="39">
        <v>59.84</v>
      </c>
      <c r="F61" s="39">
        <f t="shared" si="2"/>
        <v>3153.7400000000002</v>
      </c>
      <c r="G61" s="39">
        <f t="shared" si="3"/>
        <v>-2555.34</v>
      </c>
      <c r="H61" s="180"/>
      <c r="I61" s="166"/>
      <c r="O61" s="81">
        <v>0.94</v>
      </c>
      <c r="P61" s="81">
        <f t="shared" si="5"/>
        <v>50.694199999999995</v>
      </c>
      <c r="W61" s="108">
        <v>42746</v>
      </c>
      <c r="X61" s="40">
        <v>61.75</v>
      </c>
      <c r="Y61" s="40">
        <v>62.24</v>
      </c>
      <c r="Z61" s="40">
        <v>60.79</v>
      </c>
      <c r="AA61" s="40">
        <v>61.84</v>
      </c>
      <c r="AB61" s="102">
        <v>2089400</v>
      </c>
      <c r="AC61" s="40">
        <v>61.51</v>
      </c>
      <c r="AD61" s="2">
        <f t="shared" si="0"/>
        <v>1.4500000000000028</v>
      </c>
      <c r="AE61" s="134">
        <f t="shared" si="1"/>
        <v>6.2162604285946887E-3</v>
      </c>
    </row>
    <row r="62" spans="2:31" x14ac:dyDescent="0.25">
      <c r="B62" s="164">
        <v>42493</v>
      </c>
      <c r="C62" s="10">
        <v>30</v>
      </c>
      <c r="D62" s="171">
        <v>-47.511000000000003</v>
      </c>
      <c r="E62" s="39">
        <v>56.75</v>
      </c>
      <c r="F62" s="39">
        <f t="shared" si="2"/>
        <v>3127.83</v>
      </c>
      <c r="G62" s="39">
        <f t="shared" si="3"/>
        <v>-1425.3300000000002</v>
      </c>
      <c r="H62" s="180"/>
      <c r="I62" s="166"/>
      <c r="O62" s="81">
        <v>0.93</v>
      </c>
      <c r="P62" s="81">
        <f t="shared" si="5"/>
        <v>50.154900000000005</v>
      </c>
      <c r="W62" s="108">
        <v>42745</v>
      </c>
      <c r="X62" s="40">
        <v>60.82</v>
      </c>
      <c r="Y62" s="40">
        <v>62</v>
      </c>
      <c r="Z62" s="40">
        <v>60.5</v>
      </c>
      <c r="AA62" s="40">
        <v>61.45</v>
      </c>
      <c r="AB62" s="102">
        <v>2243500</v>
      </c>
      <c r="AC62" s="40">
        <v>61.13</v>
      </c>
      <c r="AD62" s="2">
        <f t="shared" si="0"/>
        <v>1.5</v>
      </c>
      <c r="AE62" s="134">
        <f t="shared" si="1"/>
        <v>1.3932658815724031E-2</v>
      </c>
    </row>
    <row r="63" spans="2:31" x14ac:dyDescent="0.25">
      <c r="B63" s="164">
        <v>42501</v>
      </c>
      <c r="C63" s="10">
        <v>0</v>
      </c>
      <c r="D63" s="171"/>
      <c r="E63" s="39"/>
      <c r="F63" s="39">
        <v>3178</v>
      </c>
      <c r="G63" s="39"/>
      <c r="H63" s="180"/>
      <c r="I63" s="166"/>
      <c r="O63" s="81">
        <v>0.92</v>
      </c>
      <c r="P63" s="81">
        <f t="shared" si="5"/>
        <v>49.615600000000001</v>
      </c>
      <c r="W63" s="108">
        <v>42744</v>
      </c>
      <c r="X63" s="40">
        <v>61.33</v>
      </c>
      <c r="Y63" s="40">
        <v>61.58</v>
      </c>
      <c r="Z63" s="40">
        <v>60.57</v>
      </c>
      <c r="AA63" s="40">
        <v>60.61</v>
      </c>
      <c r="AB63" s="102">
        <v>2456700</v>
      </c>
      <c r="AC63" s="40">
        <v>60.29</v>
      </c>
      <c r="AD63" s="2">
        <f t="shared" si="0"/>
        <v>1.009999999999998</v>
      </c>
      <c r="AE63" s="134">
        <f t="shared" si="1"/>
        <v>-2.0789345460451525E-2</v>
      </c>
    </row>
    <row r="64" spans="2:31" x14ac:dyDescent="0.25">
      <c r="B64" s="164"/>
      <c r="C64" s="10"/>
      <c r="D64" s="171"/>
      <c r="E64" s="39"/>
      <c r="F64" s="39"/>
      <c r="G64" s="39"/>
      <c r="H64" s="180"/>
      <c r="I64" s="166"/>
      <c r="O64" s="81">
        <v>0.91</v>
      </c>
      <c r="P64" s="81">
        <f t="shared" si="5"/>
        <v>49.076300000000003</v>
      </c>
      <c r="W64" s="108">
        <v>42741</v>
      </c>
      <c r="X64" s="40">
        <v>62.21</v>
      </c>
      <c r="Y64" s="40">
        <v>62.4</v>
      </c>
      <c r="Z64" s="40">
        <v>61.7</v>
      </c>
      <c r="AA64" s="40">
        <v>61.9</v>
      </c>
      <c r="AB64" s="102">
        <v>1978900</v>
      </c>
      <c r="AC64" s="40">
        <v>61.57</v>
      </c>
      <c r="AD64" s="2">
        <f t="shared" si="0"/>
        <v>0.69999999999999574</v>
      </c>
      <c r="AE64" s="134">
        <f t="shared" si="1"/>
        <v>-3.2378177108629558E-3</v>
      </c>
    </row>
    <row r="65" spans="1:31" x14ac:dyDescent="0.25">
      <c r="B65" s="164"/>
      <c r="C65" s="10"/>
      <c r="D65" s="171"/>
      <c r="E65" s="39"/>
      <c r="F65" s="39"/>
      <c r="G65" s="39"/>
      <c r="H65" s="180"/>
      <c r="I65" s="166"/>
      <c r="O65" s="81">
        <v>0.9</v>
      </c>
      <c r="P65" s="81">
        <f t="shared" si="5"/>
        <v>48.536999999999999</v>
      </c>
      <c r="W65" s="108">
        <v>42740</v>
      </c>
      <c r="X65" s="40">
        <v>62.11</v>
      </c>
      <c r="Y65" s="40">
        <v>62.47</v>
      </c>
      <c r="Z65" s="40">
        <v>60.94</v>
      </c>
      <c r="AA65" s="40">
        <v>62.1</v>
      </c>
      <c r="AB65" s="102">
        <v>3797000</v>
      </c>
      <c r="AC65" s="40">
        <v>61.77</v>
      </c>
      <c r="AD65" s="2">
        <f t="shared" si="0"/>
        <v>1.5300000000000011</v>
      </c>
      <c r="AE65" s="134">
        <f t="shared" si="1"/>
        <v>2.7597402597403509E-3</v>
      </c>
    </row>
    <row r="66" spans="1:31" x14ac:dyDescent="0.25">
      <c r="B66" s="164"/>
      <c r="C66" s="10"/>
      <c r="D66" s="171"/>
      <c r="E66" s="39"/>
      <c r="F66" s="39"/>
      <c r="G66" s="39"/>
      <c r="H66" s="180"/>
      <c r="I66" s="166"/>
      <c r="W66" s="108">
        <v>42739</v>
      </c>
      <c r="X66" s="40">
        <v>62.84</v>
      </c>
      <c r="Y66" s="40">
        <v>63.05</v>
      </c>
      <c r="Z66" s="40">
        <v>60.88</v>
      </c>
      <c r="AA66" s="40">
        <v>61.93</v>
      </c>
      <c r="AB66" s="102">
        <v>5007100</v>
      </c>
      <c r="AC66" s="40">
        <v>61.6</v>
      </c>
      <c r="AD66" s="2">
        <f t="shared" si="0"/>
        <v>2.1699999999999946</v>
      </c>
      <c r="AE66" s="134">
        <f t="shared" si="1"/>
        <v>-1.4242278764602379E-2</v>
      </c>
    </row>
    <row r="67" spans="1:31" x14ac:dyDescent="0.25">
      <c r="B67" s="164"/>
      <c r="C67" s="10"/>
      <c r="D67" s="171"/>
      <c r="E67" s="39"/>
      <c r="F67" s="39"/>
      <c r="G67" s="39"/>
      <c r="H67" s="180"/>
      <c r="I67" s="166"/>
      <c r="W67" s="108">
        <v>42738</v>
      </c>
      <c r="X67" s="40">
        <v>63.38</v>
      </c>
      <c r="Y67" s="40">
        <v>64.400000000000006</v>
      </c>
      <c r="Z67" s="40">
        <v>62.15</v>
      </c>
      <c r="AA67" s="40">
        <v>62.82</v>
      </c>
      <c r="AB67" s="102">
        <v>4531800</v>
      </c>
      <c r="AC67" s="40">
        <v>62.49</v>
      </c>
      <c r="AD67" s="2">
        <f>Y67-Z67</f>
        <v>2.2500000000000071</v>
      </c>
      <c r="AE67" s="134">
        <f>AC67/AC68-1</f>
        <v>8.5539057456422984E-3</v>
      </c>
    </row>
    <row r="68" spans="1:31" x14ac:dyDescent="0.25">
      <c r="B68" s="164"/>
      <c r="C68" s="10"/>
      <c r="D68" s="171"/>
      <c r="E68" s="39"/>
      <c r="F68" s="39"/>
      <c r="G68" s="39"/>
      <c r="H68" s="180"/>
      <c r="I68" s="166"/>
      <c r="W68" s="108">
        <v>42734</v>
      </c>
      <c r="X68" s="40">
        <v>62.9</v>
      </c>
      <c r="Y68" s="40">
        <v>63.28</v>
      </c>
      <c r="Z68" s="40">
        <v>62.07</v>
      </c>
      <c r="AA68" s="40">
        <v>62.29</v>
      </c>
      <c r="AB68" s="102">
        <v>1974000</v>
      </c>
      <c r="AC68" s="40">
        <v>61.96</v>
      </c>
      <c r="AD68" s="2">
        <f>Y68-Z68</f>
        <v>1.2100000000000009</v>
      </c>
      <c r="AE68" s="134" t="e">
        <f>AC68/AC69-1</f>
        <v>#DIV/0!</v>
      </c>
    </row>
    <row r="69" spans="1:31" x14ac:dyDescent="0.25">
      <c r="B69" s="164"/>
      <c r="C69" s="10"/>
      <c r="D69" s="171"/>
      <c r="E69" s="39"/>
      <c r="F69" s="39"/>
      <c r="G69" s="39"/>
      <c r="H69" s="180"/>
      <c r="I69" s="166"/>
      <c r="W69" s="108" t="s">
        <v>120</v>
      </c>
      <c r="X69" s="40"/>
      <c r="Y69" s="40"/>
      <c r="Z69" s="40"/>
      <c r="AA69" s="40"/>
      <c r="AB69" s="102"/>
      <c r="AC69" s="40"/>
      <c r="AD69" s="2">
        <f>Y69-Z69</f>
        <v>0</v>
      </c>
      <c r="AE69" s="134" t="e">
        <f>AC69/AC70-1</f>
        <v>#DIV/0!</v>
      </c>
    </row>
    <row r="70" spans="1:31" x14ac:dyDescent="0.25">
      <c r="B70" s="164"/>
      <c r="C70" s="10"/>
      <c r="D70" s="171"/>
      <c r="E70" s="39"/>
      <c r="F70" s="39"/>
      <c r="G70" s="39"/>
      <c r="H70" s="180"/>
      <c r="I70" s="166"/>
    </row>
    <row r="71" spans="1:31" x14ac:dyDescent="0.25">
      <c r="B71" s="164"/>
      <c r="C71" s="10"/>
      <c r="D71" s="171"/>
      <c r="E71" s="39"/>
      <c r="F71" s="39"/>
      <c r="G71" s="39"/>
      <c r="H71" s="180"/>
      <c r="I71" s="166"/>
    </row>
    <row r="72" spans="1:31" x14ac:dyDescent="0.25">
      <c r="B72" s="164"/>
      <c r="C72" s="10"/>
      <c r="D72" s="171"/>
      <c r="E72" s="39"/>
      <c r="F72" s="39"/>
      <c r="G72" s="39"/>
      <c r="H72" s="180"/>
      <c r="I72" s="166"/>
    </row>
    <row r="75" spans="1:31" x14ac:dyDescent="0.25">
      <c r="L75" t="s">
        <v>203</v>
      </c>
      <c r="M75" s="2">
        <f>M128+K128-F128</f>
        <v>3178.8000000000466</v>
      </c>
    </row>
    <row r="76" spans="1:31" x14ac:dyDescent="0.25">
      <c r="A76" s="311" t="s">
        <v>1</v>
      </c>
      <c r="B76" s="312" t="s">
        <v>2</v>
      </c>
      <c r="C76" s="311" t="s">
        <v>4</v>
      </c>
      <c r="D76" s="313" t="s">
        <v>5</v>
      </c>
      <c r="E76" s="314" t="s">
        <v>90</v>
      </c>
      <c r="F76" s="314" t="s">
        <v>60</v>
      </c>
      <c r="G76" s="311" t="s">
        <v>3</v>
      </c>
      <c r="H76" s="315" t="s">
        <v>6</v>
      </c>
      <c r="I76" s="314" t="s">
        <v>7</v>
      </c>
      <c r="J76" s="314" t="s">
        <v>89</v>
      </c>
      <c r="K76" s="314" t="s">
        <v>61</v>
      </c>
      <c r="L76" s="311" t="s">
        <v>43</v>
      </c>
      <c r="M76" s="311" t="s">
        <v>38</v>
      </c>
    </row>
    <row r="77" spans="1:31" x14ac:dyDescent="0.25">
      <c r="A77" s="307" t="s">
        <v>22</v>
      </c>
      <c r="B77" s="316">
        <v>42153</v>
      </c>
      <c r="C77" s="298">
        <v>20</v>
      </c>
      <c r="D77" s="303">
        <v>67.3</v>
      </c>
      <c r="E77" s="299">
        <v>0</v>
      </c>
      <c r="F77" s="299">
        <f t="shared" ref="F77:F126" si="6">D77*C77+E77</f>
        <v>1346</v>
      </c>
      <c r="G77" s="297">
        <v>42219</v>
      </c>
      <c r="H77" s="317">
        <v>25</v>
      </c>
      <c r="I77" s="318">
        <v>60.05</v>
      </c>
      <c r="J77" s="318">
        <v>0.03</v>
      </c>
      <c r="K77" s="318">
        <f t="shared" ref="K77:K112" si="7">H77*I77-J77</f>
        <v>1501.22</v>
      </c>
      <c r="L77" s="297">
        <v>42185</v>
      </c>
      <c r="M77" s="299">
        <v>5</v>
      </c>
    </row>
    <row r="78" spans="1:31" x14ac:dyDescent="0.25">
      <c r="A78" s="308" t="s">
        <v>71</v>
      </c>
      <c r="B78" s="316">
        <v>42205</v>
      </c>
      <c r="C78" s="298">
        <v>20</v>
      </c>
      <c r="D78" s="303">
        <v>63.4</v>
      </c>
      <c r="E78" s="299">
        <v>0</v>
      </c>
      <c r="F78" s="299">
        <f t="shared" si="6"/>
        <v>1268</v>
      </c>
      <c r="G78" s="297">
        <v>42219</v>
      </c>
      <c r="H78" s="317">
        <v>55</v>
      </c>
      <c r="I78" s="318">
        <v>59.75</v>
      </c>
      <c r="J78" s="318">
        <v>0.06</v>
      </c>
      <c r="K78" s="318">
        <f t="shared" si="7"/>
        <v>3286.19</v>
      </c>
      <c r="L78" s="297">
        <v>42277</v>
      </c>
      <c r="M78" s="299">
        <v>37.5</v>
      </c>
    </row>
    <row r="79" spans="1:31" x14ac:dyDescent="0.25">
      <c r="A79" s="298"/>
      <c r="B79" s="316">
        <v>42205</v>
      </c>
      <c r="C79" s="298">
        <v>20</v>
      </c>
      <c r="D79" s="303">
        <v>63.15</v>
      </c>
      <c r="E79" s="299">
        <v>0</v>
      </c>
      <c r="F79" s="299">
        <f t="shared" si="6"/>
        <v>1263</v>
      </c>
      <c r="G79" s="297">
        <v>42250</v>
      </c>
      <c r="H79" s="302">
        <v>100</v>
      </c>
      <c r="I79" s="299">
        <v>59.4</v>
      </c>
      <c r="J79" s="299">
        <v>0.11</v>
      </c>
      <c r="K79" s="318">
        <f t="shared" si="7"/>
        <v>5939.89</v>
      </c>
      <c r="L79" s="297">
        <v>42734</v>
      </c>
      <c r="M79" s="299">
        <v>100</v>
      </c>
    </row>
    <row r="80" spans="1:31" x14ac:dyDescent="0.25">
      <c r="A80" s="298"/>
      <c r="B80" s="316">
        <v>42207</v>
      </c>
      <c r="C80" s="298">
        <v>10</v>
      </c>
      <c r="D80" s="303">
        <v>62</v>
      </c>
      <c r="E80" s="299">
        <v>0</v>
      </c>
      <c r="F80" s="299">
        <f t="shared" si="6"/>
        <v>620</v>
      </c>
      <c r="G80" s="297">
        <v>42258</v>
      </c>
      <c r="H80" s="302">
        <v>80</v>
      </c>
      <c r="I80" s="299">
        <v>56.47</v>
      </c>
      <c r="J80" s="299">
        <v>0.08</v>
      </c>
      <c r="K80" s="318">
        <f t="shared" si="7"/>
        <v>4517.5200000000004</v>
      </c>
      <c r="L80" s="297">
        <v>42459</v>
      </c>
      <c r="M80" s="299">
        <v>25</v>
      </c>
    </row>
    <row r="81" spans="1:13" x14ac:dyDescent="0.25">
      <c r="A81" s="298"/>
      <c r="B81" s="316">
        <v>42207</v>
      </c>
      <c r="C81" s="298">
        <v>5</v>
      </c>
      <c r="D81" s="303">
        <v>61.6</v>
      </c>
      <c r="E81" s="299">
        <v>0</v>
      </c>
      <c r="F81" s="299">
        <f t="shared" si="6"/>
        <v>308</v>
      </c>
      <c r="G81" s="297">
        <v>42263</v>
      </c>
      <c r="H81" s="302">
        <v>80</v>
      </c>
      <c r="I81" s="299">
        <v>52.55</v>
      </c>
      <c r="J81" s="299">
        <v>0.08</v>
      </c>
      <c r="K81" s="318">
        <f t="shared" si="7"/>
        <v>4203.92</v>
      </c>
      <c r="L81" s="298"/>
      <c r="M81" s="299"/>
    </row>
    <row r="82" spans="1:13" x14ac:dyDescent="0.25">
      <c r="A82" s="298"/>
      <c r="B82" s="316">
        <v>42207</v>
      </c>
      <c r="C82" s="298">
        <v>20</v>
      </c>
      <c r="D82" s="303">
        <v>59.85</v>
      </c>
      <c r="E82" s="299">
        <v>0</v>
      </c>
      <c r="F82" s="299">
        <f t="shared" si="6"/>
        <v>1197</v>
      </c>
      <c r="G82" s="297">
        <v>42284</v>
      </c>
      <c r="H82" s="302">
        <v>50</v>
      </c>
      <c r="I82" s="299">
        <v>52.85</v>
      </c>
      <c r="J82" s="299">
        <v>0.05</v>
      </c>
      <c r="K82" s="318">
        <f t="shared" si="7"/>
        <v>2642.45</v>
      </c>
      <c r="L82" s="298"/>
      <c r="M82" s="299"/>
    </row>
    <row r="83" spans="1:13" x14ac:dyDescent="0.25">
      <c r="A83" s="298"/>
      <c r="B83" s="316">
        <v>42208</v>
      </c>
      <c r="C83" s="298">
        <v>5</v>
      </c>
      <c r="D83" s="303">
        <v>61.3</v>
      </c>
      <c r="E83" s="299">
        <v>0</v>
      </c>
      <c r="F83" s="299">
        <f t="shared" si="6"/>
        <v>306.5</v>
      </c>
      <c r="G83" s="297">
        <v>42284</v>
      </c>
      <c r="H83" s="302">
        <v>30</v>
      </c>
      <c r="I83" s="299">
        <v>53.05</v>
      </c>
      <c r="J83" s="299">
        <v>0.03</v>
      </c>
      <c r="K83" s="318">
        <f t="shared" si="7"/>
        <v>1591.47</v>
      </c>
      <c r="L83" s="298"/>
      <c r="M83" s="299"/>
    </row>
    <row r="84" spans="1:13" x14ac:dyDescent="0.25">
      <c r="A84" s="298"/>
      <c r="B84" s="316">
        <v>42219</v>
      </c>
      <c r="C84" s="319">
        <v>25</v>
      </c>
      <c r="D84" s="303">
        <v>59.4</v>
      </c>
      <c r="E84" s="299">
        <v>0</v>
      </c>
      <c r="F84" s="299">
        <f t="shared" si="6"/>
        <v>1485</v>
      </c>
      <c r="G84" s="297">
        <v>42291</v>
      </c>
      <c r="H84" s="302">
        <v>80</v>
      </c>
      <c r="I84" s="299">
        <v>61.6</v>
      </c>
      <c r="J84" s="299">
        <v>0.09</v>
      </c>
      <c r="K84" s="318">
        <f t="shared" si="7"/>
        <v>4927.91</v>
      </c>
      <c r="L84" s="298"/>
      <c r="M84" s="299"/>
    </row>
    <row r="85" spans="1:13" x14ac:dyDescent="0.25">
      <c r="A85" s="298"/>
      <c r="B85" s="316">
        <v>42219</v>
      </c>
      <c r="C85" s="319">
        <v>50</v>
      </c>
      <c r="D85" s="303">
        <v>59.2</v>
      </c>
      <c r="E85" s="299">
        <v>0</v>
      </c>
      <c r="F85" s="299">
        <f t="shared" si="6"/>
        <v>2960</v>
      </c>
      <c r="G85" s="297">
        <v>42297</v>
      </c>
      <c r="H85" s="302">
        <v>115</v>
      </c>
      <c r="I85" s="299">
        <v>61.23</v>
      </c>
      <c r="J85" s="299">
        <v>0.13</v>
      </c>
      <c r="K85" s="318">
        <f t="shared" si="7"/>
        <v>7041.32</v>
      </c>
      <c r="L85" s="298"/>
      <c r="M85" s="299"/>
    </row>
    <row r="86" spans="1:13" x14ac:dyDescent="0.25">
      <c r="A86" s="298"/>
      <c r="B86" s="316">
        <v>42226</v>
      </c>
      <c r="C86" s="319">
        <v>5</v>
      </c>
      <c r="D86" s="303">
        <v>56.2</v>
      </c>
      <c r="E86" s="299">
        <v>0</v>
      </c>
      <c r="F86" s="299">
        <f t="shared" si="6"/>
        <v>281</v>
      </c>
      <c r="G86" s="297">
        <v>42304</v>
      </c>
      <c r="H86" s="302">
        <v>80</v>
      </c>
      <c r="I86" s="299">
        <v>59.76</v>
      </c>
      <c r="J86" s="299">
        <v>0.09</v>
      </c>
      <c r="K86" s="318">
        <f t="shared" si="7"/>
        <v>4780.71</v>
      </c>
      <c r="L86" s="298"/>
      <c r="M86" s="299"/>
    </row>
    <row r="87" spans="1:13" x14ac:dyDescent="0.25">
      <c r="A87" s="298"/>
      <c r="B87" s="316">
        <v>42226</v>
      </c>
      <c r="C87" s="298">
        <v>15</v>
      </c>
      <c r="D87" s="303">
        <v>56.5</v>
      </c>
      <c r="E87" s="299">
        <v>0</v>
      </c>
      <c r="F87" s="299">
        <f t="shared" si="6"/>
        <v>847.5</v>
      </c>
      <c r="G87" s="297">
        <v>42314</v>
      </c>
      <c r="H87" s="302">
        <v>10</v>
      </c>
      <c r="I87" s="299">
        <v>59.65</v>
      </c>
      <c r="J87" s="299">
        <v>0.01</v>
      </c>
      <c r="K87" s="318">
        <f t="shared" si="7"/>
        <v>596.49</v>
      </c>
      <c r="L87" s="298"/>
      <c r="M87" s="299"/>
    </row>
    <row r="88" spans="1:13" x14ac:dyDescent="0.25">
      <c r="A88" s="298"/>
      <c r="B88" s="316">
        <v>42240</v>
      </c>
      <c r="C88" s="319">
        <v>15</v>
      </c>
      <c r="D88" s="303">
        <v>57.19</v>
      </c>
      <c r="E88" s="299">
        <v>0</v>
      </c>
      <c r="F88" s="299">
        <f t="shared" si="6"/>
        <v>857.84999999999991</v>
      </c>
      <c r="G88" s="297">
        <v>42338</v>
      </c>
      <c r="H88" s="302">
        <v>75</v>
      </c>
      <c r="I88" s="299">
        <v>61.49</v>
      </c>
      <c r="J88" s="299">
        <v>0.08</v>
      </c>
      <c r="K88" s="299">
        <f t="shared" si="7"/>
        <v>4611.67</v>
      </c>
      <c r="L88" s="298"/>
      <c r="M88" s="299"/>
    </row>
    <row r="89" spans="1:13" x14ac:dyDescent="0.25">
      <c r="A89" s="298"/>
      <c r="B89" s="316">
        <v>42240</v>
      </c>
      <c r="C89" s="298">
        <v>20</v>
      </c>
      <c r="D89" s="303">
        <v>56.6</v>
      </c>
      <c r="E89" s="299">
        <v>0</v>
      </c>
      <c r="F89" s="299">
        <f t="shared" si="6"/>
        <v>1132</v>
      </c>
      <c r="G89" s="297">
        <v>42354</v>
      </c>
      <c r="H89" s="302">
        <v>100</v>
      </c>
      <c r="I89" s="299">
        <v>50.1</v>
      </c>
      <c r="J89" s="299">
        <v>0.09</v>
      </c>
      <c r="K89" s="299">
        <f t="shared" si="7"/>
        <v>5009.91</v>
      </c>
      <c r="L89" s="298"/>
      <c r="M89" s="299"/>
    </row>
    <row r="90" spans="1:13" x14ac:dyDescent="0.25">
      <c r="A90" s="298"/>
      <c r="B90" s="316">
        <v>42240</v>
      </c>
      <c r="C90" s="298">
        <v>30</v>
      </c>
      <c r="D90" s="303">
        <v>56.5</v>
      </c>
      <c r="E90" s="299">
        <v>0</v>
      </c>
      <c r="F90" s="299">
        <f t="shared" si="6"/>
        <v>1695</v>
      </c>
      <c r="G90" s="297">
        <v>42354</v>
      </c>
      <c r="H90" s="302">
        <v>200</v>
      </c>
      <c r="I90" s="299">
        <v>50.15</v>
      </c>
      <c r="J90" s="299">
        <v>0.18</v>
      </c>
      <c r="K90" s="299">
        <f t="shared" si="7"/>
        <v>10029.82</v>
      </c>
      <c r="L90" s="298"/>
      <c r="M90" s="299"/>
    </row>
    <row r="91" spans="1:13" ht="15" customHeight="1" x14ac:dyDescent="0.25">
      <c r="A91" s="298"/>
      <c r="B91" s="323">
        <v>42258</v>
      </c>
      <c r="C91" s="298">
        <v>80</v>
      </c>
      <c r="D91" s="303">
        <v>55.45</v>
      </c>
      <c r="E91" s="299">
        <v>0</v>
      </c>
      <c r="F91" s="299">
        <f t="shared" si="6"/>
        <v>4436</v>
      </c>
      <c r="G91" s="297">
        <v>42354</v>
      </c>
      <c r="H91" s="302">
        <v>100</v>
      </c>
      <c r="I91" s="299">
        <v>50.15</v>
      </c>
      <c r="J91" s="299">
        <v>0.09</v>
      </c>
      <c r="K91" s="299">
        <f t="shared" si="7"/>
        <v>5014.91</v>
      </c>
      <c r="L91" s="298"/>
      <c r="M91" s="299"/>
    </row>
    <row r="92" spans="1:13" x14ac:dyDescent="0.25">
      <c r="A92" s="298"/>
      <c r="B92" s="323"/>
      <c r="C92" s="298">
        <v>20</v>
      </c>
      <c r="D92" s="303">
        <v>55.45</v>
      </c>
      <c r="E92" s="299">
        <v>0</v>
      </c>
      <c r="F92" s="299">
        <f t="shared" si="6"/>
        <v>1109</v>
      </c>
      <c r="G92" s="297">
        <v>42367</v>
      </c>
      <c r="H92" s="302">
        <v>400</v>
      </c>
      <c r="I92" s="299">
        <v>49.86</v>
      </c>
      <c r="J92" s="299">
        <v>0.37</v>
      </c>
      <c r="K92" s="299">
        <f t="shared" si="7"/>
        <v>19943.63</v>
      </c>
      <c r="L92" s="298"/>
      <c r="M92" s="299"/>
    </row>
    <row r="93" spans="1:13" x14ac:dyDescent="0.25">
      <c r="A93" s="298"/>
      <c r="B93" s="324">
        <v>42263</v>
      </c>
      <c r="C93" s="298">
        <v>50</v>
      </c>
      <c r="D93" s="303">
        <v>52.7</v>
      </c>
      <c r="E93" s="299">
        <v>0</v>
      </c>
      <c r="F93" s="299">
        <f t="shared" si="6"/>
        <v>2635</v>
      </c>
      <c r="G93" s="297">
        <v>42375</v>
      </c>
      <c r="H93" s="302">
        <v>100</v>
      </c>
      <c r="I93" s="299">
        <v>47.56</v>
      </c>
      <c r="J93" s="299">
        <v>0.09</v>
      </c>
      <c r="K93" s="299">
        <f t="shared" si="7"/>
        <v>4755.91</v>
      </c>
      <c r="L93" s="298"/>
      <c r="M93" s="298"/>
    </row>
    <row r="94" spans="1:13" x14ac:dyDescent="0.25">
      <c r="A94" s="298"/>
      <c r="B94" s="324"/>
      <c r="C94" s="298">
        <v>30</v>
      </c>
      <c r="D94" s="303">
        <v>52.7</v>
      </c>
      <c r="E94" s="299">
        <v>0</v>
      </c>
      <c r="F94" s="299">
        <f t="shared" si="6"/>
        <v>1581</v>
      </c>
      <c r="G94" s="297">
        <v>42398</v>
      </c>
      <c r="H94" s="302">
        <v>150</v>
      </c>
      <c r="I94" s="299">
        <v>40.880000000000003</v>
      </c>
      <c r="J94" s="299">
        <v>0.11</v>
      </c>
      <c r="K94" s="299">
        <f t="shared" si="7"/>
        <v>6131.89</v>
      </c>
      <c r="L94" s="298"/>
      <c r="M94" s="298"/>
    </row>
    <row r="95" spans="1:13" x14ac:dyDescent="0.25">
      <c r="A95" s="298"/>
      <c r="B95" s="316">
        <v>42263</v>
      </c>
      <c r="C95" s="298">
        <v>50</v>
      </c>
      <c r="D95" s="303">
        <v>52.05</v>
      </c>
      <c r="E95" s="299">
        <v>0</v>
      </c>
      <c r="F95" s="299">
        <f t="shared" si="6"/>
        <v>2602.5</v>
      </c>
      <c r="G95" s="297">
        <v>42405</v>
      </c>
      <c r="H95" s="302">
        <v>100</v>
      </c>
      <c r="I95" s="299">
        <v>38.445</v>
      </c>
      <c r="J95" s="299">
        <v>7.0000000000000007E-2</v>
      </c>
      <c r="K95" s="299">
        <f t="shared" si="7"/>
        <v>3844.43</v>
      </c>
      <c r="L95" s="298"/>
      <c r="M95" s="298"/>
    </row>
    <row r="96" spans="1:13" x14ac:dyDescent="0.25">
      <c r="A96" s="298"/>
      <c r="B96" s="324">
        <v>42270</v>
      </c>
      <c r="C96" s="298">
        <v>30</v>
      </c>
      <c r="D96" s="303">
        <v>52.5</v>
      </c>
      <c r="E96" s="299">
        <v>0</v>
      </c>
      <c r="F96" s="299">
        <f t="shared" si="6"/>
        <v>1575</v>
      </c>
      <c r="G96" s="297">
        <v>42426</v>
      </c>
      <c r="H96" s="302">
        <v>150</v>
      </c>
      <c r="I96" s="299">
        <v>43.25</v>
      </c>
      <c r="J96" s="299">
        <v>0.14000000000000001</v>
      </c>
      <c r="K96" s="299">
        <f t="shared" si="7"/>
        <v>6487.36</v>
      </c>
      <c r="L96" s="298"/>
      <c r="M96" s="298"/>
    </row>
    <row r="97" spans="1:13" x14ac:dyDescent="0.25">
      <c r="A97" s="298"/>
      <c r="B97" s="324"/>
      <c r="C97" s="298">
        <v>20</v>
      </c>
      <c r="D97" s="303">
        <v>52.5</v>
      </c>
      <c r="E97" s="299">
        <v>0</v>
      </c>
      <c r="F97" s="299">
        <f t="shared" si="6"/>
        <v>1050</v>
      </c>
      <c r="G97" s="297">
        <v>42426</v>
      </c>
      <c r="H97" s="302">
        <v>150</v>
      </c>
      <c r="I97" s="299">
        <v>43.4</v>
      </c>
      <c r="J97" s="299">
        <v>0.14000000000000001</v>
      </c>
      <c r="K97" s="299">
        <f t="shared" si="7"/>
        <v>6509.86</v>
      </c>
      <c r="L97" s="298"/>
      <c r="M97" s="298"/>
    </row>
    <row r="98" spans="1:13" x14ac:dyDescent="0.25">
      <c r="A98" s="298"/>
      <c r="B98" s="316">
        <v>42292</v>
      </c>
      <c r="C98" s="298">
        <v>80</v>
      </c>
      <c r="D98" s="303">
        <v>61.25</v>
      </c>
      <c r="E98" s="299">
        <v>0</v>
      </c>
      <c r="F98" s="299">
        <f t="shared" si="6"/>
        <v>4900</v>
      </c>
      <c r="G98" s="297">
        <v>42431</v>
      </c>
      <c r="H98" s="302">
        <v>150</v>
      </c>
      <c r="I98" s="299">
        <v>45.95</v>
      </c>
      <c r="J98" s="299">
        <v>0.15</v>
      </c>
      <c r="K98" s="299">
        <f t="shared" si="7"/>
        <v>6892.35</v>
      </c>
      <c r="L98" s="298"/>
      <c r="M98" s="298"/>
    </row>
    <row r="99" spans="1:13" x14ac:dyDescent="0.25">
      <c r="A99" s="298"/>
      <c r="B99" s="316">
        <v>42292</v>
      </c>
      <c r="C99" s="298">
        <v>80</v>
      </c>
      <c r="D99" s="303">
        <v>59.75</v>
      </c>
      <c r="E99" s="299">
        <v>0</v>
      </c>
      <c r="F99" s="299">
        <f t="shared" si="6"/>
        <v>4780</v>
      </c>
      <c r="G99" s="297">
        <v>42431</v>
      </c>
      <c r="H99" s="302">
        <v>150</v>
      </c>
      <c r="I99" s="299">
        <v>45.5</v>
      </c>
      <c r="J99" s="299">
        <v>0.15</v>
      </c>
      <c r="K99" s="299">
        <f t="shared" si="7"/>
        <v>6824.85</v>
      </c>
      <c r="L99" s="298"/>
      <c r="M99" s="298"/>
    </row>
    <row r="100" spans="1:13" x14ac:dyDescent="0.25">
      <c r="A100" s="298"/>
      <c r="B100" s="316">
        <v>42310</v>
      </c>
      <c r="C100" s="298">
        <v>80</v>
      </c>
      <c r="D100" s="303">
        <v>55.225000000000001</v>
      </c>
      <c r="E100" s="299">
        <v>6.95</v>
      </c>
      <c r="F100" s="299">
        <f t="shared" si="6"/>
        <v>4424.95</v>
      </c>
      <c r="G100" s="297">
        <v>42431</v>
      </c>
      <c r="H100" s="302">
        <v>150</v>
      </c>
      <c r="I100" s="299">
        <v>46.4</v>
      </c>
      <c r="J100" s="299">
        <v>0.15</v>
      </c>
      <c r="K100" s="299">
        <f t="shared" si="7"/>
        <v>6959.85</v>
      </c>
      <c r="L100" s="298"/>
      <c r="M100" s="298"/>
    </row>
    <row r="101" spans="1:13" x14ac:dyDescent="0.25">
      <c r="A101" s="298"/>
      <c r="B101" s="316">
        <v>42310</v>
      </c>
      <c r="C101" s="298">
        <v>40</v>
      </c>
      <c r="D101" s="303">
        <v>53.01</v>
      </c>
      <c r="E101" s="299">
        <v>6.95</v>
      </c>
      <c r="F101" s="299">
        <f t="shared" si="6"/>
        <v>2127.35</v>
      </c>
      <c r="G101" s="297">
        <v>42431</v>
      </c>
      <c r="H101" s="302">
        <v>150</v>
      </c>
      <c r="I101" s="299">
        <v>46.72</v>
      </c>
      <c r="J101" s="299">
        <v>0.15</v>
      </c>
      <c r="K101" s="299">
        <f t="shared" si="7"/>
        <v>7007.85</v>
      </c>
      <c r="L101" s="298"/>
      <c r="M101" s="298"/>
    </row>
    <row r="102" spans="1:13" x14ac:dyDescent="0.25">
      <c r="A102" s="298"/>
      <c r="B102" s="316">
        <v>42340</v>
      </c>
      <c r="C102" s="298">
        <v>40</v>
      </c>
      <c r="D102" s="303">
        <v>58.6</v>
      </c>
      <c r="E102" s="299">
        <v>0</v>
      </c>
      <c r="F102" s="299">
        <f t="shared" si="6"/>
        <v>2344</v>
      </c>
      <c r="G102" s="297">
        <v>42433</v>
      </c>
      <c r="H102" s="302">
        <v>50</v>
      </c>
      <c r="I102" s="299">
        <v>50.35</v>
      </c>
      <c r="J102" s="299">
        <v>0.05</v>
      </c>
      <c r="K102" s="299">
        <f t="shared" si="7"/>
        <v>2517.4499999999998</v>
      </c>
      <c r="L102" s="298"/>
      <c r="M102" s="298"/>
    </row>
    <row r="103" spans="1:13" ht="45" x14ac:dyDescent="0.25">
      <c r="A103" s="298"/>
      <c r="B103" s="325" t="s">
        <v>168</v>
      </c>
      <c r="C103" s="298">
        <v>45</v>
      </c>
      <c r="D103" s="303">
        <v>50.45</v>
      </c>
      <c r="E103" s="299">
        <v>0</v>
      </c>
      <c r="F103" s="299">
        <f t="shared" si="6"/>
        <v>2270.25</v>
      </c>
      <c r="G103" s="297">
        <v>42440</v>
      </c>
      <c r="H103" s="302">
        <v>250</v>
      </c>
      <c r="I103" s="299">
        <v>50.24</v>
      </c>
      <c r="J103" s="299">
        <v>0.27</v>
      </c>
      <c r="K103" s="299">
        <f t="shared" si="7"/>
        <v>12559.73</v>
      </c>
      <c r="L103" s="298"/>
      <c r="M103" s="298"/>
    </row>
    <row r="104" spans="1:13" x14ac:dyDescent="0.25">
      <c r="A104" s="298"/>
      <c r="B104" s="325"/>
      <c r="C104" s="298">
        <v>75</v>
      </c>
      <c r="D104" s="303">
        <v>50.42</v>
      </c>
      <c r="E104" s="299">
        <v>0</v>
      </c>
      <c r="F104" s="299">
        <f t="shared" si="6"/>
        <v>3781.5</v>
      </c>
      <c r="G104" s="297">
        <v>42440</v>
      </c>
      <c r="H104" s="302">
        <v>50</v>
      </c>
      <c r="I104" s="299">
        <v>50.73</v>
      </c>
      <c r="J104" s="299">
        <v>0.05</v>
      </c>
      <c r="K104" s="299">
        <f t="shared" si="7"/>
        <v>2536.4499999999998</v>
      </c>
      <c r="L104" s="298"/>
      <c r="M104" s="298"/>
    </row>
    <row r="105" spans="1:13" x14ac:dyDescent="0.25">
      <c r="A105" s="298"/>
      <c r="B105" s="325"/>
      <c r="C105" s="298">
        <v>100</v>
      </c>
      <c r="D105" s="303">
        <v>50.33</v>
      </c>
      <c r="E105" s="299">
        <v>0</v>
      </c>
      <c r="F105" s="299">
        <f t="shared" si="6"/>
        <v>5033</v>
      </c>
      <c r="G105" s="297">
        <v>42440</v>
      </c>
      <c r="H105" s="302">
        <v>50</v>
      </c>
      <c r="I105" s="299">
        <v>51.08</v>
      </c>
      <c r="J105" s="299">
        <v>0.06</v>
      </c>
      <c r="K105" s="299">
        <f t="shared" si="7"/>
        <v>2553.94</v>
      </c>
      <c r="L105" s="298"/>
      <c r="M105" s="298"/>
    </row>
    <row r="106" spans="1:13" x14ac:dyDescent="0.25">
      <c r="A106" s="298"/>
      <c r="B106" s="325"/>
      <c r="C106" s="298">
        <v>100</v>
      </c>
      <c r="D106" s="303">
        <v>50.25</v>
      </c>
      <c r="E106" s="299">
        <v>0</v>
      </c>
      <c r="F106" s="299">
        <f t="shared" si="6"/>
        <v>5025</v>
      </c>
      <c r="G106" s="297">
        <v>42445</v>
      </c>
      <c r="H106" s="302">
        <v>20</v>
      </c>
      <c r="I106" s="299">
        <v>51.59</v>
      </c>
      <c r="J106" s="299">
        <v>0.02</v>
      </c>
      <c r="K106" s="299">
        <f t="shared" si="7"/>
        <v>1031.7800000000002</v>
      </c>
      <c r="L106" s="298"/>
      <c r="M106" s="298"/>
    </row>
    <row r="107" spans="1:13" x14ac:dyDescent="0.25">
      <c r="A107" s="298"/>
      <c r="B107" s="325"/>
      <c r="C107" s="298">
        <v>100</v>
      </c>
      <c r="D107" s="303">
        <v>50.05</v>
      </c>
      <c r="E107" s="299">
        <v>0</v>
      </c>
      <c r="F107" s="299">
        <f t="shared" si="6"/>
        <v>5005</v>
      </c>
      <c r="G107" s="297">
        <v>42446</v>
      </c>
      <c r="H107" s="302">
        <v>80</v>
      </c>
      <c r="I107" s="299">
        <v>53.45</v>
      </c>
      <c r="J107" s="299">
        <v>0.09</v>
      </c>
      <c r="K107" s="299">
        <f t="shared" si="7"/>
        <v>4275.91</v>
      </c>
      <c r="L107" s="298"/>
      <c r="M107" s="298"/>
    </row>
    <row r="108" spans="1:13" x14ac:dyDescent="0.25">
      <c r="A108" s="298"/>
      <c r="B108" s="325"/>
      <c r="C108" s="298">
        <v>100</v>
      </c>
      <c r="D108" s="303">
        <v>49.99</v>
      </c>
      <c r="E108" s="299">
        <v>0</v>
      </c>
      <c r="F108" s="299">
        <f t="shared" si="6"/>
        <v>4999</v>
      </c>
      <c r="G108" s="297">
        <v>42460</v>
      </c>
      <c r="H108" s="302">
        <v>50</v>
      </c>
      <c r="I108" s="299">
        <v>52.74</v>
      </c>
      <c r="J108" s="299">
        <v>0.06</v>
      </c>
      <c r="K108" s="299">
        <f t="shared" si="7"/>
        <v>2636.94</v>
      </c>
      <c r="L108" s="298"/>
      <c r="M108" s="298"/>
    </row>
    <row r="109" spans="1:13" x14ac:dyDescent="0.25">
      <c r="A109" s="298"/>
      <c r="B109" s="325"/>
      <c r="C109" s="298">
        <v>200</v>
      </c>
      <c r="D109" s="303">
        <v>49.69</v>
      </c>
      <c r="E109" s="299">
        <v>0</v>
      </c>
      <c r="F109" s="299">
        <f t="shared" si="6"/>
        <v>9938</v>
      </c>
      <c r="G109" s="297">
        <v>42466</v>
      </c>
      <c r="H109" s="302">
        <v>50</v>
      </c>
      <c r="I109" s="299">
        <v>53.25</v>
      </c>
      <c r="J109" s="299">
        <v>0.06</v>
      </c>
      <c r="K109" s="299">
        <f t="shared" si="7"/>
        <v>2662.44</v>
      </c>
      <c r="L109" s="298"/>
      <c r="M109" s="298"/>
    </row>
    <row r="110" spans="1:13" x14ac:dyDescent="0.25">
      <c r="A110" s="298"/>
      <c r="B110" s="316">
        <v>42362</v>
      </c>
      <c r="C110" s="298">
        <v>300</v>
      </c>
      <c r="D110" s="303">
        <v>48.18</v>
      </c>
      <c r="E110" s="299">
        <v>0</v>
      </c>
      <c r="F110" s="299">
        <f t="shared" si="6"/>
        <v>14454</v>
      </c>
      <c r="G110" s="297">
        <v>42472</v>
      </c>
      <c r="H110" s="302">
        <v>20</v>
      </c>
      <c r="I110" s="299">
        <v>57.11</v>
      </c>
      <c r="J110" s="299">
        <v>-0.03</v>
      </c>
      <c r="K110" s="299">
        <f t="shared" si="7"/>
        <v>1142.23</v>
      </c>
      <c r="L110" s="298"/>
      <c r="M110" s="298"/>
    </row>
    <row r="111" spans="1:13" x14ac:dyDescent="0.25">
      <c r="A111" s="298"/>
      <c r="B111" s="316">
        <v>42362</v>
      </c>
      <c r="C111" s="298">
        <v>300</v>
      </c>
      <c r="D111" s="303">
        <v>47.73</v>
      </c>
      <c r="E111" s="299">
        <v>-0.03</v>
      </c>
      <c r="F111" s="299">
        <f t="shared" si="6"/>
        <v>14318.969999999998</v>
      </c>
      <c r="G111" s="297">
        <v>42478</v>
      </c>
      <c r="H111" s="302">
        <v>20</v>
      </c>
      <c r="I111" s="299">
        <v>58.75</v>
      </c>
      <c r="J111" s="299">
        <v>0.03</v>
      </c>
      <c r="K111" s="299">
        <f t="shared" si="7"/>
        <v>1174.97</v>
      </c>
      <c r="L111" s="298"/>
      <c r="M111" s="298"/>
    </row>
    <row r="112" spans="1:13" x14ac:dyDescent="0.25">
      <c r="A112" s="298"/>
      <c r="B112" s="316">
        <v>42374</v>
      </c>
      <c r="C112" s="298">
        <v>100</v>
      </c>
      <c r="D112" s="303">
        <v>47.13</v>
      </c>
      <c r="E112" s="299">
        <v>0</v>
      </c>
      <c r="F112" s="299">
        <f t="shared" si="6"/>
        <v>4713</v>
      </c>
      <c r="G112" s="297">
        <v>42501</v>
      </c>
      <c r="H112" s="302">
        <v>30</v>
      </c>
      <c r="I112" s="299">
        <v>58.45</v>
      </c>
      <c r="J112" s="299">
        <v>0.04</v>
      </c>
      <c r="K112" s="299">
        <f t="shared" si="7"/>
        <v>1753.46</v>
      </c>
      <c r="L112" s="298"/>
      <c r="M112" s="298"/>
    </row>
    <row r="113" spans="1:13" x14ac:dyDescent="0.25">
      <c r="A113" s="298"/>
      <c r="B113" s="316">
        <v>42375</v>
      </c>
      <c r="C113" s="298">
        <v>100</v>
      </c>
      <c r="D113" s="303">
        <v>46.02</v>
      </c>
      <c r="E113" s="299">
        <v>0</v>
      </c>
      <c r="F113" s="299">
        <f t="shared" si="6"/>
        <v>4602</v>
      </c>
      <c r="G113" s="298"/>
      <c r="H113" s="302"/>
      <c r="I113" s="299"/>
      <c r="J113" s="299"/>
      <c r="K113" s="299"/>
      <c r="L113" s="298"/>
      <c r="M113" s="298"/>
    </row>
    <row r="114" spans="1:13" x14ac:dyDescent="0.25">
      <c r="A114" s="298"/>
      <c r="B114" s="324">
        <v>42375</v>
      </c>
      <c r="C114" s="298">
        <v>30</v>
      </c>
      <c r="D114" s="303">
        <v>45.1</v>
      </c>
      <c r="E114" s="299">
        <v>0</v>
      </c>
      <c r="F114" s="299">
        <f t="shared" si="6"/>
        <v>1353</v>
      </c>
      <c r="G114" s="298"/>
      <c r="H114" s="302"/>
      <c r="I114" s="299"/>
      <c r="J114" s="299"/>
      <c r="K114" s="299"/>
      <c r="L114" s="298"/>
      <c r="M114" s="298"/>
    </row>
    <row r="115" spans="1:13" x14ac:dyDescent="0.25">
      <c r="A115" s="298"/>
      <c r="B115" s="324"/>
      <c r="C115" s="298">
        <v>20</v>
      </c>
      <c r="D115" s="303">
        <v>45.1</v>
      </c>
      <c r="E115" s="299">
        <v>0</v>
      </c>
      <c r="F115" s="299">
        <f t="shared" si="6"/>
        <v>902</v>
      </c>
      <c r="G115" s="298"/>
      <c r="H115" s="302"/>
      <c r="I115" s="299"/>
      <c r="J115" s="299"/>
      <c r="K115" s="299"/>
      <c r="L115" s="298"/>
      <c r="M115" s="298"/>
    </row>
    <row r="116" spans="1:13" x14ac:dyDescent="0.25">
      <c r="A116" s="298"/>
      <c r="B116" s="316">
        <v>42402</v>
      </c>
      <c r="C116" s="298">
        <v>150</v>
      </c>
      <c r="D116" s="303">
        <v>39.450000000000003</v>
      </c>
      <c r="E116" s="299">
        <v>0</v>
      </c>
      <c r="F116" s="299">
        <f t="shared" si="6"/>
        <v>5917.5</v>
      </c>
      <c r="G116" s="298"/>
      <c r="H116" s="302"/>
      <c r="I116" s="299"/>
      <c r="J116" s="299"/>
      <c r="K116" s="299"/>
      <c r="L116" s="298"/>
      <c r="M116" s="298"/>
    </row>
    <row r="117" spans="1:13" x14ac:dyDescent="0.25">
      <c r="A117" s="298"/>
      <c r="B117" s="316">
        <v>42405</v>
      </c>
      <c r="C117" s="298">
        <v>100</v>
      </c>
      <c r="D117" s="303">
        <v>38.385100000000001</v>
      </c>
      <c r="E117" s="299">
        <v>0</v>
      </c>
      <c r="F117" s="299">
        <f t="shared" si="6"/>
        <v>3838.51</v>
      </c>
      <c r="G117" s="298"/>
      <c r="H117" s="302"/>
      <c r="I117" s="299"/>
      <c r="J117" s="299"/>
      <c r="K117" s="299"/>
      <c r="L117" s="298"/>
      <c r="M117" s="298"/>
    </row>
    <row r="118" spans="1:13" x14ac:dyDescent="0.25">
      <c r="A118" s="298"/>
      <c r="B118" s="316">
        <v>42426</v>
      </c>
      <c r="C118" s="298">
        <v>150</v>
      </c>
      <c r="D118" s="303">
        <v>43.09</v>
      </c>
      <c r="E118" s="299">
        <v>0</v>
      </c>
      <c r="F118" s="299">
        <f t="shared" si="6"/>
        <v>6463.5000000000009</v>
      </c>
      <c r="G118" s="298"/>
      <c r="H118" s="302"/>
      <c r="I118" s="299"/>
      <c r="J118" s="299"/>
      <c r="K118" s="299"/>
      <c r="L118" s="298"/>
      <c r="M118" s="298"/>
    </row>
    <row r="119" spans="1:13" x14ac:dyDescent="0.25">
      <c r="A119" s="298"/>
      <c r="B119" s="316">
        <v>42426</v>
      </c>
      <c r="C119" s="298">
        <v>150</v>
      </c>
      <c r="D119" s="303">
        <v>42.89</v>
      </c>
      <c r="E119" s="299">
        <v>0</v>
      </c>
      <c r="F119" s="299">
        <f t="shared" si="6"/>
        <v>6433.5</v>
      </c>
      <c r="G119" s="298"/>
      <c r="H119" s="302"/>
      <c r="I119" s="299"/>
      <c r="J119" s="299"/>
      <c r="K119" s="299"/>
      <c r="L119" s="298"/>
      <c r="M119" s="298"/>
    </row>
    <row r="120" spans="1:13" x14ac:dyDescent="0.25">
      <c r="A120" s="298"/>
      <c r="B120" s="316">
        <v>42431</v>
      </c>
      <c r="C120" s="298">
        <v>150</v>
      </c>
      <c r="D120" s="303">
        <v>45.49</v>
      </c>
      <c r="E120" s="299">
        <v>0</v>
      </c>
      <c r="F120" s="299">
        <f t="shared" si="6"/>
        <v>6823.5</v>
      </c>
      <c r="G120" s="298"/>
      <c r="H120" s="302"/>
      <c r="I120" s="299"/>
      <c r="J120" s="299"/>
      <c r="K120" s="299"/>
      <c r="L120" s="298"/>
      <c r="M120" s="298"/>
    </row>
    <row r="121" spans="1:13" x14ac:dyDescent="0.25">
      <c r="A121" s="298"/>
      <c r="B121" s="316">
        <v>42431</v>
      </c>
      <c r="C121" s="298">
        <v>150</v>
      </c>
      <c r="D121" s="303">
        <v>45.07</v>
      </c>
      <c r="E121" s="299">
        <v>0</v>
      </c>
      <c r="F121" s="299">
        <f t="shared" si="6"/>
        <v>6760.5</v>
      </c>
      <c r="G121" s="298"/>
      <c r="H121" s="302"/>
      <c r="I121" s="299"/>
      <c r="J121" s="299"/>
      <c r="K121" s="299"/>
      <c r="L121" s="298"/>
      <c r="M121" s="298"/>
    </row>
    <row r="122" spans="1:13" x14ac:dyDescent="0.25">
      <c r="A122" s="298"/>
      <c r="B122" s="316">
        <v>42433</v>
      </c>
      <c r="C122" s="298">
        <v>50</v>
      </c>
      <c r="D122" s="303">
        <v>49.45</v>
      </c>
      <c r="E122" s="299">
        <v>0</v>
      </c>
      <c r="F122" s="299">
        <f t="shared" si="6"/>
        <v>2472.5</v>
      </c>
      <c r="G122" s="298"/>
      <c r="H122" s="302"/>
      <c r="I122" s="299"/>
      <c r="J122" s="299"/>
      <c r="K122" s="299"/>
      <c r="L122" s="298"/>
      <c r="M122" s="298"/>
    </row>
    <row r="123" spans="1:13" x14ac:dyDescent="0.25">
      <c r="A123" s="298"/>
      <c r="B123" s="316">
        <v>42444</v>
      </c>
      <c r="C123" s="298">
        <v>50</v>
      </c>
      <c r="D123" s="303">
        <v>48.21</v>
      </c>
      <c r="E123" s="299">
        <v>0</v>
      </c>
      <c r="F123" s="299">
        <f t="shared" si="6"/>
        <v>2410.5</v>
      </c>
      <c r="G123" s="298"/>
      <c r="H123" s="302"/>
      <c r="I123" s="299"/>
      <c r="J123" s="299"/>
      <c r="K123" s="299"/>
      <c r="L123" s="298"/>
      <c r="M123" s="298"/>
    </row>
    <row r="124" spans="1:13" x14ac:dyDescent="0.25">
      <c r="A124" s="298"/>
      <c r="B124" s="316">
        <v>42452</v>
      </c>
      <c r="C124" s="298">
        <v>50</v>
      </c>
      <c r="D124" s="303">
        <v>51.6</v>
      </c>
      <c r="E124" s="299">
        <v>0</v>
      </c>
      <c r="F124" s="299">
        <f t="shared" si="6"/>
        <v>2580</v>
      </c>
      <c r="G124" s="298"/>
      <c r="H124" s="302"/>
      <c r="I124" s="299"/>
      <c r="J124" s="299"/>
      <c r="K124" s="299"/>
      <c r="L124" s="298"/>
      <c r="M124" s="298"/>
    </row>
    <row r="125" spans="1:13" x14ac:dyDescent="0.25">
      <c r="A125" s="298"/>
      <c r="B125" s="316">
        <v>42464</v>
      </c>
      <c r="C125" s="298">
        <v>50</v>
      </c>
      <c r="D125" s="303">
        <v>50.62</v>
      </c>
      <c r="E125" s="299">
        <v>0</v>
      </c>
      <c r="F125" s="299">
        <f t="shared" si="6"/>
        <v>2531</v>
      </c>
      <c r="G125" s="298"/>
      <c r="H125" s="302"/>
      <c r="I125" s="299"/>
      <c r="J125" s="299"/>
      <c r="K125" s="299"/>
      <c r="L125" s="298"/>
      <c r="M125" s="298"/>
    </row>
    <row r="126" spans="1:13" x14ac:dyDescent="0.25">
      <c r="A126" s="298"/>
      <c r="B126" s="316">
        <v>42493</v>
      </c>
      <c r="C126" s="298">
        <v>20</v>
      </c>
      <c r="D126" s="303">
        <v>56.5</v>
      </c>
      <c r="E126" s="299">
        <v>0</v>
      </c>
      <c r="F126" s="299">
        <f t="shared" si="6"/>
        <v>1130</v>
      </c>
      <c r="G126" s="298"/>
      <c r="H126" s="302"/>
      <c r="I126" s="299"/>
      <c r="J126" s="299"/>
      <c r="K126" s="299"/>
      <c r="L126" s="298"/>
      <c r="M126" s="298"/>
    </row>
    <row r="127" spans="1:13" x14ac:dyDescent="0.25">
      <c r="A127" s="298"/>
      <c r="B127" s="320"/>
      <c r="C127" s="298"/>
      <c r="D127" s="303"/>
      <c r="E127" s="299"/>
      <c r="F127" s="299"/>
      <c r="G127" s="298"/>
      <c r="H127" s="302"/>
      <c r="I127" s="299"/>
      <c r="J127" s="299"/>
      <c r="K127" s="299"/>
      <c r="L127" s="298"/>
      <c r="M127" s="298"/>
    </row>
    <row r="128" spans="1:13" x14ac:dyDescent="0.25">
      <c r="A128" s="21" t="s">
        <v>81</v>
      </c>
      <c r="B128" s="321"/>
      <c r="C128" s="12">
        <f>SUM(C77:C127)</f>
        <v>3500</v>
      </c>
      <c r="D128" s="322"/>
      <c r="E128" s="12"/>
      <c r="F128" s="13">
        <f>SUM(F77:F127)</f>
        <v>172887.38</v>
      </c>
      <c r="G128" s="12"/>
      <c r="H128" s="75">
        <f>SUM(H77:H127)</f>
        <v>3500</v>
      </c>
      <c r="I128" s="12"/>
      <c r="J128" s="12"/>
      <c r="K128" s="13">
        <f>SUM(K77:K127)</f>
        <v>175898.68000000005</v>
      </c>
      <c r="L128" s="12"/>
      <c r="M128" s="13">
        <f>SUM(M77:M100)</f>
        <v>167.5</v>
      </c>
    </row>
    <row r="129" spans="1:13" x14ac:dyDescent="0.25">
      <c r="A129" s="298"/>
      <c r="B129" s="320"/>
      <c r="C129" s="298"/>
      <c r="D129" s="303"/>
      <c r="E129" s="299"/>
      <c r="F129" s="299"/>
      <c r="G129" s="298"/>
      <c r="H129" s="302"/>
      <c r="I129" s="299"/>
      <c r="J129" s="299"/>
      <c r="K129" s="299"/>
      <c r="L129" s="298"/>
      <c r="M129" s="298"/>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854" priority="17">
      <formula>F38&gt;0</formula>
    </cfRule>
    <cfRule type="expression" dxfId="853" priority="18">
      <formula>F38&lt;0</formula>
    </cfRule>
  </conditionalFormatting>
  <conditionalFormatting sqref="H38:H72">
    <cfRule type="expression" dxfId="852" priority="9">
      <formula>H38&gt;0</formula>
    </cfRule>
    <cfRule type="expression" dxfId="851" priority="10">
      <formula>H38&lt;0</formula>
    </cfRule>
  </conditionalFormatting>
  <conditionalFormatting sqref="F21:F37">
    <cfRule type="expression" dxfId="850" priority="7">
      <formula>F21&gt;0</formula>
    </cfRule>
    <cfRule type="expression" dxfId="849" priority="8">
      <formula>F21&lt;0</formula>
    </cfRule>
  </conditionalFormatting>
  <conditionalFormatting sqref="H21:H37">
    <cfRule type="expression" dxfId="848" priority="5">
      <formula>H21&gt;0</formula>
    </cfRule>
    <cfRule type="expression" dxfId="847" priority="6">
      <formula>H21&lt;0</formula>
    </cfRule>
  </conditionalFormatting>
  <conditionalFormatting sqref="Q8">
    <cfRule type="expression" dxfId="846" priority="1">
      <formula>Q8&gt;0</formula>
    </cfRule>
    <cfRule type="expression" dxfId="845" priority="2">
      <formula>Q8&lt;0</formula>
    </cfRule>
  </conditionalFormatting>
  <conditionalFormatting sqref="Q7">
    <cfRule type="expression" dxfId="844" priority="3">
      <formula>Q7&gt;0</formula>
    </cfRule>
    <cfRule type="expression" dxfId="843"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72"/>
      <c r="C2" s="4"/>
      <c r="D2" s="3"/>
      <c r="E2" s="3"/>
      <c r="F2" s="3"/>
      <c r="G2" s="72"/>
      <c r="H2" s="4"/>
      <c r="I2" s="3"/>
      <c r="J2" s="3"/>
      <c r="K2" s="3"/>
      <c r="L2" s="72"/>
      <c r="M2" s="3"/>
      <c r="O2" s="11" t="s">
        <v>57</v>
      </c>
      <c r="Q2">
        <f>C18-H18</f>
        <v>0</v>
      </c>
      <c r="T2" s="42"/>
    </row>
    <row r="3" spans="1:22" x14ac:dyDescent="0.25">
      <c r="A3" s="22" t="s">
        <v>71</v>
      </c>
      <c r="B3" s="72"/>
      <c r="C3" s="4"/>
      <c r="D3" s="3"/>
      <c r="E3" s="3"/>
      <c r="F3" s="3"/>
      <c r="G3" s="72"/>
      <c r="H3" s="4"/>
      <c r="I3" s="3"/>
      <c r="J3" s="3"/>
      <c r="K3" s="3"/>
      <c r="L3" s="4"/>
      <c r="M3" s="4"/>
      <c r="O3" s="11" t="s">
        <v>58</v>
      </c>
      <c r="Q3" s="78">
        <f>IF(Q2=0, Q4,(F18-K18-M18)/Q2)</f>
        <v>160.82</v>
      </c>
    </row>
    <row r="4" spans="1:22" x14ac:dyDescent="0.25">
      <c r="B4" s="72"/>
      <c r="C4" s="4"/>
      <c r="D4" s="3"/>
      <c r="E4" s="3"/>
      <c r="F4" s="3"/>
      <c r="G4" s="72"/>
      <c r="H4" s="4"/>
      <c r="I4" s="3"/>
      <c r="J4" s="3"/>
      <c r="K4" s="3"/>
      <c r="L4" s="4"/>
      <c r="M4" s="4"/>
      <c r="O4" s="11" t="s">
        <v>66</v>
      </c>
      <c r="Q4" s="54">
        <v>160.82</v>
      </c>
      <c r="R4" s="420">
        <v>1.0500000000000001E-2</v>
      </c>
    </row>
    <row r="5" spans="1:22" x14ac:dyDescent="0.25">
      <c r="B5" s="72"/>
      <c r="C5" s="4"/>
      <c r="D5" s="3"/>
      <c r="E5" s="3"/>
      <c r="F5" s="3"/>
      <c r="G5" s="72"/>
      <c r="H5" s="4"/>
      <c r="I5" s="3"/>
      <c r="J5" s="3"/>
      <c r="K5" s="3"/>
      <c r="L5" s="4"/>
      <c r="M5" s="4"/>
      <c r="O5" s="11" t="s">
        <v>67</v>
      </c>
      <c r="Q5" s="3">
        <f>Q4*Q2</f>
        <v>0</v>
      </c>
      <c r="V5" s="2"/>
    </row>
    <row r="6" spans="1:22" x14ac:dyDescent="0.25">
      <c r="B6" s="72"/>
      <c r="C6" s="4"/>
      <c r="D6" s="3"/>
      <c r="E6" s="3"/>
      <c r="F6" s="3"/>
      <c r="G6" s="4"/>
      <c r="H6" s="4"/>
      <c r="I6" s="3"/>
      <c r="J6" s="3"/>
      <c r="K6" s="3"/>
      <c r="L6" s="4"/>
      <c r="M6" s="4"/>
      <c r="O6" s="11" t="s">
        <v>64</v>
      </c>
      <c r="Q6" s="2">
        <f>Q3*Q2</f>
        <v>0</v>
      </c>
    </row>
    <row r="7" spans="1:22" x14ac:dyDescent="0.25">
      <c r="B7" s="72"/>
      <c r="C7" s="4"/>
      <c r="D7" s="3"/>
      <c r="E7" s="3"/>
      <c r="F7" s="3"/>
      <c r="G7" s="4"/>
      <c r="H7" s="4"/>
      <c r="I7" s="3"/>
      <c r="J7" s="3"/>
      <c r="K7" s="3"/>
      <c r="L7" s="4"/>
      <c r="M7" s="4"/>
      <c r="O7" s="11" t="s">
        <v>177</v>
      </c>
      <c r="Q7" s="2">
        <f>Q10+Q8</f>
        <v>128.08999999999833</v>
      </c>
      <c r="R7">
        <v>0</v>
      </c>
    </row>
    <row r="8" spans="1:22" x14ac:dyDescent="0.25">
      <c r="B8" s="72"/>
      <c r="C8" s="4"/>
      <c r="D8" s="3"/>
      <c r="E8" s="3"/>
      <c r="F8" s="3"/>
      <c r="G8" s="4"/>
      <c r="H8" s="4"/>
      <c r="I8" s="3"/>
      <c r="J8" s="3"/>
      <c r="K8" s="3"/>
      <c r="L8" s="4"/>
      <c r="M8" s="4"/>
      <c r="O8" s="11" t="s">
        <v>179</v>
      </c>
      <c r="P8" s="33"/>
      <c r="Q8" s="2">
        <f>K18+M18-F18+Q2*Q4</f>
        <v>0</v>
      </c>
    </row>
    <row r="9" spans="1:22" x14ac:dyDescent="0.25">
      <c r="B9" s="72"/>
      <c r="C9" s="4"/>
      <c r="D9" s="3"/>
      <c r="E9" s="3"/>
      <c r="F9" s="3"/>
      <c r="G9" s="4"/>
      <c r="H9" s="4"/>
      <c r="I9" s="3"/>
      <c r="J9" s="3"/>
      <c r="K9" s="3"/>
      <c r="L9" s="4"/>
      <c r="M9" s="4"/>
      <c r="O9" s="11" t="s">
        <v>204</v>
      </c>
      <c r="Q9" s="134">
        <f>IF(Q2=0, 0, Q8/Q6)</f>
        <v>0</v>
      </c>
    </row>
    <row r="10" spans="1:22" x14ac:dyDescent="0.25">
      <c r="B10" s="72"/>
      <c r="C10" s="4"/>
      <c r="D10" s="3"/>
      <c r="E10" s="3"/>
      <c r="F10" s="3"/>
      <c r="G10" s="4"/>
      <c r="H10" s="4"/>
      <c r="I10" s="3"/>
      <c r="J10" s="3"/>
      <c r="K10" s="3"/>
      <c r="L10" s="4"/>
      <c r="M10" s="4"/>
      <c r="O10" s="11" t="s">
        <v>203</v>
      </c>
      <c r="P10" s="33"/>
      <c r="Q10" s="2">
        <f>M34</f>
        <v>128.08999999999833</v>
      </c>
    </row>
    <row r="11" spans="1:22" x14ac:dyDescent="0.25">
      <c r="B11" s="72"/>
      <c r="C11" s="4"/>
      <c r="D11" s="3"/>
      <c r="E11" s="3"/>
      <c r="F11" s="3"/>
      <c r="G11" s="4"/>
      <c r="H11" s="4"/>
      <c r="I11" s="3"/>
      <c r="J11" s="3"/>
      <c r="K11" s="3"/>
      <c r="L11" s="4"/>
      <c r="M11" s="4"/>
      <c r="O11" s="11" t="s">
        <v>175</v>
      </c>
      <c r="P11" s="33"/>
      <c r="Q11" s="134">
        <f>IF(U58="N/A (N/A)", 0, VALUE(TRIM(CLEAN(MID(U58, FIND("(", U58)+1, 5)))))</f>
        <v>2.18E-2</v>
      </c>
      <c r="T11" s="42"/>
      <c r="U11" s="32"/>
      <c r="V11" s="11"/>
    </row>
    <row r="12" spans="1:22" x14ac:dyDescent="0.25">
      <c r="B12" s="4"/>
      <c r="C12" s="4"/>
      <c r="D12" s="3"/>
      <c r="E12" s="3"/>
      <c r="F12" s="3"/>
      <c r="G12" s="4"/>
      <c r="H12" s="4"/>
      <c r="I12" s="3"/>
      <c r="J12" s="3"/>
      <c r="K12" s="3"/>
      <c r="L12" s="4"/>
      <c r="M12" s="4"/>
      <c r="U12" s="133"/>
    </row>
    <row r="13" spans="1:22" x14ac:dyDescent="0.25">
      <c r="T13" s="66"/>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62" t="s">
        <v>113</v>
      </c>
      <c r="C23" s="162" t="s">
        <v>145</v>
      </c>
      <c r="D23" s="163" t="s">
        <v>144</v>
      </c>
      <c r="E23" s="165" t="s">
        <v>146</v>
      </c>
      <c r="F23" s="165" t="s">
        <v>65</v>
      </c>
      <c r="G23" s="177" t="s">
        <v>150</v>
      </c>
      <c r="H23" s="177" t="s">
        <v>88</v>
      </c>
      <c r="I23" s="177" t="s">
        <v>153</v>
      </c>
    </row>
    <row r="24" spans="1:13" x14ac:dyDescent="0.25">
      <c r="B24" s="164">
        <v>42374</v>
      </c>
      <c r="C24" s="10">
        <v>0</v>
      </c>
      <c r="D24" s="39">
        <v>0</v>
      </c>
      <c r="E24" s="39">
        <v>0</v>
      </c>
      <c r="F24" s="39">
        <v>62.13</v>
      </c>
      <c r="G24" s="39">
        <f>D24*C24</f>
        <v>0</v>
      </c>
      <c r="H24" s="179"/>
      <c r="I24" s="39"/>
    </row>
    <row r="25" spans="1:13" x14ac:dyDescent="0.25">
      <c r="B25" s="164">
        <v>42375</v>
      </c>
      <c r="C25" s="10">
        <v>30</v>
      </c>
      <c r="D25" s="39">
        <v>72.379000000000005</v>
      </c>
      <c r="E25" s="39">
        <v>74.83</v>
      </c>
      <c r="F25" s="39">
        <v>73.53</v>
      </c>
      <c r="G25" s="39">
        <f>D25*C25</f>
        <v>2171.3700000000003</v>
      </c>
      <c r="H25" s="179">
        <f>IF(C25=0, 0, (E25-D25)/D25)</f>
        <v>3.3863413421019818E-2</v>
      </c>
      <c r="I25" s="39"/>
    </row>
    <row r="26" spans="1:13" x14ac:dyDescent="0.25">
      <c r="B26" s="164">
        <v>42403</v>
      </c>
      <c r="C26" s="10">
        <v>30</v>
      </c>
      <c r="D26" s="39">
        <v>72.379000000000005</v>
      </c>
      <c r="E26" s="39">
        <v>72.260000000000005</v>
      </c>
      <c r="F26" s="39">
        <v>-3.57</v>
      </c>
      <c r="G26" s="39">
        <f>D26*C26</f>
        <v>2171.3700000000003</v>
      </c>
      <c r="H26" s="179">
        <f>IF(C26=0, 0, (E26-D26)/D26)</f>
        <v>-1.6441232954309919E-3</v>
      </c>
      <c r="I26" s="39"/>
    </row>
    <row r="27" spans="1:13" x14ac:dyDescent="0.25">
      <c r="B27" s="164">
        <v>42409</v>
      </c>
      <c r="C27" s="10">
        <v>0</v>
      </c>
      <c r="D27" s="39">
        <v>0</v>
      </c>
      <c r="E27" s="39">
        <v>0</v>
      </c>
      <c r="F27" s="39">
        <v>128.09</v>
      </c>
      <c r="G27" s="39">
        <v>0</v>
      </c>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4" spans="1:21" x14ac:dyDescent="0.25">
      <c r="L34" t="s">
        <v>203</v>
      </c>
      <c r="M34" s="2">
        <f>M49+K49-F49</f>
        <v>128.08999999999833</v>
      </c>
    </row>
    <row r="35" spans="1:21" x14ac:dyDescent="0.25">
      <c r="A35" s="199" t="s">
        <v>1</v>
      </c>
      <c r="B35" s="199" t="s">
        <v>2</v>
      </c>
      <c r="C35" s="199" t="s">
        <v>4</v>
      </c>
      <c r="D35" s="200" t="s">
        <v>5</v>
      </c>
      <c r="E35" s="200" t="s">
        <v>94</v>
      </c>
      <c r="F35" s="200" t="s">
        <v>60</v>
      </c>
      <c r="G35" s="199" t="s">
        <v>3</v>
      </c>
      <c r="H35" s="199" t="s">
        <v>6</v>
      </c>
      <c r="I35" s="200" t="s">
        <v>7</v>
      </c>
      <c r="J35" s="200" t="s">
        <v>95</v>
      </c>
      <c r="K35" s="200" t="s">
        <v>61</v>
      </c>
      <c r="L35" s="199" t="s">
        <v>37</v>
      </c>
      <c r="M35" s="199" t="s">
        <v>38</v>
      </c>
    </row>
    <row r="36" spans="1:21" x14ac:dyDescent="0.25">
      <c r="A36" s="201" t="s">
        <v>42</v>
      </c>
      <c r="B36" s="202">
        <v>42184</v>
      </c>
      <c r="C36" s="197">
        <v>10</v>
      </c>
      <c r="D36" s="198">
        <v>99.05</v>
      </c>
      <c r="E36" s="198">
        <v>0</v>
      </c>
      <c r="F36" s="198">
        <f>C36*D36</f>
        <v>990.5</v>
      </c>
      <c r="G36" s="202">
        <v>42216</v>
      </c>
      <c r="H36" s="197">
        <v>40</v>
      </c>
      <c r="I36" s="198">
        <v>95.1</v>
      </c>
      <c r="J36" s="198">
        <v>7.0000000000000007E-2</v>
      </c>
      <c r="K36" s="198">
        <f>H36*I36-J36</f>
        <v>3803.93</v>
      </c>
      <c r="L36" s="202">
        <v>42277</v>
      </c>
      <c r="M36" s="198">
        <v>33</v>
      </c>
    </row>
    <row r="37" spans="1:21" x14ac:dyDescent="0.25">
      <c r="A37" s="204" t="s">
        <v>71</v>
      </c>
      <c r="B37" s="202">
        <v>42184</v>
      </c>
      <c r="C37" s="197">
        <v>20</v>
      </c>
      <c r="D37" s="198">
        <v>99.5</v>
      </c>
      <c r="E37" s="198">
        <v>0</v>
      </c>
      <c r="F37" s="198">
        <f t="shared" ref="F37:F43" si="0">C37*D37</f>
        <v>1990</v>
      </c>
      <c r="G37" s="202">
        <v>42216</v>
      </c>
      <c r="H37" s="197">
        <v>20</v>
      </c>
      <c r="I37" s="198">
        <v>95.6</v>
      </c>
      <c r="J37" s="198">
        <v>0.04</v>
      </c>
      <c r="K37" s="198">
        <f>H37*I37-J37</f>
        <v>1911.96</v>
      </c>
      <c r="L37" s="197"/>
      <c r="M37" s="197"/>
    </row>
    <row r="38" spans="1:21" x14ac:dyDescent="0.25">
      <c r="A38" s="197"/>
      <c r="B38" s="202">
        <v>42184</v>
      </c>
      <c r="C38" s="197">
        <v>10</v>
      </c>
      <c r="D38" s="198">
        <v>98.35</v>
      </c>
      <c r="E38" s="198">
        <v>0</v>
      </c>
      <c r="F38" s="198">
        <f t="shared" si="0"/>
        <v>983.5</v>
      </c>
      <c r="G38" s="202">
        <v>42304</v>
      </c>
      <c r="H38" s="197">
        <v>60</v>
      </c>
      <c r="I38" s="198">
        <v>97.2</v>
      </c>
      <c r="J38" s="198">
        <v>0.11</v>
      </c>
      <c r="K38" s="198">
        <f>H38*I38-J38</f>
        <v>5831.89</v>
      </c>
      <c r="L38" s="197"/>
      <c r="M38" s="197"/>
    </row>
    <row r="39" spans="1:21" x14ac:dyDescent="0.25">
      <c r="A39" s="197"/>
      <c r="B39" s="202">
        <v>42184</v>
      </c>
      <c r="C39" s="197">
        <v>20</v>
      </c>
      <c r="D39" s="198">
        <v>98.1</v>
      </c>
      <c r="E39" s="198">
        <v>0</v>
      </c>
      <c r="F39" s="198">
        <f t="shared" si="0"/>
        <v>1962</v>
      </c>
      <c r="G39" s="202">
        <v>42409</v>
      </c>
      <c r="H39" s="197">
        <v>30</v>
      </c>
      <c r="I39" s="198">
        <v>76.650000000000006</v>
      </c>
      <c r="J39" s="198">
        <v>0.04</v>
      </c>
      <c r="K39" s="198">
        <f>H39*I39-J39</f>
        <v>2299.46</v>
      </c>
      <c r="L39" s="197"/>
      <c r="M39" s="197"/>
    </row>
    <row r="40" spans="1:21" x14ac:dyDescent="0.25">
      <c r="A40" s="197"/>
      <c r="B40" s="202">
        <v>42213</v>
      </c>
      <c r="C40" s="197">
        <v>10</v>
      </c>
      <c r="D40" s="198">
        <v>92.5</v>
      </c>
      <c r="E40" s="198">
        <v>0</v>
      </c>
      <c r="F40" s="198">
        <f t="shared" si="0"/>
        <v>925</v>
      </c>
      <c r="G40" s="197"/>
      <c r="H40" s="197"/>
      <c r="I40" s="198"/>
      <c r="J40" s="198"/>
      <c r="K40" s="198"/>
      <c r="L40" s="197"/>
      <c r="M40" s="197"/>
    </row>
    <row r="41" spans="1:21" x14ac:dyDescent="0.25">
      <c r="A41" s="197"/>
      <c r="B41" s="202">
        <v>42213</v>
      </c>
      <c r="C41" s="197">
        <v>10</v>
      </c>
      <c r="D41" s="198">
        <v>91.65</v>
      </c>
      <c r="E41" s="198">
        <v>0</v>
      </c>
      <c r="F41" s="198">
        <f t="shared" si="0"/>
        <v>916.5</v>
      </c>
      <c r="G41" s="197"/>
      <c r="H41" s="197"/>
      <c r="I41" s="198"/>
      <c r="J41" s="198"/>
      <c r="K41" s="198"/>
      <c r="L41" s="197"/>
      <c r="M41" s="197"/>
    </row>
    <row r="42" spans="1:21" ht="20.25" thickBot="1" x14ac:dyDescent="0.35">
      <c r="A42" s="197"/>
      <c r="B42" s="202">
        <v>42213</v>
      </c>
      <c r="C42" s="197">
        <v>15</v>
      </c>
      <c r="D42" s="198">
        <v>94</v>
      </c>
      <c r="E42" s="198">
        <v>0</v>
      </c>
      <c r="F42" s="198">
        <f t="shared" si="0"/>
        <v>1410</v>
      </c>
      <c r="G42" s="197"/>
      <c r="H42" s="197"/>
      <c r="I42" s="198"/>
      <c r="J42" s="198"/>
      <c r="K42" s="198"/>
      <c r="L42" s="197"/>
      <c r="M42" s="197"/>
      <c r="T42" s="89" t="s">
        <v>112</v>
      </c>
    </row>
    <row r="43" spans="1:21" ht="15.75" thickTop="1" x14ac:dyDescent="0.25">
      <c r="A43" s="197"/>
      <c r="B43" s="202">
        <v>42213</v>
      </c>
      <c r="C43" s="197">
        <v>15</v>
      </c>
      <c r="D43" s="198">
        <v>92.75</v>
      </c>
      <c r="E43" s="198">
        <v>0</v>
      </c>
      <c r="F43" s="198">
        <f t="shared" si="0"/>
        <v>1391.25</v>
      </c>
      <c r="G43" s="197"/>
      <c r="H43" s="197"/>
      <c r="I43" s="198"/>
      <c r="J43" s="198"/>
      <c r="K43" s="198"/>
      <c r="L43" s="197"/>
      <c r="M43" s="197"/>
      <c r="T43" s="95" t="s">
        <v>97</v>
      </c>
      <c r="U43" s="126">
        <v>115.19</v>
      </c>
    </row>
    <row r="44" spans="1:21" x14ac:dyDescent="0.25">
      <c r="A44" s="197"/>
      <c r="B44" s="202">
        <v>42226</v>
      </c>
      <c r="C44" s="197">
        <v>10</v>
      </c>
      <c r="D44" s="198">
        <v>94.99</v>
      </c>
      <c r="E44" s="198">
        <v>0</v>
      </c>
      <c r="F44" s="198">
        <f>C44*D44</f>
        <v>949.9</v>
      </c>
      <c r="G44" s="197"/>
      <c r="H44" s="197"/>
      <c r="I44" s="198"/>
      <c r="J44" s="198"/>
      <c r="K44" s="198"/>
      <c r="L44" s="197"/>
      <c r="M44" s="197"/>
      <c r="T44" s="85" t="s">
        <v>98</v>
      </c>
      <c r="U44" s="127">
        <v>115.59</v>
      </c>
    </row>
    <row r="45" spans="1:21" x14ac:dyDescent="0.25">
      <c r="A45" s="197"/>
      <c r="B45" s="202">
        <v>42375</v>
      </c>
      <c r="C45" s="197">
        <v>30</v>
      </c>
      <c r="D45" s="198">
        <v>74.45</v>
      </c>
      <c r="E45" s="198">
        <v>0</v>
      </c>
      <c r="F45" s="198">
        <f>C45*D45</f>
        <v>2233.5</v>
      </c>
      <c r="G45" s="197"/>
      <c r="H45" s="197"/>
      <c r="I45" s="198"/>
      <c r="J45" s="198"/>
      <c r="K45" s="198"/>
      <c r="L45" s="197"/>
      <c r="M45" s="197"/>
      <c r="T45" s="85" t="s">
        <v>99</v>
      </c>
      <c r="U45" s="127" t="s">
        <v>128</v>
      </c>
    </row>
    <row r="46" spans="1:21" ht="20.25" thickBot="1" x14ac:dyDescent="0.35">
      <c r="A46" s="197"/>
      <c r="B46" s="197"/>
      <c r="C46" s="197"/>
      <c r="D46" s="198"/>
      <c r="E46" s="198"/>
      <c r="F46" s="198"/>
      <c r="G46" s="197"/>
      <c r="H46" s="197"/>
      <c r="I46" s="198"/>
      <c r="J46" s="198"/>
      <c r="K46" s="198"/>
      <c r="L46" s="197"/>
      <c r="M46" s="197"/>
      <c r="O46" s="884" t="s">
        <v>78</v>
      </c>
      <c r="P46" s="884"/>
      <c r="Q46" s="33"/>
      <c r="R46"/>
      <c r="T46" s="85" t="s">
        <v>100</v>
      </c>
      <c r="U46" s="127" t="s">
        <v>128</v>
      </c>
    </row>
    <row r="47" spans="1:21" ht="15.75" thickTop="1" x14ac:dyDescent="0.25">
      <c r="A47" s="197"/>
      <c r="B47" s="197"/>
      <c r="C47" s="197"/>
      <c r="D47" s="198"/>
      <c r="E47" s="198"/>
      <c r="F47" s="198"/>
      <c r="G47" s="197"/>
      <c r="H47" s="197"/>
      <c r="I47" s="198"/>
      <c r="J47" s="198"/>
      <c r="K47" s="198"/>
      <c r="L47" s="197"/>
      <c r="M47" s="197"/>
      <c r="O47" s="81">
        <v>1.1000000000000001</v>
      </c>
      <c r="P47" s="81">
        <f>O47*$Q$4</f>
        <v>176.90200000000002</v>
      </c>
      <c r="Q47" s="33"/>
      <c r="R47"/>
      <c r="T47" s="85" t="s">
        <v>101</v>
      </c>
      <c r="U47" s="127">
        <v>119.17</v>
      </c>
    </row>
    <row r="48" spans="1:21" x14ac:dyDescent="0.25">
      <c r="A48" s="197"/>
      <c r="B48" s="197"/>
      <c r="C48" s="197"/>
      <c r="D48" s="198"/>
      <c r="E48" s="198"/>
      <c r="F48" s="198"/>
      <c r="G48" s="197"/>
      <c r="H48" s="197"/>
      <c r="I48" s="198"/>
      <c r="J48" s="198"/>
      <c r="K48" s="198"/>
      <c r="L48" s="197"/>
      <c r="M48" s="197"/>
      <c r="O48" s="81">
        <v>1.0900000000000001</v>
      </c>
      <c r="P48" s="81">
        <f t="shared" ref="P48:P67" si="1">O48*$Q$4</f>
        <v>175.2938</v>
      </c>
      <c r="Q48" s="33"/>
      <c r="R48"/>
      <c r="T48" s="85" t="s">
        <v>102</v>
      </c>
      <c r="U48" s="127">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81">
        <v>1.08</v>
      </c>
      <c r="P49" s="81">
        <f t="shared" si="1"/>
        <v>173.68559999999999</v>
      </c>
      <c r="Q49" s="33"/>
      <c r="R49"/>
      <c r="T49" s="85" t="s">
        <v>103</v>
      </c>
      <c r="U49" s="92" t="s">
        <v>589</v>
      </c>
    </row>
    <row r="50" spans="1:21" x14ac:dyDescent="0.25">
      <c r="A50" s="197"/>
      <c r="B50" s="197"/>
      <c r="C50" s="197"/>
      <c r="D50" s="198"/>
      <c r="E50" s="198"/>
      <c r="F50" s="198"/>
      <c r="G50" s="197"/>
      <c r="H50" s="197"/>
      <c r="I50" s="198"/>
      <c r="J50" s="198"/>
      <c r="K50" s="198"/>
      <c r="L50" s="197"/>
      <c r="M50" s="197"/>
      <c r="O50" s="81">
        <v>1.07</v>
      </c>
      <c r="P50" s="81">
        <f t="shared" si="1"/>
        <v>172.07740000000001</v>
      </c>
      <c r="Q50" s="81"/>
      <c r="R50"/>
      <c r="T50" s="85"/>
      <c r="U50" s="127"/>
    </row>
    <row r="51" spans="1:21" x14ac:dyDescent="0.25">
      <c r="O51" s="81">
        <v>1.06</v>
      </c>
      <c r="P51" s="81">
        <f t="shared" si="1"/>
        <v>170.4692</v>
      </c>
      <c r="Q51" s="81"/>
      <c r="R51"/>
      <c r="T51" s="85" t="s">
        <v>104</v>
      </c>
      <c r="U51" s="127" t="s">
        <v>590</v>
      </c>
    </row>
    <row r="52" spans="1:21" x14ac:dyDescent="0.25">
      <c r="O52" s="81">
        <v>1.05</v>
      </c>
      <c r="P52" s="81">
        <f t="shared" si="1"/>
        <v>168.86099999999999</v>
      </c>
      <c r="Q52" s="81"/>
      <c r="R52"/>
      <c r="T52" s="85" t="s">
        <v>105</v>
      </c>
      <c r="U52" s="127" t="s">
        <v>491</v>
      </c>
    </row>
    <row r="53" spans="1:21" x14ac:dyDescent="0.25">
      <c r="O53" s="81">
        <v>1.04</v>
      </c>
      <c r="P53" s="81">
        <f t="shared" si="1"/>
        <v>167.25280000000001</v>
      </c>
      <c r="Q53" s="81"/>
      <c r="R53"/>
      <c r="T53" s="85" t="s">
        <v>106</v>
      </c>
      <c r="U53" s="128">
        <v>1726477</v>
      </c>
    </row>
    <row r="54" spans="1:21" x14ac:dyDescent="0.25">
      <c r="O54" s="81">
        <v>1.03</v>
      </c>
      <c r="P54" s="81">
        <f t="shared" si="1"/>
        <v>165.6446</v>
      </c>
      <c r="Q54" s="81"/>
      <c r="R54"/>
      <c r="T54" s="85" t="s">
        <v>109</v>
      </c>
      <c r="U54" s="128">
        <v>2143790</v>
      </c>
    </row>
    <row r="55" spans="1:21" x14ac:dyDescent="0.25">
      <c r="O55" s="81">
        <v>1.02</v>
      </c>
      <c r="P55" s="81">
        <f t="shared" si="1"/>
        <v>164.03639999999999</v>
      </c>
      <c r="Q55" s="81"/>
      <c r="R55"/>
      <c r="T55" s="85" t="s">
        <v>107</v>
      </c>
      <c r="U55" s="127" t="s">
        <v>591</v>
      </c>
    </row>
    <row r="56" spans="1:21" x14ac:dyDescent="0.25">
      <c r="O56" s="81">
        <v>1.01</v>
      </c>
      <c r="P56" s="81">
        <f t="shared" si="1"/>
        <v>162.4282</v>
      </c>
      <c r="Q56" s="81"/>
      <c r="R56"/>
      <c r="T56" s="85" t="s">
        <v>110</v>
      </c>
      <c r="U56" s="127">
        <v>20.41</v>
      </c>
    </row>
    <row r="57" spans="1:21" x14ac:dyDescent="0.25">
      <c r="O57" s="81">
        <v>1</v>
      </c>
      <c r="P57" s="81">
        <f t="shared" si="1"/>
        <v>160.82</v>
      </c>
      <c r="Q57" s="81"/>
      <c r="R57"/>
      <c r="T57" s="85" t="s">
        <v>111</v>
      </c>
      <c r="U57" s="127">
        <v>5.62</v>
      </c>
    </row>
    <row r="58" spans="1:21" x14ac:dyDescent="0.25">
      <c r="O58" s="81">
        <v>0.99</v>
      </c>
      <c r="P58" s="81">
        <f t="shared" si="1"/>
        <v>159.21179999999998</v>
      </c>
      <c r="Q58" s="81"/>
      <c r="R58"/>
      <c r="T58" s="85" t="s">
        <v>108</v>
      </c>
      <c r="U58" s="127" t="s">
        <v>531</v>
      </c>
    </row>
    <row r="59" spans="1:21" x14ac:dyDescent="0.25">
      <c r="O59" s="81">
        <v>0.98</v>
      </c>
      <c r="P59" s="81">
        <f t="shared" si="1"/>
        <v>157.6036</v>
      </c>
      <c r="Q59" s="81"/>
      <c r="R59"/>
    </row>
    <row r="60" spans="1:21" x14ac:dyDescent="0.25">
      <c r="O60" s="81">
        <v>0.97</v>
      </c>
      <c r="P60" s="81">
        <f t="shared" si="1"/>
        <v>155.99539999999999</v>
      </c>
      <c r="Q60" s="81"/>
      <c r="R60"/>
    </row>
    <row r="61" spans="1:21" x14ac:dyDescent="0.25">
      <c r="O61" s="81">
        <v>0.96</v>
      </c>
      <c r="P61" s="81">
        <f t="shared" si="1"/>
        <v>154.38719999999998</v>
      </c>
      <c r="Q61" s="81"/>
      <c r="R61"/>
    </row>
    <row r="62" spans="1:21" x14ac:dyDescent="0.25">
      <c r="O62" s="81">
        <v>0.95</v>
      </c>
      <c r="P62" s="81">
        <f t="shared" si="1"/>
        <v>152.779</v>
      </c>
      <c r="Q62" s="81"/>
      <c r="R62"/>
    </row>
    <row r="63" spans="1:21" x14ac:dyDescent="0.25">
      <c r="O63" s="81">
        <v>0.94</v>
      </c>
      <c r="P63" s="81">
        <f t="shared" si="1"/>
        <v>151.17079999999999</v>
      </c>
      <c r="Q63" s="81"/>
      <c r="R63"/>
      <c r="T63" s="84"/>
    </row>
    <row r="64" spans="1:21" x14ac:dyDescent="0.25">
      <c r="O64" s="81">
        <v>0.93</v>
      </c>
      <c r="P64" s="81">
        <f t="shared" si="1"/>
        <v>149.5626</v>
      </c>
      <c r="Q64" s="81"/>
      <c r="R64"/>
      <c r="S64" s="84"/>
      <c r="T64"/>
    </row>
    <row r="65" spans="15:20" x14ac:dyDescent="0.25">
      <c r="O65" s="81">
        <v>0.92</v>
      </c>
      <c r="P65" s="81">
        <f t="shared" si="1"/>
        <v>147.95439999999999</v>
      </c>
      <c r="Q65" s="81"/>
      <c r="R65"/>
      <c r="S65" s="84"/>
      <c r="T65"/>
    </row>
    <row r="66" spans="15:20" x14ac:dyDescent="0.25">
      <c r="O66" s="81">
        <v>0.91</v>
      </c>
      <c r="P66" s="81">
        <f t="shared" si="1"/>
        <v>146.34620000000001</v>
      </c>
      <c r="Q66" s="81"/>
      <c r="R66"/>
      <c r="S66" s="84"/>
      <c r="T66"/>
    </row>
    <row r="67" spans="15:20" x14ac:dyDescent="0.25">
      <c r="O67" s="81">
        <v>0.9</v>
      </c>
      <c r="P67" s="81">
        <f t="shared" si="1"/>
        <v>144.738</v>
      </c>
      <c r="Q67" s="81"/>
      <c r="R67"/>
      <c r="S67" s="84"/>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842" priority="11">
      <formula>F24&gt;0</formula>
    </cfRule>
    <cfRule type="expression" dxfId="841" priority="12">
      <formula>F24&lt;0</formula>
    </cfRule>
  </conditionalFormatting>
  <conditionalFormatting sqref="H27:H30">
    <cfRule type="expression" dxfId="840" priority="9">
      <formula>H27&gt;0</formula>
    </cfRule>
    <cfRule type="expression" dxfId="839" priority="10">
      <formula>H27&lt;0</formula>
    </cfRule>
  </conditionalFormatting>
  <conditionalFormatting sqref="F25">
    <cfRule type="expression" dxfId="838" priority="7">
      <formula>F25&gt;0</formula>
    </cfRule>
    <cfRule type="expression" dxfId="837" priority="8">
      <formula>F25&lt;0</formula>
    </cfRule>
  </conditionalFormatting>
  <conditionalFormatting sqref="H24:H26">
    <cfRule type="expression" dxfId="836" priority="5">
      <formula>H24&gt;0</formula>
    </cfRule>
    <cfRule type="expression" dxfId="835" priority="6">
      <formula>H24&lt;0</formula>
    </cfRule>
  </conditionalFormatting>
  <conditionalFormatting sqref="Q7">
    <cfRule type="expression" dxfId="834" priority="3">
      <formula>Q7&gt;0</formula>
    </cfRule>
    <cfRule type="expression" dxfId="833" priority="4">
      <formula>Q7&lt;0</formula>
    </cfRule>
  </conditionalFormatting>
  <conditionalFormatting sqref="Q8">
    <cfRule type="expression" dxfId="832" priority="1">
      <formula>Q8&gt;0</formula>
    </cfRule>
    <cfRule type="expression" dxfId="831"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c r="W1" s="90" t="s">
        <v>113</v>
      </c>
      <c r="X1" s="91" t="s">
        <v>114</v>
      </c>
      <c r="Y1" s="100" t="s">
        <v>115</v>
      </c>
      <c r="Z1" s="100" t="s">
        <v>116</v>
      </c>
      <c r="AA1" s="91" t="s">
        <v>117</v>
      </c>
      <c r="AB1" s="91" t="s">
        <v>118</v>
      </c>
      <c r="AC1" s="192" t="s">
        <v>119</v>
      </c>
      <c r="AD1" s="11" t="s">
        <v>125</v>
      </c>
      <c r="AE1" s="11" t="s">
        <v>127</v>
      </c>
    </row>
    <row r="2" spans="1:40" ht="14.25" customHeight="1" x14ac:dyDescent="0.25">
      <c r="A2" s="6" t="s">
        <v>262</v>
      </c>
      <c r="B2" s="72"/>
      <c r="C2" s="4"/>
      <c r="D2" s="3"/>
      <c r="E2" s="3"/>
      <c r="F2" s="3"/>
      <c r="G2" s="72"/>
      <c r="H2" s="161"/>
      <c r="I2" s="3"/>
      <c r="J2" s="3"/>
      <c r="K2" s="3"/>
      <c r="L2" s="1"/>
      <c r="M2" s="3"/>
      <c r="O2" s="11" t="s">
        <v>57</v>
      </c>
      <c r="Q2">
        <f>C18-H18</f>
        <v>0</v>
      </c>
      <c r="T2" s="83"/>
      <c r="W2" s="92">
        <v>42830</v>
      </c>
      <c r="X2" s="285">
        <v>49.93</v>
      </c>
      <c r="Y2" s="39">
        <v>50.75</v>
      </c>
      <c r="Z2" s="39">
        <v>49.59</v>
      </c>
      <c r="AA2" s="285">
        <v>49.78</v>
      </c>
      <c r="AB2" s="93">
        <v>1141600</v>
      </c>
      <c r="AC2" s="191">
        <v>49.78</v>
      </c>
      <c r="AD2" s="2">
        <f>Y2-Z2</f>
        <v>1.1599999999999966</v>
      </c>
      <c r="AE2" s="134">
        <f>AC2/AC3-1</f>
        <v>4.0192926045024002E-4</v>
      </c>
    </row>
    <row r="3" spans="1:40" x14ac:dyDescent="0.25">
      <c r="A3" s="22" t="s">
        <v>71</v>
      </c>
      <c r="B3" s="72"/>
      <c r="C3" s="4"/>
      <c r="D3" s="3"/>
      <c r="E3" s="3"/>
      <c r="F3" s="3"/>
      <c r="G3" s="72"/>
      <c r="H3" s="161"/>
      <c r="I3" s="3"/>
      <c r="J3" s="3"/>
      <c r="K3" s="3"/>
      <c r="O3" s="11" t="s">
        <v>58</v>
      </c>
      <c r="Q3" s="78">
        <f>IF(Q2=0, Q4, (F18-K18-M18)/Q2)</f>
        <v>50.85</v>
      </c>
      <c r="T3" s="118"/>
      <c r="W3" s="92">
        <v>42829</v>
      </c>
      <c r="X3" s="285">
        <v>50.04</v>
      </c>
      <c r="Y3" s="39">
        <v>50.15</v>
      </c>
      <c r="Z3" s="39">
        <v>49.32</v>
      </c>
      <c r="AA3" s="285">
        <v>49.76</v>
      </c>
      <c r="AB3" s="93">
        <v>1479500</v>
      </c>
      <c r="AC3" s="191">
        <v>49.76</v>
      </c>
      <c r="AD3" s="2">
        <f>Y3-Z3</f>
        <v>0.82999999999999829</v>
      </c>
      <c r="AE3" s="134">
        <f>AC3/AC4-1</f>
        <v>-8.5674437138871795E-3</v>
      </c>
      <c r="AN3" s="182"/>
    </row>
    <row r="4" spans="1:40" x14ac:dyDescent="0.25">
      <c r="B4" s="72"/>
      <c r="C4" s="4"/>
      <c r="D4" s="3"/>
      <c r="E4" s="3"/>
      <c r="F4" s="3"/>
      <c r="G4" s="72"/>
      <c r="H4" s="161"/>
      <c r="I4" s="3"/>
      <c r="J4" s="3"/>
      <c r="K4" s="3"/>
      <c r="O4" s="11" t="s">
        <v>66</v>
      </c>
      <c r="Q4" s="54">
        <v>50.85</v>
      </c>
      <c r="R4" s="421">
        <v>9.2999999999999992E-3</v>
      </c>
      <c r="T4" s="118"/>
      <c r="W4" s="92">
        <v>42828</v>
      </c>
      <c r="X4" s="285">
        <v>50.74</v>
      </c>
      <c r="Y4" s="39">
        <v>50.95</v>
      </c>
      <c r="Z4" s="39">
        <v>50</v>
      </c>
      <c r="AA4" s="285">
        <v>50.19</v>
      </c>
      <c r="AB4" s="93">
        <v>1299500</v>
      </c>
      <c r="AC4" s="191">
        <v>50.19</v>
      </c>
      <c r="AD4" s="2">
        <f t="shared" ref="AD4:AD67" si="0">Y4-Z4</f>
        <v>0.95000000000000284</v>
      </c>
      <c r="AE4" s="134">
        <f t="shared" ref="AE4:AE67" si="1">AC4/AC5-1</f>
        <v>-1.0644589000591398E-2</v>
      </c>
      <c r="AK4" s="182"/>
      <c r="AN4" s="182"/>
    </row>
    <row r="5" spans="1:40" x14ac:dyDescent="0.25">
      <c r="B5" s="72"/>
      <c r="C5" s="4"/>
      <c r="D5" s="3"/>
      <c r="E5" s="3"/>
      <c r="F5" s="3"/>
      <c r="G5" s="72"/>
      <c r="H5" s="161"/>
      <c r="I5" s="3"/>
      <c r="J5" s="3"/>
      <c r="K5" s="3"/>
      <c r="O5" s="11" t="s">
        <v>67</v>
      </c>
      <c r="Q5" s="3">
        <f>Q4*Q2</f>
        <v>0</v>
      </c>
      <c r="W5" s="92">
        <v>42825</v>
      </c>
      <c r="X5" s="285">
        <v>50.99</v>
      </c>
      <c r="Y5" s="39">
        <v>51.2</v>
      </c>
      <c r="Z5" s="39">
        <v>50.44</v>
      </c>
      <c r="AA5" s="285">
        <v>50.73</v>
      </c>
      <c r="AB5" s="93">
        <v>1105900</v>
      </c>
      <c r="AC5" s="191">
        <v>50.73</v>
      </c>
      <c r="AD5" s="2">
        <f t="shared" si="0"/>
        <v>0.76000000000000512</v>
      </c>
      <c r="AE5" s="134">
        <f t="shared" si="1"/>
        <v>-9.9531615925059214E-3</v>
      </c>
      <c r="AK5" s="182"/>
      <c r="AN5" s="182"/>
    </row>
    <row r="6" spans="1:40" x14ac:dyDescent="0.25">
      <c r="B6" s="4"/>
      <c r="C6" s="4"/>
      <c r="D6" s="3"/>
      <c r="E6" s="3"/>
      <c r="F6" s="3"/>
      <c r="G6" s="4"/>
      <c r="H6" s="161"/>
      <c r="I6" s="3"/>
      <c r="J6" s="3"/>
      <c r="K6" s="3"/>
      <c r="O6" s="11" t="s">
        <v>64</v>
      </c>
      <c r="Q6" s="2">
        <f>Q3*Q2</f>
        <v>0</v>
      </c>
      <c r="W6" s="92">
        <v>42824</v>
      </c>
      <c r="X6" s="285">
        <v>50.89</v>
      </c>
      <c r="Y6" s="39">
        <v>51.37</v>
      </c>
      <c r="Z6" s="39">
        <v>50.89</v>
      </c>
      <c r="AA6" s="285">
        <v>51.24</v>
      </c>
      <c r="AB6" s="93">
        <v>754000</v>
      </c>
      <c r="AC6" s="191">
        <v>51.24</v>
      </c>
      <c r="AD6" s="2">
        <f t="shared" si="0"/>
        <v>0.47999999999999687</v>
      </c>
      <c r="AE6" s="134">
        <f t="shared" si="1"/>
        <v>7.4714903657098208E-3</v>
      </c>
    </row>
    <row r="7" spans="1:40" x14ac:dyDescent="0.25">
      <c r="B7" s="4"/>
      <c r="C7" s="4"/>
      <c r="D7" s="3"/>
      <c r="E7" s="3"/>
      <c r="F7" s="3"/>
      <c r="G7" s="4"/>
      <c r="H7" s="4"/>
      <c r="I7" s="3"/>
      <c r="J7" s="3"/>
      <c r="K7" s="3"/>
      <c r="O7" s="11" t="s">
        <v>177</v>
      </c>
      <c r="P7"/>
      <c r="Q7" s="2">
        <f>Q10+Q8</f>
        <v>427.92000000000007</v>
      </c>
      <c r="R7">
        <v>0</v>
      </c>
      <c r="T7" s="83"/>
      <c r="W7" s="92">
        <v>42823</v>
      </c>
      <c r="X7" s="285">
        <v>51.09</v>
      </c>
      <c r="Y7" s="39">
        <v>51.3</v>
      </c>
      <c r="Z7" s="39">
        <v>50.65</v>
      </c>
      <c r="AA7" s="285">
        <v>50.86</v>
      </c>
      <c r="AB7" s="93">
        <v>1237800</v>
      </c>
      <c r="AC7" s="191">
        <v>50.86</v>
      </c>
      <c r="AD7" s="2">
        <f t="shared" si="0"/>
        <v>0.64999999999999858</v>
      </c>
      <c r="AE7" s="134">
        <f t="shared" si="1"/>
        <v>-8.5769980506822385E-3</v>
      </c>
      <c r="AK7" s="182"/>
      <c r="AN7" s="182"/>
    </row>
    <row r="8" spans="1:40" x14ac:dyDescent="0.25">
      <c r="B8" s="4"/>
      <c r="C8" s="4"/>
      <c r="D8" s="3"/>
      <c r="E8" s="3"/>
      <c r="F8" s="3"/>
      <c r="G8" s="4"/>
      <c r="H8" s="4"/>
      <c r="I8" s="3"/>
      <c r="J8" s="3"/>
      <c r="K8" s="3"/>
      <c r="O8" s="11" t="s">
        <v>179</v>
      </c>
      <c r="Q8" s="2">
        <f>K18+M18-F18+Q2*Q4</f>
        <v>0</v>
      </c>
      <c r="W8" s="92">
        <v>42822</v>
      </c>
      <c r="X8" s="285">
        <v>51.8</v>
      </c>
      <c r="Y8" s="39">
        <v>52.1</v>
      </c>
      <c r="Z8" s="39">
        <v>51.13</v>
      </c>
      <c r="AA8" s="285">
        <v>51.3</v>
      </c>
      <c r="AB8" s="93">
        <v>1548100</v>
      </c>
      <c r="AC8" s="191">
        <v>51.3</v>
      </c>
      <c r="AD8" s="2">
        <f t="shared" si="0"/>
        <v>0.96999999999999886</v>
      </c>
      <c r="AE8" s="134">
        <f t="shared" si="1"/>
        <v>5.488043904351203E-3</v>
      </c>
    </row>
    <row r="9" spans="1:40" x14ac:dyDescent="0.25">
      <c r="O9" s="11" t="s">
        <v>204</v>
      </c>
      <c r="P9"/>
      <c r="Q9" s="134">
        <f>IF(Q2=0, 0, Q8/Q6)</f>
        <v>0</v>
      </c>
      <c r="W9" s="92">
        <v>42821</v>
      </c>
      <c r="X9" s="285">
        <v>50.15</v>
      </c>
      <c r="Y9" s="39">
        <v>51.17</v>
      </c>
      <c r="Z9" s="39">
        <v>49.92</v>
      </c>
      <c r="AA9" s="285">
        <v>51.02</v>
      </c>
      <c r="AB9" s="93">
        <v>887400</v>
      </c>
      <c r="AC9" s="191">
        <v>51.02</v>
      </c>
      <c r="AD9" s="2">
        <f t="shared" si="0"/>
        <v>1.25</v>
      </c>
      <c r="AE9" s="134">
        <f t="shared" si="1"/>
        <v>1.0697305863708539E-2</v>
      </c>
      <c r="AK9" s="182"/>
      <c r="AN9" s="182"/>
    </row>
    <row r="10" spans="1:40" ht="12.75" customHeight="1" x14ac:dyDescent="0.25">
      <c r="O10" s="11" t="s">
        <v>203</v>
      </c>
      <c r="Q10" s="2">
        <f>M37</f>
        <v>427.92000000000007</v>
      </c>
      <c r="W10" s="92">
        <v>42818</v>
      </c>
      <c r="X10" s="285">
        <v>51.34</v>
      </c>
      <c r="Y10" s="39">
        <v>51.53</v>
      </c>
      <c r="Z10" s="39">
        <v>50.3</v>
      </c>
      <c r="AA10" s="285">
        <v>50.48</v>
      </c>
      <c r="AB10" s="93">
        <v>1306900</v>
      </c>
      <c r="AC10" s="191">
        <v>50.48</v>
      </c>
      <c r="AD10" s="2">
        <f t="shared" si="0"/>
        <v>1.230000000000004</v>
      </c>
      <c r="AE10" s="134">
        <f t="shared" si="1"/>
        <v>-1.2326354920759175E-2</v>
      </c>
    </row>
    <row r="11" spans="1:40" x14ac:dyDescent="0.25">
      <c r="O11" s="11" t="s">
        <v>175</v>
      </c>
      <c r="Q11" s="134">
        <v>0</v>
      </c>
      <c r="W11" s="92">
        <v>42817</v>
      </c>
      <c r="X11" s="285">
        <v>50.98</v>
      </c>
      <c r="Y11" s="39">
        <v>51.67</v>
      </c>
      <c r="Z11" s="39">
        <v>50.88</v>
      </c>
      <c r="AA11" s="285">
        <v>51.11</v>
      </c>
      <c r="AB11" s="93">
        <v>1081500</v>
      </c>
      <c r="AC11" s="191">
        <v>51.11</v>
      </c>
      <c r="AD11" s="2">
        <f t="shared" si="0"/>
        <v>0.78999999999999915</v>
      </c>
      <c r="AE11" s="134">
        <f t="shared" si="1"/>
        <v>2.7467137531882457E-3</v>
      </c>
      <c r="AK11" s="182"/>
      <c r="AN11" s="182"/>
    </row>
    <row r="12" spans="1:40" x14ac:dyDescent="0.25">
      <c r="W12" s="92">
        <v>42816</v>
      </c>
      <c r="X12" s="285">
        <v>50.11</v>
      </c>
      <c r="Y12" s="39">
        <v>51.13</v>
      </c>
      <c r="Z12" s="39">
        <v>49.55</v>
      </c>
      <c r="AA12" s="285">
        <v>50.97</v>
      </c>
      <c r="AB12" s="93">
        <v>1129000</v>
      </c>
      <c r="AC12" s="191">
        <v>50.97</v>
      </c>
      <c r="AD12" s="2">
        <f t="shared" si="0"/>
        <v>1.5800000000000054</v>
      </c>
      <c r="AE12" s="134">
        <f t="shared" si="1"/>
        <v>1.9400000000000084E-2</v>
      </c>
    </row>
    <row r="13" spans="1:40" x14ac:dyDescent="0.25">
      <c r="W13" s="92">
        <v>42815</v>
      </c>
      <c r="X13" s="285">
        <v>51.3</v>
      </c>
      <c r="Y13" s="39">
        <v>51.72</v>
      </c>
      <c r="Z13" s="39">
        <v>49.95</v>
      </c>
      <c r="AA13" s="285">
        <v>50</v>
      </c>
      <c r="AB13" s="93">
        <v>1150500</v>
      </c>
      <c r="AC13" s="191">
        <v>50</v>
      </c>
      <c r="AD13" s="2">
        <f t="shared" si="0"/>
        <v>1.769999999999996</v>
      </c>
      <c r="AE13" s="134">
        <f t="shared" si="1"/>
        <v>-2.1526418786692814E-2</v>
      </c>
      <c r="AK13" s="182"/>
      <c r="AN13" s="182"/>
    </row>
    <row r="14" spans="1:40" x14ac:dyDescent="0.25">
      <c r="T14" s="82"/>
      <c r="U14" s="11"/>
      <c r="W14" s="92">
        <v>42814</v>
      </c>
      <c r="X14" s="285">
        <v>51.36</v>
      </c>
      <c r="Y14" s="39">
        <v>51.53</v>
      </c>
      <c r="Z14" s="39">
        <v>50.81</v>
      </c>
      <c r="AA14" s="285">
        <v>51.1</v>
      </c>
      <c r="AB14" s="93">
        <v>838900</v>
      </c>
      <c r="AC14" s="191">
        <v>51.1</v>
      </c>
      <c r="AD14" s="2">
        <f t="shared" si="0"/>
        <v>0.71999999999999886</v>
      </c>
      <c r="AE14" s="134">
        <f t="shared" si="1"/>
        <v>-4.0927694406548421E-3</v>
      </c>
    </row>
    <row r="15" spans="1:40" x14ac:dyDescent="0.25">
      <c r="W15" s="92">
        <v>42811</v>
      </c>
      <c r="X15" s="285">
        <v>51.71</v>
      </c>
      <c r="Y15" s="39">
        <v>51.85</v>
      </c>
      <c r="Z15" s="39">
        <v>51.25</v>
      </c>
      <c r="AA15" s="285">
        <v>51.31</v>
      </c>
      <c r="AB15" s="93">
        <v>1236400</v>
      </c>
      <c r="AC15" s="191">
        <v>51.31</v>
      </c>
      <c r="AD15" s="2">
        <f t="shared" si="0"/>
        <v>0.60000000000000142</v>
      </c>
      <c r="AE15" s="134">
        <f t="shared" si="1"/>
        <v>-2.3332685203187875E-3</v>
      </c>
      <c r="AK15" s="182"/>
      <c r="AN15" s="182"/>
    </row>
    <row r="16" spans="1:40" x14ac:dyDescent="0.25">
      <c r="W16" s="92">
        <v>42810</v>
      </c>
      <c r="X16" s="285">
        <v>51.35</v>
      </c>
      <c r="Y16" s="39">
        <v>51.45</v>
      </c>
      <c r="Z16" s="39">
        <v>51.06</v>
      </c>
      <c r="AA16" s="285">
        <v>51.43</v>
      </c>
      <c r="AB16" s="93">
        <v>775100</v>
      </c>
      <c r="AC16" s="191">
        <v>51.43</v>
      </c>
      <c r="AD16" s="2">
        <f t="shared" si="0"/>
        <v>0.39000000000000057</v>
      </c>
      <c r="AE16" s="134">
        <f t="shared" si="1"/>
        <v>3.8902937171769736E-4</v>
      </c>
    </row>
    <row r="17" spans="1:40" x14ac:dyDescent="0.25">
      <c r="W17" s="92">
        <v>42809</v>
      </c>
      <c r="X17" s="285">
        <v>51.05</v>
      </c>
      <c r="Y17" s="39">
        <v>51.49</v>
      </c>
      <c r="Z17" s="39">
        <v>50.71</v>
      </c>
      <c r="AA17" s="285">
        <v>51.41</v>
      </c>
      <c r="AB17" s="93">
        <v>1141500</v>
      </c>
      <c r="AC17" s="191">
        <v>51.41</v>
      </c>
      <c r="AD17" s="2">
        <f t="shared" si="0"/>
        <v>0.78000000000000114</v>
      </c>
      <c r="AE17" s="134">
        <f t="shared" si="1"/>
        <v>8.8304552590265928E-3</v>
      </c>
      <c r="AK17" s="182"/>
      <c r="AN17" s="182"/>
    </row>
    <row r="18" spans="1:40" x14ac:dyDescent="0.25">
      <c r="A18" s="31" t="s">
        <v>81</v>
      </c>
      <c r="B18" s="14"/>
      <c r="C18" s="14">
        <f>SUM(C2:C6)</f>
        <v>0</v>
      </c>
      <c r="D18" s="14"/>
      <c r="E18" s="14"/>
      <c r="F18" s="18">
        <f>SUM(F2:F6)</f>
        <v>0</v>
      </c>
      <c r="G18" s="18"/>
      <c r="H18" s="71">
        <f>SUM(H2:H6)</f>
        <v>0</v>
      </c>
      <c r="I18" s="18"/>
      <c r="J18" s="18"/>
      <c r="K18" s="18">
        <f>SUM(K2:K6)</f>
        <v>0</v>
      </c>
      <c r="L18" s="18"/>
      <c r="M18" s="18">
        <f>SUM(M2:M6)</f>
        <v>0</v>
      </c>
      <c r="W18" s="92">
        <v>42808</v>
      </c>
      <c r="X18" s="285">
        <v>51.21</v>
      </c>
      <c r="Y18" s="39">
        <v>51.23</v>
      </c>
      <c r="Z18" s="39">
        <v>50.4</v>
      </c>
      <c r="AA18" s="285">
        <v>50.96</v>
      </c>
      <c r="AB18" s="93">
        <v>1066000</v>
      </c>
      <c r="AC18" s="191">
        <v>50.96</v>
      </c>
      <c r="AD18" s="2">
        <f t="shared" si="0"/>
        <v>0.82999999999999829</v>
      </c>
      <c r="AE18" s="134">
        <f t="shared" si="1"/>
        <v>-7.0148090413094666E-3</v>
      </c>
    </row>
    <row r="19" spans="1:40" x14ac:dyDescent="0.25">
      <c r="W19" s="92">
        <v>42807</v>
      </c>
      <c r="X19" s="285">
        <v>51.83</v>
      </c>
      <c r="Y19" s="39">
        <v>51.83</v>
      </c>
      <c r="Z19" s="39">
        <v>51.11</v>
      </c>
      <c r="AA19" s="285">
        <v>51.32</v>
      </c>
      <c r="AB19" s="93">
        <v>1086300</v>
      </c>
      <c r="AC19" s="191">
        <v>51.32</v>
      </c>
      <c r="AD19" s="2">
        <f t="shared" si="0"/>
        <v>0.71999999999999886</v>
      </c>
      <c r="AE19" s="134">
        <f t="shared" si="1"/>
        <v>4.3052837573385183E-3</v>
      </c>
      <c r="AK19" s="182"/>
      <c r="AN19" s="182"/>
    </row>
    <row r="20" spans="1:40" x14ac:dyDescent="0.25">
      <c r="B20" s="162" t="s">
        <v>113</v>
      </c>
      <c r="C20" s="162" t="s">
        <v>145</v>
      </c>
      <c r="D20" s="163" t="s">
        <v>144</v>
      </c>
      <c r="E20" s="165" t="s">
        <v>146</v>
      </c>
      <c r="F20" s="165" t="s">
        <v>65</v>
      </c>
      <c r="G20" s="177" t="s">
        <v>150</v>
      </c>
      <c r="H20" s="177" t="s">
        <v>88</v>
      </c>
      <c r="I20" s="177" t="s">
        <v>153</v>
      </c>
      <c r="W20" s="92">
        <v>42804</v>
      </c>
      <c r="X20" s="285">
        <v>50.23</v>
      </c>
      <c r="Y20" s="39">
        <v>51.22</v>
      </c>
      <c r="Z20" s="39">
        <v>50.07</v>
      </c>
      <c r="AA20" s="285">
        <v>51.1</v>
      </c>
      <c r="AB20" s="93">
        <v>1157000</v>
      </c>
      <c r="AC20" s="191">
        <v>51.1</v>
      </c>
      <c r="AD20" s="2">
        <f t="shared" si="0"/>
        <v>1.1499999999999986</v>
      </c>
      <c r="AE20" s="134">
        <f t="shared" si="1"/>
        <v>2.3637820512820484E-2</v>
      </c>
    </row>
    <row r="21" spans="1:40" x14ac:dyDescent="0.25">
      <c r="B21" s="164">
        <v>42622</v>
      </c>
      <c r="C21" s="10">
        <v>50</v>
      </c>
      <c r="D21" s="39">
        <v>34.68</v>
      </c>
      <c r="E21" s="39">
        <v>34.5</v>
      </c>
      <c r="F21" s="39">
        <f t="shared" ref="F21:F26" si="2">C21*(E21-D21)</f>
        <v>-8.9999999999999858</v>
      </c>
      <c r="G21" s="39">
        <f t="shared" ref="G21:G26" si="3">D21*C21</f>
        <v>1734</v>
      </c>
      <c r="H21" s="179">
        <f t="shared" ref="H21:H26" si="4">(E21-D21)/D21</f>
        <v>-5.190311418685113E-3</v>
      </c>
      <c r="I21" s="39"/>
      <c r="W21" s="92">
        <v>42803</v>
      </c>
      <c r="X21" s="285">
        <v>49.77</v>
      </c>
      <c r="Y21" s="39">
        <v>50.06</v>
      </c>
      <c r="Z21" s="39">
        <v>49.48</v>
      </c>
      <c r="AA21" s="285">
        <v>49.92</v>
      </c>
      <c r="AB21" s="93">
        <v>765700</v>
      </c>
      <c r="AC21" s="191">
        <v>49.92</v>
      </c>
      <c r="AD21" s="2">
        <f t="shared" si="0"/>
        <v>0.5800000000000054</v>
      </c>
      <c r="AE21" s="134">
        <f t="shared" si="1"/>
        <v>8.0775444264942209E-3</v>
      </c>
      <c r="AK21" s="182"/>
      <c r="AN21" s="182"/>
    </row>
    <row r="22" spans="1:40" x14ac:dyDescent="0.25">
      <c r="B22" s="164">
        <v>42629</v>
      </c>
      <c r="C22" s="10">
        <v>50</v>
      </c>
      <c r="D22" s="39">
        <v>34.68</v>
      </c>
      <c r="E22" s="39">
        <v>35.75</v>
      </c>
      <c r="F22" s="39">
        <f t="shared" si="2"/>
        <v>53.500000000000014</v>
      </c>
      <c r="G22" s="39">
        <f t="shared" si="3"/>
        <v>1734</v>
      </c>
      <c r="H22" s="179">
        <f t="shared" si="4"/>
        <v>3.085351787773934E-2</v>
      </c>
      <c r="I22" s="39"/>
      <c r="W22" s="92">
        <v>42802</v>
      </c>
      <c r="X22" s="285">
        <v>49.59</v>
      </c>
      <c r="Y22" s="39">
        <v>49.83</v>
      </c>
      <c r="Z22" s="39">
        <v>49.4</v>
      </c>
      <c r="AA22" s="285">
        <v>49.52</v>
      </c>
      <c r="AB22" s="93">
        <v>776700</v>
      </c>
      <c r="AC22" s="191">
        <v>49.52</v>
      </c>
      <c r="AD22" s="2">
        <f t="shared" si="0"/>
        <v>0.42999999999999972</v>
      </c>
      <c r="AE22" s="134">
        <f t="shared" si="1"/>
        <v>2.0234722784298054E-3</v>
      </c>
    </row>
    <row r="23" spans="1:40" x14ac:dyDescent="0.25">
      <c r="B23" s="164">
        <v>42632</v>
      </c>
      <c r="C23" s="10">
        <v>50</v>
      </c>
      <c r="D23" s="39">
        <v>34.68</v>
      </c>
      <c r="E23" s="39">
        <v>35.340000000000003</v>
      </c>
      <c r="F23" s="39">
        <f t="shared" si="2"/>
        <v>33.000000000000185</v>
      </c>
      <c r="G23" s="39">
        <f t="shared" si="3"/>
        <v>1734</v>
      </c>
      <c r="H23" s="179">
        <f t="shared" si="4"/>
        <v>1.9031141868512218E-2</v>
      </c>
      <c r="I23" s="39"/>
      <c r="W23" s="92">
        <v>42801</v>
      </c>
      <c r="X23" s="285">
        <v>49.56</v>
      </c>
      <c r="Y23" s="39">
        <v>49.76</v>
      </c>
      <c r="Z23" s="39">
        <v>49.05</v>
      </c>
      <c r="AA23" s="285">
        <v>49.42</v>
      </c>
      <c r="AB23" s="93">
        <v>806900</v>
      </c>
      <c r="AC23" s="191">
        <v>49.42</v>
      </c>
      <c r="AD23" s="2">
        <f t="shared" si="0"/>
        <v>0.71000000000000085</v>
      </c>
      <c r="AE23" s="134">
        <f t="shared" si="1"/>
        <v>-6.8327974276526371E-3</v>
      </c>
      <c r="AK23" s="182"/>
    </row>
    <row r="24" spans="1:40" x14ac:dyDescent="0.25">
      <c r="B24" s="164">
        <v>42633</v>
      </c>
      <c r="C24" s="10">
        <v>50</v>
      </c>
      <c r="D24" s="39">
        <v>34.68</v>
      </c>
      <c r="E24" s="39">
        <v>36.31</v>
      </c>
      <c r="F24" s="39">
        <f t="shared" si="2"/>
        <v>81.500000000000128</v>
      </c>
      <c r="G24" s="39">
        <f t="shared" si="3"/>
        <v>1734</v>
      </c>
      <c r="H24" s="179">
        <f t="shared" si="4"/>
        <v>4.7001153402537563E-2</v>
      </c>
      <c r="I24" s="39"/>
      <c r="W24" s="92">
        <v>42800</v>
      </c>
      <c r="X24" s="285">
        <v>49.9</v>
      </c>
      <c r="Y24" s="39">
        <v>50</v>
      </c>
      <c r="Z24" s="39">
        <v>49.16</v>
      </c>
      <c r="AA24" s="285">
        <v>49.76</v>
      </c>
      <c r="AB24" s="93">
        <v>1200800</v>
      </c>
      <c r="AC24" s="191">
        <v>49.76</v>
      </c>
      <c r="AD24" s="2">
        <f t="shared" si="0"/>
        <v>0.84000000000000341</v>
      </c>
      <c r="AE24" s="134">
        <f t="shared" si="1"/>
        <v>-6.984633805627638E-3</v>
      </c>
    </row>
    <row r="25" spans="1:40" x14ac:dyDescent="0.25">
      <c r="B25" s="164">
        <v>42635</v>
      </c>
      <c r="C25" s="10">
        <v>50</v>
      </c>
      <c r="D25" s="39">
        <v>34.68</v>
      </c>
      <c r="E25" s="39">
        <v>37.17</v>
      </c>
      <c r="F25" s="39">
        <f t="shared" si="2"/>
        <v>124.5000000000001</v>
      </c>
      <c r="G25" s="39">
        <f t="shared" si="3"/>
        <v>1734</v>
      </c>
      <c r="H25" s="179">
        <f t="shared" si="4"/>
        <v>7.1799307958477568E-2</v>
      </c>
      <c r="I25" s="39"/>
      <c r="W25" s="92">
        <v>42797</v>
      </c>
      <c r="X25" s="285">
        <v>51</v>
      </c>
      <c r="Y25" s="39">
        <v>51</v>
      </c>
      <c r="Z25" s="39">
        <v>49.79</v>
      </c>
      <c r="AA25" s="285">
        <v>50.11</v>
      </c>
      <c r="AB25" s="93">
        <v>849100</v>
      </c>
      <c r="AC25" s="191">
        <v>50.11</v>
      </c>
      <c r="AD25" s="2">
        <f t="shared" si="0"/>
        <v>1.2100000000000009</v>
      </c>
      <c r="AE25" s="134">
        <f t="shared" si="1"/>
        <v>-1.7065515888583738E-2</v>
      </c>
    </row>
    <row r="26" spans="1:40" x14ac:dyDescent="0.25">
      <c r="B26" s="164">
        <v>42645</v>
      </c>
      <c r="C26" s="10">
        <v>50</v>
      </c>
      <c r="D26" s="39">
        <v>34.68</v>
      </c>
      <c r="E26" s="39">
        <v>37.700000000000003</v>
      </c>
      <c r="F26" s="39">
        <f t="shared" si="2"/>
        <v>151.00000000000017</v>
      </c>
      <c r="G26" s="39">
        <f t="shared" si="3"/>
        <v>1734</v>
      </c>
      <c r="H26" s="179">
        <f t="shared" si="4"/>
        <v>8.7081891580161566E-2</v>
      </c>
      <c r="I26" s="39"/>
      <c r="W26" s="92">
        <v>42796</v>
      </c>
      <c r="X26" s="285">
        <v>50.79</v>
      </c>
      <c r="Y26" s="39">
        <v>51.25</v>
      </c>
      <c r="Z26" s="39">
        <v>50.63</v>
      </c>
      <c r="AA26" s="285">
        <v>50.98</v>
      </c>
      <c r="AB26" s="93">
        <v>878700</v>
      </c>
      <c r="AC26" s="191">
        <v>50.98</v>
      </c>
      <c r="AD26" s="2">
        <f t="shared" si="0"/>
        <v>0.61999999999999744</v>
      </c>
      <c r="AE26" s="134">
        <f t="shared" si="1"/>
        <v>-1.3712047012732764E-3</v>
      </c>
    </row>
    <row r="27" spans="1:40" x14ac:dyDescent="0.25">
      <c r="B27" s="164">
        <v>42649</v>
      </c>
      <c r="C27" s="10">
        <v>50</v>
      </c>
      <c r="D27" s="39">
        <v>34.68</v>
      </c>
      <c r="E27" s="39">
        <v>38.64</v>
      </c>
      <c r="F27" s="39">
        <f>C27*(E27-D27)</f>
        <v>198.00000000000006</v>
      </c>
      <c r="G27" s="39">
        <f>D27*C27</f>
        <v>1734</v>
      </c>
      <c r="H27" s="179">
        <f>(E27-D27)/D27</f>
        <v>0.11418685121107269</v>
      </c>
      <c r="I27" s="39"/>
      <c r="W27" s="92">
        <v>42795</v>
      </c>
      <c r="X27" s="285">
        <v>51.12</v>
      </c>
      <c r="Y27" s="39">
        <v>51.61</v>
      </c>
      <c r="Z27" s="39">
        <v>50.42</v>
      </c>
      <c r="AA27" s="285">
        <v>51.05</v>
      </c>
      <c r="AB27" s="93">
        <v>1192400</v>
      </c>
      <c r="AC27" s="191">
        <v>51.05</v>
      </c>
      <c r="AD27" s="2">
        <f t="shared" si="0"/>
        <v>1.1899999999999977</v>
      </c>
      <c r="AE27" s="134">
        <f t="shared" si="1"/>
        <v>6.9033530571991353E-3</v>
      </c>
    </row>
    <row r="28" spans="1:40" x14ac:dyDescent="0.25">
      <c r="B28" s="164">
        <v>42663</v>
      </c>
      <c r="C28" s="10">
        <v>0</v>
      </c>
      <c r="D28" s="39"/>
      <c r="E28" s="39"/>
      <c r="F28" s="39">
        <v>192.96</v>
      </c>
      <c r="G28" s="39"/>
      <c r="H28" s="179"/>
      <c r="I28" s="39"/>
      <c r="W28" s="92">
        <v>42794</v>
      </c>
      <c r="X28" s="285">
        <v>50.82</v>
      </c>
      <c r="Y28" s="39">
        <v>51.2</v>
      </c>
      <c r="Z28" s="39">
        <v>50.45</v>
      </c>
      <c r="AA28" s="285">
        <v>50.7</v>
      </c>
      <c r="AB28" s="93">
        <v>932200</v>
      </c>
      <c r="AC28" s="191">
        <v>50.7</v>
      </c>
      <c r="AD28" s="2">
        <f t="shared" si="0"/>
        <v>0.75</v>
      </c>
      <c r="AE28" s="134">
        <f t="shared" si="1"/>
        <v>-1.378766988379021E-3</v>
      </c>
    </row>
    <row r="29" spans="1:40" x14ac:dyDescent="0.25">
      <c r="B29" s="164">
        <v>42670</v>
      </c>
      <c r="C29" s="10">
        <v>50</v>
      </c>
      <c r="D29" s="39">
        <v>36.58</v>
      </c>
      <c r="E29" s="39">
        <v>35.71</v>
      </c>
      <c r="F29" s="39">
        <f>C29*(E29-D29)</f>
        <v>-43.499999999999872</v>
      </c>
      <c r="G29" s="39">
        <f>D29*C29</f>
        <v>1829</v>
      </c>
      <c r="H29" s="179">
        <f>(E29-D29)/D29</f>
        <v>-2.3783488244942523E-2</v>
      </c>
      <c r="I29" s="39"/>
      <c r="W29" s="92">
        <v>42793</v>
      </c>
      <c r="X29" s="285">
        <v>49.93</v>
      </c>
      <c r="Y29" s="39">
        <v>50.83</v>
      </c>
      <c r="Z29" s="39">
        <v>49.57</v>
      </c>
      <c r="AA29" s="285">
        <v>50.77</v>
      </c>
      <c r="AB29" s="93">
        <v>1326600</v>
      </c>
      <c r="AC29" s="191">
        <v>50.77</v>
      </c>
      <c r="AD29" s="2">
        <f t="shared" si="0"/>
        <v>1.259999999999998</v>
      </c>
      <c r="AE29" s="134">
        <f t="shared" si="1"/>
        <v>1.4994002399040474E-2</v>
      </c>
    </row>
    <row r="30" spans="1:40" x14ac:dyDescent="0.25">
      <c r="B30" s="164">
        <v>42674</v>
      </c>
      <c r="C30" s="10">
        <v>50</v>
      </c>
      <c r="D30" s="39">
        <v>36.58</v>
      </c>
      <c r="E30" s="39">
        <v>38.869999999999997</v>
      </c>
      <c r="F30" s="39">
        <f>C30*(E30-D30)</f>
        <v>114.49999999999996</v>
      </c>
      <c r="G30" s="39">
        <f>D30*C30</f>
        <v>1829</v>
      </c>
      <c r="H30" s="179">
        <f>(E30-D30)/D30</f>
        <v>6.2602515035538528E-2</v>
      </c>
      <c r="I30" s="39"/>
      <c r="W30" s="92">
        <v>42790</v>
      </c>
      <c r="X30" s="285">
        <v>50.51</v>
      </c>
      <c r="Y30" s="39">
        <v>50.63</v>
      </c>
      <c r="Z30" s="39">
        <v>49.77</v>
      </c>
      <c r="AA30" s="285">
        <v>50.02</v>
      </c>
      <c r="AB30" s="93">
        <v>1442900</v>
      </c>
      <c r="AC30" s="191">
        <v>50.02</v>
      </c>
      <c r="AD30" s="2">
        <f t="shared" si="0"/>
        <v>0.85999999999999943</v>
      </c>
      <c r="AE30" s="134">
        <f t="shared" si="1"/>
        <v>-1.3022888713496328E-2</v>
      </c>
    </row>
    <row r="31" spans="1:40" x14ac:dyDescent="0.25">
      <c r="B31" s="164">
        <v>42701</v>
      </c>
      <c r="C31" s="10">
        <v>50</v>
      </c>
      <c r="D31" s="39">
        <v>36.58</v>
      </c>
      <c r="E31" s="39">
        <v>40.58</v>
      </c>
      <c r="F31" s="39">
        <f>C31*(E31-D31)</f>
        <v>200</v>
      </c>
      <c r="G31" s="39">
        <f>D31*C31</f>
        <v>1829</v>
      </c>
      <c r="H31" s="179">
        <f>(E31-D31)/D31</f>
        <v>0.10934937124111536</v>
      </c>
      <c r="I31" s="39"/>
      <c r="W31" s="92">
        <v>42789</v>
      </c>
      <c r="X31" s="285">
        <v>52.48</v>
      </c>
      <c r="Y31" s="39">
        <v>52.5</v>
      </c>
      <c r="Z31" s="39">
        <v>50.61</v>
      </c>
      <c r="AA31" s="285">
        <v>50.68</v>
      </c>
      <c r="AB31" s="93">
        <v>1869800</v>
      </c>
      <c r="AC31" s="191">
        <v>50.68</v>
      </c>
      <c r="AD31" s="2">
        <f t="shared" si="0"/>
        <v>1.8900000000000006</v>
      </c>
      <c r="AE31" s="134">
        <f t="shared" si="1"/>
        <v>-1.8590240123934954E-2</v>
      </c>
    </row>
    <row r="32" spans="1:40" x14ac:dyDescent="0.25">
      <c r="B32" s="164">
        <v>42705</v>
      </c>
      <c r="C32" s="10">
        <v>50</v>
      </c>
      <c r="D32" s="39">
        <v>36.58</v>
      </c>
      <c r="E32" s="39">
        <v>38.85</v>
      </c>
      <c r="F32" s="39">
        <f>C32*(E32-D32)</f>
        <v>113.50000000000016</v>
      </c>
      <c r="G32" s="39">
        <f>D32*C32</f>
        <v>1829</v>
      </c>
      <c r="H32" s="179">
        <f>(E32-D32)/D32</f>
        <v>6.205576817933306E-2</v>
      </c>
      <c r="I32" s="39"/>
      <c r="W32" s="92">
        <v>42788</v>
      </c>
      <c r="X32" s="285">
        <v>49.24</v>
      </c>
      <c r="Y32" s="39">
        <v>52.14</v>
      </c>
      <c r="Z32" s="39">
        <v>48.68</v>
      </c>
      <c r="AA32" s="285">
        <v>51.64</v>
      </c>
      <c r="AB32" s="93">
        <v>4043000</v>
      </c>
      <c r="AC32" s="191">
        <v>51.64</v>
      </c>
      <c r="AD32" s="2">
        <f t="shared" si="0"/>
        <v>3.4600000000000009</v>
      </c>
      <c r="AE32" s="134">
        <f t="shared" si="1"/>
        <v>7.1369294605809097E-2</v>
      </c>
    </row>
    <row r="33" spans="1:31" x14ac:dyDescent="0.25">
      <c r="B33" s="164">
        <v>42710</v>
      </c>
      <c r="C33" s="10">
        <v>0</v>
      </c>
      <c r="D33" s="39"/>
      <c r="E33" s="39"/>
      <c r="F33" s="39">
        <v>234.96</v>
      </c>
      <c r="G33" s="39"/>
      <c r="H33" s="179"/>
      <c r="I33" s="39"/>
      <c r="W33" s="92">
        <v>42787</v>
      </c>
      <c r="X33" s="285">
        <v>47.74</v>
      </c>
      <c r="Y33" s="39">
        <v>48.52</v>
      </c>
      <c r="Z33" s="39">
        <v>47.74</v>
      </c>
      <c r="AA33" s="285">
        <v>48.2</v>
      </c>
      <c r="AB33" s="93">
        <v>1801900</v>
      </c>
      <c r="AC33" s="191">
        <v>48.2</v>
      </c>
      <c r="AD33" s="2">
        <f t="shared" si="0"/>
        <v>0.78000000000000114</v>
      </c>
      <c r="AE33" s="134">
        <f t="shared" si="1"/>
        <v>1.0694065841895695E-2</v>
      </c>
    </row>
    <row r="34" spans="1:31" x14ac:dyDescent="0.25">
      <c r="B34" s="164"/>
      <c r="C34" s="10"/>
      <c r="D34" s="39"/>
      <c r="E34" s="39"/>
      <c r="F34" s="39"/>
      <c r="G34" s="39"/>
      <c r="H34" s="179"/>
      <c r="I34" s="39"/>
      <c r="W34" s="92">
        <v>42783</v>
      </c>
      <c r="X34" s="285">
        <v>47.62</v>
      </c>
      <c r="Y34" s="39">
        <v>47.85</v>
      </c>
      <c r="Z34" s="39">
        <v>47.27</v>
      </c>
      <c r="AA34" s="285">
        <v>47.69</v>
      </c>
      <c r="AB34" s="93">
        <v>1653700</v>
      </c>
      <c r="AC34" s="191">
        <v>47.69</v>
      </c>
      <c r="AD34" s="2">
        <f t="shared" si="0"/>
        <v>0.57999999999999829</v>
      </c>
      <c r="AE34" s="134">
        <f t="shared" si="1"/>
        <v>1.259710266638514E-3</v>
      </c>
    </row>
    <row r="35" spans="1:31" x14ac:dyDescent="0.25">
      <c r="B35" s="164"/>
      <c r="C35" s="10"/>
      <c r="D35" s="39"/>
      <c r="E35" s="39"/>
      <c r="F35" s="39"/>
      <c r="G35" s="39"/>
      <c r="H35" s="179"/>
      <c r="I35" s="39"/>
      <c r="W35" s="92">
        <v>42782</v>
      </c>
      <c r="X35" s="285">
        <v>47.95</v>
      </c>
      <c r="Y35" s="39">
        <v>48.14</v>
      </c>
      <c r="Z35" s="39">
        <v>47.24</v>
      </c>
      <c r="AA35" s="285">
        <v>47.63</v>
      </c>
      <c r="AB35" s="93">
        <v>1236300</v>
      </c>
      <c r="AC35" s="191">
        <v>47.63</v>
      </c>
      <c r="AD35" s="2">
        <f t="shared" si="0"/>
        <v>0.89999999999999858</v>
      </c>
      <c r="AE35" s="134">
        <f t="shared" si="1"/>
        <v>-6.0517529215359245E-3</v>
      </c>
    </row>
    <row r="36" spans="1:31" x14ac:dyDescent="0.25">
      <c r="W36" s="92">
        <v>42781</v>
      </c>
      <c r="X36" s="285">
        <v>47.66</v>
      </c>
      <c r="Y36" s="39">
        <v>48.12</v>
      </c>
      <c r="Z36" s="39">
        <v>47.01</v>
      </c>
      <c r="AA36" s="285">
        <v>47.92</v>
      </c>
      <c r="AB36" s="93">
        <v>1463000</v>
      </c>
      <c r="AC36" s="191">
        <v>47.92</v>
      </c>
      <c r="AD36" s="2">
        <f t="shared" si="0"/>
        <v>1.1099999999999994</v>
      </c>
      <c r="AE36" s="134">
        <f t="shared" si="1"/>
        <v>3.1400460540087494E-3</v>
      </c>
    </row>
    <row r="37" spans="1:31" x14ac:dyDescent="0.25">
      <c r="L37" t="s">
        <v>203</v>
      </c>
      <c r="M37" s="2">
        <f>M55+K55-F55</f>
        <v>427.92000000000007</v>
      </c>
      <c r="W37" s="92">
        <v>42780</v>
      </c>
      <c r="X37" s="285">
        <v>47.82</v>
      </c>
      <c r="Y37" s="39">
        <v>47.97</v>
      </c>
      <c r="Z37" s="39">
        <v>47.58</v>
      </c>
      <c r="AA37" s="285">
        <v>47.77</v>
      </c>
      <c r="AB37" s="93">
        <v>1048700</v>
      </c>
      <c r="AC37" s="191">
        <v>47.77</v>
      </c>
      <c r="AD37" s="2">
        <f t="shared" si="0"/>
        <v>0.39000000000000057</v>
      </c>
      <c r="AE37" s="134">
        <f t="shared" si="1"/>
        <v>-2.088991017338504E-3</v>
      </c>
    </row>
    <row r="38" spans="1:31" x14ac:dyDescent="0.25">
      <c r="A38" s="199" t="s">
        <v>1</v>
      </c>
      <c r="B38" s="199" t="s">
        <v>2</v>
      </c>
      <c r="C38" s="199" t="s">
        <v>4</v>
      </c>
      <c r="D38" s="200" t="s">
        <v>5</v>
      </c>
      <c r="E38" s="200" t="s">
        <v>90</v>
      </c>
      <c r="F38" s="200" t="s">
        <v>60</v>
      </c>
      <c r="G38" s="199" t="s">
        <v>3</v>
      </c>
      <c r="H38" s="199" t="s">
        <v>6</v>
      </c>
      <c r="I38" s="200" t="s">
        <v>7</v>
      </c>
      <c r="J38" s="200" t="s">
        <v>89</v>
      </c>
      <c r="K38" s="200" t="s">
        <v>61</v>
      </c>
      <c r="L38" s="199" t="s">
        <v>77</v>
      </c>
      <c r="M38" s="199" t="s">
        <v>38</v>
      </c>
      <c r="W38" s="92">
        <v>42779</v>
      </c>
      <c r="X38" s="285">
        <v>48.02</v>
      </c>
      <c r="Y38" s="39">
        <v>48.1</v>
      </c>
      <c r="Z38" s="39">
        <v>47.56</v>
      </c>
      <c r="AA38" s="285">
        <v>47.87</v>
      </c>
      <c r="AB38" s="93">
        <v>1449900</v>
      </c>
      <c r="AC38" s="191">
        <v>47.87</v>
      </c>
      <c r="AD38" s="2">
        <f t="shared" si="0"/>
        <v>0.53999999999999915</v>
      </c>
      <c r="AE38" s="134">
        <f t="shared" si="1"/>
        <v>1.4644351464434546E-3</v>
      </c>
    </row>
    <row r="39" spans="1:31" ht="20.25" thickBot="1" x14ac:dyDescent="0.35">
      <c r="A39" s="201" t="s">
        <v>262</v>
      </c>
      <c r="B39" s="202">
        <v>42621</v>
      </c>
      <c r="C39" s="197">
        <v>50</v>
      </c>
      <c r="D39" s="198">
        <v>34.68</v>
      </c>
      <c r="E39" s="198">
        <v>0</v>
      </c>
      <c r="F39" s="198">
        <f>D39*C39+E39</f>
        <v>1734</v>
      </c>
      <c r="G39" s="202">
        <v>42663</v>
      </c>
      <c r="H39" s="203">
        <v>50</v>
      </c>
      <c r="I39" s="198">
        <v>38.54</v>
      </c>
      <c r="J39" s="198">
        <v>0.04</v>
      </c>
      <c r="K39" s="198">
        <f>H39*I39-J39</f>
        <v>1926.96</v>
      </c>
      <c r="L39" s="202"/>
      <c r="M39" s="198"/>
      <c r="O39" s="11"/>
      <c r="P39" s="884" t="s">
        <v>78</v>
      </c>
      <c r="Q39" s="884"/>
      <c r="R39" s="33"/>
      <c r="T39" s="89" t="s">
        <v>112</v>
      </c>
      <c r="W39" s="92">
        <v>42776</v>
      </c>
      <c r="X39" s="285">
        <v>48.43</v>
      </c>
      <c r="Y39" s="39">
        <v>48.91</v>
      </c>
      <c r="Z39" s="39">
        <v>47.54</v>
      </c>
      <c r="AA39" s="285">
        <v>47.8</v>
      </c>
      <c r="AB39" s="93">
        <v>1611000</v>
      </c>
      <c r="AC39" s="191">
        <v>47.8</v>
      </c>
      <c r="AD39" s="2">
        <f t="shared" si="0"/>
        <v>1.3699999999999974</v>
      </c>
      <c r="AE39" s="134">
        <f t="shared" si="1"/>
        <v>-5.4099042863089419E-3</v>
      </c>
    </row>
    <row r="40" spans="1:31" ht="15.75" thickTop="1" x14ac:dyDescent="0.25">
      <c r="A40" s="204" t="s">
        <v>71</v>
      </c>
      <c r="B40" s="202">
        <v>42670</v>
      </c>
      <c r="C40" s="197">
        <v>50</v>
      </c>
      <c r="D40" s="198">
        <v>36.58</v>
      </c>
      <c r="E40" s="198">
        <v>0</v>
      </c>
      <c r="F40" s="198">
        <f>C40*D40+E40</f>
        <v>1829</v>
      </c>
      <c r="G40" s="202">
        <v>42710</v>
      </c>
      <c r="H40" s="203">
        <v>50</v>
      </c>
      <c r="I40" s="198">
        <v>41.28</v>
      </c>
      <c r="J40" s="198">
        <v>0.04</v>
      </c>
      <c r="K40" s="198">
        <f>H40*I40-J40</f>
        <v>2063.96</v>
      </c>
      <c r="L40" s="197"/>
      <c r="M40" s="197"/>
      <c r="O40" s="2"/>
      <c r="P40" s="81">
        <v>1.1000000000000001</v>
      </c>
      <c r="Q40" s="81">
        <f>P40*$Q$4</f>
        <v>55.935000000000009</v>
      </c>
      <c r="R40" s="33"/>
      <c r="T40" s="95" t="s">
        <v>97</v>
      </c>
      <c r="U40" s="126">
        <v>49.76</v>
      </c>
      <c r="W40" s="92">
        <v>42775</v>
      </c>
      <c r="X40" s="285">
        <v>47.81</v>
      </c>
      <c r="Y40" s="39">
        <v>48.31</v>
      </c>
      <c r="Z40" s="39">
        <v>47.7</v>
      </c>
      <c r="AA40" s="285">
        <v>48.06</v>
      </c>
      <c r="AB40" s="93">
        <v>1249200</v>
      </c>
      <c r="AC40" s="191">
        <v>48.06</v>
      </c>
      <c r="AD40" s="2">
        <f t="shared" si="0"/>
        <v>0.60999999999999943</v>
      </c>
      <c r="AE40" s="134">
        <f t="shared" si="1"/>
        <v>4.1788549937318287E-3</v>
      </c>
    </row>
    <row r="41" spans="1:31" x14ac:dyDescent="0.25">
      <c r="A41" s="197"/>
      <c r="B41" s="202"/>
      <c r="C41" s="197"/>
      <c r="D41" s="198"/>
      <c r="E41" s="198"/>
      <c r="F41" s="198"/>
      <c r="G41" s="202"/>
      <c r="H41" s="203"/>
      <c r="I41" s="198"/>
      <c r="J41" s="198"/>
      <c r="K41" s="198"/>
      <c r="L41" s="197"/>
      <c r="M41" s="197"/>
      <c r="O41" s="2"/>
      <c r="P41" s="81">
        <v>1.0900000000000001</v>
      </c>
      <c r="Q41" s="81">
        <f t="shared" ref="Q41:Q60" si="5">P41*$Q$4</f>
        <v>55.426500000000004</v>
      </c>
      <c r="R41" s="33"/>
      <c r="T41" s="85" t="s">
        <v>98</v>
      </c>
      <c r="U41" s="127">
        <v>49.93</v>
      </c>
      <c r="W41" s="92">
        <v>42774</v>
      </c>
      <c r="X41" s="285">
        <v>47.88</v>
      </c>
      <c r="Y41" s="39">
        <v>48.14</v>
      </c>
      <c r="Z41" s="39">
        <v>47.51</v>
      </c>
      <c r="AA41" s="285">
        <v>47.86</v>
      </c>
      <c r="AB41" s="93">
        <v>1065800</v>
      </c>
      <c r="AC41" s="191">
        <v>47.86</v>
      </c>
      <c r="AD41" s="2">
        <f t="shared" si="0"/>
        <v>0.63000000000000256</v>
      </c>
      <c r="AE41" s="134">
        <f t="shared" si="1"/>
        <v>3.3542976939202607E-3</v>
      </c>
    </row>
    <row r="42" spans="1:31" x14ac:dyDescent="0.25">
      <c r="A42" s="197"/>
      <c r="B42" s="202"/>
      <c r="C42" s="197"/>
      <c r="D42" s="198"/>
      <c r="E42" s="198"/>
      <c r="F42" s="198"/>
      <c r="G42" s="202"/>
      <c r="H42" s="203"/>
      <c r="I42" s="198"/>
      <c r="J42" s="198"/>
      <c r="K42" s="198"/>
      <c r="L42" s="197"/>
      <c r="M42" s="197"/>
      <c r="O42" s="2"/>
      <c r="P42" s="81">
        <v>1.08</v>
      </c>
      <c r="Q42" s="81">
        <f t="shared" si="5"/>
        <v>54.918000000000006</v>
      </c>
      <c r="R42" s="33"/>
      <c r="T42" s="85" t="s">
        <v>99</v>
      </c>
      <c r="U42" s="127" t="s">
        <v>592</v>
      </c>
      <c r="W42" s="92">
        <v>42773</v>
      </c>
      <c r="X42" s="285">
        <v>47.58</v>
      </c>
      <c r="Y42" s="39">
        <v>48.09</v>
      </c>
      <c r="Z42" s="39">
        <v>47.47</v>
      </c>
      <c r="AA42" s="285">
        <v>47.7</v>
      </c>
      <c r="AB42" s="93">
        <v>1477200</v>
      </c>
      <c r="AC42" s="191">
        <v>47.7</v>
      </c>
      <c r="AD42" s="2">
        <f t="shared" si="0"/>
        <v>0.62000000000000455</v>
      </c>
      <c r="AE42" s="134">
        <f t="shared" si="1"/>
        <v>3.7878787878786735E-3</v>
      </c>
    </row>
    <row r="43" spans="1:31" x14ac:dyDescent="0.25">
      <c r="A43" s="197"/>
      <c r="B43" s="197"/>
      <c r="C43" s="197"/>
      <c r="D43" s="198"/>
      <c r="E43" s="198"/>
      <c r="F43" s="198"/>
      <c r="G43" s="197"/>
      <c r="H43" s="203"/>
      <c r="I43" s="198"/>
      <c r="J43" s="198"/>
      <c r="K43" s="198"/>
      <c r="L43" s="197"/>
      <c r="M43" s="197"/>
      <c r="O43" s="2"/>
      <c r="P43" s="81">
        <v>1.07</v>
      </c>
      <c r="Q43" s="81">
        <f t="shared" si="5"/>
        <v>54.409500000000001</v>
      </c>
      <c r="R43" s="81"/>
      <c r="T43" s="85" t="s">
        <v>100</v>
      </c>
      <c r="U43" s="127" t="s">
        <v>593</v>
      </c>
      <c r="W43" s="92">
        <v>42772</v>
      </c>
      <c r="X43" s="285">
        <v>47.76</v>
      </c>
      <c r="Y43" s="39">
        <v>48.02</v>
      </c>
      <c r="Z43" s="39">
        <v>47.28</v>
      </c>
      <c r="AA43" s="285">
        <v>47.52</v>
      </c>
      <c r="AB43" s="93">
        <v>1139100</v>
      </c>
      <c r="AC43" s="191">
        <v>47.52</v>
      </c>
      <c r="AD43" s="2">
        <f t="shared" si="0"/>
        <v>0.74000000000000199</v>
      </c>
      <c r="AE43" s="134">
        <f t="shared" si="1"/>
        <v>-4.6082949308755561E-3</v>
      </c>
    </row>
    <row r="44" spans="1:31" x14ac:dyDescent="0.25">
      <c r="A44" s="197"/>
      <c r="B44" s="197"/>
      <c r="C44" s="197"/>
      <c r="D44" s="198"/>
      <c r="E44" s="198"/>
      <c r="F44" s="198"/>
      <c r="G44" s="197"/>
      <c r="H44" s="197"/>
      <c r="I44" s="198"/>
      <c r="J44" s="198"/>
      <c r="K44" s="198"/>
      <c r="L44" s="197"/>
      <c r="M44" s="197"/>
      <c r="O44" s="2"/>
      <c r="P44" s="81">
        <v>1.06</v>
      </c>
      <c r="Q44" s="81">
        <f t="shared" si="5"/>
        <v>53.901000000000003</v>
      </c>
      <c r="R44" s="81"/>
      <c r="T44" s="85" t="s">
        <v>101</v>
      </c>
      <c r="U44" s="127">
        <v>54.65</v>
      </c>
      <c r="W44" s="92">
        <v>42769</v>
      </c>
      <c r="X44" s="285">
        <v>48.13</v>
      </c>
      <c r="Y44" s="39">
        <v>48.36</v>
      </c>
      <c r="Z44" s="39">
        <v>47.41</v>
      </c>
      <c r="AA44" s="285">
        <v>47.74</v>
      </c>
      <c r="AB44" s="93">
        <v>760800</v>
      </c>
      <c r="AC44" s="191">
        <v>47.74</v>
      </c>
      <c r="AD44" s="2">
        <f t="shared" si="0"/>
        <v>0.95000000000000284</v>
      </c>
      <c r="AE44" s="134">
        <f t="shared" si="1"/>
        <v>1.6785564414605325E-3</v>
      </c>
    </row>
    <row r="45" spans="1:31" x14ac:dyDescent="0.25">
      <c r="A45" s="197"/>
      <c r="B45" s="197"/>
      <c r="C45" s="197"/>
      <c r="D45" s="198"/>
      <c r="E45" s="198"/>
      <c r="F45" s="198"/>
      <c r="G45" s="197"/>
      <c r="H45" s="197"/>
      <c r="I45" s="198"/>
      <c r="J45" s="198"/>
      <c r="K45" s="198"/>
      <c r="L45" s="197"/>
      <c r="M45" s="197"/>
      <c r="O45" s="2"/>
      <c r="P45" s="81">
        <v>1.05</v>
      </c>
      <c r="Q45" s="81">
        <f t="shared" si="5"/>
        <v>53.392500000000005</v>
      </c>
      <c r="R45" s="81"/>
      <c r="T45" s="85" t="s">
        <v>102</v>
      </c>
      <c r="U45" s="127">
        <v>1.56863</v>
      </c>
      <c r="W45" s="92">
        <v>42768</v>
      </c>
      <c r="X45" s="285">
        <v>48.17</v>
      </c>
      <c r="Y45" s="39">
        <v>48.5</v>
      </c>
      <c r="Z45" s="39">
        <v>47.55</v>
      </c>
      <c r="AA45" s="285">
        <v>47.66</v>
      </c>
      <c r="AB45" s="93">
        <v>694700</v>
      </c>
      <c r="AC45" s="191">
        <v>47.66</v>
      </c>
      <c r="AD45" s="2">
        <f t="shared" si="0"/>
        <v>0.95000000000000284</v>
      </c>
      <c r="AE45" s="134">
        <f t="shared" si="1"/>
        <v>-8.7354409317803583E-3</v>
      </c>
    </row>
    <row r="46" spans="1:31" x14ac:dyDescent="0.25">
      <c r="A46" s="197"/>
      <c r="B46" s="197"/>
      <c r="C46" s="197"/>
      <c r="D46" s="198"/>
      <c r="E46" s="198"/>
      <c r="F46" s="198"/>
      <c r="G46" s="197"/>
      <c r="H46" s="197"/>
      <c r="I46" s="198"/>
      <c r="J46" s="198"/>
      <c r="K46" s="198"/>
      <c r="L46" s="197"/>
      <c r="M46" s="197"/>
      <c r="O46" s="2"/>
      <c r="P46" s="81">
        <v>1.04</v>
      </c>
      <c r="Q46" s="81">
        <f t="shared" si="5"/>
        <v>52.884</v>
      </c>
      <c r="R46" s="81"/>
      <c r="T46" s="85" t="s">
        <v>121</v>
      </c>
      <c r="U46" s="180" t="s">
        <v>412</v>
      </c>
      <c r="W46" s="92">
        <v>42767</v>
      </c>
      <c r="X46" s="285">
        <v>47.3</v>
      </c>
      <c r="Y46" s="39">
        <v>48.45</v>
      </c>
      <c r="Z46" s="39">
        <v>46.83</v>
      </c>
      <c r="AA46" s="285">
        <v>48.08</v>
      </c>
      <c r="AB46" s="93">
        <v>1288500</v>
      </c>
      <c r="AC46" s="191">
        <v>48.08</v>
      </c>
      <c r="AD46" s="2">
        <f t="shared" si="0"/>
        <v>1.6200000000000045</v>
      </c>
      <c r="AE46" s="134">
        <f t="shared" si="1"/>
        <v>2.297872340425533E-2</v>
      </c>
    </row>
    <row r="47" spans="1:31" x14ac:dyDescent="0.25">
      <c r="A47" s="197"/>
      <c r="B47" s="197"/>
      <c r="C47" s="197"/>
      <c r="D47" s="198"/>
      <c r="E47" s="198"/>
      <c r="F47" s="198"/>
      <c r="G47" s="197"/>
      <c r="H47" s="197"/>
      <c r="I47" s="198"/>
      <c r="J47" s="198"/>
      <c r="K47" s="198"/>
      <c r="L47" s="197"/>
      <c r="M47" s="197"/>
      <c r="O47" s="2"/>
      <c r="P47" s="81">
        <v>1.03</v>
      </c>
      <c r="Q47" s="81">
        <f t="shared" si="5"/>
        <v>52.375500000000002</v>
      </c>
      <c r="R47" s="81"/>
      <c r="T47" s="85"/>
      <c r="U47" s="127"/>
      <c r="W47" s="92">
        <v>42766</v>
      </c>
      <c r="X47" s="285">
        <v>47.88</v>
      </c>
      <c r="Y47" s="39">
        <v>48.11</v>
      </c>
      <c r="Z47" s="39">
        <v>46.83</v>
      </c>
      <c r="AA47" s="285">
        <v>47</v>
      </c>
      <c r="AB47" s="93">
        <v>1625200</v>
      </c>
      <c r="AC47" s="191">
        <v>47</v>
      </c>
      <c r="AD47" s="2">
        <f t="shared" si="0"/>
        <v>1.2800000000000011</v>
      </c>
      <c r="AE47" s="134">
        <f t="shared" si="1"/>
        <v>-2.1444930251925953E-2</v>
      </c>
    </row>
    <row r="48" spans="1:31" x14ac:dyDescent="0.25">
      <c r="A48" s="197"/>
      <c r="B48" s="197"/>
      <c r="C48" s="197"/>
      <c r="D48" s="198"/>
      <c r="E48" s="198"/>
      <c r="F48" s="198"/>
      <c r="G48" s="197"/>
      <c r="H48" s="197"/>
      <c r="I48" s="198"/>
      <c r="J48" s="198"/>
      <c r="K48" s="198"/>
      <c r="L48" s="197"/>
      <c r="M48" s="197"/>
      <c r="O48" s="2"/>
      <c r="P48" s="81">
        <v>1.02</v>
      </c>
      <c r="Q48" s="81">
        <f t="shared" si="5"/>
        <v>51.867000000000004</v>
      </c>
      <c r="R48" s="81"/>
      <c r="T48" s="85" t="s">
        <v>104</v>
      </c>
      <c r="U48" s="127" t="s">
        <v>594</v>
      </c>
      <c r="W48" s="92">
        <v>42765</v>
      </c>
      <c r="X48" s="285">
        <v>48.8</v>
      </c>
      <c r="Y48" s="39">
        <v>48.88</v>
      </c>
      <c r="Z48" s="39">
        <v>47.94</v>
      </c>
      <c r="AA48" s="285">
        <v>48.03</v>
      </c>
      <c r="AB48" s="93">
        <v>1323500</v>
      </c>
      <c r="AC48" s="191">
        <v>48.03</v>
      </c>
      <c r="AD48" s="2">
        <f t="shared" si="0"/>
        <v>0.94000000000000483</v>
      </c>
      <c r="AE48" s="134">
        <f t="shared" si="1"/>
        <v>-2.0195838433292534E-2</v>
      </c>
    </row>
    <row r="49" spans="1:31" x14ac:dyDescent="0.25">
      <c r="A49" s="197"/>
      <c r="B49" s="197"/>
      <c r="C49" s="197"/>
      <c r="D49" s="198"/>
      <c r="E49" s="198"/>
      <c r="F49" s="198"/>
      <c r="G49" s="197"/>
      <c r="H49" s="197"/>
      <c r="I49" s="198"/>
      <c r="J49" s="198"/>
      <c r="K49" s="198"/>
      <c r="L49" s="197"/>
      <c r="M49" s="197"/>
      <c r="O49" s="2"/>
      <c r="P49" s="81">
        <v>1.01</v>
      </c>
      <c r="Q49" s="81">
        <f t="shared" si="5"/>
        <v>51.358499999999999</v>
      </c>
      <c r="R49" s="81"/>
      <c r="T49" s="85" t="s">
        <v>105</v>
      </c>
      <c r="U49" s="127" t="s">
        <v>532</v>
      </c>
      <c r="W49" s="92">
        <v>42762</v>
      </c>
      <c r="X49" s="285">
        <v>49.35</v>
      </c>
      <c r="Y49" s="39">
        <v>49.56</v>
      </c>
      <c r="Z49" s="39">
        <v>48.61</v>
      </c>
      <c r="AA49" s="285">
        <v>49.02</v>
      </c>
      <c r="AB49" s="93">
        <v>945300</v>
      </c>
      <c r="AC49" s="191">
        <v>49.02</v>
      </c>
      <c r="AD49" s="2">
        <f t="shared" si="0"/>
        <v>0.95000000000000284</v>
      </c>
      <c r="AE49" s="134">
        <f t="shared" si="1"/>
        <v>-6.284208392458801E-3</v>
      </c>
    </row>
    <row r="50" spans="1:31" x14ac:dyDescent="0.25">
      <c r="A50" s="197"/>
      <c r="B50" s="197"/>
      <c r="C50" s="197"/>
      <c r="D50" s="198"/>
      <c r="E50" s="198"/>
      <c r="F50" s="198"/>
      <c r="G50" s="197"/>
      <c r="H50" s="197"/>
      <c r="I50" s="198"/>
      <c r="J50" s="198"/>
      <c r="K50" s="198"/>
      <c r="L50" s="197"/>
      <c r="M50" s="197"/>
      <c r="O50" s="2"/>
      <c r="P50" s="81">
        <v>1</v>
      </c>
      <c r="Q50" s="81">
        <f t="shared" si="5"/>
        <v>50.85</v>
      </c>
      <c r="R50" s="81"/>
      <c r="T50" s="85" t="s">
        <v>106</v>
      </c>
      <c r="U50" s="128">
        <v>1141622</v>
      </c>
      <c r="W50" s="92">
        <v>42761</v>
      </c>
      <c r="X50" s="285">
        <v>49.22</v>
      </c>
      <c r="Y50" s="39">
        <v>50.05</v>
      </c>
      <c r="Z50" s="39">
        <v>48.77</v>
      </c>
      <c r="AA50" s="285">
        <v>49.33</v>
      </c>
      <c r="AB50" s="93">
        <v>2613500</v>
      </c>
      <c r="AC50" s="191">
        <v>49.33</v>
      </c>
      <c r="AD50" s="2">
        <f t="shared" si="0"/>
        <v>1.279999999999994</v>
      </c>
      <c r="AE50" s="134">
        <f t="shared" si="1"/>
        <v>2.5784986483676331E-2</v>
      </c>
    </row>
    <row r="51" spans="1:31" x14ac:dyDescent="0.25">
      <c r="A51" s="197"/>
      <c r="B51" s="197"/>
      <c r="C51" s="197"/>
      <c r="D51" s="198"/>
      <c r="E51" s="198"/>
      <c r="F51" s="198"/>
      <c r="G51" s="197"/>
      <c r="H51" s="197"/>
      <c r="I51" s="198"/>
      <c r="J51" s="198"/>
      <c r="K51" s="198"/>
      <c r="L51" s="197"/>
      <c r="M51" s="197"/>
      <c r="O51" s="2"/>
      <c r="P51" s="81">
        <v>0.99</v>
      </c>
      <c r="Q51" s="81">
        <f t="shared" si="5"/>
        <v>50.341500000000003</v>
      </c>
      <c r="R51" s="81"/>
      <c r="T51" s="85" t="s">
        <v>109</v>
      </c>
      <c r="U51" s="128">
        <v>1194830</v>
      </c>
      <c r="W51" s="92">
        <v>42760</v>
      </c>
      <c r="X51" s="285">
        <v>47.22</v>
      </c>
      <c r="Y51" s="39">
        <v>48.24</v>
      </c>
      <c r="Z51" s="39">
        <v>46.96</v>
      </c>
      <c r="AA51" s="285">
        <v>48.09</v>
      </c>
      <c r="AB51" s="93">
        <v>1275800</v>
      </c>
      <c r="AC51" s="191">
        <v>48.09</v>
      </c>
      <c r="AD51" s="2">
        <f t="shared" si="0"/>
        <v>1.2800000000000011</v>
      </c>
      <c r="AE51" s="134">
        <f t="shared" si="1"/>
        <v>2.6686592655849717E-2</v>
      </c>
    </row>
    <row r="52" spans="1:31" x14ac:dyDescent="0.25">
      <c r="A52" s="197"/>
      <c r="B52" s="197"/>
      <c r="C52" s="197"/>
      <c r="D52" s="198"/>
      <c r="E52" s="198"/>
      <c r="F52" s="198"/>
      <c r="G52" s="197"/>
      <c r="H52" s="197"/>
      <c r="I52" s="198"/>
      <c r="J52" s="198"/>
      <c r="K52" s="198"/>
      <c r="L52" s="197"/>
      <c r="M52" s="197"/>
      <c r="O52" s="2"/>
      <c r="P52" s="81">
        <v>0.98</v>
      </c>
      <c r="Q52" s="81">
        <f t="shared" si="5"/>
        <v>49.832999999999998</v>
      </c>
      <c r="R52" s="81"/>
      <c r="T52" s="85" t="s">
        <v>107</v>
      </c>
      <c r="U52" s="127" t="s">
        <v>595</v>
      </c>
      <c r="W52" s="92">
        <v>42759</v>
      </c>
      <c r="X52" s="285">
        <v>45.92</v>
      </c>
      <c r="Y52" s="39">
        <v>46.95</v>
      </c>
      <c r="Z52" s="39">
        <v>45.83</v>
      </c>
      <c r="AA52" s="285">
        <v>46.84</v>
      </c>
      <c r="AB52" s="93">
        <v>1239400</v>
      </c>
      <c r="AC52" s="191">
        <v>46.84</v>
      </c>
      <c r="AD52" s="2">
        <f t="shared" si="0"/>
        <v>1.1200000000000045</v>
      </c>
      <c r="AE52" s="134">
        <f t="shared" si="1"/>
        <v>1.8260869565217552E-2</v>
      </c>
    </row>
    <row r="53" spans="1:31" x14ac:dyDescent="0.25">
      <c r="A53" s="197"/>
      <c r="B53" s="197"/>
      <c r="C53" s="197"/>
      <c r="D53" s="198"/>
      <c r="E53" s="198"/>
      <c r="F53" s="198"/>
      <c r="G53" s="197"/>
      <c r="H53" s="197"/>
      <c r="I53" s="198"/>
      <c r="J53" s="198"/>
      <c r="K53" s="198"/>
      <c r="L53" s="197"/>
      <c r="M53" s="197"/>
      <c r="O53" s="2"/>
      <c r="P53" s="81">
        <v>0.97</v>
      </c>
      <c r="Q53" s="81">
        <f t="shared" si="5"/>
        <v>49.3245</v>
      </c>
      <c r="R53" s="81"/>
      <c r="T53" s="85" t="s">
        <v>110</v>
      </c>
      <c r="U53" s="127">
        <v>17.91</v>
      </c>
      <c r="W53" s="92">
        <v>42758</v>
      </c>
      <c r="X53" s="285">
        <v>45.47</v>
      </c>
      <c r="Y53" s="39">
        <v>46.15</v>
      </c>
      <c r="Z53" s="39">
        <v>45.15</v>
      </c>
      <c r="AA53" s="285">
        <v>46</v>
      </c>
      <c r="AB53" s="93">
        <v>826800</v>
      </c>
      <c r="AC53" s="191">
        <v>46</v>
      </c>
      <c r="AD53" s="2">
        <f t="shared" si="0"/>
        <v>1</v>
      </c>
      <c r="AE53" s="134">
        <f t="shared" si="1"/>
        <v>8.1087004163926668E-3</v>
      </c>
    </row>
    <row r="54" spans="1:31" x14ac:dyDescent="0.25">
      <c r="A54" s="197"/>
      <c r="B54" s="197"/>
      <c r="C54" s="197"/>
      <c r="D54" s="198"/>
      <c r="E54" s="198"/>
      <c r="F54" s="198"/>
      <c r="G54" s="197"/>
      <c r="H54" s="197"/>
      <c r="I54" s="198"/>
      <c r="J54" s="198"/>
      <c r="K54" s="198"/>
      <c r="L54" s="197"/>
      <c r="M54" s="197"/>
      <c r="O54" s="2"/>
      <c r="P54" s="81">
        <v>0.96</v>
      </c>
      <c r="Q54" s="81">
        <f t="shared" si="5"/>
        <v>48.816000000000003</v>
      </c>
      <c r="R54" s="81"/>
      <c r="T54" s="85" t="s">
        <v>111</v>
      </c>
      <c r="U54" s="127">
        <v>2.78</v>
      </c>
      <c r="W54" s="92">
        <v>42755</v>
      </c>
      <c r="X54" s="285">
        <v>45.93</v>
      </c>
      <c r="Y54" s="39">
        <v>46.41</v>
      </c>
      <c r="Z54" s="39">
        <v>45.41</v>
      </c>
      <c r="AA54" s="285">
        <v>45.63</v>
      </c>
      <c r="AB54" s="93">
        <v>736000</v>
      </c>
      <c r="AC54" s="191">
        <v>45.63</v>
      </c>
      <c r="AD54" s="2">
        <f t="shared" si="0"/>
        <v>1</v>
      </c>
      <c r="AE54" s="134">
        <f t="shared" si="1"/>
        <v>2.192021043403436E-4</v>
      </c>
    </row>
    <row r="55" spans="1:31" x14ac:dyDescent="0.25">
      <c r="A55" s="31" t="s">
        <v>81</v>
      </c>
      <c r="B55" s="14"/>
      <c r="C55" s="14">
        <f>SUM(C39:C43)</f>
        <v>100</v>
      </c>
      <c r="D55" s="14"/>
      <c r="E55" s="14"/>
      <c r="F55" s="18">
        <f>SUM(F39:F43)</f>
        <v>3563</v>
      </c>
      <c r="G55" s="18"/>
      <c r="H55" s="71">
        <f>SUM(H39:H43)</f>
        <v>100</v>
      </c>
      <c r="I55" s="18"/>
      <c r="J55" s="18"/>
      <c r="K55" s="18">
        <f>SUM(K39:K43)</f>
        <v>3990.92</v>
      </c>
      <c r="L55" s="18"/>
      <c r="M55" s="18">
        <f>SUM(M39:M43)</f>
        <v>0</v>
      </c>
      <c r="O55" s="2"/>
      <c r="P55" s="81">
        <v>0.95</v>
      </c>
      <c r="Q55" s="81">
        <f t="shared" si="5"/>
        <v>48.307499999999997</v>
      </c>
      <c r="R55" s="81"/>
      <c r="T55" s="85" t="s">
        <v>108</v>
      </c>
      <c r="U55" s="127" t="s">
        <v>122</v>
      </c>
      <c r="W55" s="92">
        <v>42754</v>
      </c>
      <c r="X55" s="285">
        <v>45.76</v>
      </c>
      <c r="Y55" s="39">
        <v>46.36</v>
      </c>
      <c r="Z55" s="39">
        <v>45.39</v>
      </c>
      <c r="AA55" s="285">
        <v>45.62</v>
      </c>
      <c r="AB55" s="93">
        <v>1031300</v>
      </c>
      <c r="AC55" s="191">
        <v>45.62</v>
      </c>
      <c r="AD55" s="2">
        <f t="shared" si="0"/>
        <v>0.96999999999999886</v>
      </c>
      <c r="AE55" s="134">
        <f t="shared" si="1"/>
        <v>-1.0948105977667266E-3</v>
      </c>
    </row>
    <row r="56" spans="1:31" x14ac:dyDescent="0.25">
      <c r="O56" s="2"/>
      <c r="P56" s="81">
        <v>0.94</v>
      </c>
      <c r="Q56" s="81">
        <f t="shared" si="5"/>
        <v>47.798999999999999</v>
      </c>
      <c r="R56" s="81"/>
      <c r="W56" s="92">
        <v>42753</v>
      </c>
      <c r="X56" s="285">
        <v>44.97</v>
      </c>
      <c r="Y56" s="39">
        <v>45.77</v>
      </c>
      <c r="Z56" s="39">
        <v>44.56</v>
      </c>
      <c r="AA56" s="285">
        <v>45.67</v>
      </c>
      <c r="AB56" s="93">
        <v>943000</v>
      </c>
      <c r="AC56" s="191">
        <v>45.67</v>
      </c>
      <c r="AD56" s="2">
        <f t="shared" si="0"/>
        <v>1.2100000000000009</v>
      </c>
      <c r="AE56" s="134">
        <f t="shared" si="1"/>
        <v>2.078676799284751E-2</v>
      </c>
    </row>
    <row r="57" spans="1:31" x14ac:dyDescent="0.25">
      <c r="O57" s="2"/>
      <c r="P57" s="81">
        <v>0.93</v>
      </c>
      <c r="Q57" s="81">
        <f t="shared" si="5"/>
        <v>47.290500000000002</v>
      </c>
      <c r="R57" s="81"/>
      <c r="W57" s="92">
        <v>42752</v>
      </c>
      <c r="X57" s="285">
        <v>45.08</v>
      </c>
      <c r="Y57" s="39">
        <v>45.22</v>
      </c>
      <c r="Z57" s="39">
        <v>44.2</v>
      </c>
      <c r="AA57" s="285">
        <v>44.74</v>
      </c>
      <c r="AB57" s="93">
        <v>905400</v>
      </c>
      <c r="AC57" s="191">
        <v>44.74</v>
      </c>
      <c r="AD57" s="2">
        <f t="shared" si="0"/>
        <v>1.019999999999996</v>
      </c>
      <c r="AE57" s="134">
        <f t="shared" si="1"/>
        <v>-4.6718576195773354E-3</v>
      </c>
    </row>
    <row r="58" spans="1:31" x14ac:dyDescent="0.25">
      <c r="O58" s="2"/>
      <c r="P58" s="81">
        <v>0.92</v>
      </c>
      <c r="Q58" s="81">
        <f t="shared" si="5"/>
        <v>46.782000000000004</v>
      </c>
      <c r="R58" s="81"/>
      <c r="W58" s="92">
        <v>42748</v>
      </c>
      <c r="X58" s="285">
        <v>45.49</v>
      </c>
      <c r="Y58" s="39">
        <v>45.49</v>
      </c>
      <c r="Z58" s="39">
        <v>44.84</v>
      </c>
      <c r="AA58" s="285">
        <v>44.95</v>
      </c>
      <c r="AB58" s="93">
        <v>547700</v>
      </c>
      <c r="AC58" s="191">
        <v>44.95</v>
      </c>
      <c r="AD58" s="2">
        <f t="shared" si="0"/>
        <v>0.64999999999999858</v>
      </c>
      <c r="AE58" s="134">
        <f t="shared" si="1"/>
        <v>-8.8202866593164453E-3</v>
      </c>
    </row>
    <row r="59" spans="1:31" x14ac:dyDescent="0.25">
      <c r="O59" s="2"/>
      <c r="P59" s="81">
        <v>0.91</v>
      </c>
      <c r="Q59" s="81">
        <f t="shared" si="5"/>
        <v>46.273500000000006</v>
      </c>
      <c r="R59" s="81"/>
      <c r="W59" s="92">
        <v>42747</v>
      </c>
      <c r="X59" s="285">
        <v>45.47</v>
      </c>
      <c r="Y59" s="39">
        <v>45.83</v>
      </c>
      <c r="Z59" s="39">
        <v>44.67</v>
      </c>
      <c r="AA59" s="285">
        <v>45.35</v>
      </c>
      <c r="AB59" s="93">
        <v>731500</v>
      </c>
      <c r="AC59" s="191">
        <v>45.35</v>
      </c>
      <c r="AD59" s="2">
        <f t="shared" si="0"/>
        <v>1.1599999999999966</v>
      </c>
      <c r="AE59" s="134">
        <f t="shared" si="1"/>
        <v>-8.7431693989070691E-3</v>
      </c>
    </row>
    <row r="60" spans="1:31" x14ac:dyDescent="0.25">
      <c r="O60" s="2"/>
      <c r="P60" s="81">
        <v>0.9</v>
      </c>
      <c r="Q60" s="81">
        <f t="shared" si="5"/>
        <v>45.765000000000001</v>
      </c>
      <c r="R60" s="81"/>
      <c r="W60" s="92">
        <v>42746</v>
      </c>
      <c r="X60" s="285">
        <v>45.01</v>
      </c>
      <c r="Y60" s="39">
        <v>45.82</v>
      </c>
      <c r="Z60" s="39">
        <v>44.72</v>
      </c>
      <c r="AA60" s="285">
        <v>45.75</v>
      </c>
      <c r="AB60" s="93">
        <v>870500</v>
      </c>
      <c r="AC60" s="191">
        <v>45.75</v>
      </c>
      <c r="AD60" s="2">
        <f t="shared" si="0"/>
        <v>1.1000000000000014</v>
      </c>
      <c r="AE60" s="134">
        <f t="shared" si="1"/>
        <v>1.1720477664750151E-2</v>
      </c>
    </row>
    <row r="61" spans="1:31" x14ac:dyDescent="0.25">
      <c r="W61" s="92">
        <v>42745</v>
      </c>
      <c r="X61" s="285">
        <v>44.33</v>
      </c>
      <c r="Y61" s="39">
        <v>45.36</v>
      </c>
      <c r="Z61" s="39">
        <v>44.33</v>
      </c>
      <c r="AA61" s="285">
        <v>45.22</v>
      </c>
      <c r="AB61" s="93">
        <v>1065500</v>
      </c>
      <c r="AC61" s="191">
        <v>45.22</v>
      </c>
      <c r="AD61" s="2">
        <f t="shared" si="0"/>
        <v>1.0300000000000011</v>
      </c>
      <c r="AE61" s="134">
        <f t="shared" si="1"/>
        <v>1.8697904933543619E-2</v>
      </c>
    </row>
    <row r="62" spans="1:31" x14ac:dyDescent="0.25">
      <c r="W62" s="92">
        <v>42744</v>
      </c>
      <c r="X62" s="285">
        <v>44.14</v>
      </c>
      <c r="Y62" s="39">
        <v>44.7</v>
      </c>
      <c r="Z62" s="39">
        <v>43.9</v>
      </c>
      <c r="AA62" s="285">
        <v>44.39</v>
      </c>
      <c r="AB62" s="93">
        <v>855800</v>
      </c>
      <c r="AC62" s="191">
        <v>44.39</v>
      </c>
      <c r="AD62" s="2">
        <f t="shared" si="0"/>
        <v>0.80000000000000426</v>
      </c>
      <c r="AE62" s="134">
        <f t="shared" si="1"/>
        <v>3.1638418079096287E-3</v>
      </c>
    </row>
    <row r="63" spans="1:31" x14ac:dyDescent="0.25">
      <c r="W63" s="92">
        <v>42741</v>
      </c>
      <c r="X63" s="285">
        <v>44.75</v>
      </c>
      <c r="Y63" s="39">
        <v>44.92</v>
      </c>
      <c r="Z63" s="39">
        <v>44.06</v>
      </c>
      <c r="AA63" s="285">
        <v>44.25</v>
      </c>
      <c r="AB63" s="93">
        <v>932900</v>
      </c>
      <c r="AC63" s="191">
        <v>44.25</v>
      </c>
      <c r="AD63" s="2">
        <f t="shared" si="0"/>
        <v>0.85999999999999943</v>
      </c>
      <c r="AE63" s="134">
        <f t="shared" si="1"/>
        <v>-6.7340067340067034E-3</v>
      </c>
    </row>
    <row r="64" spans="1:31" x14ac:dyDescent="0.25">
      <c r="W64" s="92">
        <v>42740</v>
      </c>
      <c r="X64" s="285">
        <v>44.51</v>
      </c>
      <c r="Y64" s="39">
        <v>44.79</v>
      </c>
      <c r="Z64" s="39">
        <v>44.02</v>
      </c>
      <c r="AA64" s="285">
        <v>44.55</v>
      </c>
      <c r="AB64" s="93">
        <v>933700</v>
      </c>
      <c r="AC64" s="191">
        <v>44.55</v>
      </c>
      <c r="AD64" s="2">
        <f t="shared" si="0"/>
        <v>0.76999999999999602</v>
      </c>
      <c r="AE64" s="134">
        <f t="shared" si="1"/>
        <v>-4.9140049140050657E-3</v>
      </c>
    </row>
    <row r="65" spans="23:31" x14ac:dyDescent="0.25">
      <c r="W65" s="92">
        <v>42739</v>
      </c>
      <c r="X65" s="285">
        <v>43.1</v>
      </c>
      <c r="Y65" s="39">
        <v>44.89</v>
      </c>
      <c r="Z65" s="39">
        <v>42.78</v>
      </c>
      <c r="AA65" s="285">
        <v>44.77</v>
      </c>
      <c r="AB65" s="93">
        <v>1852500</v>
      </c>
      <c r="AC65" s="191">
        <v>44.77</v>
      </c>
      <c r="AD65" s="2">
        <f t="shared" si="0"/>
        <v>2.1099999999999994</v>
      </c>
      <c r="AE65" s="134">
        <f t="shared" si="1"/>
        <v>4.6272493573264795E-2</v>
      </c>
    </row>
    <row r="66" spans="23:31" x14ac:dyDescent="0.25">
      <c r="W66" s="92">
        <v>42738</v>
      </c>
      <c r="X66" s="285">
        <v>43.13</v>
      </c>
      <c r="Y66" s="39">
        <v>43.87</v>
      </c>
      <c r="Z66" s="39">
        <v>42.64</v>
      </c>
      <c r="AA66" s="285">
        <v>42.79</v>
      </c>
      <c r="AB66" s="93">
        <v>1618500</v>
      </c>
      <c r="AC66" s="191">
        <v>42.79</v>
      </c>
      <c r="AD66" s="2">
        <f t="shared" si="0"/>
        <v>1.2299999999999969</v>
      </c>
      <c r="AE66" s="134">
        <f t="shared" si="1"/>
        <v>6.1133317658124131E-3</v>
      </c>
    </row>
    <row r="67" spans="23:31" x14ac:dyDescent="0.25">
      <c r="W67" s="92">
        <v>42734</v>
      </c>
      <c r="X67" s="285">
        <v>42.62</v>
      </c>
      <c r="Y67" s="39">
        <v>42.97</v>
      </c>
      <c r="Z67" s="39">
        <v>42.1</v>
      </c>
      <c r="AA67" s="285">
        <v>42.53</v>
      </c>
      <c r="AB67" s="93">
        <v>856900</v>
      </c>
      <c r="AC67" s="191">
        <v>42.53</v>
      </c>
      <c r="AD67" s="2">
        <f t="shared" si="0"/>
        <v>0.86999999999999744</v>
      </c>
      <c r="AE67" s="134" t="e">
        <f t="shared" si="1"/>
        <v>#DIV/0!</v>
      </c>
    </row>
    <row r="68" spans="23:31" x14ac:dyDescent="0.25">
      <c r="W68" s="92" t="s">
        <v>120</v>
      </c>
      <c r="X68" s="10"/>
      <c r="Y68" s="39"/>
      <c r="Z68" s="39"/>
      <c r="AA68" s="10"/>
      <c r="AB68" s="93"/>
      <c r="AC68" s="191"/>
      <c r="AD68" s="2">
        <f>Y68-Z68</f>
        <v>0</v>
      </c>
      <c r="AE68" s="134" t="e">
        <f>AC68/AC69-1</f>
        <v>#DIV/0!</v>
      </c>
    </row>
    <row r="69" spans="23:31" x14ac:dyDescent="0.25">
      <c r="W69" s="175"/>
      <c r="X69" s="94"/>
      <c r="Y69" s="191"/>
      <c r="Z69" s="191"/>
      <c r="AA69" s="94"/>
      <c r="AB69" s="176"/>
      <c r="AC69" s="191"/>
      <c r="AD69" s="2">
        <f>Y69-Z69</f>
        <v>0</v>
      </c>
      <c r="AE69" s="134"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830" priority="17">
      <formula>F28&gt;0</formula>
    </cfRule>
    <cfRule type="expression" dxfId="829" priority="18">
      <formula>F28&lt;0</formula>
    </cfRule>
  </conditionalFormatting>
  <conditionalFormatting sqref="F28 F33:F35">
    <cfRule type="expression" dxfId="828" priority="19">
      <formula>F28&gt;0</formula>
    </cfRule>
    <cfRule type="expression" dxfId="827" priority="20">
      <formula>F28&lt;0</formula>
    </cfRule>
  </conditionalFormatting>
  <conditionalFormatting sqref="H28 H33:H35">
    <cfRule type="expression" dxfId="826" priority="15">
      <formula>H28&gt;0</formula>
    </cfRule>
    <cfRule type="expression" dxfId="825" priority="16">
      <formula>H28&lt;0</formula>
    </cfRule>
  </conditionalFormatting>
  <conditionalFormatting sqref="F21:F27">
    <cfRule type="expression" dxfId="824" priority="13">
      <formula>F21&gt;0</formula>
    </cfRule>
    <cfRule type="expression" dxfId="823" priority="14">
      <formula>F21&lt;0</formula>
    </cfRule>
  </conditionalFormatting>
  <conditionalFormatting sqref="H21:H27">
    <cfRule type="expression" dxfId="822" priority="11">
      <formula>H21&gt;0</formula>
    </cfRule>
    <cfRule type="expression" dxfId="821" priority="12">
      <formula>H21&lt;0</formula>
    </cfRule>
  </conditionalFormatting>
  <conditionalFormatting sqref="Q8">
    <cfRule type="expression" dxfId="820" priority="7">
      <formula>Q8&gt;0</formula>
    </cfRule>
    <cfRule type="expression" dxfId="819" priority="8">
      <formula>Q8&lt;0</formula>
    </cfRule>
  </conditionalFormatting>
  <conditionalFormatting sqref="Q7">
    <cfRule type="expression" dxfId="818" priority="9">
      <formula>Q7&gt;0</formula>
    </cfRule>
    <cfRule type="expression" dxfId="817" priority="10">
      <formula>Q7&lt;0</formula>
    </cfRule>
  </conditionalFormatting>
  <conditionalFormatting sqref="F29:F32">
    <cfRule type="expression" dxfId="816" priority="5">
      <formula>F29&gt;0</formula>
    </cfRule>
    <cfRule type="expression" dxfId="815" priority="6">
      <formula>F29&lt;0</formula>
    </cfRule>
  </conditionalFormatting>
  <conditionalFormatting sqref="H29:H32">
    <cfRule type="expression" dxfId="814" priority="3">
      <formula>H29&gt;0</formula>
    </cfRule>
    <cfRule type="expression" dxfId="813" priority="4">
      <formula>H29&lt;0</formula>
    </cfRule>
  </conditionalFormatting>
  <conditionalFormatting sqref="M37">
    <cfRule type="expression" dxfId="812" priority="1">
      <formula>M37&gt;0</formula>
    </cfRule>
    <cfRule type="expression" dxfId="811"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4"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row>
    <row r="2" spans="1:30" ht="14.25" customHeight="1" x14ac:dyDescent="0.25">
      <c r="A2" s="6" t="s">
        <v>174</v>
      </c>
      <c r="B2" s="406">
        <v>43133</v>
      </c>
      <c r="C2" s="7">
        <v>25</v>
      </c>
      <c r="D2" s="43">
        <v>278.18</v>
      </c>
      <c r="E2" s="43">
        <v>0</v>
      </c>
      <c r="F2" s="43">
        <f>C2*D2+E2</f>
        <v>6954.5</v>
      </c>
      <c r="G2" s="406">
        <v>43140</v>
      </c>
      <c r="H2" s="7">
        <v>25</v>
      </c>
      <c r="I2" s="43">
        <v>262.7</v>
      </c>
      <c r="J2" s="43">
        <v>0.15</v>
      </c>
      <c r="K2" s="43">
        <f t="shared" ref="K2:K11" si="0">H2*I2-J2</f>
        <v>6567.35</v>
      </c>
      <c r="L2" s="1">
        <v>43220</v>
      </c>
      <c r="M2" s="43">
        <v>54.84</v>
      </c>
      <c r="O2" s="11" t="s">
        <v>57</v>
      </c>
      <c r="Q2">
        <f>C18-H18</f>
        <v>0</v>
      </c>
      <c r="T2" s="83"/>
    </row>
    <row r="3" spans="1:30" x14ac:dyDescent="0.25">
      <c r="A3" s="22" t="s">
        <v>71</v>
      </c>
      <c r="B3" s="406">
        <v>43136</v>
      </c>
      <c r="C3" s="7">
        <v>15</v>
      </c>
      <c r="D3" s="43">
        <v>261.14999999999998</v>
      </c>
      <c r="E3" s="43">
        <v>0</v>
      </c>
      <c r="F3" s="43">
        <f>C3*D3+E3</f>
        <v>3917.2499999999995</v>
      </c>
      <c r="G3" s="406">
        <v>43194</v>
      </c>
      <c r="H3" s="80">
        <v>15</v>
      </c>
      <c r="I3" s="43">
        <v>264.18</v>
      </c>
      <c r="J3" s="43">
        <v>0.09</v>
      </c>
      <c r="K3" s="43">
        <f t="shared" si="0"/>
        <v>3962.61</v>
      </c>
      <c r="L3" s="1">
        <v>43312</v>
      </c>
      <c r="M3" s="43">
        <v>62.28</v>
      </c>
      <c r="O3" s="11" t="s">
        <v>58</v>
      </c>
      <c r="Q3" s="78">
        <f>IF(Q2=0, Q4, (F18-K18-M18)/Q2)</f>
        <v>269.92989999999998</v>
      </c>
      <c r="T3" s="118"/>
      <c r="AD3" s="182"/>
    </row>
    <row r="4" spans="1:30" x14ac:dyDescent="0.25">
      <c r="B4" s="406">
        <v>43136</v>
      </c>
      <c r="C4" s="7">
        <v>10</v>
      </c>
      <c r="D4" s="43">
        <v>261.14999999999998</v>
      </c>
      <c r="E4" s="43">
        <v>0</v>
      </c>
      <c r="F4" s="43">
        <f>C4*D4+E4</f>
        <v>2611.5</v>
      </c>
      <c r="G4" s="406">
        <v>43199</v>
      </c>
      <c r="H4" s="80">
        <v>15</v>
      </c>
      <c r="I4" s="43">
        <v>264.27999999999997</v>
      </c>
      <c r="J4" s="43">
        <v>0.09</v>
      </c>
      <c r="K4" s="43">
        <f t="shared" si="0"/>
        <v>3964.1099999999997</v>
      </c>
      <c r="L4" s="1">
        <v>43496</v>
      </c>
      <c r="M4" s="43">
        <v>28.71</v>
      </c>
      <c r="O4" s="11" t="s">
        <v>66</v>
      </c>
      <c r="Q4" s="54">
        <v>269.92989999999998</v>
      </c>
      <c r="R4" s="405">
        <v>8.8000000000000005E-3</v>
      </c>
      <c r="T4" s="118"/>
      <c r="AA4" s="182"/>
      <c r="AD4" s="182"/>
    </row>
    <row r="5" spans="1:30" x14ac:dyDescent="0.25">
      <c r="B5" s="406">
        <v>43140</v>
      </c>
      <c r="C5" s="7">
        <v>5</v>
      </c>
      <c r="D5" s="43">
        <v>253.6</v>
      </c>
      <c r="E5" s="43">
        <v>0</v>
      </c>
      <c r="F5" s="43">
        <f t="shared" ref="F5:F12" si="1">C5*D5+E5</f>
        <v>1268</v>
      </c>
      <c r="G5" s="406">
        <v>43200</v>
      </c>
      <c r="H5" s="80">
        <v>10</v>
      </c>
      <c r="I5" s="43">
        <v>265.68</v>
      </c>
      <c r="J5" s="43">
        <v>0.06</v>
      </c>
      <c r="K5" s="43">
        <f t="shared" si="0"/>
        <v>2656.7400000000002</v>
      </c>
      <c r="O5" s="11" t="s">
        <v>67</v>
      </c>
      <c r="Q5" s="3">
        <f>Q4*Q2</f>
        <v>0</v>
      </c>
      <c r="AA5" s="182"/>
      <c r="AD5" s="182"/>
    </row>
    <row r="6" spans="1:30" x14ac:dyDescent="0.25">
      <c r="B6" s="406">
        <v>43140</v>
      </c>
      <c r="C6" s="7">
        <v>20</v>
      </c>
      <c r="D6" s="43">
        <v>253.6</v>
      </c>
      <c r="E6" s="43">
        <v>0</v>
      </c>
      <c r="F6" s="43">
        <f t="shared" si="1"/>
        <v>5072</v>
      </c>
      <c r="G6" s="406">
        <v>43206</v>
      </c>
      <c r="H6" s="80">
        <v>10</v>
      </c>
      <c r="I6" s="43">
        <v>267.67</v>
      </c>
      <c r="J6" s="43">
        <v>0.06</v>
      </c>
      <c r="K6" s="43">
        <f t="shared" si="0"/>
        <v>2676.6400000000003</v>
      </c>
      <c r="O6" s="11" t="s">
        <v>64</v>
      </c>
      <c r="Q6" s="2">
        <f>Q3*Q2</f>
        <v>0</v>
      </c>
    </row>
    <row r="7" spans="1:30" x14ac:dyDescent="0.25">
      <c r="B7" s="406">
        <v>43181</v>
      </c>
      <c r="C7" s="7">
        <v>10</v>
      </c>
      <c r="D7" s="43">
        <v>262.58</v>
      </c>
      <c r="E7" s="43">
        <v>0</v>
      </c>
      <c r="F7" s="43">
        <f t="shared" si="1"/>
        <v>2625.7999999999997</v>
      </c>
      <c r="G7" s="406">
        <v>43227</v>
      </c>
      <c r="H7" s="80">
        <v>10</v>
      </c>
      <c r="I7" s="43">
        <v>268</v>
      </c>
      <c r="J7" s="43">
        <v>0.06</v>
      </c>
      <c r="K7" s="43">
        <f t="shared" si="0"/>
        <v>2679.94</v>
      </c>
      <c r="O7" s="11" t="s">
        <v>177</v>
      </c>
      <c r="P7"/>
      <c r="Q7" s="703">
        <f>Q10+Q8</f>
        <v>1261.0600000000031</v>
      </c>
      <c r="R7">
        <v>0</v>
      </c>
      <c r="T7" s="83"/>
      <c r="AA7" s="182"/>
      <c r="AD7" s="182"/>
    </row>
    <row r="8" spans="1:30" x14ac:dyDescent="0.25">
      <c r="B8" s="406">
        <v>43192</v>
      </c>
      <c r="C8" s="7">
        <v>15</v>
      </c>
      <c r="D8" s="43">
        <v>255.38</v>
      </c>
      <c r="E8" s="43">
        <v>0</v>
      </c>
      <c r="F8" s="43">
        <f t="shared" si="1"/>
        <v>3830.7</v>
      </c>
      <c r="G8" s="406">
        <v>43271</v>
      </c>
      <c r="H8" s="80">
        <v>15</v>
      </c>
      <c r="I8" s="43">
        <v>276.08</v>
      </c>
      <c r="J8" s="43">
        <v>0.05</v>
      </c>
      <c r="K8" s="43">
        <f t="shared" si="0"/>
        <v>4141.1499999999996</v>
      </c>
      <c r="O8" s="11" t="s">
        <v>179</v>
      </c>
      <c r="Q8" s="20">
        <f>K18+M18-F18+Q2*Q4</f>
        <v>1100.2300000000032</v>
      </c>
    </row>
    <row r="9" spans="1:30" x14ac:dyDescent="0.25">
      <c r="B9" s="406">
        <v>43196</v>
      </c>
      <c r="C9" s="7">
        <v>15</v>
      </c>
      <c r="D9" s="43">
        <v>259.58</v>
      </c>
      <c r="E9" s="43">
        <v>0</v>
      </c>
      <c r="F9" s="43">
        <f t="shared" si="1"/>
        <v>3893.7</v>
      </c>
      <c r="G9" s="406">
        <v>43286</v>
      </c>
      <c r="H9" s="80">
        <v>15</v>
      </c>
      <c r="I9" s="43">
        <v>273.18</v>
      </c>
      <c r="J9" s="43">
        <v>0.05</v>
      </c>
      <c r="K9" s="43">
        <f t="shared" si="0"/>
        <v>4097.6499999999996</v>
      </c>
      <c r="O9" s="11" t="s">
        <v>204</v>
      </c>
      <c r="P9"/>
      <c r="Q9" s="134">
        <f>IF(Q2=0, 0, Q8/Q6)</f>
        <v>0</v>
      </c>
      <c r="AA9" s="182"/>
      <c r="AD9" s="182"/>
    </row>
    <row r="10" spans="1:30" ht="12.75" customHeight="1" x14ac:dyDescent="0.25">
      <c r="B10" s="406">
        <v>43214</v>
      </c>
      <c r="C10" s="7">
        <v>10</v>
      </c>
      <c r="D10" s="43">
        <v>261.27999999999997</v>
      </c>
      <c r="E10" s="43">
        <v>0</v>
      </c>
      <c r="F10" s="43">
        <f t="shared" si="1"/>
        <v>2612.7999999999997</v>
      </c>
      <c r="G10" s="406">
        <v>43286</v>
      </c>
      <c r="H10" s="80">
        <v>20</v>
      </c>
      <c r="I10" s="43">
        <v>272.74</v>
      </c>
      <c r="J10" s="43">
        <v>7.0000000000000007E-2</v>
      </c>
      <c r="K10" s="43">
        <f t="shared" si="0"/>
        <v>5454.7300000000005</v>
      </c>
      <c r="O10" s="11" t="s">
        <v>203</v>
      </c>
      <c r="Q10" s="20">
        <f>M49</f>
        <v>160.82999999999993</v>
      </c>
    </row>
    <row r="11" spans="1:30" x14ac:dyDescent="0.25">
      <c r="B11" s="406">
        <v>43223</v>
      </c>
      <c r="C11" s="7">
        <v>10</v>
      </c>
      <c r="D11" s="43">
        <v>259.58</v>
      </c>
      <c r="E11" s="43">
        <v>0</v>
      </c>
      <c r="F11" s="43">
        <f t="shared" si="1"/>
        <v>2595.7999999999997</v>
      </c>
      <c r="G11" s="406">
        <v>43496</v>
      </c>
      <c r="H11" s="80">
        <v>20</v>
      </c>
      <c r="I11" s="43">
        <v>270.27999999999997</v>
      </c>
      <c r="J11" s="43">
        <v>7.0000000000000007E-2</v>
      </c>
      <c r="K11" s="43">
        <f t="shared" si="0"/>
        <v>5405.53</v>
      </c>
      <c r="O11" s="11" t="s">
        <v>175</v>
      </c>
      <c r="Q11" s="134">
        <v>1.84E-2</v>
      </c>
      <c r="AA11" s="182"/>
      <c r="AD11" s="182"/>
    </row>
    <row r="12" spans="1:30" x14ac:dyDescent="0.25">
      <c r="B12" s="406">
        <v>43441</v>
      </c>
      <c r="C12" s="7">
        <v>20</v>
      </c>
      <c r="D12" s="43">
        <v>263.5</v>
      </c>
      <c r="E12" s="43">
        <v>0</v>
      </c>
      <c r="F12" s="43">
        <f t="shared" si="1"/>
        <v>5270</v>
      </c>
      <c r="G12" s="29"/>
    </row>
    <row r="13" spans="1:30" x14ac:dyDescent="0.25">
      <c r="B13" s="29"/>
      <c r="G13" s="29"/>
      <c r="O13" s="11" t="s">
        <v>947</v>
      </c>
      <c r="Q13" s="2">
        <f>Q4/13</f>
        <v>20.763838461538459</v>
      </c>
      <c r="R13" s="22" t="s">
        <v>952</v>
      </c>
      <c r="AA13" s="182"/>
      <c r="AD13" s="182"/>
    </row>
    <row r="14" spans="1:30" x14ac:dyDescent="0.25">
      <c r="B14" s="29"/>
      <c r="G14" s="29"/>
      <c r="R14" s="33"/>
      <c r="T14" s="82"/>
      <c r="U14" s="11"/>
    </row>
    <row r="15" spans="1:30" x14ac:dyDescent="0.25">
      <c r="B15" s="29"/>
      <c r="G15" s="29"/>
      <c r="R15" s="33"/>
      <c r="AA15" s="182"/>
      <c r="AD15" s="182"/>
    </row>
    <row r="16" spans="1:30" x14ac:dyDescent="0.25">
      <c r="B16" s="29"/>
      <c r="G16" s="29"/>
      <c r="R16" s="33"/>
    </row>
    <row r="17" spans="1:30" ht="20.25" thickBot="1" x14ac:dyDescent="0.35">
      <c r="B17" s="29"/>
      <c r="G17" s="29"/>
      <c r="P17" s="884" t="s">
        <v>78</v>
      </c>
      <c r="Q17" s="884"/>
      <c r="R17" s="33"/>
      <c r="AA17" s="182"/>
      <c r="AD17" s="182"/>
    </row>
    <row r="18" spans="1:30" ht="15.75" thickTop="1" x14ac:dyDescent="0.25">
      <c r="A18" s="31" t="s">
        <v>81</v>
      </c>
      <c r="B18" s="14"/>
      <c r="C18" s="14">
        <f>SUM(C2:C12)</f>
        <v>155</v>
      </c>
      <c r="D18" s="14"/>
      <c r="E18" s="14"/>
      <c r="F18" s="18">
        <f>SUM(F2:F12)</f>
        <v>40652.050000000003</v>
      </c>
      <c r="G18" s="18"/>
      <c r="H18" s="71">
        <f>SUM(H2:H11)</f>
        <v>155</v>
      </c>
      <c r="I18" s="18"/>
      <c r="J18" s="18"/>
      <c r="K18" s="18">
        <f>SUM(K2:K11)</f>
        <v>41606.450000000004</v>
      </c>
      <c r="L18" s="18"/>
      <c r="M18" s="18">
        <f>SUM(M2:M6)</f>
        <v>145.83000000000001</v>
      </c>
      <c r="P18" s="81">
        <v>1.1000000000000001</v>
      </c>
      <c r="Q18" s="81">
        <f>P18*$Q$4</f>
        <v>296.92289</v>
      </c>
      <c r="R18" s="81"/>
    </row>
    <row r="19" spans="1:30" ht="15.75" thickBot="1" x14ac:dyDescent="0.3">
      <c r="A19" s="277" t="s">
        <v>191</v>
      </c>
      <c r="B19" s="278"/>
      <c r="C19" s="280">
        <f>SumByColor($A$19,C2:C17)</f>
        <v>155</v>
      </c>
      <c r="D19" s="280"/>
      <c r="E19" s="280"/>
      <c r="F19" s="280">
        <f t="shared" ref="F19:M19" si="2">SumByColor($A$19,F2:F17)</f>
        <v>40652</v>
      </c>
      <c r="G19" s="280"/>
      <c r="H19" s="280">
        <f t="shared" si="2"/>
        <v>155</v>
      </c>
      <c r="I19" s="280"/>
      <c r="J19" s="280"/>
      <c r="K19" s="280">
        <f t="shared" si="2"/>
        <v>41608</v>
      </c>
      <c r="L19" s="280"/>
      <c r="M19" s="280">
        <f t="shared" si="2"/>
        <v>146</v>
      </c>
      <c r="P19" s="81">
        <v>1.0900000000000001</v>
      </c>
      <c r="Q19" s="81">
        <f t="shared" ref="Q19:Q38" si="3">P19*$Q$4</f>
        <v>294.223591</v>
      </c>
      <c r="R19" s="81"/>
      <c r="AA19" s="182"/>
      <c r="AD19" s="182"/>
    </row>
    <row r="20" spans="1:30" x14ac:dyDescent="0.25">
      <c r="P20" s="81">
        <v>1.08</v>
      </c>
      <c r="Q20" s="81">
        <f t="shared" si="3"/>
        <v>291.524292</v>
      </c>
      <c r="R20" s="81"/>
    </row>
    <row r="21" spans="1:30" x14ac:dyDescent="0.25">
      <c r="B21" s="162" t="s">
        <v>113</v>
      </c>
      <c r="C21" s="162" t="s">
        <v>145</v>
      </c>
      <c r="D21" s="163" t="s">
        <v>144</v>
      </c>
      <c r="E21" s="165" t="s">
        <v>146</v>
      </c>
      <c r="F21" s="165" t="s">
        <v>65</v>
      </c>
      <c r="G21" s="177" t="s">
        <v>150</v>
      </c>
      <c r="H21" s="177" t="s">
        <v>88</v>
      </c>
      <c r="I21" s="177" t="s">
        <v>153</v>
      </c>
      <c r="J21" s="177" t="s">
        <v>149</v>
      </c>
      <c r="K21" s="177"/>
      <c r="P21" s="81">
        <v>1.07</v>
      </c>
      <c r="Q21" s="81">
        <f t="shared" si="3"/>
        <v>288.82499300000001</v>
      </c>
      <c r="R21" s="81"/>
      <c r="AA21" s="182"/>
      <c r="AD21" s="182"/>
    </row>
    <row r="22" spans="1:30" x14ac:dyDescent="0.25">
      <c r="B22" s="164">
        <v>43133</v>
      </c>
      <c r="C22" s="10">
        <v>25</v>
      </c>
      <c r="D22" s="39">
        <v>278.18</v>
      </c>
      <c r="E22" s="39">
        <v>275.45</v>
      </c>
      <c r="F22" s="39">
        <f t="shared" ref="F22:F27" si="4">C22*(E22-D22)</f>
        <v>-68.250000000000455</v>
      </c>
      <c r="G22" s="39">
        <f t="shared" ref="G22:G27" si="5">D22*C22</f>
        <v>6954.5</v>
      </c>
      <c r="H22" s="179">
        <f t="shared" ref="H22:H27" si="6">(E22-D22)/D22</f>
        <v>-9.8137896326120425E-3</v>
      </c>
      <c r="I22" s="39"/>
      <c r="J22" s="39"/>
      <c r="K22" s="39"/>
      <c r="P22" s="81">
        <v>1.06</v>
      </c>
      <c r="Q22" s="81">
        <f t="shared" si="3"/>
        <v>286.12569400000001</v>
      </c>
      <c r="R22" s="81"/>
    </row>
    <row r="23" spans="1:30" x14ac:dyDescent="0.25">
      <c r="B23" s="164">
        <v>43136</v>
      </c>
      <c r="C23" s="10">
        <v>50</v>
      </c>
      <c r="D23" s="39">
        <v>269.66500000000002</v>
      </c>
      <c r="E23" s="39">
        <v>263.93</v>
      </c>
      <c r="F23" s="39">
        <f t="shared" si="4"/>
        <v>-286.75000000000068</v>
      </c>
      <c r="G23" s="39">
        <f t="shared" si="5"/>
        <v>13483.250000000002</v>
      </c>
      <c r="H23" s="179">
        <f t="shared" si="6"/>
        <v>-2.1267127732557109E-2</v>
      </c>
      <c r="I23" s="39"/>
      <c r="J23" s="39"/>
      <c r="K23" s="39"/>
      <c r="P23" s="81">
        <v>1.05</v>
      </c>
      <c r="Q23" s="81">
        <f t="shared" si="3"/>
        <v>283.42639500000001</v>
      </c>
      <c r="R23" s="81"/>
      <c r="AA23" s="182"/>
    </row>
    <row r="24" spans="1:30" x14ac:dyDescent="0.25">
      <c r="B24" s="164">
        <v>43140</v>
      </c>
      <c r="C24" s="7">
        <v>75</v>
      </c>
      <c r="D24" s="43">
        <v>264.31200000000001</v>
      </c>
      <c r="E24" s="39">
        <v>261.5</v>
      </c>
      <c r="F24" s="39">
        <f t="shared" si="4"/>
        <v>-210.90000000000089</v>
      </c>
      <c r="G24" s="39">
        <f t="shared" si="5"/>
        <v>19823.400000000001</v>
      </c>
      <c r="H24" s="179">
        <f t="shared" si="6"/>
        <v>-1.0638941856593767E-2</v>
      </c>
      <c r="I24" s="39"/>
      <c r="J24" s="39"/>
      <c r="K24" s="39"/>
      <c r="P24" s="81">
        <v>1.04</v>
      </c>
      <c r="Q24" s="81">
        <f t="shared" si="3"/>
        <v>280.72709599999996</v>
      </c>
      <c r="R24" s="81"/>
    </row>
    <row r="25" spans="1:30" x14ac:dyDescent="0.25">
      <c r="B25" s="164">
        <v>43140</v>
      </c>
      <c r="C25" s="10">
        <v>50</v>
      </c>
      <c r="D25" s="39">
        <v>265.11799999999999</v>
      </c>
      <c r="E25" s="39">
        <v>261.5</v>
      </c>
      <c r="F25" s="39">
        <f t="shared" si="4"/>
        <v>-180.89999999999975</v>
      </c>
      <c r="G25" s="39">
        <f t="shared" si="5"/>
        <v>13255.9</v>
      </c>
      <c r="H25" s="179">
        <f t="shared" si="6"/>
        <v>-1.3646753521073616E-2</v>
      </c>
      <c r="I25" s="39"/>
      <c r="J25" s="39"/>
      <c r="K25" s="39"/>
      <c r="P25" s="81">
        <v>1.03</v>
      </c>
      <c r="Q25" s="81">
        <f t="shared" si="3"/>
        <v>278.02779699999996</v>
      </c>
      <c r="R25" s="81"/>
    </row>
    <row r="26" spans="1:30" x14ac:dyDescent="0.25">
      <c r="B26" s="164">
        <v>43178</v>
      </c>
      <c r="C26" s="10">
        <v>50</v>
      </c>
      <c r="D26" s="39">
        <v>265.11799999999999</v>
      </c>
      <c r="E26" s="39">
        <v>270.49</v>
      </c>
      <c r="F26" s="39">
        <f t="shared" si="4"/>
        <v>268.6000000000007</v>
      </c>
      <c r="G26" s="39">
        <f t="shared" si="5"/>
        <v>13255.9</v>
      </c>
      <c r="H26" s="179">
        <f t="shared" si="6"/>
        <v>2.0262675487896009E-2</v>
      </c>
      <c r="I26" s="39"/>
      <c r="J26" s="39"/>
      <c r="K26" s="39"/>
      <c r="P26" s="81">
        <v>1.02</v>
      </c>
      <c r="Q26" s="81">
        <f t="shared" si="3"/>
        <v>275.32849799999997</v>
      </c>
      <c r="R26" s="81"/>
    </row>
    <row r="27" spans="1:30" x14ac:dyDescent="0.25">
      <c r="B27" s="164">
        <v>43181</v>
      </c>
      <c r="C27" s="10">
        <v>60</v>
      </c>
      <c r="D27" s="39">
        <v>264.69499999999999</v>
      </c>
      <c r="E27" s="39">
        <v>263.67</v>
      </c>
      <c r="F27" s="39">
        <f t="shared" si="4"/>
        <v>-61.499999999998636</v>
      </c>
      <c r="G27" s="39">
        <f t="shared" si="5"/>
        <v>15881.699999999999</v>
      </c>
      <c r="H27" s="179">
        <f t="shared" si="6"/>
        <v>-3.8723814201249637E-3</v>
      </c>
      <c r="I27" s="39"/>
      <c r="J27" s="39"/>
      <c r="K27" s="39"/>
      <c r="P27" s="81">
        <v>1.01</v>
      </c>
      <c r="Q27" s="81">
        <f t="shared" si="3"/>
        <v>272.62919899999997</v>
      </c>
      <c r="R27" s="81"/>
    </row>
    <row r="28" spans="1:30" x14ac:dyDescent="0.25">
      <c r="B28" s="164">
        <v>43186</v>
      </c>
      <c r="C28" s="10">
        <v>60</v>
      </c>
      <c r="D28" s="39">
        <v>264.69499999999999</v>
      </c>
      <c r="E28" s="39">
        <v>260.60000000000002</v>
      </c>
      <c r="F28" s="39">
        <f t="shared" ref="F28:F37" si="7">C28*(E28-D28)</f>
        <v>-245.69999999999823</v>
      </c>
      <c r="G28" s="39">
        <f t="shared" ref="G28:G37" si="8">D28*C28</f>
        <v>15881.699999999999</v>
      </c>
      <c r="H28" s="179">
        <f t="shared" ref="H28:H37" si="9">(E28-D28)/D28</f>
        <v>-1.5470636015036062E-2</v>
      </c>
      <c r="I28" s="39"/>
      <c r="J28" s="39">
        <v>-85</v>
      </c>
      <c r="K28" s="39"/>
      <c r="P28" s="81">
        <v>1</v>
      </c>
      <c r="Q28" s="81">
        <f t="shared" si="3"/>
        <v>269.92989999999998</v>
      </c>
      <c r="R28" s="81"/>
    </row>
    <row r="29" spans="1:30" x14ac:dyDescent="0.25">
      <c r="B29" s="164">
        <v>43192</v>
      </c>
      <c r="C29" s="7">
        <v>75</v>
      </c>
      <c r="D29" s="43">
        <v>262.83199999999999</v>
      </c>
      <c r="E29" s="39">
        <v>257.47000000000003</v>
      </c>
      <c r="F29" s="39">
        <f t="shared" si="7"/>
        <v>-402.14999999999748</v>
      </c>
      <c r="G29" s="39">
        <f t="shared" si="8"/>
        <v>19712.399999999998</v>
      </c>
      <c r="H29" s="179">
        <f t="shared" si="9"/>
        <v>-2.0400864430510618E-2</v>
      </c>
      <c r="I29" s="39">
        <v>260</v>
      </c>
      <c r="J29" s="39">
        <v>-241</v>
      </c>
      <c r="K29" s="39"/>
      <c r="P29" s="81">
        <v>0.99</v>
      </c>
      <c r="Q29" s="81">
        <f t="shared" si="3"/>
        <v>267.23060099999998</v>
      </c>
      <c r="R29" s="81"/>
    </row>
    <row r="30" spans="1:30" x14ac:dyDescent="0.25">
      <c r="A30">
        <v>35</v>
      </c>
      <c r="B30" s="164">
        <v>43194</v>
      </c>
      <c r="C30" s="10">
        <v>60</v>
      </c>
      <c r="D30" s="39">
        <v>262.49700000000001</v>
      </c>
      <c r="E30" s="39">
        <v>263.56</v>
      </c>
      <c r="F30" s="39">
        <f t="shared" si="7"/>
        <v>63.779999999999291</v>
      </c>
      <c r="G30" s="39">
        <f t="shared" si="8"/>
        <v>15749.820000000002</v>
      </c>
      <c r="H30" s="179">
        <f t="shared" si="9"/>
        <v>4.0495700903247969E-3</v>
      </c>
      <c r="I30" s="39"/>
      <c r="J30" s="39">
        <v>225</v>
      </c>
      <c r="K30" s="39"/>
      <c r="P30" s="81">
        <v>0.98</v>
      </c>
      <c r="Q30" s="81">
        <f t="shared" si="3"/>
        <v>264.53130199999998</v>
      </c>
      <c r="R30" s="81"/>
    </row>
    <row r="31" spans="1:30" x14ac:dyDescent="0.25">
      <c r="A31">
        <v>35</v>
      </c>
      <c r="B31" s="164">
        <v>43196</v>
      </c>
      <c r="C31" s="7">
        <v>75</v>
      </c>
      <c r="D31" s="43">
        <v>261.91300000000001</v>
      </c>
      <c r="E31" s="39">
        <v>259.58</v>
      </c>
      <c r="F31" s="39">
        <f t="shared" si="7"/>
        <v>-174.97500000000201</v>
      </c>
      <c r="G31" s="39">
        <f t="shared" si="8"/>
        <v>19643.475000000002</v>
      </c>
      <c r="H31" s="179">
        <f t="shared" si="9"/>
        <v>-8.9075379992593975E-3</v>
      </c>
      <c r="I31" s="39"/>
      <c r="J31" s="39"/>
      <c r="K31" s="39"/>
      <c r="P31" s="81">
        <v>0.97</v>
      </c>
      <c r="Q31" s="81">
        <f t="shared" si="3"/>
        <v>261.83200299999999</v>
      </c>
      <c r="R31" s="81"/>
    </row>
    <row r="32" spans="1:30" x14ac:dyDescent="0.25">
      <c r="A32">
        <v>20</v>
      </c>
      <c r="B32" s="164">
        <v>43199</v>
      </c>
      <c r="C32" s="10">
        <v>60</v>
      </c>
      <c r="D32" s="39">
        <v>261.32299999999998</v>
      </c>
      <c r="E32" s="39">
        <v>261</v>
      </c>
      <c r="F32" s="39">
        <f t="shared" si="7"/>
        <v>-19.379999999998745</v>
      </c>
      <c r="G32" s="39">
        <f t="shared" si="8"/>
        <v>15679.38</v>
      </c>
      <c r="H32" s="179">
        <f t="shared" si="9"/>
        <v>-1.2360182609260535E-3</v>
      </c>
      <c r="I32" s="39"/>
      <c r="J32" s="39">
        <v>141</v>
      </c>
      <c r="K32" s="39"/>
      <c r="P32" s="81">
        <v>0.96</v>
      </c>
      <c r="Q32" s="81">
        <f t="shared" si="3"/>
        <v>259.13270399999999</v>
      </c>
      <c r="R32" s="81"/>
    </row>
    <row r="33" spans="1:18" x14ac:dyDescent="0.25">
      <c r="A33">
        <v>10</v>
      </c>
      <c r="B33" s="164">
        <v>43200</v>
      </c>
      <c r="C33" s="10">
        <v>50</v>
      </c>
      <c r="D33" s="39">
        <v>260.45299999999997</v>
      </c>
      <c r="E33" s="39">
        <v>265.14999999999998</v>
      </c>
      <c r="F33" s="39">
        <f t="shared" si="7"/>
        <v>234.85000000000014</v>
      </c>
      <c r="G33" s="39">
        <f t="shared" si="8"/>
        <v>13022.649999999998</v>
      </c>
      <c r="H33" s="179">
        <f t="shared" si="9"/>
        <v>1.8033963901356496E-2</v>
      </c>
      <c r="I33" s="39"/>
      <c r="J33" s="39">
        <v>396</v>
      </c>
      <c r="K33" s="39"/>
      <c r="P33" s="81">
        <v>0.95</v>
      </c>
      <c r="Q33" s="81">
        <f t="shared" si="3"/>
        <v>256.43340499999994</v>
      </c>
      <c r="R33" s="81"/>
    </row>
    <row r="34" spans="1:18" x14ac:dyDescent="0.25">
      <c r="A34">
        <v>0</v>
      </c>
      <c r="B34" s="164">
        <v>43206</v>
      </c>
      <c r="C34" s="10">
        <v>40</v>
      </c>
      <c r="D34" s="39">
        <v>258.64999999999998</v>
      </c>
      <c r="E34" s="39">
        <v>267.33</v>
      </c>
      <c r="F34" s="39">
        <f t="shared" si="7"/>
        <v>347.20000000000027</v>
      </c>
      <c r="G34" s="39">
        <f t="shared" si="8"/>
        <v>10346</v>
      </c>
      <c r="H34" s="179">
        <f t="shared" si="9"/>
        <v>3.3558863328822762E-2</v>
      </c>
      <c r="I34" s="39"/>
      <c r="J34" s="39">
        <v>508</v>
      </c>
      <c r="K34" s="39"/>
      <c r="P34" s="81">
        <v>0.94</v>
      </c>
      <c r="Q34" s="81">
        <f t="shared" si="3"/>
        <v>253.73410599999997</v>
      </c>
      <c r="R34" s="81"/>
    </row>
    <row r="35" spans="1:18" x14ac:dyDescent="0.25">
      <c r="A35">
        <v>10</v>
      </c>
      <c r="B35" s="164">
        <v>43214</v>
      </c>
      <c r="C35" s="10">
        <v>50</v>
      </c>
      <c r="D35" s="39">
        <v>259.17599999999999</v>
      </c>
      <c r="E35" s="39">
        <v>262.98</v>
      </c>
      <c r="F35" s="39">
        <f t="shared" si="7"/>
        <v>190.20000000000152</v>
      </c>
      <c r="G35" s="39">
        <f t="shared" si="8"/>
        <v>12958.8</v>
      </c>
      <c r="H35" s="179">
        <f t="shared" si="9"/>
        <v>1.4677284933790283E-2</v>
      </c>
      <c r="I35" s="39"/>
      <c r="J35" s="39">
        <v>351</v>
      </c>
      <c r="K35" s="39"/>
      <c r="P35" s="81">
        <v>0.93</v>
      </c>
      <c r="Q35" s="81">
        <f t="shared" si="3"/>
        <v>251.034807</v>
      </c>
      <c r="R35" s="81"/>
    </row>
    <row r="36" spans="1:18" x14ac:dyDescent="0.25">
      <c r="A36">
        <v>10</v>
      </c>
      <c r="B36" s="164">
        <v>43221</v>
      </c>
      <c r="C36" s="10">
        <v>50</v>
      </c>
      <c r="D36" s="39">
        <v>258.07900000000001</v>
      </c>
      <c r="E36" s="39">
        <v>264.98</v>
      </c>
      <c r="F36" s="39">
        <f t="shared" si="7"/>
        <v>345.05000000000052</v>
      </c>
      <c r="G36" s="39">
        <f t="shared" si="8"/>
        <v>12903.95</v>
      </c>
      <c r="H36" s="179">
        <f t="shared" si="9"/>
        <v>2.6739874224559187E-2</v>
      </c>
      <c r="I36" s="39"/>
      <c r="J36" s="39">
        <v>505.87</v>
      </c>
      <c r="K36" s="39"/>
      <c r="P36" s="81">
        <v>0.92</v>
      </c>
      <c r="Q36" s="81">
        <f t="shared" si="3"/>
        <v>248.33550799999998</v>
      </c>
    </row>
    <row r="37" spans="1:18" x14ac:dyDescent="0.25">
      <c r="A37">
        <v>25</v>
      </c>
      <c r="B37" s="164">
        <v>43223</v>
      </c>
      <c r="C37" s="10">
        <v>60</v>
      </c>
      <c r="D37" s="39">
        <v>258.32900000000001</v>
      </c>
      <c r="E37" s="39">
        <v>262.62</v>
      </c>
      <c r="F37" s="39">
        <f t="shared" si="7"/>
        <v>257.45999999999981</v>
      </c>
      <c r="G37" s="39">
        <f t="shared" si="8"/>
        <v>15499.74</v>
      </c>
      <c r="H37" s="179">
        <f t="shared" si="9"/>
        <v>1.6610601210084803E-2</v>
      </c>
      <c r="I37" s="39"/>
      <c r="J37" s="39">
        <v>418</v>
      </c>
      <c r="K37" s="39"/>
      <c r="P37" s="81">
        <v>0.91</v>
      </c>
      <c r="Q37" s="81">
        <f t="shared" si="3"/>
        <v>245.63620899999998</v>
      </c>
    </row>
    <row r="38" spans="1:18" x14ac:dyDescent="0.25">
      <c r="A38">
        <v>30</v>
      </c>
      <c r="B38" s="164">
        <v>43227</v>
      </c>
      <c r="C38" s="10">
        <v>50</v>
      </c>
      <c r="D38" s="39">
        <v>256.39999999999998</v>
      </c>
      <c r="E38" s="39">
        <v>266.92</v>
      </c>
      <c r="F38" s="39">
        <f>C38*(E38-D38)</f>
        <v>526.00000000000193</v>
      </c>
      <c r="G38" s="39">
        <f>D38*C38</f>
        <v>12819.999999999998</v>
      </c>
      <c r="H38" s="179">
        <f>(E38-D38)/D38</f>
        <v>4.1029641185647579E-2</v>
      </c>
      <c r="I38" s="39"/>
      <c r="J38" s="39">
        <v>687</v>
      </c>
      <c r="K38" s="39"/>
      <c r="P38" s="81">
        <v>0.9</v>
      </c>
      <c r="Q38" s="81">
        <f t="shared" si="3"/>
        <v>242.93690999999998</v>
      </c>
    </row>
    <row r="39" spans="1:18" x14ac:dyDescent="0.25">
      <c r="B39" s="164">
        <v>43236</v>
      </c>
      <c r="C39" s="10">
        <v>50</v>
      </c>
      <c r="D39" s="39">
        <v>256.39999999999998</v>
      </c>
      <c r="E39" s="39">
        <v>272.24</v>
      </c>
      <c r="F39" s="39">
        <f>C39*(E39-D39)</f>
        <v>792.00000000000159</v>
      </c>
      <c r="G39" s="39">
        <f>D39*C39</f>
        <v>12819.999999999998</v>
      </c>
      <c r="H39" s="179">
        <f>(E39-D39)/D39</f>
        <v>6.1778471138845686E-2</v>
      </c>
      <c r="I39" s="39"/>
      <c r="J39" s="39">
        <v>953</v>
      </c>
      <c r="K39" s="39"/>
      <c r="O39" s="11"/>
    </row>
    <row r="40" spans="1:18" x14ac:dyDescent="0.25">
      <c r="A40">
        <v>35</v>
      </c>
      <c r="B40" s="164">
        <v>43271</v>
      </c>
      <c r="C40" s="10">
        <v>35</v>
      </c>
      <c r="D40" s="39">
        <v>247.96199999999999</v>
      </c>
      <c r="E40" s="39">
        <v>275.97000000000003</v>
      </c>
      <c r="F40" s="39">
        <f>C40*(E40-D40)</f>
        <v>980.28000000000134</v>
      </c>
      <c r="G40" s="39">
        <f>D40*C40</f>
        <v>8678.67</v>
      </c>
      <c r="H40" s="179">
        <f>(E40-D40)/D40</f>
        <v>0.11295279115348335</v>
      </c>
      <c r="I40" s="39"/>
      <c r="J40" s="39">
        <v>1141</v>
      </c>
      <c r="K40" s="39"/>
      <c r="O40" s="2"/>
    </row>
    <row r="41" spans="1:18" x14ac:dyDescent="0.25">
      <c r="B41" s="164">
        <v>43286</v>
      </c>
      <c r="C41" s="10">
        <v>20</v>
      </c>
      <c r="D41" s="39">
        <v>229.05</v>
      </c>
      <c r="E41" s="39">
        <v>273.11</v>
      </c>
      <c r="F41" s="39">
        <f>C41*(E41-D41)</f>
        <v>881.2</v>
      </c>
      <c r="G41" s="39">
        <f>D41*C41</f>
        <v>4581</v>
      </c>
      <c r="H41" s="179">
        <f>(E41-D41)/D41</f>
        <v>0.192359746780179</v>
      </c>
      <c r="I41" s="39"/>
      <c r="J41" s="39">
        <v>1042</v>
      </c>
      <c r="K41" s="39"/>
      <c r="O41" s="2"/>
    </row>
    <row r="42" spans="1:18" x14ac:dyDescent="0.25">
      <c r="B42" s="164">
        <v>43286</v>
      </c>
      <c r="C42" s="10">
        <v>0</v>
      </c>
      <c r="D42" s="39"/>
      <c r="E42" s="39"/>
      <c r="F42" s="39">
        <v>873.71</v>
      </c>
      <c r="G42" s="39"/>
      <c r="H42" s="179"/>
      <c r="I42" s="39"/>
      <c r="J42" s="39">
        <v>1034.54</v>
      </c>
      <c r="K42" s="39"/>
      <c r="O42" s="2"/>
    </row>
    <row r="43" spans="1:18" x14ac:dyDescent="0.25">
      <c r="B43" s="164">
        <v>43312</v>
      </c>
      <c r="C43" s="10">
        <v>0</v>
      </c>
      <c r="D43" s="39"/>
      <c r="E43" s="39"/>
      <c r="F43" s="39">
        <v>935.99</v>
      </c>
      <c r="G43" s="39"/>
      <c r="H43" s="179"/>
      <c r="I43" s="39"/>
      <c r="J43" s="39">
        <v>1096.82</v>
      </c>
      <c r="K43" s="39" t="s">
        <v>184</v>
      </c>
      <c r="O43" s="2"/>
    </row>
    <row r="44" spans="1:18" x14ac:dyDescent="0.25">
      <c r="A44">
        <v>0</v>
      </c>
      <c r="B44" s="164">
        <v>43441</v>
      </c>
      <c r="C44" s="10">
        <v>20</v>
      </c>
      <c r="D44" s="39">
        <v>216.7</v>
      </c>
      <c r="E44" s="39">
        <v>263.57</v>
      </c>
      <c r="F44" s="39">
        <f>C44*(E44-D44)</f>
        <v>937.40000000000009</v>
      </c>
      <c r="G44" s="39">
        <f>D44*C44</f>
        <v>4334</v>
      </c>
      <c r="H44" s="179">
        <f>(E44-D44)/D44</f>
        <v>0.21628980156898941</v>
      </c>
      <c r="I44" s="39"/>
      <c r="J44" s="39">
        <v>1098.22</v>
      </c>
      <c r="K44" s="39"/>
      <c r="O44" s="2"/>
    </row>
    <row r="45" spans="1:18" x14ac:dyDescent="0.25">
      <c r="A45">
        <v>0</v>
      </c>
      <c r="B45" s="164">
        <v>43496</v>
      </c>
      <c r="C45" s="10">
        <v>0</v>
      </c>
      <c r="D45" s="39">
        <v>215.26900000000001</v>
      </c>
      <c r="E45" s="39">
        <v>270.27999999999997</v>
      </c>
      <c r="F45" s="39"/>
      <c r="G45" s="39"/>
      <c r="H45" s="179"/>
      <c r="I45" s="39"/>
      <c r="J45" s="778">
        <v>1261.06</v>
      </c>
      <c r="K45" s="39" t="s">
        <v>184</v>
      </c>
      <c r="O45" s="2"/>
    </row>
    <row r="46" spans="1:18" x14ac:dyDescent="0.25">
      <c r="B46" s="164"/>
      <c r="C46" s="10"/>
      <c r="D46" s="39"/>
      <c r="E46" s="39"/>
      <c r="F46" s="39"/>
      <c r="G46" s="39"/>
      <c r="H46" s="179"/>
      <c r="I46" s="39"/>
      <c r="J46" s="39"/>
      <c r="K46" s="39"/>
      <c r="O46" s="2"/>
    </row>
    <row r="47" spans="1:18" x14ac:dyDescent="0.25">
      <c r="B47" s="164"/>
      <c r="C47" s="10"/>
      <c r="D47" s="39"/>
      <c r="E47" s="39"/>
      <c r="F47" s="39"/>
      <c r="G47" s="39"/>
      <c r="H47" s="179"/>
      <c r="I47" s="39"/>
      <c r="J47" s="39"/>
      <c r="K47" s="39"/>
      <c r="O47" s="2"/>
    </row>
    <row r="48" spans="1:18" x14ac:dyDescent="0.25">
      <c r="O48" s="2"/>
    </row>
    <row r="49" spans="1:15" x14ac:dyDescent="0.25">
      <c r="L49" t="s">
        <v>203</v>
      </c>
      <c r="M49" s="2">
        <f>M67+K67-F67</f>
        <v>160.82999999999993</v>
      </c>
      <c r="O49" s="2"/>
    </row>
    <row r="50" spans="1:15" x14ac:dyDescent="0.25">
      <c r="A50" s="199" t="s">
        <v>1</v>
      </c>
      <c r="B50" s="199" t="s">
        <v>2</v>
      </c>
      <c r="C50" s="199" t="s">
        <v>4</v>
      </c>
      <c r="D50" s="200" t="s">
        <v>5</v>
      </c>
      <c r="E50" s="200" t="s">
        <v>90</v>
      </c>
      <c r="F50" s="200" t="s">
        <v>60</v>
      </c>
      <c r="G50" s="199" t="s">
        <v>3</v>
      </c>
      <c r="H50" s="199" t="s">
        <v>6</v>
      </c>
      <c r="I50" s="200" t="s">
        <v>7</v>
      </c>
      <c r="J50" s="200" t="s">
        <v>89</v>
      </c>
      <c r="K50" s="200" t="s">
        <v>61</v>
      </c>
      <c r="L50" s="199" t="s">
        <v>77</v>
      </c>
      <c r="M50" s="199" t="s">
        <v>38</v>
      </c>
      <c r="O50" s="2"/>
    </row>
    <row r="51" spans="1:15" x14ac:dyDescent="0.25">
      <c r="A51" s="201" t="s">
        <v>174</v>
      </c>
      <c r="B51" s="202">
        <v>42377</v>
      </c>
      <c r="C51" s="197">
        <v>20</v>
      </c>
      <c r="D51" s="198">
        <v>192.9</v>
      </c>
      <c r="E51" s="198">
        <v>0</v>
      </c>
      <c r="F51" s="198">
        <f>C51*D51+E51</f>
        <v>3858</v>
      </c>
      <c r="G51" s="202">
        <v>42398</v>
      </c>
      <c r="H51" s="203">
        <v>20</v>
      </c>
      <c r="I51" s="198">
        <v>192.22</v>
      </c>
      <c r="J51" s="198">
        <v>7.0000000000000007E-2</v>
      </c>
      <c r="K51" s="198">
        <f>H51*I51-J51</f>
        <v>3844.33</v>
      </c>
      <c r="L51" s="202"/>
      <c r="M51" s="198"/>
      <c r="O51" s="2"/>
    </row>
    <row r="52" spans="1:15" x14ac:dyDescent="0.25">
      <c r="A52" s="204" t="s">
        <v>71</v>
      </c>
      <c r="B52" s="202">
        <v>42384</v>
      </c>
      <c r="C52" s="197">
        <v>5</v>
      </c>
      <c r="D52" s="198">
        <v>186.79</v>
      </c>
      <c r="E52" s="198">
        <v>0</v>
      </c>
      <c r="F52" s="198">
        <f>C52*D52+E52</f>
        <v>933.94999999999993</v>
      </c>
      <c r="G52" s="202">
        <v>42416</v>
      </c>
      <c r="H52" s="203">
        <v>10</v>
      </c>
      <c r="I52" s="198">
        <v>189.25</v>
      </c>
      <c r="J52" s="198">
        <v>0.04</v>
      </c>
      <c r="K52" s="198">
        <f>H52*I52-J52</f>
        <v>1892.46</v>
      </c>
      <c r="L52" s="197"/>
      <c r="M52" s="197"/>
      <c r="O52" s="2"/>
    </row>
    <row r="53" spans="1:15" x14ac:dyDescent="0.25">
      <c r="A53" s="197"/>
      <c r="B53" s="202">
        <v>42405</v>
      </c>
      <c r="C53" s="197">
        <v>15</v>
      </c>
      <c r="D53" s="198">
        <v>187.8</v>
      </c>
      <c r="E53" s="198">
        <v>0</v>
      </c>
      <c r="F53" s="198">
        <f>C53*D53+E53</f>
        <v>2817</v>
      </c>
      <c r="G53" s="202">
        <v>42424</v>
      </c>
      <c r="H53" s="203">
        <v>10</v>
      </c>
      <c r="I53" s="198">
        <v>194.3</v>
      </c>
      <c r="J53" s="198">
        <v>0.04</v>
      </c>
      <c r="K53" s="198">
        <f>H53*I53-J53</f>
        <v>1942.96</v>
      </c>
      <c r="L53" s="197"/>
      <c r="M53" s="197"/>
      <c r="O53" s="2"/>
    </row>
    <row r="54" spans="1:15" x14ac:dyDescent="0.25">
      <c r="A54" s="197"/>
      <c r="B54" s="202">
        <v>42408</v>
      </c>
      <c r="C54" s="197">
        <v>5</v>
      </c>
      <c r="D54" s="198">
        <v>183.55</v>
      </c>
      <c r="E54" s="198">
        <v>0</v>
      </c>
      <c r="F54" s="198">
        <f>C54*D54+E54</f>
        <v>917.75</v>
      </c>
      <c r="G54" s="202">
        <v>42440</v>
      </c>
      <c r="H54" s="203">
        <v>5</v>
      </c>
      <c r="I54" s="198">
        <v>201.56</v>
      </c>
      <c r="J54" s="198">
        <v>0.02</v>
      </c>
      <c r="K54" s="198">
        <f>H54*I54-J54</f>
        <v>1007.78</v>
      </c>
      <c r="L54" s="197"/>
      <c r="M54" s="197"/>
      <c r="O54" s="2"/>
    </row>
    <row r="55" spans="1:15" x14ac:dyDescent="0.25">
      <c r="A55" s="197"/>
      <c r="B55" s="197"/>
      <c r="C55" s="197"/>
      <c r="D55" s="198"/>
      <c r="E55" s="198"/>
      <c r="F55" s="198"/>
      <c r="G55" s="197"/>
      <c r="H55" s="203"/>
      <c r="I55" s="198"/>
      <c r="J55" s="198"/>
      <c r="K55" s="198"/>
      <c r="L55" s="197"/>
      <c r="M55" s="197"/>
      <c r="O55" s="2"/>
    </row>
    <row r="56" spans="1:15" x14ac:dyDescent="0.25">
      <c r="A56" s="197"/>
      <c r="B56" s="197"/>
      <c r="C56" s="197"/>
      <c r="D56" s="198"/>
      <c r="E56" s="198"/>
      <c r="F56" s="198"/>
      <c r="G56" s="197"/>
      <c r="H56" s="197"/>
      <c r="I56" s="198"/>
      <c r="J56" s="198"/>
      <c r="K56" s="198"/>
      <c r="L56" s="197"/>
      <c r="M56" s="197"/>
      <c r="O56" s="2"/>
    </row>
    <row r="57" spans="1:15" x14ac:dyDescent="0.25">
      <c r="A57" s="197"/>
      <c r="B57" s="197"/>
      <c r="C57" s="197"/>
      <c r="D57" s="198"/>
      <c r="E57" s="198"/>
      <c r="F57" s="198"/>
      <c r="G57" s="197"/>
      <c r="H57" s="197"/>
      <c r="I57" s="198"/>
      <c r="J57" s="198"/>
      <c r="K57" s="198"/>
      <c r="L57" s="197"/>
      <c r="M57" s="197"/>
      <c r="O57" s="2"/>
    </row>
    <row r="58" spans="1:15" x14ac:dyDescent="0.25">
      <c r="A58" s="197"/>
      <c r="B58" s="197"/>
      <c r="C58" s="197"/>
      <c r="D58" s="198"/>
      <c r="E58" s="198"/>
      <c r="F58" s="198"/>
      <c r="G58" s="197"/>
      <c r="H58" s="197"/>
      <c r="I58" s="198"/>
      <c r="J58" s="198"/>
      <c r="K58" s="198"/>
      <c r="L58" s="197"/>
      <c r="M58" s="197"/>
      <c r="O58" s="2"/>
    </row>
    <row r="59" spans="1:15" x14ac:dyDescent="0.25">
      <c r="A59" s="197"/>
      <c r="B59" s="197"/>
      <c r="C59" s="197"/>
      <c r="D59" s="198"/>
      <c r="E59" s="198"/>
      <c r="F59" s="198"/>
      <c r="G59" s="197"/>
      <c r="H59" s="197"/>
      <c r="I59" s="198"/>
      <c r="J59" s="198"/>
      <c r="K59" s="198"/>
      <c r="L59" s="197"/>
      <c r="M59" s="197"/>
      <c r="O59" s="2"/>
    </row>
    <row r="60" spans="1:15" x14ac:dyDescent="0.25">
      <c r="A60" s="197"/>
      <c r="B60" s="197"/>
      <c r="C60" s="197"/>
      <c r="D60" s="198"/>
      <c r="E60" s="198"/>
      <c r="F60" s="198"/>
      <c r="G60" s="197"/>
      <c r="H60" s="197"/>
      <c r="I60" s="198"/>
      <c r="J60" s="198"/>
      <c r="K60" s="198"/>
      <c r="L60" s="197"/>
      <c r="M60" s="197"/>
      <c r="O60" s="2"/>
    </row>
    <row r="61" spans="1:15" x14ac:dyDescent="0.25">
      <c r="A61" s="197"/>
      <c r="B61" s="197"/>
      <c r="C61" s="197"/>
      <c r="D61" s="198"/>
      <c r="E61" s="198"/>
      <c r="F61" s="198"/>
      <c r="G61" s="197"/>
      <c r="H61" s="197"/>
      <c r="I61" s="198"/>
      <c r="J61" s="198"/>
      <c r="K61" s="198"/>
      <c r="L61" s="197"/>
      <c r="M61" s="197"/>
    </row>
    <row r="62" spans="1:15" x14ac:dyDescent="0.25">
      <c r="A62" s="197"/>
      <c r="B62" s="197"/>
      <c r="C62" s="197"/>
      <c r="D62" s="198"/>
      <c r="E62" s="198"/>
      <c r="F62" s="198"/>
      <c r="G62" s="197"/>
      <c r="H62" s="197"/>
      <c r="I62" s="198"/>
      <c r="J62" s="198"/>
      <c r="K62" s="198"/>
      <c r="L62" s="197"/>
      <c r="M62" s="197"/>
    </row>
    <row r="63" spans="1:15" x14ac:dyDescent="0.25">
      <c r="A63" s="197"/>
      <c r="B63" s="197"/>
      <c r="C63" s="197"/>
      <c r="D63" s="198"/>
      <c r="E63" s="198"/>
      <c r="F63" s="198"/>
      <c r="G63" s="197"/>
      <c r="H63" s="197"/>
      <c r="I63" s="198"/>
      <c r="J63" s="198"/>
      <c r="K63" s="198"/>
      <c r="L63" s="197"/>
      <c r="M63" s="197"/>
    </row>
    <row r="64" spans="1:15" x14ac:dyDescent="0.25">
      <c r="A64" s="197"/>
      <c r="B64" s="197"/>
      <c r="C64" s="197"/>
      <c r="D64" s="198"/>
      <c r="E64" s="198"/>
      <c r="F64" s="198"/>
      <c r="G64" s="197"/>
      <c r="H64" s="197"/>
      <c r="I64" s="198"/>
      <c r="J64" s="198"/>
      <c r="K64" s="198"/>
      <c r="L64" s="197"/>
      <c r="M64" s="197"/>
    </row>
    <row r="65" spans="1:13" x14ac:dyDescent="0.25">
      <c r="A65" s="197"/>
      <c r="B65" s="197"/>
      <c r="C65" s="197"/>
      <c r="D65" s="198"/>
      <c r="E65" s="198"/>
      <c r="F65" s="198"/>
      <c r="G65" s="197"/>
      <c r="H65" s="197"/>
      <c r="I65" s="198"/>
      <c r="J65" s="198"/>
      <c r="K65" s="198"/>
      <c r="L65" s="197"/>
      <c r="M65" s="197"/>
    </row>
    <row r="66" spans="1:13" x14ac:dyDescent="0.25">
      <c r="A66" s="197"/>
      <c r="B66" s="197"/>
      <c r="C66" s="197"/>
      <c r="D66" s="198"/>
      <c r="E66" s="198"/>
      <c r="F66" s="198"/>
      <c r="G66" s="197"/>
      <c r="H66" s="197"/>
      <c r="I66" s="198"/>
      <c r="J66" s="198"/>
      <c r="K66" s="198"/>
      <c r="L66" s="197"/>
      <c r="M66" s="197"/>
    </row>
    <row r="67" spans="1:13" x14ac:dyDescent="0.25">
      <c r="A67" s="31" t="s">
        <v>81</v>
      </c>
      <c r="B67" s="14"/>
      <c r="C67" s="14">
        <f>SUM(C51:C55)</f>
        <v>45</v>
      </c>
      <c r="D67" s="14"/>
      <c r="E67" s="14"/>
      <c r="F67" s="18">
        <f>SUM(F51:F55)</f>
        <v>8526.7000000000007</v>
      </c>
      <c r="G67" s="18"/>
      <c r="H67" s="71">
        <f>SUM(H51:H55)</f>
        <v>45</v>
      </c>
      <c r="I67" s="18"/>
      <c r="J67" s="18"/>
      <c r="K67" s="18">
        <f>SUM(K51:K55)</f>
        <v>8687.5300000000007</v>
      </c>
      <c r="L67" s="18"/>
      <c r="M67" s="18">
        <f>SUM(M51:M55)</f>
        <v>0</v>
      </c>
    </row>
    <row r="69" spans="1:13" x14ac:dyDescent="0.25">
      <c r="B69" s="696" t="s">
        <v>113</v>
      </c>
      <c r="C69" s="696" t="s">
        <v>145</v>
      </c>
      <c r="D69" s="697" t="s">
        <v>144</v>
      </c>
      <c r="E69" s="698" t="s">
        <v>146</v>
      </c>
      <c r="F69" s="698" t="s">
        <v>65</v>
      </c>
      <c r="G69" s="699" t="s">
        <v>150</v>
      </c>
      <c r="H69" s="699" t="s">
        <v>88</v>
      </c>
      <c r="I69" s="699" t="s">
        <v>153</v>
      </c>
    </row>
    <row r="70" spans="1:13" x14ac:dyDescent="0.25">
      <c r="B70" s="561">
        <v>42377</v>
      </c>
      <c r="C70" s="560">
        <v>20</v>
      </c>
      <c r="D70" s="562">
        <v>192.9</v>
      </c>
      <c r="E70" s="562">
        <v>191.92</v>
      </c>
      <c r="F70" s="562">
        <f>C70*(E70-D70)</f>
        <v>-19.600000000000364</v>
      </c>
      <c r="G70" s="562">
        <f>D70*C70</f>
        <v>3858</v>
      </c>
      <c r="H70" s="563">
        <f>(E70-D70)/D70</f>
        <v>-5.0803525142561852E-3</v>
      </c>
      <c r="I70" s="562"/>
    </row>
    <row r="71" spans="1:13" x14ac:dyDescent="0.25">
      <c r="B71" s="561">
        <v>42384</v>
      </c>
      <c r="C71" s="560">
        <v>25</v>
      </c>
      <c r="D71" s="562">
        <v>191.678</v>
      </c>
      <c r="E71" s="562">
        <v>187.81</v>
      </c>
      <c r="F71" s="562">
        <f t="shared" ref="F71:F77" si="10">C71*(E71-D71)</f>
        <v>-96.699999999999875</v>
      </c>
      <c r="G71" s="562">
        <f t="shared" ref="G71:G77" si="11">D71*C71</f>
        <v>4791.95</v>
      </c>
      <c r="H71" s="563">
        <f t="shared" ref="H71:H77" si="12">(E71-D71)/D71</f>
        <v>-2.0179676332182071E-2</v>
      </c>
      <c r="I71" s="562"/>
    </row>
    <row r="72" spans="1:13" x14ac:dyDescent="0.25">
      <c r="B72" s="561">
        <v>42398</v>
      </c>
      <c r="C72" s="560">
        <v>5</v>
      </c>
      <c r="D72" s="562">
        <v>189.52</v>
      </c>
      <c r="E72" s="562">
        <v>191.87</v>
      </c>
      <c r="F72" s="562">
        <f t="shared" si="10"/>
        <v>11.749999999999972</v>
      </c>
      <c r="G72" s="562">
        <f t="shared" si="11"/>
        <v>947.6</v>
      </c>
      <c r="H72" s="563">
        <f t="shared" si="12"/>
        <v>1.2399746728577429E-2</v>
      </c>
      <c r="I72" s="562"/>
    </row>
    <row r="73" spans="1:13" x14ac:dyDescent="0.25">
      <c r="B73" s="561">
        <v>42405</v>
      </c>
      <c r="C73" s="560">
        <v>20</v>
      </c>
      <c r="D73" s="562">
        <v>188.23099999999999</v>
      </c>
      <c r="E73" s="562">
        <v>187.8</v>
      </c>
      <c r="F73" s="562">
        <f t="shared" si="10"/>
        <v>-8.6199999999996635</v>
      </c>
      <c r="G73" s="562">
        <f t="shared" si="11"/>
        <v>3764.62</v>
      </c>
      <c r="H73" s="563">
        <f t="shared" si="12"/>
        <v>-2.2897397346876083E-3</v>
      </c>
      <c r="I73" s="562"/>
    </row>
    <row r="74" spans="1:13" x14ac:dyDescent="0.25">
      <c r="B74" s="561">
        <v>42408</v>
      </c>
      <c r="C74" s="560">
        <v>25</v>
      </c>
      <c r="D74" s="562">
        <v>187.29480000000001</v>
      </c>
      <c r="E74" s="562">
        <v>185.42</v>
      </c>
      <c r="F74" s="562">
        <f t="shared" si="10"/>
        <v>-46.870000000000545</v>
      </c>
      <c r="G74" s="562">
        <f t="shared" si="11"/>
        <v>4682.37</v>
      </c>
      <c r="H74" s="563">
        <f t="shared" si="12"/>
        <v>-1.0009888154930204E-2</v>
      </c>
      <c r="I74" s="562"/>
    </row>
    <row r="75" spans="1:13" x14ac:dyDescent="0.25">
      <c r="B75" s="561">
        <v>42416</v>
      </c>
      <c r="C75" s="560">
        <v>15</v>
      </c>
      <c r="D75" s="562">
        <v>185.994</v>
      </c>
      <c r="E75" s="562">
        <v>189.78</v>
      </c>
      <c r="F75" s="562">
        <f t="shared" si="10"/>
        <v>56.79000000000002</v>
      </c>
      <c r="G75" s="562">
        <f t="shared" si="11"/>
        <v>2789.91</v>
      </c>
      <c r="H75" s="563">
        <f t="shared" si="12"/>
        <v>2.0355495338559317E-2</v>
      </c>
      <c r="I75" s="562"/>
    </row>
    <row r="76" spans="1:13" x14ac:dyDescent="0.25">
      <c r="B76" s="561">
        <v>42424</v>
      </c>
      <c r="C76" s="560">
        <v>5</v>
      </c>
      <c r="D76" s="562">
        <v>169.39</v>
      </c>
      <c r="E76" s="562">
        <v>193.2</v>
      </c>
      <c r="F76" s="562">
        <f t="shared" si="10"/>
        <v>119.05000000000001</v>
      </c>
      <c r="G76" s="562">
        <f t="shared" si="11"/>
        <v>846.94999999999993</v>
      </c>
      <c r="H76" s="563">
        <f t="shared" si="12"/>
        <v>0.1405631973552158</v>
      </c>
      <c r="I76" s="562"/>
    </row>
    <row r="77" spans="1:13" x14ac:dyDescent="0.25">
      <c r="B77" s="561">
        <v>42431</v>
      </c>
      <c r="C77" s="560">
        <v>5</v>
      </c>
      <c r="D77" s="562">
        <v>169.39</v>
      </c>
      <c r="E77" s="562">
        <v>199</v>
      </c>
      <c r="F77" s="562">
        <f t="shared" si="10"/>
        <v>148.05000000000007</v>
      </c>
      <c r="G77" s="562">
        <f t="shared" si="11"/>
        <v>846.94999999999993</v>
      </c>
      <c r="H77" s="563">
        <f t="shared" si="12"/>
        <v>0.17480370742074511</v>
      </c>
      <c r="I77" s="562"/>
    </row>
    <row r="78" spans="1:13" x14ac:dyDescent="0.25">
      <c r="B78" s="561">
        <v>42440</v>
      </c>
      <c r="C78" s="560">
        <v>0</v>
      </c>
      <c r="D78" s="562"/>
      <c r="E78" s="562"/>
      <c r="F78" s="562">
        <v>160.83000000000001</v>
      </c>
      <c r="G78" s="562"/>
      <c r="H78" s="563"/>
      <c r="I78" s="562"/>
    </row>
    <row r="79" spans="1:13" x14ac:dyDescent="0.25">
      <c r="B79" s="561"/>
      <c r="C79" s="560"/>
      <c r="D79" s="562"/>
      <c r="E79" s="562"/>
      <c r="F79" s="562"/>
      <c r="G79" s="562"/>
      <c r="H79" s="563"/>
      <c r="I79" s="562"/>
    </row>
    <row r="80" spans="1:13" x14ac:dyDescent="0.25">
      <c r="B80" s="561"/>
      <c r="C80" s="560"/>
      <c r="D80" s="562"/>
      <c r="E80" s="562"/>
      <c r="F80" s="562"/>
      <c r="G80" s="562"/>
      <c r="H80" s="563"/>
      <c r="I80" s="562"/>
    </row>
    <row r="81" spans="2:9" x14ac:dyDescent="0.25">
      <c r="B81" s="561"/>
      <c r="C81" s="560"/>
      <c r="D81" s="562"/>
      <c r="E81" s="562"/>
      <c r="F81" s="562"/>
      <c r="G81" s="562"/>
      <c r="H81" s="563"/>
      <c r="I81" s="562"/>
    </row>
    <row r="82" spans="2:9" x14ac:dyDescent="0.25">
      <c r="B82" s="561"/>
      <c r="C82" s="560"/>
      <c r="D82" s="562"/>
      <c r="E82" s="562"/>
      <c r="F82" s="562"/>
      <c r="G82" s="562"/>
      <c r="H82" s="563"/>
      <c r="I82" s="562"/>
    </row>
    <row r="83" spans="2:9" x14ac:dyDescent="0.25">
      <c r="B83" s="561"/>
      <c r="C83" s="560"/>
      <c r="D83" s="562"/>
      <c r="E83" s="562"/>
      <c r="F83" s="562"/>
      <c r="G83" s="562"/>
      <c r="H83" s="563"/>
      <c r="I83" s="562"/>
    </row>
    <row r="84" spans="2:9" x14ac:dyDescent="0.25">
      <c r="B84" s="561"/>
      <c r="C84" s="560"/>
      <c r="D84" s="562"/>
      <c r="E84" s="562"/>
      <c r="F84" s="562"/>
      <c r="G84" s="562"/>
      <c r="H84" s="563"/>
      <c r="I84" s="562"/>
    </row>
  </sheetData>
  <mergeCells count="1">
    <mergeCell ref="P17:Q17"/>
  </mergeCells>
  <conditionalFormatting sqref="F26:F34 H26:H34 J28:J39 H46:H48 F46:F48 J42:J43 J46:J47">
    <cfRule type="expression" dxfId="810" priority="51">
      <formula>F26&gt;0</formula>
    </cfRule>
    <cfRule type="expression" dxfId="809"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808" priority="39">
      <formula>F22&gt;0</formula>
    </cfRule>
    <cfRule type="expression" dxfId="807" priority="40">
      <formula>F22&lt;0</formula>
    </cfRule>
  </conditionalFormatting>
  <conditionalFormatting sqref="H22:H25">
    <cfRule type="expression" dxfId="806" priority="37">
      <formula>H22&gt;0</formula>
    </cfRule>
    <cfRule type="expression" dxfId="805" priority="38">
      <formula>H22&lt;0</formula>
    </cfRule>
  </conditionalFormatting>
  <conditionalFormatting sqref="Q8">
    <cfRule type="expression" dxfId="804" priority="33">
      <formula>Q8&gt;0</formula>
    </cfRule>
    <cfRule type="expression" dxfId="803" priority="34">
      <formula>Q8&lt;0</formula>
    </cfRule>
  </conditionalFormatting>
  <conditionalFormatting sqref="Q7">
    <cfRule type="expression" dxfId="802" priority="35">
      <formula>Q7&gt;0</formula>
    </cfRule>
    <cfRule type="expression" dxfId="801" priority="36">
      <formula>Q7&lt;0</formula>
    </cfRule>
  </conditionalFormatting>
  <conditionalFormatting sqref="F74:F76">
    <cfRule type="expression" dxfId="800" priority="31">
      <formula>F74&gt;0</formula>
    </cfRule>
    <cfRule type="expression" dxfId="799" priority="32">
      <formula>F74&lt;0</formula>
    </cfRule>
  </conditionalFormatting>
  <conditionalFormatting sqref="F77:F84">
    <cfRule type="expression" dxfId="798" priority="27">
      <formula>F77&gt;0</formula>
    </cfRule>
    <cfRule type="expression" dxfId="797" priority="28">
      <formula>F77&lt;0</formula>
    </cfRule>
  </conditionalFormatting>
  <conditionalFormatting sqref="F77:F84">
    <cfRule type="expression" dxfId="796" priority="29">
      <formula>F77&gt;0</formula>
    </cfRule>
    <cfRule type="expression" dxfId="795" priority="30">
      <formula>F77&lt;0</formula>
    </cfRule>
  </conditionalFormatting>
  <conditionalFormatting sqref="H74:H84">
    <cfRule type="expression" dxfId="794" priority="25">
      <formula>H74&gt;0</formula>
    </cfRule>
    <cfRule type="expression" dxfId="793" priority="26">
      <formula>H74&lt;0</formula>
    </cfRule>
  </conditionalFormatting>
  <conditionalFormatting sqref="F70:F73">
    <cfRule type="expression" dxfId="792" priority="23">
      <formula>F70&gt;0</formula>
    </cfRule>
    <cfRule type="expression" dxfId="791" priority="24">
      <formula>F70&lt;0</formula>
    </cfRule>
  </conditionalFormatting>
  <conditionalFormatting sqref="H70:H73">
    <cfRule type="expression" dxfId="790" priority="21">
      <formula>H70&gt;0</formula>
    </cfRule>
    <cfRule type="expression" dxfId="789" priority="22">
      <formula>H70&lt;0</formula>
    </cfRule>
  </conditionalFormatting>
  <conditionalFormatting sqref="Q10">
    <cfRule type="expression" dxfId="788" priority="19">
      <formula>Q10&gt;0</formula>
    </cfRule>
    <cfRule type="expression" dxfId="787" priority="20">
      <formula>Q10&lt;0</formula>
    </cfRule>
  </conditionalFormatting>
  <conditionalFormatting sqref="H43 F43">
    <cfRule type="expression" dxfId="786" priority="15">
      <formula>F43&gt;0</formula>
    </cfRule>
    <cfRule type="expression" dxfId="785" priority="16">
      <formula>F43&lt;0</formula>
    </cfRule>
  </conditionalFormatting>
  <conditionalFormatting sqref="H37:H39 F37:F39">
    <cfRule type="expression" dxfId="784" priority="13">
      <formula>F37&gt;0</formula>
    </cfRule>
    <cfRule type="expression" dxfId="783" priority="14">
      <formula>F37&lt;0</formula>
    </cfRule>
  </conditionalFormatting>
  <conditionalFormatting sqref="H35:H36 F35:F36">
    <cfRule type="expression" dxfId="782" priority="11">
      <formula>F35&gt;0</formula>
    </cfRule>
    <cfRule type="expression" dxfId="781" priority="12">
      <formula>F35&lt;0</formula>
    </cfRule>
  </conditionalFormatting>
  <conditionalFormatting sqref="H41:H42 F41:F42 J40:J41">
    <cfRule type="expression" dxfId="780" priority="9">
      <formula>F40&gt;0</formula>
    </cfRule>
    <cfRule type="expression" dxfId="779" priority="10">
      <formula>F40&lt;0</formula>
    </cfRule>
  </conditionalFormatting>
  <conditionalFormatting sqref="H40 F40">
    <cfRule type="expression" dxfId="778" priority="7">
      <formula>F40&gt;0</formula>
    </cfRule>
    <cfRule type="expression" dxfId="777" priority="8">
      <formula>F40&lt;0</formula>
    </cfRule>
  </conditionalFormatting>
  <conditionalFormatting sqref="H45 F45 J44:J45">
    <cfRule type="expression" dxfId="776" priority="3">
      <formula>F44&gt;0</formula>
    </cfRule>
    <cfRule type="expression" dxfId="775" priority="4">
      <formula>F44&lt;0</formula>
    </cfRule>
  </conditionalFormatting>
  <conditionalFormatting sqref="H44 F44">
    <cfRule type="expression" dxfId="774" priority="1">
      <formula>F44&gt;0</formula>
    </cfRule>
    <cfRule type="expression" dxfId="773"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c r="W1" s="90" t="s">
        <v>113</v>
      </c>
      <c r="X1" s="91" t="s">
        <v>114</v>
      </c>
      <c r="Y1" s="100" t="s">
        <v>115</v>
      </c>
      <c r="Z1" s="100" t="s">
        <v>116</v>
      </c>
      <c r="AA1" s="91" t="s">
        <v>117</v>
      </c>
      <c r="AB1" s="91" t="s">
        <v>118</v>
      </c>
      <c r="AC1" s="192" t="s">
        <v>119</v>
      </c>
      <c r="AD1" s="11" t="s">
        <v>125</v>
      </c>
      <c r="AE1" s="11" t="s">
        <v>127</v>
      </c>
    </row>
    <row r="2" spans="1:40" x14ac:dyDescent="0.25">
      <c r="A2" s="6" t="s">
        <v>169</v>
      </c>
      <c r="B2" s="72"/>
      <c r="C2" s="4"/>
      <c r="D2" s="3"/>
      <c r="E2" s="3"/>
      <c r="F2" s="3"/>
      <c r="G2" s="72"/>
      <c r="H2" s="161"/>
      <c r="I2" s="3"/>
      <c r="J2" s="3"/>
      <c r="K2" s="3"/>
      <c r="L2" s="72"/>
      <c r="M2" s="3"/>
      <c r="O2" s="11" t="s">
        <v>57</v>
      </c>
      <c r="Q2">
        <f>C18-H18</f>
        <v>0</v>
      </c>
      <c r="T2" s="83"/>
      <c r="W2" s="92">
        <v>42830</v>
      </c>
      <c r="X2" s="10">
        <v>99.56</v>
      </c>
      <c r="Y2" s="39">
        <v>100.58</v>
      </c>
      <c r="Z2" s="39">
        <v>98.61</v>
      </c>
      <c r="AA2" s="10">
        <v>98.89</v>
      </c>
      <c r="AB2" s="93">
        <v>1993100</v>
      </c>
      <c r="AC2" s="191">
        <v>98.89</v>
      </c>
      <c r="AD2" s="2">
        <f>Y2-Z2</f>
        <v>1.9699999999999989</v>
      </c>
      <c r="AE2" s="134">
        <f>AC2/AC3-1</f>
        <v>-4.6300956215399314E-3</v>
      </c>
    </row>
    <row r="3" spans="1:40" x14ac:dyDescent="0.25">
      <c r="A3" s="22" t="s">
        <v>71</v>
      </c>
      <c r="B3" s="72"/>
      <c r="C3" s="4"/>
      <c r="D3" s="3"/>
      <c r="E3" s="3"/>
      <c r="F3" s="3"/>
      <c r="G3" s="72"/>
      <c r="H3" s="161"/>
      <c r="I3" s="3"/>
      <c r="J3" s="3"/>
      <c r="K3" s="3"/>
      <c r="L3" s="4"/>
      <c r="O3" s="11" t="s">
        <v>58</v>
      </c>
      <c r="Q3" s="178">
        <f>IF(Q2=0, Q4, (F18-K18-M18)/Q2)</f>
        <v>73.92</v>
      </c>
      <c r="T3" s="118"/>
      <c r="W3" s="92">
        <v>42829</v>
      </c>
      <c r="X3" s="10">
        <v>98.68</v>
      </c>
      <c r="Y3" s="39">
        <v>100.7</v>
      </c>
      <c r="Z3" s="39">
        <v>98.14</v>
      </c>
      <c r="AA3" s="10">
        <v>99.35</v>
      </c>
      <c r="AB3" s="93">
        <v>2906400</v>
      </c>
      <c r="AC3" s="191">
        <v>99.35</v>
      </c>
      <c r="AD3" s="2">
        <f>Y3-Z3</f>
        <v>2.5600000000000023</v>
      </c>
      <c r="AE3" s="134">
        <f>AC3/AC4-1</f>
        <v>1.6680311092918565E-2</v>
      </c>
      <c r="AN3" s="182"/>
    </row>
    <row r="4" spans="1:40" x14ac:dyDescent="0.25">
      <c r="B4" s="72"/>
      <c r="C4" s="4"/>
      <c r="D4" s="3"/>
      <c r="E4" s="3"/>
      <c r="F4" s="3"/>
      <c r="G4" s="72"/>
      <c r="H4" s="161"/>
      <c r="I4" s="3"/>
      <c r="J4" s="3"/>
      <c r="K4" s="3"/>
      <c r="L4" s="4"/>
      <c r="O4" s="11" t="s">
        <v>66</v>
      </c>
      <c r="Q4" s="54">
        <v>73.92</v>
      </c>
      <c r="R4" s="405">
        <v>-3.0000000000000001E-3</v>
      </c>
      <c r="T4" s="118"/>
      <c r="W4" s="92">
        <v>42828</v>
      </c>
      <c r="X4" s="10">
        <v>98.15</v>
      </c>
      <c r="Y4" s="39">
        <v>98.48</v>
      </c>
      <c r="Z4" s="39">
        <v>96.95</v>
      </c>
      <c r="AA4" s="10">
        <v>97.72</v>
      </c>
      <c r="AB4" s="93">
        <v>1146600</v>
      </c>
      <c r="AC4" s="191">
        <v>97.72</v>
      </c>
      <c r="AD4" s="2">
        <f t="shared" ref="AD4:AD67" si="0">Y4-Z4</f>
        <v>1.5300000000000011</v>
      </c>
      <c r="AE4" s="134">
        <f t="shared" ref="AE4:AE66" si="1">AC4/AC5-1</f>
        <v>-2.6536027760768466E-3</v>
      </c>
      <c r="AK4" s="182"/>
      <c r="AN4" s="182"/>
    </row>
    <row r="5" spans="1:40" x14ac:dyDescent="0.25">
      <c r="B5" s="72"/>
      <c r="C5" s="17"/>
      <c r="D5" s="73"/>
      <c r="E5" s="73"/>
      <c r="F5" s="3"/>
      <c r="G5" s="72"/>
      <c r="H5" s="161"/>
      <c r="I5" s="3"/>
      <c r="J5" s="3"/>
      <c r="K5" s="3"/>
      <c r="L5" s="4"/>
      <c r="O5" s="11" t="s">
        <v>67</v>
      </c>
      <c r="Q5" s="3">
        <f>Q4*Q2</f>
        <v>0</v>
      </c>
      <c r="W5" s="92">
        <v>42825</v>
      </c>
      <c r="X5" s="10">
        <v>98.31</v>
      </c>
      <c r="Y5" s="39">
        <v>98.49</v>
      </c>
      <c r="Z5" s="39">
        <v>97.71</v>
      </c>
      <c r="AA5" s="10">
        <v>97.98</v>
      </c>
      <c r="AB5" s="93">
        <v>1061300</v>
      </c>
      <c r="AC5" s="191">
        <v>97.98</v>
      </c>
      <c r="AD5" s="2">
        <f t="shared" si="0"/>
        <v>0.78000000000000114</v>
      </c>
      <c r="AE5" s="134">
        <f t="shared" si="1"/>
        <v>-1.6303240269003316E-3</v>
      </c>
      <c r="AK5" s="182"/>
      <c r="AN5" s="182"/>
    </row>
    <row r="6" spans="1:40" x14ac:dyDescent="0.25">
      <c r="B6" s="72"/>
      <c r="C6" s="4"/>
      <c r="D6" s="3"/>
      <c r="E6" s="3"/>
      <c r="F6" s="3"/>
      <c r="G6" s="72"/>
      <c r="H6" s="161"/>
      <c r="I6" s="3"/>
      <c r="J6" s="3"/>
      <c r="K6" s="3"/>
      <c r="L6" s="4"/>
      <c r="O6" s="11" t="s">
        <v>64</v>
      </c>
      <c r="Q6" s="2">
        <f>Q3*Q2</f>
        <v>0</v>
      </c>
      <c r="W6" s="92">
        <v>42824</v>
      </c>
      <c r="X6" s="10">
        <v>97.29</v>
      </c>
      <c r="Y6" s="39">
        <v>98.5</v>
      </c>
      <c r="Z6" s="39">
        <v>97.06</v>
      </c>
      <c r="AA6" s="10">
        <v>98.14</v>
      </c>
      <c r="AB6" s="93">
        <v>1189200</v>
      </c>
      <c r="AC6" s="191">
        <v>98.14</v>
      </c>
      <c r="AD6" s="2">
        <f t="shared" si="0"/>
        <v>1.4399999999999977</v>
      </c>
      <c r="AE6" s="134">
        <f t="shared" si="1"/>
        <v>9.3592512598992261E-3</v>
      </c>
    </row>
    <row r="7" spans="1:40" x14ac:dyDescent="0.25">
      <c r="B7" s="72"/>
      <c r="C7" s="4"/>
      <c r="D7" s="3"/>
      <c r="E7" s="3"/>
      <c r="F7" s="3"/>
      <c r="G7" s="72"/>
      <c r="H7" s="161"/>
      <c r="I7" s="3"/>
      <c r="J7" s="3"/>
      <c r="K7" s="3"/>
      <c r="L7" s="4"/>
      <c r="O7" s="11" t="s">
        <v>177</v>
      </c>
      <c r="P7"/>
      <c r="Q7" s="2">
        <f>Q10+Q8</f>
        <v>1368.9000000000015</v>
      </c>
      <c r="R7">
        <v>0</v>
      </c>
      <c r="T7" s="83"/>
      <c r="W7" s="92">
        <v>42823</v>
      </c>
      <c r="X7" s="10">
        <v>97.85</v>
      </c>
      <c r="Y7" s="39">
        <v>97.85</v>
      </c>
      <c r="Z7" s="39">
        <v>97</v>
      </c>
      <c r="AA7" s="10">
        <v>97.23</v>
      </c>
      <c r="AB7" s="93">
        <v>1086100</v>
      </c>
      <c r="AC7" s="191">
        <v>97.23</v>
      </c>
      <c r="AD7" s="2">
        <f t="shared" si="0"/>
        <v>0.84999999999999432</v>
      </c>
      <c r="AE7" s="134">
        <f t="shared" si="1"/>
        <v>-7.1479628305932685E-3</v>
      </c>
      <c r="AK7" s="182"/>
      <c r="AN7" s="182"/>
    </row>
    <row r="8" spans="1:40" x14ac:dyDescent="0.25">
      <c r="B8" s="4"/>
      <c r="C8" s="4"/>
      <c r="D8" s="3"/>
      <c r="E8" s="3"/>
      <c r="F8" s="3"/>
      <c r="G8" s="4"/>
      <c r="H8" s="161"/>
      <c r="I8" s="3"/>
      <c r="J8" s="3"/>
      <c r="K8" s="3"/>
      <c r="L8" s="4"/>
      <c r="O8" s="11" t="s">
        <v>179</v>
      </c>
      <c r="Q8" s="2">
        <f>K18+M18-F18+Q2*Q4</f>
        <v>0</v>
      </c>
      <c r="W8" s="92">
        <v>42822</v>
      </c>
      <c r="X8" s="10">
        <v>97.31</v>
      </c>
      <c r="Y8" s="39">
        <v>98.7</v>
      </c>
      <c r="Z8" s="39">
        <v>96.55</v>
      </c>
      <c r="AA8" s="10">
        <v>97.93</v>
      </c>
      <c r="AB8" s="93">
        <v>1152600</v>
      </c>
      <c r="AC8" s="191">
        <v>97.93</v>
      </c>
      <c r="AD8" s="2">
        <f t="shared" si="0"/>
        <v>2.1500000000000057</v>
      </c>
      <c r="AE8" s="134">
        <f t="shared" si="1"/>
        <v>7.6139520526803395E-3</v>
      </c>
    </row>
    <row r="9" spans="1:40" x14ac:dyDescent="0.25">
      <c r="B9" s="4"/>
      <c r="C9" s="4"/>
      <c r="D9" s="3"/>
      <c r="E9" s="3"/>
      <c r="F9" s="3"/>
      <c r="G9" s="4"/>
      <c r="H9" s="161"/>
      <c r="I9" s="3"/>
      <c r="J9" s="3"/>
      <c r="K9" s="3"/>
      <c r="L9" s="4"/>
      <c r="O9" s="11" t="s">
        <v>204</v>
      </c>
      <c r="P9"/>
      <c r="Q9" s="134">
        <f>IF(Q2=0, 0, Q8/Q6)</f>
        <v>0</v>
      </c>
      <c r="W9" s="92">
        <v>42821</v>
      </c>
      <c r="X9" s="10">
        <v>96.41</v>
      </c>
      <c r="Y9" s="39">
        <v>97.71</v>
      </c>
      <c r="Z9" s="39">
        <v>95.33</v>
      </c>
      <c r="AA9" s="10">
        <v>97.19</v>
      </c>
      <c r="AB9" s="93">
        <v>1203200</v>
      </c>
      <c r="AC9" s="191">
        <v>97.19</v>
      </c>
      <c r="AD9" s="2">
        <f t="shared" si="0"/>
        <v>2.3799999999999955</v>
      </c>
      <c r="AE9" s="134">
        <f t="shared" si="1"/>
        <v>-1.1305241521069043E-3</v>
      </c>
      <c r="AK9" s="182"/>
      <c r="AN9" s="182"/>
    </row>
    <row r="10" spans="1:40" ht="12.75" customHeight="1" x14ac:dyDescent="0.25">
      <c r="H10" s="70"/>
      <c r="O10" s="11" t="s">
        <v>203</v>
      </c>
      <c r="Q10" s="2">
        <f>M48</f>
        <v>1368.9000000000015</v>
      </c>
      <c r="W10" s="92">
        <v>42818</v>
      </c>
      <c r="X10" s="10">
        <v>97.36</v>
      </c>
      <c r="Y10" s="39">
        <v>98.35</v>
      </c>
      <c r="Z10" s="39">
        <v>96.88</v>
      </c>
      <c r="AA10" s="10">
        <v>97.3</v>
      </c>
      <c r="AB10" s="93">
        <v>1265400</v>
      </c>
      <c r="AC10" s="191">
        <v>97.3</v>
      </c>
      <c r="AD10" s="2">
        <f t="shared" si="0"/>
        <v>1.4699999999999989</v>
      </c>
      <c r="AE10" s="134">
        <f t="shared" si="1"/>
        <v>8.2901554404144484E-3</v>
      </c>
    </row>
    <row r="11" spans="1:40" x14ac:dyDescent="0.25">
      <c r="H11" s="70"/>
      <c r="O11" s="11" t="s">
        <v>175</v>
      </c>
      <c r="Q11" s="134">
        <f>VALUE(TRIM(CLEAN(MID(U55, FIND("(", U55)+1, 5))))</f>
        <v>1.14E-2</v>
      </c>
      <c r="W11" s="92">
        <v>42817</v>
      </c>
      <c r="X11" s="10">
        <v>96.54</v>
      </c>
      <c r="Y11" s="39">
        <v>97.29</v>
      </c>
      <c r="Z11" s="39">
        <v>96.03</v>
      </c>
      <c r="AA11" s="10">
        <v>96.5</v>
      </c>
      <c r="AB11" s="93">
        <v>1067800</v>
      </c>
      <c r="AC11" s="191">
        <v>96.5</v>
      </c>
      <c r="AD11" s="2">
        <f t="shared" si="0"/>
        <v>1.2600000000000051</v>
      </c>
      <c r="AE11" s="134">
        <f t="shared" si="1"/>
        <v>-2.4808765763902896E-3</v>
      </c>
      <c r="AK11" s="182"/>
      <c r="AN11" s="182"/>
    </row>
    <row r="12" spans="1:40" x14ac:dyDescent="0.25">
      <c r="H12" s="70"/>
      <c r="W12" s="92">
        <v>42816</v>
      </c>
      <c r="X12" s="10">
        <v>95.47</v>
      </c>
      <c r="Y12" s="39">
        <v>96.78</v>
      </c>
      <c r="Z12" s="39">
        <v>94.59</v>
      </c>
      <c r="AA12" s="10">
        <v>96.74</v>
      </c>
      <c r="AB12" s="93">
        <v>1735100</v>
      </c>
      <c r="AC12" s="191">
        <v>96.74</v>
      </c>
      <c r="AD12" s="2">
        <f t="shared" si="0"/>
        <v>2.1899999999999977</v>
      </c>
      <c r="AE12" s="134">
        <f t="shared" si="1"/>
        <v>1.2772194304857543E-2</v>
      </c>
    </row>
    <row r="13" spans="1:40" x14ac:dyDescent="0.25">
      <c r="H13" s="70"/>
      <c r="W13" s="92">
        <v>42815</v>
      </c>
      <c r="X13" s="10">
        <v>98.37</v>
      </c>
      <c r="Y13" s="39">
        <v>98.64</v>
      </c>
      <c r="Z13" s="39">
        <v>95.34</v>
      </c>
      <c r="AA13" s="10">
        <v>95.52</v>
      </c>
      <c r="AB13" s="93">
        <v>1795100</v>
      </c>
      <c r="AC13" s="191">
        <v>95.52</v>
      </c>
      <c r="AD13" s="2">
        <f t="shared" si="0"/>
        <v>3.2999999999999972</v>
      </c>
      <c r="AE13" s="134">
        <f t="shared" si="1"/>
        <v>-2.7192178429575331E-2</v>
      </c>
      <c r="AK13" s="182"/>
      <c r="AN13" s="182"/>
    </row>
    <row r="14" spans="1:40" x14ac:dyDescent="0.25">
      <c r="H14" s="70"/>
      <c r="T14" s="82"/>
      <c r="U14" s="11"/>
      <c r="W14" s="92">
        <v>42814</v>
      </c>
      <c r="X14" s="10">
        <v>97.95</v>
      </c>
      <c r="Y14" s="39">
        <v>98.81</v>
      </c>
      <c r="Z14" s="39">
        <v>97.15</v>
      </c>
      <c r="AA14" s="10">
        <v>98.19</v>
      </c>
      <c r="AB14" s="93">
        <v>1267800</v>
      </c>
      <c r="AC14" s="191">
        <v>98.19</v>
      </c>
      <c r="AD14" s="2">
        <f t="shared" si="0"/>
        <v>1.6599999999999966</v>
      </c>
      <c r="AE14" s="134">
        <f t="shared" si="1"/>
        <v>2.6549576227916649E-3</v>
      </c>
    </row>
    <row r="15" spans="1:40" x14ac:dyDescent="0.25">
      <c r="H15" s="70"/>
      <c r="W15" s="92">
        <v>42811</v>
      </c>
      <c r="X15" s="10">
        <v>98.51</v>
      </c>
      <c r="Y15" s="39">
        <v>98.61</v>
      </c>
      <c r="Z15" s="39">
        <v>97.51</v>
      </c>
      <c r="AA15" s="10">
        <v>97.93</v>
      </c>
      <c r="AB15" s="93">
        <v>2421700</v>
      </c>
      <c r="AC15" s="191">
        <v>97.93</v>
      </c>
      <c r="AD15" s="2">
        <f t="shared" si="0"/>
        <v>1.0999999999999943</v>
      </c>
      <c r="AE15" s="134">
        <f t="shared" si="1"/>
        <v>-1.8346753643868619E-3</v>
      </c>
      <c r="AK15" s="182"/>
      <c r="AN15" s="182"/>
    </row>
    <row r="16" spans="1:40" x14ac:dyDescent="0.25">
      <c r="H16" s="70"/>
      <c r="W16" s="92">
        <v>42810</v>
      </c>
      <c r="X16" s="10">
        <v>99.22</v>
      </c>
      <c r="Y16" s="39">
        <v>99.22</v>
      </c>
      <c r="Z16" s="39">
        <v>98</v>
      </c>
      <c r="AA16" s="10">
        <v>98.11</v>
      </c>
      <c r="AB16" s="93">
        <v>1762600</v>
      </c>
      <c r="AC16" s="191">
        <v>98.11</v>
      </c>
      <c r="AD16" s="2">
        <f t="shared" si="0"/>
        <v>1.2199999999999989</v>
      </c>
      <c r="AE16" s="134">
        <f t="shared" si="1"/>
        <v>-1.0089799212995687E-2</v>
      </c>
    </row>
    <row r="17" spans="1:40" x14ac:dyDescent="0.25">
      <c r="H17" s="70"/>
      <c r="W17" s="92">
        <v>42809</v>
      </c>
      <c r="X17" s="10">
        <v>98.71</v>
      </c>
      <c r="Y17" s="39">
        <v>99.38</v>
      </c>
      <c r="Z17" s="39">
        <v>98.12</v>
      </c>
      <c r="AA17" s="10">
        <v>99.11</v>
      </c>
      <c r="AB17" s="93">
        <v>1527500</v>
      </c>
      <c r="AC17" s="191">
        <v>99.11</v>
      </c>
      <c r="AD17" s="2">
        <f t="shared" si="0"/>
        <v>1.2599999999999909</v>
      </c>
      <c r="AE17" s="134">
        <f t="shared" si="1"/>
        <v>3.2391942504301774E-3</v>
      </c>
      <c r="AK17" s="182"/>
      <c r="AN17" s="182"/>
    </row>
    <row r="18" spans="1:40" x14ac:dyDescent="0.25">
      <c r="A18" s="31" t="s">
        <v>81</v>
      </c>
      <c r="B18" s="14"/>
      <c r="C18" s="14">
        <f>SUM(C2:C7)</f>
        <v>0</v>
      </c>
      <c r="D18" s="14"/>
      <c r="E18" s="14"/>
      <c r="F18" s="18">
        <f>SUM(F2:F7)</f>
        <v>0</v>
      </c>
      <c r="G18" s="18"/>
      <c r="H18" s="71">
        <f>SUM(H2:H7)</f>
        <v>0</v>
      </c>
      <c r="I18" s="18"/>
      <c r="J18" s="18"/>
      <c r="K18" s="18">
        <f>SUM(K2:K7)</f>
        <v>0</v>
      </c>
      <c r="L18" s="18"/>
      <c r="M18" s="18">
        <f>SUM(M2:M6)</f>
        <v>0</v>
      </c>
      <c r="W18" s="92">
        <v>42808</v>
      </c>
      <c r="X18" s="10">
        <v>98.74</v>
      </c>
      <c r="Y18" s="39">
        <v>98.94</v>
      </c>
      <c r="Z18" s="39">
        <v>97.95</v>
      </c>
      <c r="AA18" s="10">
        <v>98.79</v>
      </c>
      <c r="AB18" s="93">
        <v>1214000</v>
      </c>
      <c r="AC18" s="191">
        <v>98.79</v>
      </c>
      <c r="AD18" s="2">
        <f t="shared" si="0"/>
        <v>0.98999999999999488</v>
      </c>
      <c r="AE18" s="134">
        <f t="shared" si="1"/>
        <v>-2.5242326332794995E-3</v>
      </c>
    </row>
    <row r="19" spans="1:40"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92">
        <v>42807</v>
      </c>
      <c r="X19" s="10">
        <v>98.48</v>
      </c>
      <c r="Y19" s="39">
        <v>99.34</v>
      </c>
      <c r="Z19" s="39">
        <v>98.06</v>
      </c>
      <c r="AA19" s="10">
        <v>99.04</v>
      </c>
      <c r="AB19" s="93">
        <v>2398600</v>
      </c>
      <c r="AC19" s="191">
        <v>99.04</v>
      </c>
      <c r="AD19" s="2">
        <f t="shared" si="0"/>
        <v>1.2800000000000011</v>
      </c>
      <c r="AE19" s="134">
        <f t="shared" si="1"/>
        <v>8.7594214707680251E-3</v>
      </c>
      <c r="AK19" s="182"/>
      <c r="AN19" s="182"/>
    </row>
    <row r="20" spans="1:40" x14ac:dyDescent="0.25">
      <c r="W20" s="92">
        <v>42804</v>
      </c>
      <c r="X20" s="10">
        <v>97.74</v>
      </c>
      <c r="Y20" s="39">
        <v>98.7</v>
      </c>
      <c r="Z20" s="39">
        <v>97.5</v>
      </c>
      <c r="AA20" s="10">
        <v>98.18</v>
      </c>
      <c r="AB20" s="93">
        <v>2258700</v>
      </c>
      <c r="AC20" s="191">
        <v>98.18</v>
      </c>
      <c r="AD20" s="2">
        <f t="shared" si="0"/>
        <v>1.2000000000000028</v>
      </c>
      <c r="AE20" s="134">
        <f t="shared" si="1"/>
        <v>1.0706197241095339E-2</v>
      </c>
    </row>
    <row r="21" spans="1:40" x14ac:dyDescent="0.25">
      <c r="W21" s="92">
        <v>42803</v>
      </c>
      <c r="X21" s="10">
        <v>96.21</v>
      </c>
      <c r="Y21" s="39">
        <v>97.67</v>
      </c>
      <c r="Z21" s="39">
        <v>95.06</v>
      </c>
      <c r="AA21" s="10">
        <v>97.14</v>
      </c>
      <c r="AB21" s="93">
        <v>2819000</v>
      </c>
      <c r="AC21" s="191">
        <v>97.14</v>
      </c>
      <c r="AD21" s="2">
        <f t="shared" si="0"/>
        <v>2.6099999999999994</v>
      </c>
      <c r="AE21" s="134">
        <f t="shared" si="1"/>
        <v>4.6540490226496534E-3</v>
      </c>
      <c r="AK21" s="182"/>
      <c r="AN21" s="182"/>
    </row>
    <row r="22" spans="1:40" x14ac:dyDescent="0.25">
      <c r="B22" s="162" t="s">
        <v>113</v>
      </c>
      <c r="C22" s="162" t="s">
        <v>145</v>
      </c>
      <c r="D22" s="163" t="s">
        <v>144</v>
      </c>
      <c r="E22" s="165" t="s">
        <v>146</v>
      </c>
      <c r="F22" s="165" t="s">
        <v>65</v>
      </c>
      <c r="G22" s="177" t="s">
        <v>150</v>
      </c>
      <c r="H22" s="177" t="s">
        <v>88</v>
      </c>
      <c r="I22" s="177" t="s">
        <v>153</v>
      </c>
      <c r="W22" s="92">
        <v>42802</v>
      </c>
      <c r="X22" s="10">
        <v>96.36</v>
      </c>
      <c r="Y22" s="39">
        <v>96.91</v>
      </c>
      <c r="Z22" s="39">
        <v>95.39</v>
      </c>
      <c r="AA22" s="10">
        <v>96.69</v>
      </c>
      <c r="AB22" s="93">
        <v>4067100</v>
      </c>
      <c r="AC22" s="191">
        <v>96.69</v>
      </c>
      <c r="AD22" s="2">
        <f t="shared" si="0"/>
        <v>1.519999999999996</v>
      </c>
      <c r="AE22" s="134">
        <f t="shared" si="1"/>
        <v>1.7254076801683338E-2</v>
      </c>
    </row>
    <row r="23" spans="1:40" x14ac:dyDescent="0.25">
      <c r="B23" s="164">
        <v>42546</v>
      </c>
      <c r="C23" s="357">
        <v>60</v>
      </c>
      <c r="D23" s="358">
        <v>63.32</v>
      </c>
      <c r="E23" s="39">
        <v>61.61</v>
      </c>
      <c r="F23" s="39">
        <f t="shared" ref="F23:F42" si="2">C23*(E23-D23)</f>
        <v>-102.60000000000005</v>
      </c>
      <c r="G23" s="39">
        <f t="shared" ref="G23:G42" si="3">D23*C23</f>
        <v>3799.2</v>
      </c>
      <c r="H23" s="179">
        <f t="shared" ref="H23:H42" si="4">(E23-D23)/D23</f>
        <v>-2.7005685407454214E-2</v>
      </c>
      <c r="I23" s="39"/>
      <c r="W23" s="92">
        <v>42801</v>
      </c>
      <c r="X23" s="10">
        <v>95.22</v>
      </c>
      <c r="Y23" s="39">
        <v>95.49</v>
      </c>
      <c r="Z23" s="39">
        <v>94.21</v>
      </c>
      <c r="AA23" s="10">
        <v>95.05</v>
      </c>
      <c r="AB23" s="93">
        <v>1539300</v>
      </c>
      <c r="AC23" s="191">
        <v>95.05</v>
      </c>
      <c r="AD23" s="2">
        <f t="shared" si="0"/>
        <v>1.2800000000000011</v>
      </c>
      <c r="AE23" s="134">
        <f t="shared" si="1"/>
        <v>-4.1906757464641453E-3</v>
      </c>
      <c r="AK23" s="182"/>
    </row>
    <row r="24" spans="1:40" x14ac:dyDescent="0.25">
      <c r="B24" s="164">
        <v>42548</v>
      </c>
      <c r="C24" s="218">
        <v>60</v>
      </c>
      <c r="D24" s="273">
        <v>60.935000000000002</v>
      </c>
      <c r="E24" s="273">
        <v>58.01</v>
      </c>
      <c r="F24" s="39">
        <f t="shared" si="2"/>
        <v>-175.50000000000026</v>
      </c>
      <c r="G24" s="39">
        <f t="shared" si="3"/>
        <v>3656.1000000000004</v>
      </c>
      <c r="H24" s="179">
        <f t="shared" si="4"/>
        <v>-4.8001969311561567E-2</v>
      </c>
      <c r="I24" s="39"/>
      <c r="W24" s="92">
        <v>42800</v>
      </c>
      <c r="X24" s="10">
        <v>94.21</v>
      </c>
      <c r="Y24" s="39">
        <v>95.71</v>
      </c>
      <c r="Z24" s="39">
        <v>93.43</v>
      </c>
      <c r="AA24" s="10">
        <v>95.45</v>
      </c>
      <c r="AB24" s="93">
        <v>3183600</v>
      </c>
      <c r="AC24" s="191">
        <v>95.45</v>
      </c>
      <c r="AD24" s="2">
        <f t="shared" si="0"/>
        <v>2.2799999999999869</v>
      </c>
      <c r="AE24" s="134">
        <f t="shared" si="1"/>
        <v>5.5836493889591665E-3</v>
      </c>
    </row>
    <row r="25" spans="1:40" x14ac:dyDescent="0.25">
      <c r="B25" s="164">
        <v>42549</v>
      </c>
      <c r="C25" s="366">
        <v>120</v>
      </c>
      <c r="D25" s="370">
        <v>60.935000000000002</v>
      </c>
      <c r="E25" s="273">
        <v>60.26</v>
      </c>
      <c r="F25" s="39">
        <f t="shared" si="2"/>
        <v>-81.000000000000512</v>
      </c>
      <c r="G25" s="39">
        <f t="shared" si="3"/>
        <v>7312.2000000000007</v>
      </c>
      <c r="H25" s="179">
        <f t="shared" si="4"/>
        <v>-1.1077377533437339E-2</v>
      </c>
      <c r="I25" s="39"/>
      <c r="W25" s="92">
        <v>42797</v>
      </c>
      <c r="X25" s="10">
        <v>95.03</v>
      </c>
      <c r="Y25" s="39">
        <v>95.32</v>
      </c>
      <c r="Z25" s="39">
        <v>94.16</v>
      </c>
      <c r="AA25" s="10">
        <v>94.92</v>
      </c>
      <c r="AB25" s="93">
        <v>1504800</v>
      </c>
      <c r="AC25" s="191">
        <v>94.92</v>
      </c>
      <c r="AD25" s="2">
        <f t="shared" si="0"/>
        <v>1.1599999999999966</v>
      </c>
      <c r="AE25" s="134">
        <f t="shared" si="1"/>
        <v>1.6884761502742318E-3</v>
      </c>
    </row>
    <row r="26" spans="1:40" x14ac:dyDescent="0.25">
      <c r="B26" s="164">
        <v>42550</v>
      </c>
      <c r="C26" s="218">
        <v>120</v>
      </c>
      <c r="D26" s="273">
        <v>60.935000000000002</v>
      </c>
      <c r="E26" s="273">
        <v>61.73</v>
      </c>
      <c r="F26" s="39">
        <f t="shared" si="2"/>
        <v>95.399999999999352</v>
      </c>
      <c r="G26" s="39">
        <f t="shared" si="3"/>
        <v>7312.2000000000007</v>
      </c>
      <c r="H26" s="179">
        <f t="shared" si="4"/>
        <v>1.304668909493714E-2</v>
      </c>
      <c r="I26" s="39"/>
      <c r="W26" s="92">
        <v>42796</v>
      </c>
      <c r="X26" s="10">
        <v>96.98</v>
      </c>
      <c r="Y26" s="39">
        <v>97.57</v>
      </c>
      <c r="Z26" s="39">
        <v>94.71</v>
      </c>
      <c r="AA26" s="10">
        <v>94.76</v>
      </c>
      <c r="AB26" s="93">
        <v>2347100</v>
      </c>
      <c r="AC26" s="191">
        <v>94.76</v>
      </c>
      <c r="AD26" s="2">
        <f t="shared" si="0"/>
        <v>2.8599999999999994</v>
      </c>
      <c r="AE26" s="134">
        <f t="shared" si="1"/>
        <v>-2.0467231755220028E-2</v>
      </c>
    </row>
    <row r="27" spans="1:40" x14ac:dyDescent="0.25">
      <c r="B27" s="164">
        <v>42551</v>
      </c>
      <c r="C27" s="354">
        <v>60</v>
      </c>
      <c r="D27" s="361">
        <v>59.007199999999997</v>
      </c>
      <c r="E27" s="273">
        <v>63.28</v>
      </c>
      <c r="F27" s="39">
        <f t="shared" si="2"/>
        <v>256.36800000000022</v>
      </c>
      <c r="G27" s="39">
        <f t="shared" si="3"/>
        <v>3540.4319999999998</v>
      </c>
      <c r="H27" s="179">
        <f t="shared" si="4"/>
        <v>7.2411502325140042E-2</v>
      </c>
      <c r="I27" s="39"/>
      <c r="W27" s="92">
        <v>42795</v>
      </c>
      <c r="X27" s="10">
        <v>95.97</v>
      </c>
      <c r="Y27" s="39">
        <v>97.15</v>
      </c>
      <c r="Z27" s="39">
        <v>94.37</v>
      </c>
      <c r="AA27" s="10">
        <v>96.74</v>
      </c>
      <c r="AB27" s="93">
        <v>2312500</v>
      </c>
      <c r="AC27" s="191">
        <v>96.74</v>
      </c>
      <c r="AD27" s="2">
        <f t="shared" si="0"/>
        <v>2.7800000000000011</v>
      </c>
      <c r="AE27" s="134">
        <f t="shared" si="1"/>
        <v>2.0356502478641403E-2</v>
      </c>
    </row>
    <row r="28" spans="1:40" x14ac:dyDescent="0.25">
      <c r="B28" s="164">
        <v>42552</v>
      </c>
      <c r="C28" s="218">
        <v>60</v>
      </c>
      <c r="D28" s="273">
        <v>59.007199999999997</v>
      </c>
      <c r="E28" s="273">
        <v>62.6</v>
      </c>
      <c r="F28" s="39">
        <f t="shared" si="2"/>
        <v>215.56800000000024</v>
      </c>
      <c r="G28" s="39">
        <f t="shared" si="3"/>
        <v>3540.4319999999998</v>
      </c>
      <c r="H28" s="179">
        <f t="shared" si="4"/>
        <v>6.0887484917094933E-2</v>
      </c>
      <c r="I28" s="39"/>
      <c r="W28" s="92">
        <v>42794</v>
      </c>
      <c r="X28" s="10">
        <v>95.61</v>
      </c>
      <c r="Y28" s="39">
        <v>95.85</v>
      </c>
      <c r="Z28" s="39">
        <v>94</v>
      </c>
      <c r="AA28" s="10">
        <v>94.81</v>
      </c>
      <c r="AB28" s="93">
        <v>1719500</v>
      </c>
      <c r="AC28" s="191">
        <v>94.81</v>
      </c>
      <c r="AD28" s="2">
        <f t="shared" si="0"/>
        <v>1.8499999999999943</v>
      </c>
      <c r="AE28" s="134">
        <f t="shared" si="1"/>
        <v>-8.5747150475791178E-3</v>
      </c>
    </row>
    <row r="29" spans="1:40" x14ac:dyDescent="0.25">
      <c r="B29" s="164">
        <v>42556</v>
      </c>
      <c r="C29" s="218">
        <v>60</v>
      </c>
      <c r="D29" s="273">
        <v>59.007199999999997</v>
      </c>
      <c r="E29" s="273">
        <v>58.82</v>
      </c>
      <c r="F29" s="39">
        <f t="shared" si="2"/>
        <v>-11.231999999999829</v>
      </c>
      <c r="G29" s="39">
        <f t="shared" si="3"/>
        <v>3540.4319999999998</v>
      </c>
      <c r="H29" s="179">
        <f t="shared" si="4"/>
        <v>-3.1724942040970787E-3</v>
      </c>
      <c r="I29" s="39"/>
      <c r="W29" s="92">
        <v>42793</v>
      </c>
      <c r="X29" s="10">
        <v>94.54</v>
      </c>
      <c r="Y29" s="39">
        <v>95.68</v>
      </c>
      <c r="Z29" s="39">
        <v>93.85</v>
      </c>
      <c r="AA29" s="10">
        <v>95.63</v>
      </c>
      <c r="AB29" s="93">
        <v>1243000</v>
      </c>
      <c r="AC29" s="191">
        <v>95.63</v>
      </c>
      <c r="AD29" s="2">
        <f t="shared" si="0"/>
        <v>1.8300000000000125</v>
      </c>
      <c r="AE29" s="134">
        <f t="shared" si="1"/>
        <v>9.8204857444561533E-3</v>
      </c>
    </row>
    <row r="30" spans="1:40" x14ac:dyDescent="0.25">
      <c r="B30" s="164">
        <v>42557</v>
      </c>
      <c r="C30" s="341">
        <v>90</v>
      </c>
      <c r="D30" s="45">
        <v>58.531399999999998</v>
      </c>
      <c r="E30" s="273">
        <v>59.16</v>
      </c>
      <c r="F30" s="39">
        <f t="shared" si="2"/>
        <v>56.573999999999884</v>
      </c>
      <c r="G30" s="39">
        <f t="shared" si="3"/>
        <v>5267.826</v>
      </c>
      <c r="H30" s="179">
        <f t="shared" si="4"/>
        <v>1.0739534677113459E-2</v>
      </c>
      <c r="I30" s="39"/>
      <c r="W30" s="92">
        <v>42790</v>
      </c>
      <c r="X30" s="10">
        <v>94.24</v>
      </c>
      <c r="Y30" s="39">
        <v>95</v>
      </c>
      <c r="Z30" s="39">
        <v>93.02</v>
      </c>
      <c r="AA30" s="10">
        <v>94.7</v>
      </c>
      <c r="AB30" s="93">
        <v>1445600</v>
      </c>
      <c r="AC30" s="191">
        <v>94.7</v>
      </c>
      <c r="AD30" s="2">
        <f t="shared" si="0"/>
        <v>1.980000000000004</v>
      </c>
      <c r="AE30" s="134">
        <f t="shared" si="1"/>
        <v>-6.4001678732557021E-3</v>
      </c>
    </row>
    <row r="31" spans="1:40" x14ac:dyDescent="0.25">
      <c r="B31" s="164">
        <v>42562</v>
      </c>
      <c r="C31" s="218">
        <v>90</v>
      </c>
      <c r="D31" s="273">
        <v>58.531399999999998</v>
      </c>
      <c r="E31" s="273">
        <v>64.64</v>
      </c>
      <c r="F31" s="39">
        <f t="shared" si="2"/>
        <v>549.77400000000023</v>
      </c>
      <c r="G31" s="39">
        <f t="shared" si="3"/>
        <v>5267.826</v>
      </c>
      <c r="H31" s="179">
        <f t="shared" si="4"/>
        <v>0.1043644949548448</v>
      </c>
      <c r="I31" s="39"/>
      <c r="W31" s="92">
        <v>42789</v>
      </c>
      <c r="X31" s="10">
        <v>96.86</v>
      </c>
      <c r="Y31" s="39">
        <v>96.94</v>
      </c>
      <c r="Z31" s="39">
        <v>94.3</v>
      </c>
      <c r="AA31" s="10">
        <v>95.31</v>
      </c>
      <c r="AB31" s="93">
        <v>1639300</v>
      </c>
      <c r="AC31" s="191">
        <v>95.31</v>
      </c>
      <c r="AD31" s="2">
        <f t="shared" si="0"/>
        <v>2.6400000000000006</v>
      </c>
      <c r="AE31" s="134">
        <f t="shared" si="1"/>
        <v>-1.4476269258608121E-2</v>
      </c>
    </row>
    <row r="32" spans="1:40" x14ac:dyDescent="0.25">
      <c r="B32" s="164">
        <v>42563</v>
      </c>
      <c r="C32" s="218">
        <v>90</v>
      </c>
      <c r="D32" s="273">
        <v>58.531399999999998</v>
      </c>
      <c r="E32" s="273">
        <v>65.8</v>
      </c>
      <c r="F32" s="39">
        <f t="shared" si="2"/>
        <v>654.17399999999998</v>
      </c>
      <c r="G32" s="39">
        <f t="shared" si="3"/>
        <v>5267.826</v>
      </c>
      <c r="H32" s="179">
        <f t="shared" si="4"/>
        <v>0.12418291720341559</v>
      </c>
      <c r="I32" s="39"/>
      <c r="W32" s="92">
        <v>42788</v>
      </c>
      <c r="X32" s="10">
        <v>96.49</v>
      </c>
      <c r="Y32" s="39">
        <v>97.17</v>
      </c>
      <c r="Z32" s="39">
        <v>96.04</v>
      </c>
      <c r="AA32" s="10">
        <v>96.71</v>
      </c>
      <c r="AB32" s="93">
        <v>1397100</v>
      </c>
      <c r="AC32" s="191">
        <v>96.71</v>
      </c>
      <c r="AD32" s="2">
        <f t="shared" si="0"/>
        <v>1.1299999999999955</v>
      </c>
      <c r="AE32" s="134">
        <f t="shared" si="1"/>
        <v>1.4497255876566584E-3</v>
      </c>
    </row>
    <row r="33" spans="1:31" x14ac:dyDescent="0.25">
      <c r="B33" s="164">
        <v>42569</v>
      </c>
      <c r="C33" s="218">
        <v>90</v>
      </c>
      <c r="D33" s="273">
        <v>58.531399999999998</v>
      </c>
      <c r="E33" s="273">
        <v>68.7</v>
      </c>
      <c r="F33" s="39">
        <f t="shared" si="2"/>
        <v>915.17400000000043</v>
      </c>
      <c r="G33" s="39">
        <f t="shared" si="3"/>
        <v>5267.826</v>
      </c>
      <c r="H33" s="179">
        <f t="shared" si="4"/>
        <v>0.17372897282484281</v>
      </c>
      <c r="I33" s="39"/>
      <c r="W33" s="92">
        <v>42787</v>
      </c>
      <c r="X33" s="10">
        <v>96.63</v>
      </c>
      <c r="Y33" s="39">
        <v>97.51</v>
      </c>
      <c r="Z33" s="39">
        <v>95.7</v>
      </c>
      <c r="AA33" s="10">
        <v>96.57</v>
      </c>
      <c r="AB33" s="93">
        <v>2553500</v>
      </c>
      <c r="AC33" s="191">
        <v>96.57</v>
      </c>
      <c r="AD33" s="2">
        <f t="shared" si="0"/>
        <v>1.8100000000000023</v>
      </c>
      <c r="AE33" s="134">
        <f t="shared" si="1"/>
        <v>2.2833419823560241E-3</v>
      </c>
    </row>
    <row r="34" spans="1:31" x14ac:dyDescent="0.25">
      <c r="B34" s="164">
        <v>42570</v>
      </c>
      <c r="C34" s="218">
        <v>90</v>
      </c>
      <c r="D34" s="273">
        <v>58.531399999999998</v>
      </c>
      <c r="E34" s="273">
        <v>68.33</v>
      </c>
      <c r="F34" s="39">
        <f t="shared" si="2"/>
        <v>881.87400000000002</v>
      </c>
      <c r="G34" s="39">
        <f t="shared" si="3"/>
        <v>5267.826</v>
      </c>
      <c r="H34" s="179">
        <f t="shared" si="4"/>
        <v>0.1674075795214193</v>
      </c>
      <c r="I34" s="39"/>
      <c r="W34" s="92">
        <v>42783</v>
      </c>
      <c r="X34" s="10">
        <v>92.24</v>
      </c>
      <c r="Y34" s="39">
        <v>96.67</v>
      </c>
      <c r="Z34" s="39">
        <v>91.92</v>
      </c>
      <c r="AA34" s="10">
        <v>96.35</v>
      </c>
      <c r="AB34" s="93">
        <v>5405100</v>
      </c>
      <c r="AC34" s="191">
        <v>96.35</v>
      </c>
      <c r="AD34" s="2">
        <f t="shared" si="0"/>
        <v>4.75</v>
      </c>
      <c r="AE34" s="134">
        <f t="shared" si="1"/>
        <v>4.2410472790219478E-2</v>
      </c>
    </row>
    <row r="35" spans="1:31" x14ac:dyDescent="0.25">
      <c r="B35" s="164">
        <v>42571</v>
      </c>
      <c r="C35" s="218">
        <v>90</v>
      </c>
      <c r="D35" s="273">
        <v>58.531399999999998</v>
      </c>
      <c r="E35" s="273">
        <v>69.489999999999995</v>
      </c>
      <c r="F35" s="39">
        <f t="shared" si="2"/>
        <v>986.27399999999977</v>
      </c>
      <c r="G35" s="39">
        <f t="shared" si="3"/>
        <v>5267.826</v>
      </c>
      <c r="H35" s="179">
        <f t="shared" si="4"/>
        <v>0.18722600176999007</v>
      </c>
      <c r="I35" s="39"/>
      <c r="W35" s="92">
        <v>42782</v>
      </c>
      <c r="X35" s="10">
        <v>92.34</v>
      </c>
      <c r="Y35" s="39">
        <v>92.56</v>
      </c>
      <c r="Z35" s="39">
        <v>91.6</v>
      </c>
      <c r="AA35" s="10">
        <v>92.43</v>
      </c>
      <c r="AB35" s="93">
        <v>1287000</v>
      </c>
      <c r="AC35" s="191">
        <v>92.43</v>
      </c>
      <c r="AD35" s="2">
        <f t="shared" si="0"/>
        <v>0.96000000000000796</v>
      </c>
      <c r="AE35" s="134">
        <f t="shared" si="1"/>
        <v>3.2562683165093809E-3</v>
      </c>
    </row>
    <row r="36" spans="1:31" ht="20.25" thickBot="1" x14ac:dyDescent="0.35">
      <c r="B36" s="164">
        <v>42572</v>
      </c>
      <c r="C36" s="218">
        <v>90</v>
      </c>
      <c r="D36" s="273">
        <v>58.531399999999998</v>
      </c>
      <c r="E36" s="273">
        <v>70.92</v>
      </c>
      <c r="F36" s="39">
        <f t="shared" si="2"/>
        <v>1114.9740000000004</v>
      </c>
      <c r="G36" s="39">
        <f t="shared" si="3"/>
        <v>5267.826</v>
      </c>
      <c r="H36" s="179">
        <f t="shared" si="4"/>
        <v>0.21165733264538358</v>
      </c>
      <c r="I36" s="39" t="s">
        <v>240</v>
      </c>
      <c r="O36" s="11"/>
      <c r="P36" s="195" t="s">
        <v>78</v>
      </c>
      <c r="Q36" s="195"/>
      <c r="R36" s="33"/>
      <c r="W36" s="92">
        <v>42781</v>
      </c>
      <c r="X36" s="10">
        <v>92.02</v>
      </c>
      <c r="Y36" s="39">
        <v>92.61</v>
      </c>
      <c r="Z36" s="39">
        <v>91.25</v>
      </c>
      <c r="AA36" s="10">
        <v>92.13</v>
      </c>
      <c r="AB36" s="93">
        <v>1559300</v>
      </c>
      <c r="AC36" s="191">
        <v>92.13</v>
      </c>
      <c r="AD36" s="2">
        <f t="shared" si="0"/>
        <v>1.3599999999999994</v>
      </c>
      <c r="AE36" s="134">
        <f t="shared" si="1"/>
        <v>3.5947712418300526E-3</v>
      </c>
    </row>
    <row r="37" spans="1:31" ht="15.75" thickTop="1" x14ac:dyDescent="0.25">
      <c r="B37" s="164">
        <v>42575</v>
      </c>
      <c r="C37" s="218">
        <v>110</v>
      </c>
      <c r="D37" s="273">
        <v>59.467500000000001</v>
      </c>
      <c r="E37" s="273">
        <v>64.81</v>
      </c>
      <c r="F37" s="39">
        <f t="shared" si="2"/>
        <v>587.67500000000018</v>
      </c>
      <c r="G37" s="39">
        <f t="shared" si="3"/>
        <v>6541.4250000000002</v>
      </c>
      <c r="H37" s="179">
        <f t="shared" si="4"/>
        <v>8.9838987682347521E-2</v>
      </c>
      <c r="I37" s="39"/>
      <c r="O37" s="2"/>
      <c r="P37" s="81">
        <v>1.1000000000000001</v>
      </c>
      <c r="Q37" s="81">
        <f>P37*$Q$4</f>
        <v>81.312000000000012</v>
      </c>
      <c r="R37" s="33"/>
      <c r="W37" s="92">
        <v>42780</v>
      </c>
      <c r="X37" s="10">
        <v>92.32</v>
      </c>
      <c r="Y37" s="39">
        <v>92.48</v>
      </c>
      <c r="Z37" s="39">
        <v>90.53</v>
      </c>
      <c r="AA37" s="10">
        <v>91.8</v>
      </c>
      <c r="AB37" s="93">
        <v>1610400</v>
      </c>
      <c r="AC37" s="191">
        <v>91.8</v>
      </c>
      <c r="AD37" s="2">
        <f t="shared" si="0"/>
        <v>1.9500000000000028</v>
      </c>
      <c r="AE37" s="134">
        <f t="shared" si="1"/>
        <v>-8.9603800064773642E-3</v>
      </c>
    </row>
    <row r="38" spans="1:31" x14ac:dyDescent="0.25">
      <c r="B38" s="164">
        <v>42577</v>
      </c>
      <c r="C38" s="218">
        <v>110</v>
      </c>
      <c r="D38" s="273">
        <v>59.467500000000001</v>
      </c>
      <c r="E38" s="273">
        <v>65.87</v>
      </c>
      <c r="F38" s="39">
        <f t="shared" si="2"/>
        <v>704.27500000000032</v>
      </c>
      <c r="G38" s="39">
        <f t="shared" si="3"/>
        <v>6541.4250000000002</v>
      </c>
      <c r="H38" s="179">
        <f t="shared" si="4"/>
        <v>0.10766385000210205</v>
      </c>
      <c r="I38" s="39" t="s">
        <v>245</v>
      </c>
      <c r="O38" s="2"/>
      <c r="P38" s="81">
        <v>1.0900000000000001</v>
      </c>
      <c r="Q38" s="81">
        <f t="shared" ref="Q38:Q57" si="5">P38*$Q$4</f>
        <v>80.572800000000001</v>
      </c>
      <c r="R38" s="33"/>
      <c r="W38" s="92">
        <v>42779</v>
      </c>
      <c r="X38" s="10">
        <v>92.69</v>
      </c>
      <c r="Y38" s="39">
        <v>93.3</v>
      </c>
      <c r="Z38" s="39">
        <v>92.27</v>
      </c>
      <c r="AA38" s="10">
        <v>92.63</v>
      </c>
      <c r="AB38" s="93">
        <v>1290100</v>
      </c>
      <c r="AC38" s="191">
        <v>92.63</v>
      </c>
      <c r="AD38" s="2">
        <f t="shared" si="0"/>
        <v>1.0300000000000011</v>
      </c>
      <c r="AE38" s="134">
        <f t="shared" si="1"/>
        <v>4.5548205183820745E-3</v>
      </c>
    </row>
    <row r="39" spans="1:31" ht="20.25" thickBot="1" x14ac:dyDescent="0.35">
      <c r="B39" s="164">
        <v>42585</v>
      </c>
      <c r="C39" s="218">
        <v>110</v>
      </c>
      <c r="D39" s="273">
        <v>59.467500000000001</v>
      </c>
      <c r="E39" s="273">
        <v>65.040000000000006</v>
      </c>
      <c r="F39" s="39">
        <f t="shared" si="2"/>
        <v>612.97500000000059</v>
      </c>
      <c r="G39" s="39">
        <f t="shared" si="3"/>
        <v>6541.4250000000002</v>
      </c>
      <c r="H39" s="179">
        <f t="shared" si="4"/>
        <v>9.370664648757733E-2</v>
      </c>
      <c r="I39" s="39"/>
      <c r="O39" s="2"/>
      <c r="P39" s="81">
        <v>1.08</v>
      </c>
      <c r="Q39" s="81">
        <f t="shared" si="5"/>
        <v>79.833600000000004</v>
      </c>
      <c r="R39" s="33"/>
      <c r="T39" s="89" t="s">
        <v>112</v>
      </c>
      <c r="W39" s="92">
        <v>42776</v>
      </c>
      <c r="X39" s="10">
        <v>92.73</v>
      </c>
      <c r="Y39" s="39">
        <v>92.75</v>
      </c>
      <c r="Z39" s="39">
        <v>91.41</v>
      </c>
      <c r="AA39" s="10">
        <v>92.21</v>
      </c>
      <c r="AB39" s="93">
        <v>1947300</v>
      </c>
      <c r="AC39" s="191">
        <v>92.21</v>
      </c>
      <c r="AD39" s="2">
        <f t="shared" si="0"/>
        <v>1.3400000000000034</v>
      </c>
      <c r="AE39" s="134">
        <f t="shared" si="1"/>
        <v>-2.8117227208824813E-3</v>
      </c>
    </row>
    <row r="40" spans="1:31" ht="15.75" thickTop="1" x14ac:dyDescent="0.25">
      <c r="B40" s="164">
        <v>42586</v>
      </c>
      <c r="C40" s="7">
        <v>90</v>
      </c>
      <c r="D40" s="43">
        <v>58.038400000000003</v>
      </c>
      <c r="E40" s="39">
        <v>65.81</v>
      </c>
      <c r="F40" s="39">
        <f t="shared" si="2"/>
        <v>699.44399999999996</v>
      </c>
      <c r="G40" s="39">
        <f t="shared" si="3"/>
        <v>5223.4560000000001</v>
      </c>
      <c r="H40" s="179">
        <f t="shared" si="4"/>
        <v>0.13390444946793845</v>
      </c>
      <c r="I40" s="39"/>
      <c r="O40" s="2"/>
      <c r="P40" s="81">
        <v>1.07</v>
      </c>
      <c r="Q40" s="81">
        <f t="shared" si="5"/>
        <v>79.094400000000007</v>
      </c>
      <c r="R40" s="81"/>
      <c r="T40" s="95" t="s">
        <v>97</v>
      </c>
      <c r="U40" s="126">
        <v>99.35</v>
      </c>
      <c r="W40" s="92">
        <v>42775</v>
      </c>
      <c r="X40" s="10">
        <v>92.07</v>
      </c>
      <c r="Y40" s="39">
        <v>93.13</v>
      </c>
      <c r="Z40" s="39">
        <v>91.24</v>
      </c>
      <c r="AA40" s="10">
        <v>92.47</v>
      </c>
      <c r="AB40" s="93">
        <v>2753400</v>
      </c>
      <c r="AC40" s="191">
        <v>92.47</v>
      </c>
      <c r="AD40" s="2">
        <f t="shared" si="0"/>
        <v>1.8900000000000006</v>
      </c>
      <c r="AE40" s="134">
        <f t="shared" si="1"/>
        <v>8.5069255098702001E-3</v>
      </c>
    </row>
    <row r="41" spans="1:31" x14ac:dyDescent="0.25">
      <c r="B41" s="164">
        <v>42597</v>
      </c>
      <c r="C41" s="10">
        <v>20</v>
      </c>
      <c r="D41" s="39">
        <v>26.503</v>
      </c>
      <c r="E41" s="39">
        <v>69.5</v>
      </c>
      <c r="F41" s="39">
        <f t="shared" si="2"/>
        <v>859.94</v>
      </c>
      <c r="G41" s="39">
        <f t="shared" si="3"/>
        <v>530.05999999999995</v>
      </c>
      <c r="H41" s="179">
        <f t="shared" si="4"/>
        <v>1.6223446402294079</v>
      </c>
      <c r="I41" s="39"/>
      <c r="O41" s="2"/>
      <c r="P41" s="81">
        <v>1.06</v>
      </c>
      <c r="Q41" s="81">
        <f t="shared" si="5"/>
        <v>78.355200000000011</v>
      </c>
      <c r="R41" s="81"/>
      <c r="T41" s="85" t="s">
        <v>98</v>
      </c>
      <c r="U41" s="127">
        <v>99.56</v>
      </c>
      <c r="W41" s="92">
        <v>42774</v>
      </c>
      <c r="X41" s="10">
        <v>91.61</v>
      </c>
      <c r="Y41" s="39">
        <v>92.34</v>
      </c>
      <c r="Z41" s="39">
        <v>90.94</v>
      </c>
      <c r="AA41" s="10">
        <v>91.69</v>
      </c>
      <c r="AB41" s="93">
        <v>1861700</v>
      </c>
      <c r="AC41" s="191">
        <v>91.69</v>
      </c>
      <c r="AD41" s="2">
        <f t="shared" si="0"/>
        <v>1.4000000000000057</v>
      </c>
      <c r="AE41" s="134">
        <f t="shared" si="1"/>
        <v>-9.8060579646985779E-4</v>
      </c>
    </row>
    <row r="42" spans="1:31" x14ac:dyDescent="0.25">
      <c r="B42" s="164">
        <v>42600</v>
      </c>
      <c r="C42" s="10">
        <v>20</v>
      </c>
      <c r="D42" s="39">
        <v>26.503</v>
      </c>
      <c r="E42" s="39">
        <v>71.8</v>
      </c>
      <c r="F42" s="39">
        <f t="shared" si="2"/>
        <v>905.93999999999994</v>
      </c>
      <c r="G42" s="39">
        <f t="shared" si="3"/>
        <v>530.05999999999995</v>
      </c>
      <c r="H42" s="179">
        <f t="shared" si="4"/>
        <v>1.7091272686111005</v>
      </c>
      <c r="I42" s="39"/>
      <c r="O42" s="2"/>
      <c r="P42" s="81">
        <v>1.05</v>
      </c>
      <c r="Q42" s="81">
        <f t="shared" si="5"/>
        <v>77.616</v>
      </c>
      <c r="R42" s="81"/>
      <c r="T42" s="85" t="s">
        <v>99</v>
      </c>
      <c r="U42" s="127" t="s">
        <v>596</v>
      </c>
      <c r="W42" s="92">
        <v>42773</v>
      </c>
      <c r="X42" s="10">
        <v>91.4</v>
      </c>
      <c r="Y42" s="39">
        <v>92.2</v>
      </c>
      <c r="Z42" s="39">
        <v>91.17</v>
      </c>
      <c r="AA42" s="10">
        <v>91.78</v>
      </c>
      <c r="AB42" s="93">
        <v>1305600</v>
      </c>
      <c r="AC42" s="191">
        <v>91.78</v>
      </c>
      <c r="AD42" s="2">
        <f t="shared" si="0"/>
        <v>1.0300000000000011</v>
      </c>
      <c r="AE42" s="134">
        <f t="shared" si="1"/>
        <v>4.2674253200569723E-3</v>
      </c>
    </row>
    <row r="43" spans="1:31" x14ac:dyDescent="0.25">
      <c r="B43" s="164">
        <v>42604</v>
      </c>
      <c r="C43" s="10">
        <v>0</v>
      </c>
      <c r="D43" s="39"/>
      <c r="E43" s="39"/>
      <c r="F43" s="39">
        <v>923.51</v>
      </c>
      <c r="G43" s="39"/>
      <c r="H43" s="179"/>
      <c r="I43" s="39"/>
      <c r="O43" s="2"/>
      <c r="P43" s="81">
        <v>1.04</v>
      </c>
      <c r="Q43" s="81">
        <f t="shared" si="5"/>
        <v>76.876800000000003</v>
      </c>
      <c r="R43" s="81"/>
      <c r="T43" s="85" t="s">
        <v>100</v>
      </c>
      <c r="U43" s="127" t="s">
        <v>597</v>
      </c>
      <c r="W43" s="92">
        <v>42772</v>
      </c>
      <c r="X43" s="10">
        <v>91.45</v>
      </c>
      <c r="Y43" s="39">
        <v>91.58</v>
      </c>
      <c r="Z43" s="39">
        <v>90.71</v>
      </c>
      <c r="AA43" s="10">
        <v>91.39</v>
      </c>
      <c r="AB43" s="93">
        <v>1458800</v>
      </c>
      <c r="AC43" s="191">
        <v>91.39</v>
      </c>
      <c r="AD43" s="2">
        <f t="shared" si="0"/>
        <v>0.87000000000000455</v>
      </c>
      <c r="AE43" s="134">
        <f t="shared" si="1"/>
        <v>-1.8567059851464229E-3</v>
      </c>
    </row>
    <row r="44" spans="1:31" x14ac:dyDescent="0.25">
      <c r="B44" s="164"/>
      <c r="C44" s="10"/>
      <c r="D44" s="39"/>
      <c r="E44" s="39"/>
      <c r="F44" s="39"/>
      <c r="G44" s="39"/>
      <c r="H44" s="179"/>
      <c r="I44" s="39"/>
      <c r="O44" s="2"/>
      <c r="P44" s="81">
        <v>1.03</v>
      </c>
      <c r="Q44" s="81">
        <f t="shared" si="5"/>
        <v>76.137600000000006</v>
      </c>
      <c r="R44" s="81"/>
      <c r="T44" s="85" t="s">
        <v>101</v>
      </c>
      <c r="U44" s="127">
        <v>98.09</v>
      </c>
      <c r="W44" s="92">
        <v>42769</v>
      </c>
      <c r="X44" s="10">
        <v>91.32</v>
      </c>
      <c r="Y44" s="39">
        <v>91.91</v>
      </c>
      <c r="Z44" s="39">
        <v>90.88</v>
      </c>
      <c r="AA44" s="10">
        <v>91.56</v>
      </c>
      <c r="AB44" s="93">
        <v>1272500</v>
      </c>
      <c r="AC44" s="191">
        <v>91.56</v>
      </c>
      <c r="AD44" s="2">
        <f t="shared" si="0"/>
        <v>1.0300000000000011</v>
      </c>
      <c r="AE44" s="134">
        <f t="shared" si="1"/>
        <v>4.9390846229833141E-3</v>
      </c>
    </row>
    <row r="45" spans="1:31" x14ac:dyDescent="0.25">
      <c r="B45" s="164"/>
      <c r="C45" s="10"/>
      <c r="D45" s="39"/>
      <c r="E45" s="39"/>
      <c r="F45" s="39"/>
      <c r="G45" s="39"/>
      <c r="H45" s="179"/>
      <c r="I45" s="39"/>
      <c r="O45" s="2"/>
      <c r="P45" s="81">
        <v>1.02</v>
      </c>
      <c r="Q45" s="81">
        <f t="shared" si="5"/>
        <v>75.398400000000009</v>
      </c>
      <c r="R45" s="81"/>
      <c r="T45" s="85" t="s">
        <v>102</v>
      </c>
      <c r="U45" s="127">
        <v>0.72515300000000005</v>
      </c>
      <c r="W45" s="92">
        <v>42768</v>
      </c>
      <c r="X45" s="10">
        <v>90.8</v>
      </c>
      <c r="Y45" s="39">
        <v>91.54</v>
      </c>
      <c r="Z45" s="39">
        <v>90.06</v>
      </c>
      <c r="AA45" s="10">
        <v>91.11</v>
      </c>
      <c r="AB45" s="93">
        <v>2524600</v>
      </c>
      <c r="AC45" s="191">
        <v>91.11</v>
      </c>
      <c r="AD45" s="2">
        <f t="shared" si="0"/>
        <v>1.480000000000004</v>
      </c>
      <c r="AE45" s="134">
        <f t="shared" si="1"/>
        <v>-6.8672334859384287E-3</v>
      </c>
    </row>
    <row r="46" spans="1:31" x14ac:dyDescent="0.25">
      <c r="O46" s="2"/>
      <c r="P46" s="81">
        <v>1.01</v>
      </c>
      <c r="Q46" s="81">
        <f t="shared" si="5"/>
        <v>74.659199999999998</v>
      </c>
      <c r="R46" s="81"/>
      <c r="T46" s="85" t="s">
        <v>121</v>
      </c>
      <c r="U46" s="92" t="s">
        <v>361</v>
      </c>
      <c r="W46" s="92">
        <v>42767</v>
      </c>
      <c r="X46" s="10">
        <v>93.54</v>
      </c>
      <c r="Y46" s="39">
        <v>94.49</v>
      </c>
      <c r="Z46" s="39">
        <v>91.31</v>
      </c>
      <c r="AA46" s="10">
        <v>91.74</v>
      </c>
      <c r="AB46" s="93">
        <v>3804800</v>
      </c>
      <c r="AC46" s="191">
        <v>91.74</v>
      </c>
      <c r="AD46" s="2">
        <f t="shared" si="0"/>
        <v>3.1799999999999926</v>
      </c>
      <c r="AE46" s="134">
        <f t="shared" si="1"/>
        <v>0</v>
      </c>
    </row>
    <row r="47" spans="1:31" x14ac:dyDescent="0.25">
      <c r="O47" s="2"/>
      <c r="P47" s="81">
        <v>1</v>
      </c>
      <c r="Q47" s="81">
        <f t="shared" si="5"/>
        <v>73.92</v>
      </c>
      <c r="R47" s="81"/>
      <c r="T47" s="85"/>
      <c r="U47" s="127"/>
      <c r="W47" s="92">
        <v>42766</v>
      </c>
      <c r="X47" s="10">
        <v>92.32</v>
      </c>
      <c r="Y47" s="39">
        <v>92.48</v>
      </c>
      <c r="Z47" s="39">
        <v>90.28</v>
      </c>
      <c r="AA47" s="10">
        <v>91.74</v>
      </c>
      <c r="AB47" s="93">
        <v>2486500</v>
      </c>
      <c r="AC47" s="191">
        <v>91.74</v>
      </c>
      <c r="AD47" s="2">
        <f t="shared" si="0"/>
        <v>2.2000000000000028</v>
      </c>
      <c r="AE47" s="134" t="e">
        <f t="shared" si="1"/>
        <v>#DIV/0!</v>
      </c>
    </row>
    <row r="48" spans="1:31" x14ac:dyDescent="0.25">
      <c r="A48" s="197"/>
      <c r="B48" s="197"/>
      <c r="C48" s="197"/>
      <c r="D48" s="198"/>
      <c r="E48" s="198"/>
      <c r="F48" s="198"/>
      <c r="G48" s="197"/>
      <c r="H48" s="197"/>
      <c r="I48" s="198"/>
      <c r="J48" s="198"/>
      <c r="K48" s="198"/>
      <c r="L48" s="197" t="s">
        <v>65</v>
      </c>
      <c r="M48" s="291">
        <f>M74+K74-F74</f>
        <v>1368.9000000000015</v>
      </c>
      <c r="O48" s="2"/>
      <c r="P48" s="81">
        <v>0.99</v>
      </c>
      <c r="Q48" s="81">
        <f t="shared" si="5"/>
        <v>73.180800000000005</v>
      </c>
      <c r="R48" s="81"/>
      <c r="T48" s="85" t="s">
        <v>104</v>
      </c>
      <c r="U48" s="127" t="s">
        <v>598</v>
      </c>
      <c r="W48" s="92">
        <v>42766</v>
      </c>
      <c r="X48" s="10" t="s">
        <v>304</v>
      </c>
      <c r="Y48" s="39"/>
      <c r="Z48" s="39"/>
      <c r="AA48" s="10"/>
      <c r="AB48" s="93"/>
      <c r="AC48" s="191"/>
      <c r="AD48" s="2">
        <f t="shared" si="0"/>
        <v>0</v>
      </c>
      <c r="AE48" s="134">
        <f t="shared" si="1"/>
        <v>-1</v>
      </c>
    </row>
    <row r="49" spans="1:31" x14ac:dyDescent="0.25">
      <c r="A49" s="199" t="s">
        <v>1</v>
      </c>
      <c r="B49" s="199" t="s">
        <v>2</v>
      </c>
      <c r="C49" s="199" t="s">
        <v>4</v>
      </c>
      <c r="D49" s="200" t="s">
        <v>5</v>
      </c>
      <c r="E49" s="200" t="s">
        <v>90</v>
      </c>
      <c r="F49" s="200" t="s">
        <v>60</v>
      </c>
      <c r="G49" s="199" t="s">
        <v>3</v>
      </c>
      <c r="H49" s="199" t="s">
        <v>6</v>
      </c>
      <c r="I49" s="200" t="s">
        <v>7</v>
      </c>
      <c r="J49" s="200" t="s">
        <v>89</v>
      </c>
      <c r="K49" s="200" t="s">
        <v>61</v>
      </c>
      <c r="L49" s="199" t="s">
        <v>77</v>
      </c>
      <c r="M49" s="199" t="s">
        <v>38</v>
      </c>
      <c r="O49" s="2"/>
      <c r="P49" s="81">
        <v>0.98</v>
      </c>
      <c r="Q49" s="81">
        <f t="shared" si="5"/>
        <v>72.441599999999994</v>
      </c>
      <c r="R49" s="81"/>
      <c r="T49" s="85" t="s">
        <v>105</v>
      </c>
      <c r="U49" s="127" t="s">
        <v>599</v>
      </c>
      <c r="W49" s="92">
        <v>42765</v>
      </c>
      <c r="X49" s="10">
        <v>91.43</v>
      </c>
      <c r="Y49" s="39">
        <v>93.08</v>
      </c>
      <c r="Z49" s="39">
        <v>90.22</v>
      </c>
      <c r="AA49" s="10">
        <v>92.99</v>
      </c>
      <c r="AB49" s="93">
        <v>2482200</v>
      </c>
      <c r="AC49" s="191">
        <v>92.71</v>
      </c>
      <c r="AD49" s="2">
        <f t="shared" si="0"/>
        <v>2.8599999999999994</v>
      </c>
      <c r="AE49" s="134">
        <f t="shared" si="1"/>
        <v>1.0683527744467236E-2</v>
      </c>
    </row>
    <row r="50" spans="1:31" x14ac:dyDescent="0.25">
      <c r="A50" s="201" t="s">
        <v>169</v>
      </c>
      <c r="B50" s="202">
        <v>42374</v>
      </c>
      <c r="C50" s="197">
        <v>30</v>
      </c>
      <c r="D50" s="198">
        <v>73.8</v>
      </c>
      <c r="E50" s="198">
        <v>0</v>
      </c>
      <c r="F50" s="198">
        <f t="shared" ref="F50:F55" si="6">C50*D50+E50</f>
        <v>2214</v>
      </c>
      <c r="G50" s="202">
        <v>42398</v>
      </c>
      <c r="H50" s="203">
        <v>30</v>
      </c>
      <c r="I50" s="198">
        <v>68.8</v>
      </c>
      <c r="J50" s="198">
        <v>0.04</v>
      </c>
      <c r="K50" s="198">
        <f t="shared" ref="K50:K55" si="7">I50*H50-J50</f>
        <v>2063.96</v>
      </c>
      <c r="L50" s="202">
        <v>42432</v>
      </c>
      <c r="M50" s="198">
        <v>31.2</v>
      </c>
      <c r="O50" s="2"/>
      <c r="P50" s="81">
        <v>0.97</v>
      </c>
      <c r="Q50" s="81">
        <f t="shared" si="5"/>
        <v>71.702399999999997</v>
      </c>
      <c r="R50" s="81"/>
      <c r="T50" s="85" t="s">
        <v>106</v>
      </c>
      <c r="U50" s="128">
        <v>2024960</v>
      </c>
      <c r="W50" s="92">
        <v>42762</v>
      </c>
      <c r="X50" s="10">
        <v>91.55</v>
      </c>
      <c r="Y50" s="39">
        <v>92.44</v>
      </c>
      <c r="Z50" s="39">
        <v>91.25</v>
      </c>
      <c r="AA50" s="10">
        <v>92.01</v>
      </c>
      <c r="AB50" s="93">
        <v>1705900</v>
      </c>
      <c r="AC50" s="191">
        <v>91.73</v>
      </c>
      <c r="AD50" s="2">
        <f t="shared" si="0"/>
        <v>1.1899999999999977</v>
      </c>
      <c r="AE50" s="134">
        <f t="shared" si="1"/>
        <v>1.0910293145250272E-2</v>
      </c>
    </row>
    <row r="51" spans="1:31" x14ac:dyDescent="0.25">
      <c r="A51" s="204"/>
      <c r="B51" s="202">
        <v>42375</v>
      </c>
      <c r="C51" s="197">
        <v>30</v>
      </c>
      <c r="D51" s="198">
        <v>69.3</v>
      </c>
      <c r="E51" s="198">
        <v>0</v>
      </c>
      <c r="F51" s="198">
        <f t="shared" si="6"/>
        <v>2079</v>
      </c>
      <c r="G51" s="202">
        <v>42416</v>
      </c>
      <c r="H51" s="197">
        <v>30</v>
      </c>
      <c r="I51" s="198">
        <v>61.3</v>
      </c>
      <c r="J51" s="198">
        <v>0.04</v>
      </c>
      <c r="K51" s="198">
        <f t="shared" si="7"/>
        <v>1838.96</v>
      </c>
      <c r="L51" s="197"/>
      <c r="M51" s="197"/>
      <c r="O51" s="2"/>
      <c r="P51" s="81">
        <v>0.96</v>
      </c>
      <c r="Q51" s="81">
        <f t="shared" si="5"/>
        <v>70.963200000000001</v>
      </c>
      <c r="R51" s="81"/>
      <c r="T51" s="85" t="s">
        <v>109</v>
      </c>
      <c r="U51" s="128">
        <v>2406800</v>
      </c>
      <c r="W51" s="92">
        <v>42761</v>
      </c>
      <c r="X51" s="10">
        <v>92</v>
      </c>
      <c r="Y51" s="39">
        <v>92.64</v>
      </c>
      <c r="Z51" s="39">
        <v>90.94</v>
      </c>
      <c r="AA51" s="10">
        <v>91.01</v>
      </c>
      <c r="AB51" s="93">
        <v>2343900</v>
      </c>
      <c r="AC51" s="191">
        <v>90.74</v>
      </c>
      <c r="AD51" s="2">
        <f t="shared" si="0"/>
        <v>1.7000000000000028</v>
      </c>
      <c r="AE51" s="134">
        <f t="shared" si="1"/>
        <v>-9.280489136368697E-3</v>
      </c>
    </row>
    <row r="52" spans="1:31" x14ac:dyDescent="0.25">
      <c r="A52" s="197"/>
      <c r="B52" s="202">
        <v>42380</v>
      </c>
      <c r="C52" s="197">
        <v>30</v>
      </c>
      <c r="D52" s="198">
        <v>65.400000000000006</v>
      </c>
      <c r="E52" s="198">
        <v>0</v>
      </c>
      <c r="F52" s="198">
        <f t="shared" si="6"/>
        <v>1962.0000000000002</v>
      </c>
      <c r="G52" s="202">
        <v>42429</v>
      </c>
      <c r="H52" s="203">
        <v>30</v>
      </c>
      <c r="I52" s="198">
        <v>67.5</v>
      </c>
      <c r="J52" s="198">
        <v>0.04</v>
      </c>
      <c r="K52" s="198">
        <f t="shared" si="7"/>
        <v>2024.96</v>
      </c>
      <c r="L52" s="197"/>
      <c r="M52" s="197"/>
      <c r="O52" s="2"/>
      <c r="P52" s="81">
        <v>0.95</v>
      </c>
      <c r="Q52" s="81">
        <f t="shared" si="5"/>
        <v>70.224000000000004</v>
      </c>
      <c r="R52" s="81"/>
      <c r="T52" s="85" t="s">
        <v>107</v>
      </c>
      <c r="U52" s="127" t="s">
        <v>600</v>
      </c>
      <c r="W52" s="92">
        <v>42760</v>
      </c>
      <c r="X52" s="10">
        <v>93</v>
      </c>
      <c r="Y52" s="39">
        <v>93.78</v>
      </c>
      <c r="Z52" s="39">
        <v>91.32</v>
      </c>
      <c r="AA52" s="10">
        <v>91.87</v>
      </c>
      <c r="AB52" s="93">
        <v>3220300</v>
      </c>
      <c r="AC52" s="191">
        <v>91.59</v>
      </c>
      <c r="AD52" s="2">
        <f t="shared" si="0"/>
        <v>2.460000000000008</v>
      </c>
      <c r="AE52" s="134">
        <f t="shared" si="1"/>
        <v>-4.3482987281224794E-3</v>
      </c>
    </row>
    <row r="53" spans="1:31" x14ac:dyDescent="0.25">
      <c r="A53" s="197"/>
      <c r="B53" s="202">
        <v>42402</v>
      </c>
      <c r="C53" s="211">
        <v>30</v>
      </c>
      <c r="D53" s="290">
        <v>67.2</v>
      </c>
      <c r="E53" s="290">
        <v>0</v>
      </c>
      <c r="F53" s="290">
        <f t="shared" si="6"/>
        <v>2016</v>
      </c>
      <c r="G53" s="202">
        <v>42430</v>
      </c>
      <c r="H53" s="203">
        <v>30</v>
      </c>
      <c r="I53" s="198">
        <v>69.349999999999994</v>
      </c>
      <c r="J53" s="198">
        <v>0.05</v>
      </c>
      <c r="K53" s="198">
        <f t="shared" si="7"/>
        <v>2080.4499999999998</v>
      </c>
      <c r="L53" s="197"/>
      <c r="M53" s="197"/>
      <c r="O53" s="2"/>
      <c r="P53" s="81">
        <v>0.94</v>
      </c>
      <c r="Q53" s="81">
        <f t="shared" si="5"/>
        <v>69.484799999999993</v>
      </c>
      <c r="R53" s="81"/>
      <c r="T53" s="85" t="s">
        <v>110</v>
      </c>
      <c r="U53" s="127">
        <v>20.92</v>
      </c>
      <c r="W53" s="92">
        <v>42759</v>
      </c>
      <c r="X53" s="10">
        <v>90.31</v>
      </c>
      <c r="Y53" s="39">
        <v>92.74</v>
      </c>
      <c r="Z53" s="39">
        <v>90.31</v>
      </c>
      <c r="AA53" s="10">
        <v>92.27</v>
      </c>
      <c r="AB53" s="93">
        <v>4553300</v>
      </c>
      <c r="AC53" s="191">
        <v>91.99</v>
      </c>
      <c r="AD53" s="2">
        <f t="shared" si="0"/>
        <v>2.4299999999999926</v>
      </c>
      <c r="AE53" s="134">
        <f t="shared" si="1"/>
        <v>2.3248053392658452E-2</v>
      </c>
    </row>
    <row r="54" spans="1:31" x14ac:dyDescent="0.25">
      <c r="A54" s="197"/>
      <c r="B54" s="202">
        <v>42405</v>
      </c>
      <c r="C54" s="197">
        <v>30</v>
      </c>
      <c r="D54" s="198">
        <v>62.75</v>
      </c>
      <c r="E54" s="198">
        <v>0</v>
      </c>
      <c r="F54" s="198">
        <f t="shared" si="6"/>
        <v>1882.5</v>
      </c>
      <c r="G54" s="202">
        <v>42433</v>
      </c>
      <c r="H54" s="203">
        <v>30</v>
      </c>
      <c r="I54" s="198">
        <v>73.45</v>
      </c>
      <c r="J54" s="198">
        <v>0.05</v>
      </c>
      <c r="K54" s="198">
        <f t="shared" si="7"/>
        <v>2203.4499999999998</v>
      </c>
      <c r="L54" s="197"/>
      <c r="M54" s="197"/>
      <c r="O54" s="2"/>
      <c r="P54" s="81">
        <v>0.93</v>
      </c>
      <c r="Q54" s="81">
        <f t="shared" si="5"/>
        <v>68.74560000000001</v>
      </c>
      <c r="R54" s="81"/>
      <c r="T54" s="85" t="s">
        <v>111</v>
      </c>
      <c r="U54" s="127">
        <v>4.7300000000000004</v>
      </c>
      <c r="W54" s="92">
        <v>42758</v>
      </c>
      <c r="X54" s="10">
        <v>88.87</v>
      </c>
      <c r="Y54" s="39">
        <v>91.07</v>
      </c>
      <c r="Z54" s="39">
        <v>87.72</v>
      </c>
      <c r="AA54" s="10">
        <v>90.17</v>
      </c>
      <c r="AB54" s="93">
        <v>6523200</v>
      </c>
      <c r="AC54" s="191">
        <v>89.9</v>
      </c>
      <c r="AD54" s="2">
        <f t="shared" si="0"/>
        <v>3.3499999999999943</v>
      </c>
      <c r="AE54" s="134">
        <f t="shared" si="1"/>
        <v>1.6968325791855143E-2</v>
      </c>
    </row>
    <row r="55" spans="1:31" x14ac:dyDescent="0.25">
      <c r="A55" s="197"/>
      <c r="B55" s="202">
        <v>42429</v>
      </c>
      <c r="C55" s="197">
        <v>30</v>
      </c>
      <c r="D55" s="198">
        <v>66.75</v>
      </c>
      <c r="E55" s="198">
        <v>0</v>
      </c>
      <c r="F55" s="198">
        <f t="shared" si="6"/>
        <v>2002.5</v>
      </c>
      <c r="G55" s="202">
        <v>42440</v>
      </c>
      <c r="H55" s="203">
        <v>30</v>
      </c>
      <c r="I55" s="198">
        <v>72.55</v>
      </c>
      <c r="J55" s="198">
        <v>0.05</v>
      </c>
      <c r="K55" s="198">
        <f t="shared" si="7"/>
        <v>2176.4499999999998</v>
      </c>
      <c r="L55" s="197"/>
      <c r="M55" s="197"/>
      <c r="O55" s="2"/>
      <c r="P55" s="81">
        <v>0.92</v>
      </c>
      <c r="Q55" s="81">
        <f t="shared" si="5"/>
        <v>68.006399999999999</v>
      </c>
      <c r="R55" s="81"/>
      <c r="T55" s="85" t="s">
        <v>108</v>
      </c>
      <c r="U55" s="127" t="s">
        <v>520</v>
      </c>
      <c r="W55" s="92">
        <v>42755</v>
      </c>
      <c r="X55" s="10">
        <v>85</v>
      </c>
      <c r="Y55" s="39">
        <v>88.9</v>
      </c>
      <c r="Z55" s="39">
        <v>84.69</v>
      </c>
      <c r="AA55" s="10">
        <v>88.67</v>
      </c>
      <c r="AB55" s="93">
        <v>15776700</v>
      </c>
      <c r="AC55" s="191">
        <v>88.4</v>
      </c>
      <c r="AD55" s="2">
        <f t="shared" si="0"/>
        <v>4.210000000000008</v>
      </c>
      <c r="AE55" s="134">
        <f t="shared" si="1"/>
        <v>0.13014574277678359</v>
      </c>
    </row>
    <row r="56" spans="1:31" x14ac:dyDescent="0.25">
      <c r="A56" s="197"/>
      <c r="B56" s="202">
        <v>42502</v>
      </c>
      <c r="C56" s="197">
        <v>30</v>
      </c>
      <c r="D56" s="198">
        <v>61.79</v>
      </c>
      <c r="E56" s="198">
        <v>0</v>
      </c>
      <c r="F56" s="198">
        <v>1853.7</v>
      </c>
      <c r="G56" s="197">
        <v>42544</v>
      </c>
      <c r="H56" s="197">
        <v>30</v>
      </c>
      <c r="I56" s="198">
        <v>66.83</v>
      </c>
      <c r="J56" s="198">
        <v>0.04</v>
      </c>
      <c r="K56" s="198">
        <v>2004.86</v>
      </c>
      <c r="L56" s="197"/>
      <c r="M56" s="197"/>
      <c r="O56" s="2"/>
      <c r="P56" s="81">
        <v>0.91</v>
      </c>
      <c r="Q56" s="81">
        <f t="shared" si="5"/>
        <v>67.267200000000003</v>
      </c>
      <c r="R56" s="81"/>
      <c r="W56" s="92">
        <v>42754</v>
      </c>
      <c r="X56" s="10">
        <v>78.87</v>
      </c>
      <c r="Y56" s="39">
        <v>79.45</v>
      </c>
      <c r="Z56" s="39">
        <v>78.180000000000007</v>
      </c>
      <c r="AA56" s="10">
        <v>78.459999999999994</v>
      </c>
      <c r="AB56" s="93">
        <v>4062400</v>
      </c>
      <c r="AC56" s="191">
        <v>78.22</v>
      </c>
      <c r="AD56" s="2">
        <f t="shared" si="0"/>
        <v>1.269999999999996</v>
      </c>
      <c r="AE56" s="134">
        <f t="shared" si="1"/>
        <v>-1.0249272428191847E-2</v>
      </c>
    </row>
    <row r="57" spans="1:31" x14ac:dyDescent="0.25">
      <c r="A57" s="197"/>
      <c r="B57" s="197"/>
      <c r="C57" s="197"/>
      <c r="D57" s="198"/>
      <c r="E57" s="198"/>
      <c r="F57" s="198"/>
      <c r="G57" s="197"/>
      <c r="H57" s="197"/>
      <c r="I57" s="198"/>
      <c r="J57" s="198"/>
      <c r="K57" s="198"/>
      <c r="L57" s="197"/>
      <c r="M57" s="197"/>
      <c r="O57" s="2"/>
      <c r="P57" s="81">
        <v>0.9</v>
      </c>
      <c r="Q57" s="81">
        <f t="shared" si="5"/>
        <v>66.528000000000006</v>
      </c>
      <c r="R57" s="81"/>
      <c r="W57" s="92">
        <v>42753</v>
      </c>
      <c r="X57" s="10">
        <v>77.39</v>
      </c>
      <c r="Y57" s="39">
        <v>79.27</v>
      </c>
      <c r="Z57" s="39">
        <v>77.16</v>
      </c>
      <c r="AA57" s="10">
        <v>79.27</v>
      </c>
      <c r="AB57" s="93">
        <v>3106100</v>
      </c>
      <c r="AC57" s="191">
        <v>79.03</v>
      </c>
      <c r="AD57" s="2">
        <f t="shared" si="0"/>
        <v>2.1099999999999994</v>
      </c>
      <c r="AE57" s="134">
        <f t="shared" si="1"/>
        <v>3.0915731802765523E-2</v>
      </c>
    </row>
    <row r="58" spans="1:31" x14ac:dyDescent="0.25">
      <c r="A58" s="201"/>
      <c r="B58" s="202">
        <v>42545</v>
      </c>
      <c r="C58" s="197">
        <v>60</v>
      </c>
      <c r="D58" s="198">
        <v>63.32</v>
      </c>
      <c r="E58" s="198">
        <v>0</v>
      </c>
      <c r="F58" s="198">
        <f>C58*D58+E58</f>
        <v>3799.2</v>
      </c>
      <c r="G58" s="202">
        <v>42551</v>
      </c>
      <c r="H58" s="203">
        <v>60</v>
      </c>
      <c r="I58" s="198">
        <v>62.98</v>
      </c>
      <c r="J58" s="198">
        <v>7.03</v>
      </c>
      <c r="K58" s="198">
        <f>I58*H58-J58</f>
        <v>3771.7699999999995</v>
      </c>
      <c r="L58" s="202">
        <v>42607</v>
      </c>
      <c r="M58" s="198">
        <v>30.8</v>
      </c>
      <c r="W58" s="92">
        <v>42752</v>
      </c>
      <c r="X58" s="10">
        <v>77.64</v>
      </c>
      <c r="Y58" s="39">
        <v>78.430000000000007</v>
      </c>
      <c r="Z58" s="39">
        <v>76.489999999999995</v>
      </c>
      <c r="AA58" s="10">
        <v>76.89</v>
      </c>
      <c r="AB58" s="93">
        <v>2391300</v>
      </c>
      <c r="AC58" s="191">
        <v>76.66</v>
      </c>
      <c r="AD58" s="2">
        <f t="shared" si="0"/>
        <v>1.9400000000000119</v>
      </c>
      <c r="AE58" s="134">
        <f t="shared" si="1"/>
        <v>-1.8312203867332677E-2</v>
      </c>
    </row>
    <row r="59" spans="1:31" x14ac:dyDescent="0.25">
      <c r="A59" s="204"/>
      <c r="B59" s="202">
        <v>42548</v>
      </c>
      <c r="C59" s="197">
        <v>60</v>
      </c>
      <c r="D59" s="198">
        <v>58.55</v>
      </c>
      <c r="E59" s="198">
        <v>0</v>
      </c>
      <c r="F59" s="198">
        <f>C59*D59+E59</f>
        <v>3513</v>
      </c>
      <c r="G59" s="202">
        <v>42587</v>
      </c>
      <c r="H59" s="203">
        <v>20</v>
      </c>
      <c r="I59" s="198">
        <v>65.900000000000006</v>
      </c>
      <c r="J59" s="198">
        <v>0.03</v>
      </c>
      <c r="K59" s="198">
        <f>I59*H59-J59</f>
        <v>1317.97</v>
      </c>
      <c r="L59" s="197"/>
      <c r="M59" s="197"/>
      <c r="W59" s="92">
        <v>42748</v>
      </c>
      <c r="X59" s="10">
        <v>76.91</v>
      </c>
      <c r="Y59" s="39">
        <v>78.489999999999995</v>
      </c>
      <c r="Z59" s="39">
        <v>76.69</v>
      </c>
      <c r="AA59" s="10">
        <v>78.33</v>
      </c>
      <c r="AB59" s="93">
        <v>1963400</v>
      </c>
      <c r="AC59" s="191">
        <v>78.09</v>
      </c>
      <c r="AD59" s="2">
        <f t="shared" si="0"/>
        <v>1.7999999999999972</v>
      </c>
      <c r="AE59" s="134">
        <f t="shared" si="1"/>
        <v>2.0517511761630969E-2</v>
      </c>
    </row>
    <row r="60" spans="1:31" x14ac:dyDescent="0.25">
      <c r="A60" s="197"/>
      <c r="B60" s="202">
        <v>42557</v>
      </c>
      <c r="C60" s="197">
        <v>30</v>
      </c>
      <c r="D60" s="198">
        <v>57.58</v>
      </c>
      <c r="E60" s="198">
        <v>0</v>
      </c>
      <c r="F60" s="198">
        <f>C60*D60+E60</f>
        <v>1727.3999999999999</v>
      </c>
      <c r="G60" s="202">
        <v>42593</v>
      </c>
      <c r="H60" s="203">
        <v>70</v>
      </c>
      <c r="I60" s="198">
        <v>67.05</v>
      </c>
      <c r="J60" s="198">
        <v>0.1</v>
      </c>
      <c r="K60" s="198">
        <f>I60*H60-J60</f>
        <v>4693.3999999999996</v>
      </c>
      <c r="L60" s="197"/>
      <c r="M60" s="197"/>
      <c r="W60" s="92">
        <v>42747</v>
      </c>
      <c r="X60" s="10">
        <v>76.2</v>
      </c>
      <c r="Y60" s="39">
        <v>76.91</v>
      </c>
      <c r="Z60" s="39">
        <v>74.67</v>
      </c>
      <c r="AA60" s="10">
        <v>76.75</v>
      </c>
      <c r="AB60" s="93">
        <v>4264800</v>
      </c>
      <c r="AC60" s="191">
        <v>76.52</v>
      </c>
      <c r="AD60" s="2">
        <f t="shared" si="0"/>
        <v>2.2399999999999949</v>
      </c>
      <c r="AE60" s="134">
        <f t="shared" si="1"/>
        <v>-2.1107841883075462E-2</v>
      </c>
    </row>
    <row r="61" spans="1:31" x14ac:dyDescent="0.25">
      <c r="A61" s="197"/>
      <c r="B61" s="202">
        <v>42573</v>
      </c>
      <c r="C61" s="211">
        <v>20</v>
      </c>
      <c r="D61" s="290">
        <v>63.68</v>
      </c>
      <c r="E61" s="290">
        <v>0</v>
      </c>
      <c r="F61" s="198">
        <f>C61*D61+E61</f>
        <v>1273.5999999999999</v>
      </c>
      <c r="G61" s="202">
        <v>42604</v>
      </c>
      <c r="H61" s="203">
        <v>20</v>
      </c>
      <c r="I61" s="198">
        <v>72.680000000000007</v>
      </c>
      <c r="J61" s="198">
        <v>0.03</v>
      </c>
      <c r="K61" s="198">
        <f>I61*H61-J61</f>
        <v>1453.5700000000002</v>
      </c>
      <c r="L61" s="197"/>
      <c r="M61" s="197"/>
      <c r="W61" s="92">
        <v>42746</v>
      </c>
      <c r="X61" s="10">
        <v>77.33</v>
      </c>
      <c r="Y61" s="39">
        <v>78.72</v>
      </c>
      <c r="Z61" s="39">
        <v>76.510000000000005</v>
      </c>
      <c r="AA61" s="10">
        <v>78.41</v>
      </c>
      <c r="AB61" s="93">
        <v>2119900</v>
      </c>
      <c r="AC61" s="191">
        <v>78.17</v>
      </c>
      <c r="AD61" s="2">
        <f t="shared" si="0"/>
        <v>2.2099999999999937</v>
      </c>
      <c r="AE61" s="134">
        <f t="shared" si="1"/>
        <v>1.4141152049818473E-2</v>
      </c>
    </row>
    <row r="62" spans="1:31" x14ac:dyDescent="0.25">
      <c r="A62" s="197"/>
      <c r="B62" s="202"/>
      <c r="C62" s="197"/>
      <c r="D62" s="198"/>
      <c r="E62" s="198"/>
      <c r="F62" s="198"/>
      <c r="G62" s="202"/>
      <c r="H62" s="203"/>
      <c r="I62" s="198"/>
      <c r="J62" s="198"/>
      <c r="K62" s="198"/>
      <c r="L62" s="197"/>
      <c r="M62" s="197"/>
      <c r="W62" s="92">
        <v>42745</v>
      </c>
      <c r="X62" s="10">
        <v>75.69</v>
      </c>
      <c r="Y62" s="39">
        <v>77.52</v>
      </c>
      <c r="Z62" s="39">
        <v>75.66</v>
      </c>
      <c r="AA62" s="10">
        <v>77.31</v>
      </c>
      <c r="AB62" s="93">
        <v>1768600</v>
      </c>
      <c r="AC62" s="191">
        <v>77.08</v>
      </c>
      <c r="AD62" s="2">
        <f t="shared" si="0"/>
        <v>1.8599999999999994</v>
      </c>
      <c r="AE62" s="134">
        <f t="shared" si="1"/>
        <v>2.2010076902678311E-2</v>
      </c>
    </row>
    <row r="63" spans="1:31" x14ac:dyDescent="0.25">
      <c r="A63" s="197"/>
      <c r="B63" s="202"/>
      <c r="C63" s="197"/>
      <c r="D63" s="198"/>
      <c r="E63" s="198"/>
      <c r="F63" s="198"/>
      <c r="G63" s="202"/>
      <c r="H63" s="203"/>
      <c r="I63" s="198"/>
      <c r="J63" s="198"/>
      <c r="K63" s="198"/>
      <c r="L63" s="197"/>
      <c r="M63" s="197"/>
      <c r="W63" s="92">
        <v>42744</v>
      </c>
      <c r="X63" s="10">
        <v>75.959999999999994</v>
      </c>
      <c r="Y63" s="39">
        <v>76.959999999999994</v>
      </c>
      <c r="Z63" s="39">
        <v>75.23</v>
      </c>
      <c r="AA63" s="10">
        <v>75.650000000000006</v>
      </c>
      <c r="AB63" s="93">
        <v>2331200</v>
      </c>
      <c r="AC63" s="191">
        <v>75.42</v>
      </c>
      <c r="AD63" s="2">
        <f t="shared" si="0"/>
        <v>1.7299999999999898</v>
      </c>
      <c r="AE63" s="134">
        <f t="shared" si="1"/>
        <v>9.233239662786108E-3</v>
      </c>
    </row>
    <row r="64" spans="1:31" x14ac:dyDescent="0.25">
      <c r="A64" s="197"/>
      <c r="B64" s="197"/>
      <c r="C64" s="197"/>
      <c r="D64" s="198"/>
      <c r="E64" s="198"/>
      <c r="F64" s="198"/>
      <c r="G64" s="197"/>
      <c r="H64" s="203"/>
      <c r="I64" s="198"/>
      <c r="J64" s="198"/>
      <c r="K64" s="198"/>
      <c r="L64" s="197"/>
      <c r="M64" s="197"/>
      <c r="W64" s="92">
        <v>42741</v>
      </c>
      <c r="X64" s="10">
        <v>74.819999999999993</v>
      </c>
      <c r="Y64" s="39">
        <v>75.48</v>
      </c>
      <c r="Z64" s="39">
        <v>74.319999999999993</v>
      </c>
      <c r="AA64" s="10">
        <v>74.959999999999994</v>
      </c>
      <c r="AB64" s="93">
        <v>1608700</v>
      </c>
      <c r="AC64" s="191">
        <v>74.73</v>
      </c>
      <c r="AD64" s="2">
        <f t="shared" si="0"/>
        <v>1.1600000000000108</v>
      </c>
      <c r="AE64" s="134">
        <f t="shared" si="1"/>
        <v>5.1109616677875724E-3</v>
      </c>
    </row>
    <row r="65" spans="1:31" x14ac:dyDescent="0.25">
      <c r="A65" s="197"/>
      <c r="B65" s="197"/>
      <c r="C65" s="197"/>
      <c r="D65" s="198"/>
      <c r="E65" s="198"/>
      <c r="F65" s="198"/>
      <c r="G65" s="197"/>
      <c r="H65" s="203"/>
      <c r="I65" s="198"/>
      <c r="J65" s="198"/>
      <c r="K65" s="198"/>
      <c r="L65" s="197"/>
      <c r="M65" s="197"/>
      <c r="W65" s="92">
        <v>42740</v>
      </c>
      <c r="X65" s="10">
        <v>74.66</v>
      </c>
      <c r="Y65" s="39">
        <v>75.38</v>
      </c>
      <c r="Z65" s="39">
        <v>73.94</v>
      </c>
      <c r="AA65" s="10">
        <v>74.569999999999993</v>
      </c>
      <c r="AB65" s="93">
        <v>1832600</v>
      </c>
      <c r="AC65" s="191">
        <v>74.349999999999994</v>
      </c>
      <c r="AD65" s="2">
        <f t="shared" si="0"/>
        <v>1.4399999999999977</v>
      </c>
      <c r="AE65" s="134">
        <f t="shared" si="1"/>
        <v>-5.4842161583735782E-3</v>
      </c>
    </row>
    <row r="66" spans="1:31" x14ac:dyDescent="0.25">
      <c r="A66" s="197"/>
      <c r="B66" s="197"/>
      <c r="C66" s="197"/>
      <c r="D66" s="198"/>
      <c r="E66" s="198"/>
      <c r="F66" s="198"/>
      <c r="G66" s="197"/>
      <c r="H66" s="203"/>
      <c r="I66" s="198"/>
      <c r="J66" s="198"/>
      <c r="K66" s="198"/>
      <c r="L66" s="197"/>
      <c r="M66" s="197"/>
      <c r="W66" s="92">
        <v>42739</v>
      </c>
      <c r="X66" s="10">
        <v>75.459999999999994</v>
      </c>
      <c r="Y66" s="39">
        <v>75.66</v>
      </c>
      <c r="Z66" s="39">
        <v>74.5</v>
      </c>
      <c r="AA66" s="10">
        <v>74.989999999999995</v>
      </c>
      <c r="AB66" s="93">
        <v>1683900</v>
      </c>
      <c r="AC66" s="191">
        <v>74.760000000000005</v>
      </c>
      <c r="AD66" s="2">
        <f t="shared" si="0"/>
        <v>1.1599999999999966</v>
      </c>
      <c r="AE66" s="134">
        <f t="shared" si="1"/>
        <v>-2.1356113187399606E-3</v>
      </c>
    </row>
    <row r="67" spans="1:31" x14ac:dyDescent="0.25">
      <c r="A67" s="197"/>
      <c r="B67" s="197"/>
      <c r="C67" s="197"/>
      <c r="D67" s="198"/>
      <c r="E67" s="198"/>
      <c r="F67" s="198"/>
      <c r="G67" s="197"/>
      <c r="H67" s="203"/>
      <c r="I67" s="198"/>
      <c r="J67" s="198"/>
      <c r="K67" s="198"/>
      <c r="L67" s="197"/>
      <c r="M67" s="197"/>
      <c r="W67" s="92">
        <v>42738</v>
      </c>
      <c r="X67" s="10">
        <v>75.22</v>
      </c>
      <c r="Y67" s="39">
        <v>76.239999999999995</v>
      </c>
      <c r="Z67" s="39">
        <v>74.400000000000006</v>
      </c>
      <c r="AA67" s="10">
        <v>75.150000000000006</v>
      </c>
      <c r="AB67" s="93">
        <v>2609400</v>
      </c>
      <c r="AC67" s="191">
        <v>74.92</v>
      </c>
      <c r="AD67" s="2">
        <f t="shared" si="0"/>
        <v>1.8399999999999892</v>
      </c>
      <c r="AE67" s="134" t="e">
        <f>AC67/#REF!-1</f>
        <v>#REF!</v>
      </c>
    </row>
    <row r="68" spans="1:31" x14ac:dyDescent="0.25">
      <c r="A68" s="197"/>
      <c r="B68" s="197"/>
      <c r="C68" s="197"/>
      <c r="D68" s="198"/>
      <c r="E68" s="198"/>
      <c r="F68" s="198"/>
      <c r="G68" s="197"/>
      <c r="H68" s="203"/>
      <c r="I68" s="198"/>
      <c r="J68" s="198"/>
      <c r="K68" s="198"/>
      <c r="L68" s="197"/>
      <c r="M68" s="197"/>
      <c r="W68" s="92">
        <v>42734</v>
      </c>
      <c r="X68" s="10">
        <v>76.83</v>
      </c>
      <c r="Y68" s="39">
        <v>76.83</v>
      </c>
      <c r="Z68" s="39">
        <v>74.319999999999993</v>
      </c>
      <c r="AA68" s="10">
        <v>74.66</v>
      </c>
      <c r="AB68" s="93">
        <v>1844400</v>
      </c>
      <c r="AC68" s="191">
        <v>74.44</v>
      </c>
      <c r="AD68" s="2" t="e">
        <f>#REF!-#REF!</f>
        <v>#REF!</v>
      </c>
      <c r="AE68" s="134" t="e">
        <f>#REF!/#REF!-1</f>
        <v>#REF!</v>
      </c>
    </row>
    <row r="69" spans="1:31" x14ac:dyDescent="0.25">
      <c r="A69" s="197"/>
      <c r="B69" s="197"/>
      <c r="C69" s="197"/>
      <c r="D69" s="198"/>
      <c r="E69" s="198"/>
      <c r="F69" s="198"/>
      <c r="G69" s="197"/>
      <c r="H69" s="203"/>
      <c r="I69" s="198"/>
      <c r="J69" s="198"/>
      <c r="K69" s="198"/>
      <c r="L69" s="197"/>
      <c r="M69" s="197"/>
      <c r="W69" s="92" t="s">
        <v>120</v>
      </c>
      <c r="X69" s="10"/>
      <c r="Y69" s="39"/>
      <c r="Z69" s="39"/>
      <c r="AA69" s="10"/>
      <c r="AB69" s="93"/>
      <c r="AC69" s="191"/>
      <c r="AD69" s="2" t="e">
        <f>#REF!-#REF!</f>
        <v>#REF!</v>
      </c>
      <c r="AE69" s="134" t="e">
        <f>#REF!/AC69-1</f>
        <v>#REF!</v>
      </c>
    </row>
    <row r="70" spans="1:31" x14ac:dyDescent="0.25">
      <c r="A70" s="197"/>
      <c r="B70" s="197"/>
      <c r="C70" s="197"/>
      <c r="D70" s="198"/>
      <c r="E70" s="198"/>
      <c r="F70" s="198"/>
      <c r="G70" s="197"/>
      <c r="H70" s="203"/>
      <c r="I70" s="198"/>
      <c r="J70" s="198"/>
      <c r="K70" s="198"/>
      <c r="L70" s="197"/>
      <c r="M70" s="197"/>
    </row>
    <row r="71" spans="1:31" x14ac:dyDescent="0.25">
      <c r="A71" s="197"/>
      <c r="B71" s="197"/>
      <c r="C71" s="197"/>
      <c r="D71" s="198"/>
      <c r="E71" s="198"/>
      <c r="F71" s="198"/>
      <c r="G71" s="197"/>
      <c r="H71" s="203"/>
      <c r="I71" s="198"/>
      <c r="J71" s="198"/>
      <c r="K71" s="198"/>
      <c r="L71" s="197"/>
      <c r="M71" s="197"/>
    </row>
    <row r="72" spans="1:31" x14ac:dyDescent="0.25">
      <c r="A72" s="197"/>
      <c r="B72" s="197"/>
      <c r="C72" s="197"/>
      <c r="D72" s="198"/>
      <c r="E72" s="198"/>
      <c r="F72" s="198"/>
      <c r="G72" s="197"/>
      <c r="H72" s="203"/>
      <c r="I72" s="198"/>
      <c r="J72" s="198"/>
      <c r="K72" s="198"/>
      <c r="L72" s="197"/>
      <c r="M72" s="197"/>
    </row>
    <row r="73" spans="1:31" x14ac:dyDescent="0.25">
      <c r="A73" s="197"/>
      <c r="B73" s="197"/>
      <c r="C73" s="197"/>
      <c r="D73" s="198"/>
      <c r="E73" s="198"/>
      <c r="F73" s="198"/>
      <c r="G73" s="197"/>
      <c r="H73" s="203"/>
      <c r="I73" s="198"/>
      <c r="J73" s="198"/>
      <c r="K73" s="198"/>
      <c r="L73" s="197"/>
      <c r="M73" s="197"/>
    </row>
    <row r="74" spans="1:31" x14ac:dyDescent="0.25">
      <c r="A74" s="31" t="s">
        <v>81</v>
      </c>
      <c r="B74" s="14"/>
      <c r="C74" s="14">
        <f>SUM(C50:C63)</f>
        <v>380</v>
      </c>
      <c r="D74" s="14"/>
      <c r="E74" s="14"/>
      <c r="F74" s="18">
        <f>SUM(F50:F63)</f>
        <v>24322.9</v>
      </c>
      <c r="G74" s="18"/>
      <c r="H74" s="71">
        <f>SUM(H50:H63)</f>
        <v>380</v>
      </c>
      <c r="I74" s="18"/>
      <c r="J74" s="18"/>
      <c r="K74" s="18">
        <f>SUM(K50:K63)</f>
        <v>25629.800000000003</v>
      </c>
      <c r="L74" s="18"/>
      <c r="M74" s="18">
        <f>SUM(M50:M62)</f>
        <v>62</v>
      </c>
    </row>
    <row r="75" spans="1:31" ht="15.75" thickBot="1" x14ac:dyDescent="0.3">
      <c r="A75" s="373" t="s">
        <v>191</v>
      </c>
      <c r="B75" s="374"/>
      <c r="C75" s="375">
        <f>SumByColor($A$19,C58:C73)</f>
        <v>0</v>
      </c>
      <c r="D75" s="375"/>
      <c r="E75" s="375"/>
      <c r="F75" s="376">
        <f>SumByColor($A$19,F58:F73)</f>
        <v>0</v>
      </c>
      <c r="G75" s="375"/>
      <c r="H75" s="375">
        <f>SumByColor($A$19,H58:H73)</f>
        <v>0</v>
      </c>
      <c r="I75" s="375"/>
      <c r="J75" s="375"/>
      <c r="K75" s="376">
        <f>SumByColor($A$19,K58:K73)</f>
        <v>0</v>
      </c>
      <c r="L75" s="375"/>
      <c r="M75" s="376">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772" priority="29">
      <formula>F40&gt;0</formula>
    </cfRule>
    <cfRule type="expression" dxfId="771" priority="30">
      <formula>F40&lt;0</formula>
    </cfRule>
  </conditionalFormatting>
  <conditionalFormatting sqref="F40:F45">
    <cfRule type="expression" dxfId="770" priority="31">
      <formula>F40&gt;0</formula>
    </cfRule>
    <cfRule type="expression" dxfId="769" priority="32">
      <formula>F40&lt;0</formula>
    </cfRule>
  </conditionalFormatting>
  <conditionalFormatting sqref="H40:H45">
    <cfRule type="expression" dxfId="768" priority="27">
      <formula>H40&gt;0</formula>
    </cfRule>
    <cfRule type="expression" dxfId="767" priority="28">
      <formula>H40&lt;0</formula>
    </cfRule>
  </conditionalFormatting>
  <conditionalFormatting sqref="F23:F39">
    <cfRule type="expression" dxfId="766" priority="13">
      <formula>F23&gt;0</formula>
    </cfRule>
    <cfRule type="expression" dxfId="765" priority="14">
      <formula>F23&lt;0</formula>
    </cfRule>
  </conditionalFormatting>
  <conditionalFormatting sqref="H23:H39">
    <cfRule type="expression" dxfId="764" priority="11">
      <formula>H23&gt;0</formula>
    </cfRule>
    <cfRule type="expression" dxfId="763" priority="12">
      <formula>H23&lt;0</formula>
    </cfRule>
  </conditionalFormatting>
  <conditionalFormatting sqref="Q7">
    <cfRule type="expression" dxfId="762" priority="9">
      <formula>Q7&gt;0</formula>
    </cfRule>
    <cfRule type="expression" dxfId="761" priority="10">
      <formula>Q7&lt;0</formula>
    </cfRule>
  </conditionalFormatting>
  <conditionalFormatting sqref="Q8">
    <cfRule type="expression" dxfId="760" priority="7">
      <formula>Q8&gt;0</formula>
    </cfRule>
    <cfRule type="expression" dxfId="759" priority="8">
      <formula>Q8&lt;0</formula>
    </cfRule>
  </conditionalFormatting>
  <conditionalFormatting sqref="Q10">
    <cfRule type="expression" dxfId="758" priority="1">
      <formula>Q10&gt;0</formula>
    </cfRule>
    <cfRule type="expression" dxfId="757"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8"/>
    <col min="5" max="5" width="9.140625" style="2"/>
    <col min="6" max="6" width="9.85546875" style="2" bestFit="1" customWidth="1"/>
    <col min="7" max="7" width="9.5703125" bestFit="1" customWidth="1"/>
    <col min="9" max="9" width="9.140625" style="78"/>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6" t="s">
        <v>5</v>
      </c>
      <c r="E1" s="20" t="s">
        <v>94</v>
      </c>
      <c r="F1" s="20" t="s">
        <v>60</v>
      </c>
      <c r="G1" s="11" t="s">
        <v>3</v>
      </c>
      <c r="H1" s="11" t="s">
        <v>6</v>
      </c>
      <c r="I1" s="76" t="s">
        <v>7</v>
      </c>
      <c r="J1" s="20" t="s">
        <v>95</v>
      </c>
      <c r="K1" s="20" t="s">
        <v>61</v>
      </c>
      <c r="L1" s="15" t="s">
        <v>37</v>
      </c>
      <c r="M1" s="15" t="s">
        <v>38</v>
      </c>
      <c r="T1" s="11" t="s">
        <v>93</v>
      </c>
      <c r="U1" s="32"/>
      <c r="W1" s="119" t="s">
        <v>113</v>
      </c>
      <c r="X1" s="109" t="s">
        <v>114</v>
      </c>
      <c r="Y1" s="109" t="s">
        <v>115</v>
      </c>
      <c r="Z1" s="109" t="s">
        <v>116</v>
      </c>
      <c r="AA1" s="109" t="s">
        <v>117</v>
      </c>
      <c r="AB1" s="106" t="s">
        <v>118</v>
      </c>
      <c r="AC1" s="106" t="s">
        <v>119</v>
      </c>
      <c r="AD1" s="11" t="s">
        <v>125</v>
      </c>
      <c r="AE1" s="11" t="s">
        <v>127</v>
      </c>
    </row>
    <row r="2" spans="1:42" x14ac:dyDescent="0.25">
      <c r="A2" s="6" t="s">
        <v>8</v>
      </c>
      <c r="B2" s="72"/>
      <c r="C2" s="161"/>
      <c r="D2" s="188"/>
      <c r="E2" s="3"/>
      <c r="F2" s="3"/>
      <c r="G2" s="72"/>
      <c r="H2" s="161"/>
      <c r="I2" s="188"/>
      <c r="J2" s="3"/>
      <c r="K2" s="3"/>
      <c r="L2" s="4"/>
      <c r="O2" s="11" t="s">
        <v>57</v>
      </c>
      <c r="Q2" s="70">
        <f>C18-H18</f>
        <v>0</v>
      </c>
      <c r="T2" s="11"/>
      <c r="W2" s="120">
        <v>42830</v>
      </c>
      <c r="X2" s="40">
        <v>74.11</v>
      </c>
      <c r="Y2" s="40">
        <v>75.05</v>
      </c>
      <c r="Z2" s="40">
        <v>73.13</v>
      </c>
      <c r="AA2" s="40">
        <v>73.430000000000007</v>
      </c>
      <c r="AB2" s="102">
        <v>1452000</v>
      </c>
      <c r="AC2" s="9">
        <v>73.430000000000007</v>
      </c>
      <c r="AD2" s="2">
        <f>Y2-Z2</f>
        <v>1.9200000000000017</v>
      </c>
      <c r="AE2" s="134">
        <f>AC2/AC3-1</f>
        <v>-5.2831211053913085E-3</v>
      </c>
    </row>
    <row r="3" spans="1:42" x14ac:dyDescent="0.25">
      <c r="A3" s="22" t="s">
        <v>71</v>
      </c>
      <c r="B3" s="72"/>
      <c r="C3" s="161"/>
      <c r="D3" s="188"/>
      <c r="E3" s="3"/>
      <c r="F3" s="3"/>
      <c r="G3" s="72"/>
      <c r="H3" s="161"/>
      <c r="I3" s="188"/>
      <c r="J3" s="3"/>
      <c r="K3" s="3"/>
      <c r="L3" s="4"/>
      <c r="O3" s="11" t="s">
        <v>75</v>
      </c>
      <c r="Q3" s="178">
        <f>IF(Q2=0, Q4, (F18-K18-M18)/Q2)</f>
        <v>83.35</v>
      </c>
      <c r="W3" s="120">
        <v>42829</v>
      </c>
      <c r="X3" s="40">
        <v>72.69</v>
      </c>
      <c r="Y3" s="40">
        <v>74.010000000000005</v>
      </c>
      <c r="Z3" s="40">
        <v>72.61</v>
      </c>
      <c r="AA3" s="40">
        <v>73.819999999999993</v>
      </c>
      <c r="AB3" s="102">
        <v>1038600</v>
      </c>
      <c r="AC3" s="9">
        <v>73.819999999999993</v>
      </c>
      <c r="AD3" s="2">
        <f t="shared" ref="AD3:AD66" si="0">Y3-Z3</f>
        <v>1.4000000000000057</v>
      </c>
      <c r="AE3" s="134">
        <f t="shared" ref="AE3:AE66" si="1">AC3/AC4-1</f>
        <v>9.9876864140100441E-3</v>
      </c>
      <c r="AJ3" s="183"/>
      <c r="AL3" s="182"/>
      <c r="AO3" s="182"/>
    </row>
    <row r="4" spans="1:42" x14ac:dyDescent="0.25">
      <c r="B4" s="72"/>
      <c r="C4" s="161"/>
      <c r="D4" s="188"/>
      <c r="E4" s="3"/>
      <c r="F4" s="3"/>
      <c r="G4" s="72"/>
      <c r="H4" s="161"/>
      <c r="I4" s="188"/>
      <c r="J4" s="3"/>
      <c r="K4" s="3"/>
      <c r="L4" s="4"/>
      <c r="O4" s="11" t="s">
        <v>66</v>
      </c>
      <c r="Q4" s="54">
        <v>83.35</v>
      </c>
      <c r="R4" s="405">
        <v>7.1999999999999998E-3</v>
      </c>
      <c r="T4" s="1"/>
      <c r="W4" s="120">
        <v>42828</v>
      </c>
      <c r="X4" s="40">
        <v>73.89</v>
      </c>
      <c r="Y4" s="40">
        <v>74.099999999999994</v>
      </c>
      <c r="Z4" s="40">
        <v>72.510000000000005</v>
      </c>
      <c r="AA4" s="40">
        <v>73.09</v>
      </c>
      <c r="AB4" s="102">
        <v>1038500</v>
      </c>
      <c r="AC4" s="9">
        <v>73.09</v>
      </c>
      <c r="AD4" s="2">
        <f t="shared" si="0"/>
        <v>1.5899999999999892</v>
      </c>
      <c r="AE4" s="134">
        <f t="shared" si="1"/>
        <v>-1.136209928310572E-2</v>
      </c>
      <c r="AL4" s="182"/>
      <c r="AO4" s="182"/>
    </row>
    <row r="5" spans="1:42" x14ac:dyDescent="0.25">
      <c r="B5" s="72"/>
      <c r="C5" s="161"/>
      <c r="D5" s="188"/>
      <c r="E5" s="3"/>
      <c r="F5" s="3"/>
      <c r="G5" s="72"/>
      <c r="H5" s="161"/>
      <c r="I5" s="188"/>
      <c r="J5" s="3"/>
      <c r="K5" s="3"/>
      <c r="L5" s="4"/>
      <c r="O5" s="11" t="s">
        <v>67</v>
      </c>
      <c r="Q5" s="3">
        <f>Q4*Q2</f>
        <v>0</v>
      </c>
      <c r="T5" s="1"/>
      <c r="W5" s="120">
        <v>42825</v>
      </c>
      <c r="X5" s="40">
        <v>73.95</v>
      </c>
      <c r="Y5" s="40">
        <v>74.459999999999994</v>
      </c>
      <c r="Z5" s="40">
        <v>73.739999999999995</v>
      </c>
      <c r="AA5" s="40">
        <v>73.930000000000007</v>
      </c>
      <c r="AB5" s="102">
        <v>967200</v>
      </c>
      <c r="AC5" s="9">
        <v>73.930000000000007</v>
      </c>
      <c r="AD5" s="2">
        <f t="shared" si="0"/>
        <v>0.71999999999999886</v>
      </c>
      <c r="AE5" s="134">
        <f t="shared" si="1"/>
        <v>-4.0562466197924252E-4</v>
      </c>
      <c r="AL5" s="182"/>
      <c r="AO5" s="182"/>
    </row>
    <row r="6" spans="1:42" x14ac:dyDescent="0.25">
      <c r="B6" s="72"/>
      <c r="C6" s="161"/>
      <c r="D6" s="188"/>
      <c r="E6" s="3"/>
      <c r="F6" s="3"/>
      <c r="G6" s="72"/>
      <c r="H6" s="161"/>
      <c r="I6" s="188"/>
      <c r="J6" s="3"/>
      <c r="K6" s="3"/>
      <c r="L6" s="4"/>
      <c r="O6" s="11" t="s">
        <v>64</v>
      </c>
      <c r="Q6" s="2">
        <f>Q3*Q2</f>
        <v>0</v>
      </c>
      <c r="W6" s="120">
        <v>42824</v>
      </c>
      <c r="X6" s="40">
        <v>74.08</v>
      </c>
      <c r="Y6" s="40">
        <v>74.67</v>
      </c>
      <c r="Z6" s="40">
        <v>73.94</v>
      </c>
      <c r="AA6" s="40">
        <v>73.959999999999994</v>
      </c>
      <c r="AB6" s="102">
        <v>544300</v>
      </c>
      <c r="AC6" s="9">
        <v>73.959999999999994</v>
      </c>
      <c r="AD6" s="2">
        <f t="shared" si="0"/>
        <v>0.73000000000000398</v>
      </c>
      <c r="AE6" s="134">
        <f t="shared" si="1"/>
        <v>2.4396855516399807E-3</v>
      </c>
      <c r="AL6" s="182"/>
      <c r="AO6" s="182"/>
    </row>
    <row r="7" spans="1:42" x14ac:dyDescent="0.25">
      <c r="B7" s="72"/>
      <c r="C7" s="161"/>
      <c r="D7" s="188"/>
      <c r="E7" s="3"/>
      <c r="F7" s="3"/>
      <c r="G7" s="72"/>
      <c r="H7" s="161"/>
      <c r="I7" s="188"/>
      <c r="J7" s="3"/>
      <c r="K7" s="3"/>
      <c r="L7" s="4"/>
      <c r="O7" s="11" t="s">
        <v>177</v>
      </c>
      <c r="Q7" s="2">
        <f>Q10+Q8</f>
        <v>121.94999999999982</v>
      </c>
      <c r="R7">
        <v>0</v>
      </c>
      <c r="W7" s="120">
        <v>42823</v>
      </c>
      <c r="X7" s="40">
        <v>73.67</v>
      </c>
      <c r="Y7" s="40">
        <v>73.819999999999993</v>
      </c>
      <c r="Z7" s="40">
        <v>73.27</v>
      </c>
      <c r="AA7" s="40">
        <v>73.78</v>
      </c>
      <c r="AB7" s="102">
        <v>443000</v>
      </c>
      <c r="AC7" s="9">
        <v>73.78</v>
      </c>
      <c r="AD7" s="2">
        <f t="shared" si="0"/>
        <v>0.54999999999999716</v>
      </c>
      <c r="AE7" s="134">
        <f t="shared" si="1"/>
        <v>-8.1256771397619776E-4</v>
      </c>
      <c r="AL7" s="182"/>
      <c r="AO7" s="182"/>
    </row>
    <row r="8" spans="1:42" x14ac:dyDescent="0.25">
      <c r="B8" s="72"/>
      <c r="C8" s="161"/>
      <c r="D8" s="188"/>
      <c r="E8" s="3"/>
      <c r="F8" s="3"/>
      <c r="G8" s="72"/>
      <c r="H8" s="161"/>
      <c r="I8" s="188"/>
      <c r="J8" s="3"/>
      <c r="K8" s="3"/>
      <c r="L8" s="4"/>
      <c r="O8" s="11" t="s">
        <v>179</v>
      </c>
      <c r="P8" s="33"/>
      <c r="Q8" s="2">
        <f>K18+M18-F18+Q2*Q4</f>
        <v>0</v>
      </c>
      <c r="R8" s="159"/>
      <c r="W8" s="120">
        <v>42822</v>
      </c>
      <c r="X8" s="40">
        <v>72.739999999999995</v>
      </c>
      <c r="Y8" s="40">
        <v>74.099999999999994</v>
      </c>
      <c r="Z8" s="40">
        <v>72.739999999999995</v>
      </c>
      <c r="AA8" s="40">
        <v>73.84</v>
      </c>
      <c r="AB8" s="102">
        <v>934100</v>
      </c>
      <c r="AC8" s="9">
        <v>73.84</v>
      </c>
      <c r="AD8" s="2">
        <f t="shared" si="0"/>
        <v>1.3599999999999994</v>
      </c>
      <c r="AE8" s="134">
        <f t="shared" si="1"/>
        <v>1.6519823788546217E-2</v>
      </c>
      <c r="AL8" s="182"/>
      <c r="AO8" s="182"/>
    </row>
    <row r="9" spans="1:42" x14ac:dyDescent="0.25">
      <c r="O9" s="11" t="s">
        <v>204</v>
      </c>
      <c r="Q9" s="134">
        <f>IF(Q2=0, 0, Q8/Q6)</f>
        <v>0</v>
      </c>
      <c r="W9" s="120">
        <v>42821</v>
      </c>
      <c r="X9" s="40">
        <v>71.66</v>
      </c>
      <c r="Y9" s="40">
        <v>72.91</v>
      </c>
      <c r="Z9" s="40">
        <v>71.58</v>
      </c>
      <c r="AA9" s="40">
        <v>72.64</v>
      </c>
      <c r="AB9" s="102">
        <v>800600</v>
      </c>
      <c r="AC9" s="9">
        <v>72.64</v>
      </c>
      <c r="AD9" s="2">
        <f t="shared" si="0"/>
        <v>1.3299999999999983</v>
      </c>
      <c r="AE9" s="134">
        <f t="shared" si="1"/>
        <v>4.5636841377403314E-3</v>
      </c>
      <c r="AL9" s="182"/>
      <c r="AO9" s="182"/>
    </row>
    <row r="10" spans="1:42" x14ac:dyDescent="0.25">
      <c r="O10" s="11" t="s">
        <v>203</v>
      </c>
      <c r="P10" s="33"/>
      <c r="Q10" s="2">
        <f>M36</f>
        <v>121.94999999999982</v>
      </c>
      <c r="W10" s="120">
        <v>42818</v>
      </c>
      <c r="X10" s="40">
        <v>72.430000000000007</v>
      </c>
      <c r="Y10" s="40">
        <v>72.91</v>
      </c>
      <c r="Z10" s="40">
        <v>72.010000000000005</v>
      </c>
      <c r="AA10" s="40">
        <v>72.31</v>
      </c>
      <c r="AB10" s="102">
        <v>488700</v>
      </c>
      <c r="AC10" s="9">
        <v>72.31</v>
      </c>
      <c r="AD10" s="2">
        <f t="shared" si="0"/>
        <v>0.89999999999999147</v>
      </c>
      <c r="AE10" s="134">
        <f t="shared" si="1"/>
        <v>-1.7945886250689824E-3</v>
      </c>
      <c r="AL10" s="182"/>
      <c r="AO10" s="182"/>
    </row>
    <row r="11" spans="1:42" x14ac:dyDescent="0.25">
      <c r="O11" s="11" t="s">
        <v>175</v>
      </c>
      <c r="P11" s="33"/>
      <c r="Q11" s="134">
        <f>IF(U58="N/A (N/A)", 0, VALUE(TRIM(CLEAN(MID(U58, FIND("(", U58)+1, 5)))))</f>
        <v>1.67E-2</v>
      </c>
      <c r="T11" s="11"/>
      <c r="W11" s="120">
        <v>42817</v>
      </c>
      <c r="X11" s="40">
        <v>71.86</v>
      </c>
      <c r="Y11" s="40">
        <v>72.88</v>
      </c>
      <c r="Z11" s="40">
        <v>71.42</v>
      </c>
      <c r="AA11" s="40">
        <v>72.44</v>
      </c>
      <c r="AB11" s="102">
        <v>993000</v>
      </c>
      <c r="AC11" s="9">
        <v>72.44</v>
      </c>
      <c r="AD11" s="2">
        <f t="shared" si="0"/>
        <v>1.4599999999999937</v>
      </c>
      <c r="AE11" s="134">
        <f t="shared" si="1"/>
        <v>9.4760312151616066E-3</v>
      </c>
      <c r="AL11" s="182"/>
      <c r="AO11" s="182"/>
    </row>
    <row r="12" spans="1:42" x14ac:dyDescent="0.25">
      <c r="W12" s="120">
        <v>42816</v>
      </c>
      <c r="X12" s="40">
        <v>71.06</v>
      </c>
      <c r="Y12" s="40">
        <v>72.12</v>
      </c>
      <c r="Z12" s="40">
        <v>71.02</v>
      </c>
      <c r="AA12" s="40">
        <v>71.760000000000005</v>
      </c>
      <c r="AB12" s="102">
        <v>852400</v>
      </c>
      <c r="AC12" s="9">
        <v>71.760000000000005</v>
      </c>
      <c r="AD12" s="2">
        <f t="shared" si="0"/>
        <v>1.1000000000000085</v>
      </c>
      <c r="AE12" s="134">
        <f t="shared" si="1"/>
        <v>5.7463209530486115E-3</v>
      </c>
      <c r="AL12" s="182"/>
      <c r="AO12" s="182"/>
    </row>
    <row r="13" spans="1:42" x14ac:dyDescent="0.25">
      <c r="W13" s="120">
        <v>42815</v>
      </c>
      <c r="X13" s="40">
        <v>72.3</v>
      </c>
      <c r="Y13" s="40">
        <v>73</v>
      </c>
      <c r="Z13" s="40">
        <v>71.28</v>
      </c>
      <c r="AA13" s="40">
        <v>71.349999999999994</v>
      </c>
      <c r="AB13" s="102">
        <v>1922100</v>
      </c>
      <c r="AC13" s="9">
        <v>71.349999999999994</v>
      </c>
      <c r="AD13" s="2">
        <f t="shared" si="0"/>
        <v>1.7199999999999989</v>
      </c>
      <c r="AE13" s="134">
        <f t="shared" si="1"/>
        <v>-9.0277777777778567E-3</v>
      </c>
    </row>
    <row r="14" spans="1:42" x14ac:dyDescent="0.25">
      <c r="W14" s="120">
        <v>42814</v>
      </c>
      <c r="X14" s="40">
        <v>72.09</v>
      </c>
      <c r="Y14" s="40">
        <v>72.41</v>
      </c>
      <c r="Z14" s="40">
        <v>71.72</v>
      </c>
      <c r="AA14" s="40">
        <v>72</v>
      </c>
      <c r="AB14" s="102">
        <v>1526800</v>
      </c>
      <c r="AC14" s="9">
        <v>72</v>
      </c>
      <c r="AD14" s="2">
        <f t="shared" si="0"/>
        <v>0.68999999999999773</v>
      </c>
      <c r="AE14" s="134">
        <f t="shared" si="1"/>
        <v>-2.2172949002217113E-3</v>
      </c>
    </row>
    <row r="15" spans="1:42" x14ac:dyDescent="0.25">
      <c r="V15" s="2"/>
      <c r="W15" s="120">
        <v>42811</v>
      </c>
      <c r="X15" s="40">
        <v>72.52</v>
      </c>
      <c r="Y15" s="40">
        <v>72.87</v>
      </c>
      <c r="Z15" s="40">
        <v>72.14</v>
      </c>
      <c r="AA15" s="40">
        <v>72.16</v>
      </c>
      <c r="AB15" s="102">
        <v>1291700</v>
      </c>
      <c r="AC15" s="9">
        <v>72.16</v>
      </c>
      <c r="AD15" s="2">
        <f t="shared" si="0"/>
        <v>0.73000000000000398</v>
      </c>
      <c r="AE15" s="134">
        <f t="shared" si="1"/>
        <v>-6.9242487190135371E-4</v>
      </c>
      <c r="AL15" s="182"/>
      <c r="AO15" s="182"/>
      <c r="AP15" s="182"/>
    </row>
    <row r="16" spans="1:42" x14ac:dyDescent="0.25">
      <c r="V16" s="2"/>
      <c r="W16" s="120">
        <v>42810</v>
      </c>
      <c r="X16" s="40">
        <v>72.81</v>
      </c>
      <c r="Y16" s="40">
        <v>73.28</v>
      </c>
      <c r="Z16" s="40">
        <v>72.180000000000007</v>
      </c>
      <c r="AA16" s="40">
        <v>72.209999999999994</v>
      </c>
      <c r="AB16" s="102">
        <v>841800</v>
      </c>
      <c r="AC16" s="9">
        <v>72.209999999999994</v>
      </c>
      <c r="AD16" s="2">
        <f t="shared" si="0"/>
        <v>1.0999999999999943</v>
      </c>
      <c r="AE16" s="134">
        <f t="shared" si="1"/>
        <v>-5.5088830739568051E-3</v>
      </c>
    </row>
    <row r="17" spans="1:42" x14ac:dyDescent="0.25">
      <c r="V17" s="2"/>
      <c r="W17" s="120">
        <v>42809</v>
      </c>
      <c r="X17" s="40">
        <v>71.91</v>
      </c>
      <c r="Y17" s="40">
        <v>72.72</v>
      </c>
      <c r="Z17" s="40">
        <v>71.400000000000006</v>
      </c>
      <c r="AA17" s="40">
        <v>72.61</v>
      </c>
      <c r="AB17" s="102">
        <v>918100</v>
      </c>
      <c r="AC17" s="9">
        <v>72.61</v>
      </c>
      <c r="AD17" s="2">
        <f t="shared" si="0"/>
        <v>1.3199999999999932</v>
      </c>
      <c r="AE17" s="134">
        <f t="shared" si="1"/>
        <v>1.8087492989343978E-2</v>
      </c>
      <c r="AL17" s="182"/>
      <c r="AO17" s="182"/>
      <c r="AP17" s="182"/>
    </row>
    <row r="18" spans="1:42" x14ac:dyDescent="0.25">
      <c r="A18" s="31" t="s">
        <v>81</v>
      </c>
      <c r="B18" s="14"/>
      <c r="C18" s="71">
        <f>SUM(C2:C8)</f>
        <v>0</v>
      </c>
      <c r="D18" s="18"/>
      <c r="E18" s="18"/>
      <c r="F18" s="18">
        <f>SUM(F2:F8)</f>
        <v>0</v>
      </c>
      <c r="G18" s="18">
        <f>SUM(G2:G8)</f>
        <v>0</v>
      </c>
      <c r="H18" s="71">
        <f>SUM(H2:H8)</f>
        <v>0</v>
      </c>
      <c r="I18" s="18"/>
      <c r="J18" s="18"/>
      <c r="K18" s="18">
        <f>SUM(K2:K8)</f>
        <v>0</v>
      </c>
      <c r="L18" s="18"/>
      <c r="M18" s="18"/>
      <c r="V18" s="2"/>
      <c r="W18" s="120">
        <v>42808</v>
      </c>
      <c r="X18" s="40">
        <v>72.22</v>
      </c>
      <c r="Y18" s="40">
        <v>72.58</v>
      </c>
      <c r="Z18" s="40">
        <v>71.239999999999995</v>
      </c>
      <c r="AA18" s="40">
        <v>71.319999999999993</v>
      </c>
      <c r="AB18" s="102">
        <v>1017700</v>
      </c>
      <c r="AC18" s="9">
        <v>71.319999999999993</v>
      </c>
      <c r="AD18" s="2">
        <f t="shared" si="0"/>
        <v>1.3400000000000034</v>
      </c>
      <c r="AE18" s="134">
        <f t="shared" si="1"/>
        <v>-2.0464221947534833E-2</v>
      </c>
    </row>
    <row r="19" spans="1:42" x14ac:dyDescent="0.25">
      <c r="B19" s="72"/>
      <c r="C19" s="4"/>
      <c r="D19" s="188"/>
      <c r="E19" s="3"/>
      <c r="F19" s="3"/>
      <c r="G19" s="72"/>
      <c r="H19" s="161"/>
      <c r="I19" s="188"/>
      <c r="J19" s="3"/>
      <c r="K19" s="3"/>
      <c r="L19" s="4"/>
      <c r="W19" s="120">
        <v>42807</v>
      </c>
      <c r="X19" s="40">
        <v>72.44</v>
      </c>
      <c r="Y19" s="40">
        <v>73.040000000000006</v>
      </c>
      <c r="Z19" s="40">
        <v>72.27</v>
      </c>
      <c r="AA19" s="40">
        <v>72.81</v>
      </c>
      <c r="AB19" s="102">
        <v>802400</v>
      </c>
      <c r="AC19" s="9">
        <v>72.81</v>
      </c>
      <c r="AD19" s="2">
        <f t="shared" si="0"/>
        <v>0.77000000000001023</v>
      </c>
      <c r="AE19" s="134">
        <f t="shared" si="1"/>
        <v>6.3579820317900548E-3</v>
      </c>
      <c r="AL19" s="182"/>
      <c r="AO19" s="182"/>
    </row>
    <row r="20" spans="1:42" x14ac:dyDescent="0.25">
      <c r="B20" s="72"/>
      <c r="C20" s="4"/>
      <c r="D20" s="188"/>
      <c r="E20" s="3"/>
      <c r="F20" s="3"/>
      <c r="G20" s="72"/>
      <c r="H20" s="161"/>
      <c r="I20" s="188"/>
      <c r="J20" s="3"/>
      <c r="K20" s="3"/>
      <c r="L20" s="4"/>
      <c r="W20" s="120">
        <v>42804</v>
      </c>
      <c r="X20" s="40">
        <v>72.16</v>
      </c>
      <c r="Y20" s="40">
        <v>72.98</v>
      </c>
      <c r="Z20" s="40">
        <v>71.89</v>
      </c>
      <c r="AA20" s="40">
        <v>72.349999999999994</v>
      </c>
      <c r="AB20" s="102">
        <v>933900</v>
      </c>
      <c r="AC20" s="9">
        <v>72.349999999999994</v>
      </c>
      <c r="AD20" s="2">
        <f t="shared" si="0"/>
        <v>1.0900000000000034</v>
      </c>
      <c r="AE20" s="134">
        <f t="shared" si="1"/>
        <v>9.06555090655492E-3</v>
      </c>
    </row>
    <row r="21" spans="1:42" x14ac:dyDescent="0.25">
      <c r="B21" s="72"/>
      <c r="C21" s="4"/>
      <c r="D21" s="188"/>
      <c r="E21" s="3"/>
      <c r="F21" s="3"/>
      <c r="G21" s="72"/>
      <c r="H21" s="161"/>
      <c r="I21" s="188"/>
      <c r="J21" s="3"/>
      <c r="K21" s="3"/>
      <c r="L21" s="4"/>
      <c r="W21" s="120">
        <v>42803</v>
      </c>
      <c r="X21" s="40">
        <v>71.41</v>
      </c>
      <c r="Y21" s="40">
        <v>72.08</v>
      </c>
      <c r="Z21" s="40">
        <v>71.19</v>
      </c>
      <c r="AA21" s="40">
        <v>71.7</v>
      </c>
      <c r="AB21" s="102">
        <v>801100</v>
      </c>
      <c r="AC21" s="9">
        <v>71.7</v>
      </c>
      <c r="AD21" s="2">
        <f t="shared" si="0"/>
        <v>0.89000000000000057</v>
      </c>
      <c r="AE21" s="134">
        <f t="shared" si="1"/>
        <v>2.0964360587003572E-3</v>
      </c>
    </row>
    <row r="22" spans="1:42" x14ac:dyDescent="0.25">
      <c r="B22" s="162" t="s">
        <v>113</v>
      </c>
      <c r="C22" s="162" t="s">
        <v>145</v>
      </c>
      <c r="D22" s="170" t="s">
        <v>144</v>
      </c>
      <c r="E22" s="166" t="s">
        <v>146</v>
      </c>
      <c r="F22" s="166" t="s">
        <v>65</v>
      </c>
      <c r="G22" s="177" t="s">
        <v>150</v>
      </c>
      <c r="H22" s="166" t="s">
        <v>88</v>
      </c>
      <c r="I22" s="189" t="s">
        <v>153</v>
      </c>
      <c r="J22" s="3"/>
      <c r="K22" s="3"/>
      <c r="L22" s="4"/>
      <c r="W22" s="120">
        <v>42802</v>
      </c>
      <c r="X22" s="40">
        <v>72.040000000000006</v>
      </c>
      <c r="Y22" s="40">
        <v>72.260000000000005</v>
      </c>
      <c r="Z22" s="40">
        <v>71.459999999999994</v>
      </c>
      <c r="AA22" s="40">
        <v>71.55</v>
      </c>
      <c r="AB22" s="102">
        <v>1046800</v>
      </c>
      <c r="AC22" s="9">
        <v>71.55</v>
      </c>
      <c r="AD22" s="2">
        <f t="shared" si="0"/>
        <v>0.80000000000001137</v>
      </c>
      <c r="AE22" s="134" t="e">
        <f t="shared" si="1"/>
        <v>#DIV/0!</v>
      </c>
    </row>
    <row r="23" spans="1:42" x14ac:dyDescent="0.25">
      <c r="B23" s="164">
        <v>42375</v>
      </c>
      <c r="C23" s="10">
        <v>40</v>
      </c>
      <c r="D23" s="171">
        <v>52.4</v>
      </c>
      <c r="E23" s="39">
        <v>52.17</v>
      </c>
      <c r="F23" s="39">
        <f>C23*(E23-D23)</f>
        <v>-9.1999999999998749</v>
      </c>
      <c r="G23" s="39">
        <f>D23*C23</f>
        <v>2096</v>
      </c>
      <c r="H23" s="179">
        <f>(E23-D23)/D23</f>
        <v>-4.389312977099177E-3</v>
      </c>
      <c r="I23" s="39"/>
      <c r="J23" s="3"/>
      <c r="K23" s="3"/>
      <c r="L23" s="4"/>
      <c r="W23" s="120">
        <v>42802</v>
      </c>
      <c r="X23" s="40" t="s">
        <v>468</v>
      </c>
      <c r="Y23" s="40"/>
      <c r="Z23" s="40"/>
      <c r="AA23" s="40"/>
      <c r="AB23" s="102"/>
      <c r="AC23" s="9"/>
      <c r="AD23" s="2">
        <f t="shared" si="0"/>
        <v>0</v>
      </c>
      <c r="AE23" s="134">
        <f t="shared" si="1"/>
        <v>-1</v>
      </c>
    </row>
    <row r="24" spans="1:42" x14ac:dyDescent="0.25">
      <c r="B24" s="164">
        <v>42403</v>
      </c>
      <c r="C24" s="10">
        <v>40</v>
      </c>
      <c r="D24" s="171">
        <v>52.4</v>
      </c>
      <c r="E24" s="39">
        <v>53.31</v>
      </c>
      <c r="F24" s="39">
        <f>C24*(E24-D24)</f>
        <v>36.400000000000148</v>
      </c>
      <c r="G24" s="39">
        <f>D24*C24</f>
        <v>2096</v>
      </c>
      <c r="H24" s="179">
        <f>(E24-D24)/D24</f>
        <v>1.736641221374053E-2</v>
      </c>
      <c r="I24" s="39"/>
      <c r="J24" s="3"/>
      <c r="K24" s="3"/>
      <c r="L24" s="4"/>
      <c r="W24" s="120">
        <v>42801</v>
      </c>
      <c r="X24" s="40">
        <v>72.12</v>
      </c>
      <c r="Y24" s="40">
        <v>72.73</v>
      </c>
      <c r="Z24" s="40">
        <v>72.12</v>
      </c>
      <c r="AA24" s="40">
        <v>72.430000000000007</v>
      </c>
      <c r="AB24" s="102">
        <v>1201100</v>
      </c>
      <c r="AC24" s="9">
        <v>72.12</v>
      </c>
      <c r="AD24" s="2">
        <f t="shared" si="0"/>
        <v>0.60999999999999943</v>
      </c>
      <c r="AE24" s="134">
        <f t="shared" si="1"/>
        <v>1.110494169905607E-3</v>
      </c>
    </row>
    <row r="25" spans="1:42" x14ac:dyDescent="0.25">
      <c r="B25" s="164">
        <v>42416</v>
      </c>
      <c r="C25" s="10">
        <v>0</v>
      </c>
      <c r="D25" s="171">
        <v>0</v>
      </c>
      <c r="E25" s="39">
        <v>0</v>
      </c>
      <c r="F25" s="39">
        <v>121.95</v>
      </c>
      <c r="G25" s="39"/>
      <c r="H25" s="180"/>
      <c r="I25" s="171"/>
      <c r="J25" s="3"/>
      <c r="K25" s="3"/>
      <c r="L25" s="4"/>
      <c r="W25" s="120">
        <v>42800</v>
      </c>
      <c r="X25" s="40">
        <v>71.59</v>
      </c>
      <c r="Y25" s="40">
        <v>72.45</v>
      </c>
      <c r="Z25" s="40">
        <v>71.56</v>
      </c>
      <c r="AA25" s="40">
        <v>72.349999999999994</v>
      </c>
      <c r="AB25" s="102">
        <v>1058700</v>
      </c>
      <c r="AC25" s="9">
        <v>72.040000000000006</v>
      </c>
      <c r="AD25" s="2">
        <f t="shared" si="0"/>
        <v>0.89000000000000057</v>
      </c>
      <c r="AE25" s="134">
        <f t="shared" si="1"/>
        <v>4.7419804741981597E-3</v>
      </c>
      <c r="AL25" s="182"/>
      <c r="AO25" s="182"/>
    </row>
    <row r="26" spans="1:42" x14ac:dyDescent="0.25">
      <c r="B26" s="164"/>
      <c r="C26" s="10"/>
      <c r="D26" s="171"/>
      <c r="E26" s="39"/>
      <c r="F26" s="39"/>
      <c r="G26" s="39"/>
      <c r="H26" s="180"/>
      <c r="I26" s="171"/>
      <c r="J26" s="3"/>
      <c r="K26" s="3"/>
      <c r="L26" s="4"/>
      <c r="W26" s="120">
        <v>42797</v>
      </c>
      <c r="X26" s="40">
        <v>70.849999999999994</v>
      </c>
      <c r="Y26" s="40">
        <v>72.040000000000006</v>
      </c>
      <c r="Z26" s="40">
        <v>70.81</v>
      </c>
      <c r="AA26" s="40">
        <v>72.010000000000005</v>
      </c>
      <c r="AB26" s="102">
        <v>976000</v>
      </c>
      <c r="AC26" s="9">
        <v>71.7</v>
      </c>
      <c r="AD26" s="2">
        <f t="shared" si="0"/>
        <v>1.230000000000004</v>
      </c>
      <c r="AE26" s="134">
        <f t="shared" si="1"/>
        <v>1.5005662514156359E-2</v>
      </c>
    </row>
    <row r="27" spans="1:42" x14ac:dyDescent="0.25">
      <c r="B27" s="164"/>
      <c r="C27" s="10"/>
      <c r="D27" s="171"/>
      <c r="E27" s="39"/>
      <c r="F27" s="39"/>
      <c r="G27" s="39"/>
      <c r="H27" s="180"/>
      <c r="I27" s="171"/>
      <c r="J27" s="3"/>
      <c r="K27" s="3"/>
      <c r="L27" s="4"/>
      <c r="W27" s="120">
        <v>42796</v>
      </c>
      <c r="X27" s="40">
        <v>70.34</v>
      </c>
      <c r="Y27" s="40">
        <v>71.150000000000006</v>
      </c>
      <c r="Z27" s="40">
        <v>70.25</v>
      </c>
      <c r="AA27" s="40">
        <v>70.94</v>
      </c>
      <c r="AB27" s="102">
        <v>1064100</v>
      </c>
      <c r="AC27" s="9">
        <v>70.64</v>
      </c>
      <c r="AD27" s="2">
        <f t="shared" si="0"/>
        <v>0.90000000000000568</v>
      </c>
      <c r="AE27" s="134">
        <f t="shared" si="1"/>
        <v>-2.2598870056497189E-3</v>
      </c>
      <c r="AL27" s="182"/>
      <c r="AO27" s="182"/>
    </row>
    <row r="28" spans="1:42" x14ac:dyDescent="0.25">
      <c r="B28" s="164"/>
      <c r="C28" s="10"/>
      <c r="D28" s="171"/>
      <c r="E28" s="39"/>
      <c r="F28" s="39"/>
      <c r="G28" s="39"/>
      <c r="H28" s="180"/>
      <c r="I28" s="171"/>
      <c r="J28" s="3"/>
      <c r="K28" s="3"/>
      <c r="L28" s="4"/>
      <c r="W28" s="120">
        <v>42795</v>
      </c>
      <c r="X28" s="40">
        <v>70.12</v>
      </c>
      <c r="Y28" s="40">
        <v>71.27</v>
      </c>
      <c r="Z28" s="40">
        <v>70.03</v>
      </c>
      <c r="AA28" s="40">
        <v>71.099999999999994</v>
      </c>
      <c r="AB28" s="102">
        <v>1409400</v>
      </c>
      <c r="AC28" s="9">
        <v>70.8</v>
      </c>
      <c r="AD28" s="2">
        <f t="shared" si="0"/>
        <v>1.2399999999999949</v>
      </c>
      <c r="AE28" s="134">
        <f t="shared" si="1"/>
        <v>1.9144954656686419E-2</v>
      </c>
    </row>
    <row r="29" spans="1:42" x14ac:dyDescent="0.25">
      <c r="B29" s="164"/>
      <c r="C29" s="10"/>
      <c r="D29" s="171"/>
      <c r="E29" s="39"/>
      <c r="F29" s="39"/>
      <c r="G29" s="39"/>
      <c r="H29" s="180"/>
      <c r="I29" s="171"/>
      <c r="J29" s="3"/>
      <c r="K29" s="3"/>
      <c r="L29" s="4"/>
      <c r="W29" s="120">
        <v>42794</v>
      </c>
      <c r="X29" s="40">
        <v>70.97</v>
      </c>
      <c r="Y29" s="40">
        <v>71.3</v>
      </c>
      <c r="Z29" s="40">
        <v>69.73</v>
      </c>
      <c r="AA29" s="40">
        <v>69.77</v>
      </c>
      <c r="AB29" s="102">
        <v>1335800</v>
      </c>
      <c r="AC29" s="9">
        <v>69.47</v>
      </c>
      <c r="AD29" s="2">
        <f t="shared" si="0"/>
        <v>1.5699999999999932</v>
      </c>
      <c r="AE29" s="134">
        <f t="shared" si="1"/>
        <v>-1.7814223101937032E-2</v>
      </c>
    </row>
    <row r="30" spans="1:42" x14ac:dyDescent="0.25">
      <c r="B30" s="164"/>
      <c r="C30" s="10"/>
      <c r="D30" s="171"/>
      <c r="E30" s="39"/>
      <c r="F30" s="39"/>
      <c r="G30" s="39"/>
      <c r="H30" s="180"/>
      <c r="I30" s="171"/>
      <c r="J30" s="3"/>
      <c r="K30" s="3"/>
      <c r="L30" s="4"/>
      <c r="W30" s="120">
        <v>42793</v>
      </c>
      <c r="X30" s="40">
        <v>70.430000000000007</v>
      </c>
      <c r="Y30" s="40">
        <v>71.180000000000007</v>
      </c>
      <c r="Z30" s="40">
        <v>69.94</v>
      </c>
      <c r="AA30" s="40">
        <v>71.03</v>
      </c>
      <c r="AB30" s="102">
        <v>1452900</v>
      </c>
      <c r="AC30" s="9">
        <v>70.73</v>
      </c>
      <c r="AD30" s="2">
        <f t="shared" si="0"/>
        <v>1.2400000000000091</v>
      </c>
      <c r="AE30" s="134">
        <f t="shared" si="1"/>
        <v>7.9806184979336336E-3</v>
      </c>
    </row>
    <row r="31" spans="1:42" x14ac:dyDescent="0.25">
      <c r="B31" s="164"/>
      <c r="C31" s="10"/>
      <c r="D31" s="171"/>
      <c r="E31" s="39"/>
      <c r="F31" s="39"/>
      <c r="G31" s="39"/>
      <c r="H31" s="180"/>
      <c r="I31" s="171"/>
      <c r="Q31" s="2"/>
      <c r="W31" s="120">
        <v>42790</v>
      </c>
      <c r="X31" s="40">
        <v>70.88</v>
      </c>
      <c r="Y31" s="40">
        <v>71.28</v>
      </c>
      <c r="Z31" s="40">
        <v>70.06</v>
      </c>
      <c r="AA31" s="40">
        <v>70.47</v>
      </c>
      <c r="AB31" s="102">
        <v>1556400</v>
      </c>
      <c r="AC31" s="9">
        <v>70.17</v>
      </c>
      <c r="AD31" s="2">
        <f t="shared" si="0"/>
        <v>1.2199999999999989</v>
      </c>
      <c r="AE31" s="134">
        <f t="shared" si="1"/>
        <v>-1.0156580617858624E-2</v>
      </c>
      <c r="AL31" s="182"/>
      <c r="AO31" s="182"/>
    </row>
    <row r="32" spans="1:42" x14ac:dyDescent="0.25">
      <c r="B32" s="164"/>
      <c r="C32" s="10"/>
      <c r="D32" s="171"/>
      <c r="E32" s="39"/>
      <c r="F32" s="39"/>
      <c r="G32" s="39"/>
      <c r="H32" s="180"/>
      <c r="I32" s="171"/>
      <c r="J32" s="3"/>
      <c r="K32" s="3"/>
      <c r="L32" s="4"/>
      <c r="Q32" s="2"/>
      <c r="W32" s="120">
        <v>42789</v>
      </c>
      <c r="X32" s="40">
        <v>72.67</v>
      </c>
      <c r="Y32" s="40">
        <v>72.73</v>
      </c>
      <c r="Z32" s="40">
        <v>71.13</v>
      </c>
      <c r="AA32" s="40">
        <v>71.19</v>
      </c>
      <c r="AB32" s="102">
        <v>1180600</v>
      </c>
      <c r="AC32" s="9">
        <v>70.89</v>
      </c>
      <c r="AD32" s="2">
        <f t="shared" si="0"/>
        <v>1.6000000000000085</v>
      </c>
      <c r="AE32" s="134">
        <f t="shared" si="1"/>
        <v>-1.3498469245755595E-2</v>
      </c>
    </row>
    <row r="33" spans="1:41" x14ac:dyDescent="0.25">
      <c r="B33" s="72"/>
      <c r="C33" s="4"/>
      <c r="D33" s="188"/>
      <c r="E33" s="3"/>
      <c r="F33" s="3"/>
      <c r="G33" s="3"/>
      <c r="H33" s="181"/>
      <c r="I33" s="188"/>
      <c r="J33" s="3"/>
      <c r="K33" s="3"/>
      <c r="L33" s="4"/>
      <c r="Q33" s="2"/>
      <c r="W33" s="120">
        <v>42788</v>
      </c>
      <c r="X33" s="40">
        <v>71.540000000000006</v>
      </c>
      <c r="Y33" s="40">
        <v>72.58</v>
      </c>
      <c r="Z33" s="40">
        <v>71.400000000000006</v>
      </c>
      <c r="AA33" s="40">
        <v>72.17</v>
      </c>
      <c r="AB33" s="102">
        <v>1583200</v>
      </c>
      <c r="AC33" s="9">
        <v>71.86</v>
      </c>
      <c r="AD33" s="2">
        <f t="shared" si="0"/>
        <v>1.1799999999999926</v>
      </c>
      <c r="AE33" s="134">
        <f t="shared" si="1"/>
        <v>2.9309141660851523E-3</v>
      </c>
      <c r="AL33" s="182"/>
      <c r="AO33" s="182"/>
    </row>
    <row r="34" spans="1:41" x14ac:dyDescent="0.25">
      <c r="B34" s="72"/>
      <c r="C34" s="4"/>
      <c r="D34" s="188"/>
      <c r="E34" s="3"/>
      <c r="F34" s="3"/>
      <c r="G34" s="3"/>
      <c r="H34" s="181"/>
      <c r="I34" s="188"/>
      <c r="J34" s="3"/>
      <c r="K34" s="3"/>
      <c r="L34" s="4"/>
      <c r="W34" s="120">
        <v>42787</v>
      </c>
      <c r="X34" s="40">
        <v>71.209999999999994</v>
      </c>
      <c r="Y34" s="40">
        <v>72</v>
      </c>
      <c r="Z34" s="40">
        <v>71.150000000000006</v>
      </c>
      <c r="AA34" s="40">
        <v>71.959999999999994</v>
      </c>
      <c r="AB34" s="102">
        <v>658900</v>
      </c>
      <c r="AC34" s="9">
        <v>71.650000000000006</v>
      </c>
      <c r="AD34" s="2">
        <f t="shared" si="0"/>
        <v>0.84999999999999432</v>
      </c>
      <c r="AE34" s="134">
        <f t="shared" si="1"/>
        <v>4.063901345291665E-3</v>
      </c>
    </row>
    <row r="35" spans="1:41" x14ac:dyDescent="0.25">
      <c r="B35" s="72"/>
      <c r="C35" s="4"/>
      <c r="D35" s="188"/>
      <c r="E35" s="3"/>
      <c r="F35" s="3"/>
      <c r="G35" s="3"/>
      <c r="H35" s="181"/>
      <c r="I35" s="188"/>
      <c r="J35" s="3"/>
      <c r="K35" s="3"/>
      <c r="L35" s="4"/>
      <c r="W35" s="120">
        <v>42783</v>
      </c>
      <c r="X35" s="40">
        <v>71.3</v>
      </c>
      <c r="Y35" s="40">
        <v>71.66</v>
      </c>
      <c r="Z35" s="40">
        <v>71.16</v>
      </c>
      <c r="AA35" s="40">
        <v>71.66</v>
      </c>
      <c r="AB35" s="102">
        <v>559800</v>
      </c>
      <c r="AC35" s="9">
        <v>71.36</v>
      </c>
      <c r="AD35" s="2">
        <f t="shared" si="0"/>
        <v>0.5</v>
      </c>
      <c r="AE35" s="134">
        <f t="shared" si="1"/>
        <v>1.4033118158853775E-3</v>
      </c>
      <c r="AL35" s="182"/>
      <c r="AO35" s="182"/>
    </row>
    <row r="36" spans="1:41" x14ac:dyDescent="0.25">
      <c r="B36" s="72"/>
      <c r="C36" s="4"/>
      <c r="D36" s="188"/>
      <c r="E36" s="3"/>
      <c r="F36" s="3"/>
      <c r="G36" s="3"/>
      <c r="H36" s="181"/>
      <c r="I36" s="72"/>
      <c r="L36" t="s">
        <v>203</v>
      </c>
      <c r="M36" s="2">
        <f>K54+M54-F54</f>
        <v>121.94999999999982</v>
      </c>
      <c r="W36" s="120">
        <v>42782</v>
      </c>
      <c r="X36" s="40">
        <v>71.45</v>
      </c>
      <c r="Y36" s="40">
        <v>71.83</v>
      </c>
      <c r="Z36" s="40">
        <v>71.14</v>
      </c>
      <c r="AA36" s="40">
        <v>71.56</v>
      </c>
      <c r="AB36" s="102">
        <v>1220800</v>
      </c>
      <c r="AC36" s="9">
        <v>71.260000000000005</v>
      </c>
      <c r="AD36" s="2">
        <f t="shared" si="0"/>
        <v>0.68999999999999773</v>
      </c>
      <c r="AE36" s="134">
        <f t="shared" si="1"/>
        <v>9.8328416912507599E-4</v>
      </c>
    </row>
    <row r="37" spans="1:41" x14ac:dyDescent="0.25">
      <c r="A37" s="304" t="s">
        <v>1</v>
      </c>
      <c r="B37" s="304" t="s">
        <v>2</v>
      </c>
      <c r="C37" s="304" t="s">
        <v>4</v>
      </c>
      <c r="D37" s="305" t="s">
        <v>5</v>
      </c>
      <c r="E37" s="306" t="s">
        <v>94</v>
      </c>
      <c r="F37" s="306" t="s">
        <v>60</v>
      </c>
      <c r="G37" s="304" t="s">
        <v>3</v>
      </c>
      <c r="H37" s="304" t="s">
        <v>6</v>
      </c>
      <c r="I37" s="305" t="s">
        <v>7</v>
      </c>
      <c r="J37" s="306" t="s">
        <v>95</v>
      </c>
      <c r="K37" s="306" t="s">
        <v>61</v>
      </c>
      <c r="L37" s="21" t="s">
        <v>37</v>
      </c>
      <c r="M37" s="21" t="s">
        <v>38</v>
      </c>
      <c r="W37" s="120">
        <v>42781</v>
      </c>
      <c r="X37" s="40">
        <v>71.19</v>
      </c>
      <c r="Y37" s="40">
        <v>71.59</v>
      </c>
      <c r="Z37" s="40">
        <v>70.88</v>
      </c>
      <c r="AA37" s="40">
        <v>71.489999999999995</v>
      </c>
      <c r="AB37" s="102">
        <v>1070300</v>
      </c>
      <c r="AC37" s="9">
        <v>71.19</v>
      </c>
      <c r="AD37" s="2">
        <f t="shared" si="0"/>
        <v>0.71000000000000796</v>
      </c>
      <c r="AE37" s="134">
        <f t="shared" si="1"/>
        <v>-5.615611399691911E-4</v>
      </c>
    </row>
    <row r="38" spans="1:41" x14ac:dyDescent="0.25">
      <c r="A38" s="307" t="s">
        <v>8</v>
      </c>
      <c r="B38" s="297">
        <v>42375</v>
      </c>
      <c r="C38" s="302">
        <v>40</v>
      </c>
      <c r="D38" s="303">
        <v>52.4</v>
      </c>
      <c r="E38" s="299">
        <v>0</v>
      </c>
      <c r="F38" s="299">
        <f>C38*D38+E38</f>
        <v>2096</v>
      </c>
      <c r="G38" s="297">
        <v>42416</v>
      </c>
      <c r="H38" s="302">
        <v>40</v>
      </c>
      <c r="I38" s="303">
        <v>55.45</v>
      </c>
      <c r="J38" s="299">
        <v>0.05</v>
      </c>
      <c r="K38" s="299">
        <f>H38*I38-J38</f>
        <v>2217.9499999999998</v>
      </c>
      <c r="L38" s="298"/>
      <c r="M38" s="298"/>
      <c r="W38" s="120">
        <v>42780</v>
      </c>
      <c r="X38" s="40">
        <v>71.319999999999993</v>
      </c>
      <c r="Y38" s="40">
        <v>71.55</v>
      </c>
      <c r="Z38" s="40">
        <v>71.06</v>
      </c>
      <c r="AA38" s="40">
        <v>71.53</v>
      </c>
      <c r="AB38" s="102">
        <v>645500</v>
      </c>
      <c r="AC38" s="9">
        <v>71.23</v>
      </c>
      <c r="AD38" s="2">
        <f t="shared" si="0"/>
        <v>0.48999999999999488</v>
      </c>
      <c r="AE38" s="134">
        <f t="shared" si="1"/>
        <v>7.0244450688394799E-4</v>
      </c>
    </row>
    <row r="39" spans="1:41" x14ac:dyDescent="0.25">
      <c r="A39" s="308"/>
      <c r="B39" s="297"/>
      <c r="C39" s="302"/>
      <c r="D39" s="303"/>
      <c r="E39" s="299"/>
      <c r="F39" s="299"/>
      <c r="G39" s="297"/>
      <c r="H39" s="302"/>
      <c r="I39" s="303"/>
      <c r="J39" s="299"/>
      <c r="K39" s="299"/>
      <c r="L39" s="298"/>
      <c r="M39" s="298"/>
      <c r="W39" s="120">
        <v>42779</v>
      </c>
      <c r="X39" s="40">
        <v>70.790000000000006</v>
      </c>
      <c r="Y39" s="40">
        <v>71.5</v>
      </c>
      <c r="Z39" s="40">
        <v>70.63</v>
      </c>
      <c r="AA39" s="40">
        <v>71.48</v>
      </c>
      <c r="AB39" s="102">
        <v>706100</v>
      </c>
      <c r="AC39" s="9">
        <v>71.180000000000007</v>
      </c>
      <c r="AD39" s="2">
        <f t="shared" si="0"/>
        <v>0.87000000000000455</v>
      </c>
      <c r="AE39" s="134">
        <f t="shared" si="1"/>
        <v>1.3382687927107284E-2</v>
      </c>
    </row>
    <row r="40" spans="1:41" x14ac:dyDescent="0.25">
      <c r="A40" s="298"/>
      <c r="B40" s="297"/>
      <c r="C40" s="302"/>
      <c r="D40" s="303"/>
      <c r="E40" s="299"/>
      <c r="F40" s="299"/>
      <c r="G40" s="297"/>
      <c r="H40" s="302"/>
      <c r="I40" s="303"/>
      <c r="J40" s="299"/>
      <c r="K40" s="299"/>
      <c r="L40" s="298"/>
      <c r="M40" s="298"/>
      <c r="W40" s="120">
        <v>42776</v>
      </c>
      <c r="X40" s="40">
        <v>70.27</v>
      </c>
      <c r="Y40" s="40">
        <v>70.75</v>
      </c>
      <c r="Z40" s="40">
        <v>70.14</v>
      </c>
      <c r="AA40" s="40">
        <v>70.540000000000006</v>
      </c>
      <c r="AB40" s="102">
        <v>533200</v>
      </c>
      <c r="AC40" s="9">
        <v>70.239999999999995</v>
      </c>
      <c r="AD40" s="2">
        <f t="shared" si="0"/>
        <v>0.60999999999999943</v>
      </c>
      <c r="AE40" s="134">
        <f t="shared" si="1"/>
        <v>1.2103746397694293E-2</v>
      </c>
    </row>
    <row r="41" spans="1:41" x14ac:dyDescent="0.25">
      <c r="A41" s="298"/>
      <c r="B41" s="297"/>
      <c r="C41" s="302"/>
      <c r="D41" s="303"/>
      <c r="E41" s="299"/>
      <c r="F41" s="299"/>
      <c r="G41" s="297"/>
      <c r="H41" s="302"/>
      <c r="I41" s="303"/>
      <c r="J41" s="299"/>
      <c r="K41" s="299"/>
      <c r="L41" s="298"/>
      <c r="M41" s="298"/>
      <c r="W41" s="120">
        <v>42775</v>
      </c>
      <c r="X41" s="40">
        <v>69.319999999999993</v>
      </c>
      <c r="Y41" s="40">
        <v>70.099999999999994</v>
      </c>
      <c r="Z41" s="40">
        <v>69.319999999999993</v>
      </c>
      <c r="AA41" s="40">
        <v>69.7</v>
      </c>
      <c r="AB41" s="102">
        <v>717700</v>
      </c>
      <c r="AC41" s="9">
        <v>69.400000000000006</v>
      </c>
      <c r="AD41" s="2">
        <f t="shared" si="0"/>
        <v>0.78000000000000114</v>
      </c>
      <c r="AE41" s="134">
        <f t="shared" si="1"/>
        <v>5.3599884108359586E-3</v>
      </c>
      <c r="AL41" s="182"/>
      <c r="AO41" s="182"/>
    </row>
    <row r="42" spans="1:41" ht="20.25" thickBot="1" x14ac:dyDescent="0.35">
      <c r="A42" s="298"/>
      <c r="B42" s="297"/>
      <c r="C42" s="302"/>
      <c r="D42" s="303"/>
      <c r="E42" s="299"/>
      <c r="F42" s="299"/>
      <c r="G42" s="297"/>
      <c r="H42" s="302"/>
      <c r="I42" s="303"/>
      <c r="J42" s="299"/>
      <c r="K42" s="299"/>
      <c r="L42" s="298"/>
      <c r="M42" s="298"/>
      <c r="O42" s="292" t="s">
        <v>78</v>
      </c>
      <c r="P42" s="292"/>
      <c r="T42" s="103" t="s">
        <v>92</v>
      </c>
      <c r="U42" s="107"/>
      <c r="W42" s="120">
        <v>42774</v>
      </c>
      <c r="X42" s="40">
        <v>69.19</v>
      </c>
      <c r="Y42" s="40">
        <v>69.41</v>
      </c>
      <c r="Z42" s="40">
        <v>68.400000000000006</v>
      </c>
      <c r="AA42" s="40">
        <v>69.319999999999993</v>
      </c>
      <c r="AB42" s="102">
        <v>678900</v>
      </c>
      <c r="AC42" s="9">
        <v>69.03</v>
      </c>
      <c r="AD42" s="2">
        <f t="shared" si="0"/>
        <v>1.0099999999999909</v>
      </c>
      <c r="AE42" s="134">
        <f t="shared" si="1"/>
        <v>3.1972097078911688E-3</v>
      </c>
    </row>
    <row r="43" spans="1:41" ht="15.75" thickTop="1" x14ac:dyDescent="0.25">
      <c r="A43" s="298"/>
      <c r="B43" s="297"/>
      <c r="C43" s="302"/>
      <c r="D43" s="303"/>
      <c r="E43" s="299"/>
      <c r="F43" s="299"/>
      <c r="G43" s="297"/>
      <c r="H43" s="302"/>
      <c r="I43" s="303"/>
      <c r="J43" s="299"/>
      <c r="K43" s="299"/>
      <c r="L43" s="298"/>
      <c r="M43" s="298"/>
      <c r="O43" s="81">
        <v>1.1000000000000001</v>
      </c>
      <c r="P43" s="81">
        <f t="shared" ref="P43:P63" si="2">O43*$Q$4</f>
        <v>91.685000000000002</v>
      </c>
      <c r="T43" s="135" t="s">
        <v>97</v>
      </c>
      <c r="U43" s="136">
        <v>73.819999999999993</v>
      </c>
      <c r="W43" s="120">
        <v>42773</v>
      </c>
      <c r="X43" s="40">
        <v>68.53</v>
      </c>
      <c r="Y43" s="40">
        <v>69.25</v>
      </c>
      <c r="Z43" s="40">
        <v>68.53</v>
      </c>
      <c r="AA43" s="40">
        <v>69.099999999999994</v>
      </c>
      <c r="AB43" s="102">
        <v>770700</v>
      </c>
      <c r="AC43" s="9">
        <v>68.81</v>
      </c>
      <c r="AD43" s="2">
        <f t="shared" si="0"/>
        <v>0.71999999999999886</v>
      </c>
      <c r="AE43" s="134">
        <f t="shared" si="1"/>
        <v>7.1721311475412275E-3</v>
      </c>
    </row>
    <row r="44" spans="1:41" x14ac:dyDescent="0.25">
      <c r="A44" s="298"/>
      <c r="B44" s="297"/>
      <c r="C44" s="302"/>
      <c r="D44" s="303"/>
      <c r="E44" s="299"/>
      <c r="F44" s="299"/>
      <c r="G44" s="297"/>
      <c r="H44" s="302"/>
      <c r="I44" s="303"/>
      <c r="J44" s="299"/>
      <c r="K44" s="299"/>
      <c r="L44" s="298"/>
      <c r="M44" s="298"/>
      <c r="O44" s="81">
        <v>1.0900000000000001</v>
      </c>
      <c r="P44" s="81">
        <f t="shared" si="2"/>
        <v>90.851500000000001</v>
      </c>
      <c r="T44" s="106" t="s">
        <v>98</v>
      </c>
      <c r="U44" s="104">
        <v>74.11</v>
      </c>
      <c r="W44" s="120">
        <v>42772</v>
      </c>
      <c r="X44" s="40">
        <v>68.989999999999995</v>
      </c>
      <c r="Y44" s="40">
        <v>69.17</v>
      </c>
      <c r="Z44" s="40">
        <v>68.27</v>
      </c>
      <c r="AA44" s="40">
        <v>68.61</v>
      </c>
      <c r="AB44" s="102">
        <v>874400</v>
      </c>
      <c r="AC44" s="9">
        <v>68.319999999999993</v>
      </c>
      <c r="AD44" s="2">
        <f t="shared" si="0"/>
        <v>0.90000000000000568</v>
      </c>
      <c r="AE44" s="134">
        <f t="shared" si="1"/>
        <v>-1.0285383166739215E-2</v>
      </c>
    </row>
    <row r="45" spans="1:41" x14ac:dyDescent="0.25">
      <c r="A45" s="298"/>
      <c r="B45" s="298"/>
      <c r="C45" s="298"/>
      <c r="D45" s="303"/>
      <c r="E45" s="299"/>
      <c r="F45" s="299"/>
      <c r="G45" s="298"/>
      <c r="H45" s="298"/>
      <c r="I45" s="303"/>
      <c r="J45" s="299"/>
      <c r="K45" s="299"/>
      <c r="L45" s="298"/>
      <c r="M45" s="298"/>
      <c r="O45" s="81">
        <v>1.08</v>
      </c>
      <c r="P45" s="81">
        <f t="shared" si="2"/>
        <v>90.018000000000001</v>
      </c>
      <c r="Q45" s="2"/>
      <c r="T45" s="106" t="s">
        <v>99</v>
      </c>
      <c r="U45" s="104" t="s">
        <v>128</v>
      </c>
      <c r="W45" s="120">
        <v>42769</v>
      </c>
      <c r="X45" s="40">
        <v>69.25</v>
      </c>
      <c r="Y45" s="40">
        <v>69.72</v>
      </c>
      <c r="Z45" s="40">
        <v>68.849999999999994</v>
      </c>
      <c r="AA45" s="40">
        <v>69.319999999999993</v>
      </c>
      <c r="AB45" s="102">
        <v>942900</v>
      </c>
      <c r="AC45" s="9">
        <v>69.03</v>
      </c>
      <c r="AD45" s="2">
        <f t="shared" si="0"/>
        <v>0.87000000000000455</v>
      </c>
      <c r="AE45" s="134">
        <f t="shared" si="1"/>
        <v>5.8283549468163276E-3</v>
      </c>
      <c r="AL45" s="182"/>
      <c r="AO45" s="182"/>
    </row>
    <row r="46" spans="1:41" x14ac:dyDescent="0.25">
      <c r="A46" s="298"/>
      <c r="B46" s="298"/>
      <c r="C46" s="298"/>
      <c r="D46" s="303"/>
      <c r="E46" s="299"/>
      <c r="F46" s="299"/>
      <c r="G46" s="298"/>
      <c r="H46" s="298"/>
      <c r="I46" s="303"/>
      <c r="J46" s="299"/>
      <c r="K46" s="299"/>
      <c r="L46" s="298"/>
      <c r="M46" s="298"/>
      <c r="O46" s="81">
        <v>1.07</v>
      </c>
      <c r="P46" s="81">
        <f t="shared" si="2"/>
        <v>89.1845</v>
      </c>
      <c r="Q46" s="2"/>
      <c r="T46" s="106" t="s">
        <v>100</v>
      </c>
      <c r="U46" s="104" t="s">
        <v>128</v>
      </c>
      <c r="W46" s="120">
        <v>42768</v>
      </c>
      <c r="X46" s="40">
        <v>69.239999999999995</v>
      </c>
      <c r="Y46" s="40">
        <v>69.31</v>
      </c>
      <c r="Z46" s="40">
        <v>68.59</v>
      </c>
      <c r="AA46" s="40">
        <v>68.92</v>
      </c>
      <c r="AB46" s="102">
        <v>1278700</v>
      </c>
      <c r="AC46" s="9">
        <v>68.63</v>
      </c>
      <c r="AD46" s="2">
        <f t="shared" si="0"/>
        <v>0.71999999999999886</v>
      </c>
      <c r="AE46" s="134">
        <f t="shared" si="1"/>
        <v>-2.1808665309683839E-3</v>
      </c>
    </row>
    <row r="47" spans="1:41" x14ac:dyDescent="0.25">
      <c r="A47" s="298"/>
      <c r="B47" s="298"/>
      <c r="C47" s="298"/>
      <c r="D47" s="303"/>
      <c r="E47" s="299"/>
      <c r="F47" s="299"/>
      <c r="G47" s="298"/>
      <c r="H47" s="298"/>
      <c r="I47" s="303"/>
      <c r="J47" s="299"/>
      <c r="K47" s="299"/>
      <c r="L47" s="298"/>
      <c r="M47" s="298"/>
      <c r="O47" s="81">
        <v>1.06</v>
      </c>
      <c r="P47" s="81">
        <f t="shared" si="2"/>
        <v>88.350999999999999</v>
      </c>
      <c r="Q47" s="2"/>
      <c r="T47" s="106" t="s">
        <v>101</v>
      </c>
      <c r="U47" s="104">
        <v>71.97</v>
      </c>
      <c r="W47" s="120">
        <v>42767</v>
      </c>
      <c r="X47" s="40">
        <v>69.45</v>
      </c>
      <c r="Y47" s="40">
        <v>69.78</v>
      </c>
      <c r="Z47" s="40">
        <v>68.73</v>
      </c>
      <c r="AA47" s="40">
        <v>69.069999999999993</v>
      </c>
      <c r="AB47" s="102">
        <v>1300400</v>
      </c>
      <c r="AC47" s="9">
        <v>68.78</v>
      </c>
      <c r="AD47" s="2">
        <f t="shared" si="0"/>
        <v>1.0499999999999972</v>
      </c>
      <c r="AE47" s="134">
        <f t="shared" si="1"/>
        <v>-6.3565443513434738E-3</v>
      </c>
    </row>
    <row r="48" spans="1:41" x14ac:dyDescent="0.25">
      <c r="A48" s="298"/>
      <c r="B48" s="298"/>
      <c r="C48" s="298"/>
      <c r="D48" s="303"/>
      <c r="E48" s="299"/>
      <c r="F48" s="299"/>
      <c r="G48" s="298"/>
      <c r="H48" s="298"/>
      <c r="I48" s="303"/>
      <c r="J48" s="299"/>
      <c r="K48" s="299"/>
      <c r="L48" s="298"/>
      <c r="M48" s="298"/>
      <c r="O48" s="81">
        <v>1.05</v>
      </c>
      <c r="P48" s="81">
        <f t="shared" si="2"/>
        <v>87.517499999999998</v>
      </c>
      <c r="Q48" s="2"/>
      <c r="T48" s="106" t="s">
        <v>102</v>
      </c>
      <c r="U48" s="104">
        <v>1.18781</v>
      </c>
      <c r="W48" s="120">
        <v>42766</v>
      </c>
      <c r="X48" s="40">
        <v>69.95</v>
      </c>
      <c r="Y48" s="40">
        <v>70.319999999999993</v>
      </c>
      <c r="Z48" s="40">
        <v>69.38</v>
      </c>
      <c r="AA48" s="40">
        <v>69.52</v>
      </c>
      <c r="AB48" s="102">
        <v>1401800</v>
      </c>
      <c r="AC48" s="9">
        <v>69.22</v>
      </c>
      <c r="AD48" s="2">
        <f t="shared" si="0"/>
        <v>0.93999999999999773</v>
      </c>
      <c r="AE48" s="134">
        <f t="shared" si="1"/>
        <v>-3.5986756873470638E-3</v>
      </c>
    </row>
    <row r="49" spans="1:42" x14ac:dyDescent="0.25">
      <c r="A49" s="298"/>
      <c r="B49" s="298"/>
      <c r="C49" s="298"/>
      <c r="D49" s="303"/>
      <c r="E49" s="299"/>
      <c r="F49" s="299"/>
      <c r="G49" s="298"/>
      <c r="H49" s="298"/>
      <c r="I49" s="303"/>
      <c r="J49" s="299"/>
      <c r="K49" s="299"/>
      <c r="L49" s="298"/>
      <c r="M49" s="298"/>
      <c r="O49" s="81">
        <v>1.04</v>
      </c>
      <c r="P49" s="81">
        <f t="shared" si="2"/>
        <v>86.683999999999997</v>
      </c>
      <c r="Q49" s="2"/>
      <c r="T49" s="106" t="s">
        <v>103</v>
      </c>
      <c r="U49" s="104" t="s">
        <v>128</v>
      </c>
      <c r="W49" s="120">
        <v>42765</v>
      </c>
      <c r="X49" s="40">
        <v>69.92</v>
      </c>
      <c r="Y49" s="40">
        <v>70.16</v>
      </c>
      <c r="Z49" s="40">
        <v>69.28</v>
      </c>
      <c r="AA49" s="40">
        <v>69.77</v>
      </c>
      <c r="AB49" s="102">
        <v>980800</v>
      </c>
      <c r="AC49" s="9">
        <v>69.47</v>
      </c>
      <c r="AD49" s="2">
        <f t="shared" si="0"/>
        <v>0.87999999999999545</v>
      </c>
      <c r="AE49" s="134">
        <f t="shared" si="1"/>
        <v>-7.5714285714285623E-3</v>
      </c>
    </row>
    <row r="50" spans="1:42" x14ac:dyDescent="0.25">
      <c r="A50" s="298"/>
      <c r="B50" s="298"/>
      <c r="C50" s="298"/>
      <c r="D50" s="303"/>
      <c r="E50" s="299"/>
      <c r="F50" s="299"/>
      <c r="G50" s="298"/>
      <c r="H50" s="298"/>
      <c r="I50" s="303"/>
      <c r="J50" s="299"/>
      <c r="K50" s="299"/>
      <c r="L50" s="298"/>
      <c r="M50" s="298"/>
      <c r="O50" s="81">
        <v>1.03</v>
      </c>
      <c r="P50" s="81">
        <f t="shared" si="2"/>
        <v>85.850499999999997</v>
      </c>
      <c r="Q50" s="2"/>
      <c r="T50" s="106"/>
      <c r="U50" s="104"/>
      <c r="W50" s="120">
        <v>42762</v>
      </c>
      <c r="X50" s="40">
        <v>70.25</v>
      </c>
      <c r="Y50" s="40">
        <v>70.75</v>
      </c>
      <c r="Z50" s="40">
        <v>69.989999999999995</v>
      </c>
      <c r="AA50" s="40">
        <v>70.3</v>
      </c>
      <c r="AB50" s="102">
        <v>761100</v>
      </c>
      <c r="AC50" s="9">
        <v>70</v>
      </c>
      <c r="AD50" s="2">
        <f t="shared" si="0"/>
        <v>0.76000000000000512</v>
      </c>
      <c r="AE50" s="134">
        <f t="shared" si="1"/>
        <v>2.4344837462408897E-3</v>
      </c>
    </row>
    <row r="51" spans="1:42" x14ac:dyDescent="0.25">
      <c r="A51" s="298"/>
      <c r="B51" s="298"/>
      <c r="C51" s="298"/>
      <c r="D51" s="303"/>
      <c r="E51" s="299"/>
      <c r="F51" s="299"/>
      <c r="G51" s="298"/>
      <c r="H51" s="298"/>
      <c r="I51" s="303"/>
      <c r="J51" s="299"/>
      <c r="K51" s="299"/>
      <c r="L51" s="298"/>
      <c r="M51" s="298"/>
      <c r="O51" s="81">
        <v>1.02</v>
      </c>
      <c r="P51" s="81">
        <f t="shared" si="2"/>
        <v>85.016999999999996</v>
      </c>
      <c r="Q51" s="2"/>
      <c r="T51" s="106" t="s">
        <v>104</v>
      </c>
      <c r="U51" s="104" t="s">
        <v>601</v>
      </c>
      <c r="W51" s="120">
        <v>42761</v>
      </c>
      <c r="X51" s="40">
        <v>69.930000000000007</v>
      </c>
      <c r="Y51" s="40">
        <v>70.36</v>
      </c>
      <c r="Z51" s="40">
        <v>69.540000000000006</v>
      </c>
      <c r="AA51" s="40">
        <v>70.13</v>
      </c>
      <c r="AB51" s="102">
        <v>1287300</v>
      </c>
      <c r="AC51" s="9">
        <v>69.83</v>
      </c>
      <c r="AD51" s="2">
        <f t="shared" si="0"/>
        <v>0.81999999999999318</v>
      </c>
      <c r="AE51" s="134">
        <f>AC51/AC52-1</f>
        <v>2.0088965418281202E-3</v>
      </c>
    </row>
    <row r="52" spans="1:42" x14ac:dyDescent="0.25">
      <c r="A52" s="298"/>
      <c r="B52" s="298"/>
      <c r="C52" s="298"/>
      <c r="D52" s="303"/>
      <c r="E52" s="299"/>
      <c r="F52" s="299"/>
      <c r="G52" s="298"/>
      <c r="H52" s="298"/>
      <c r="I52" s="303"/>
      <c r="J52" s="299"/>
      <c r="K52" s="299"/>
      <c r="L52" s="298"/>
      <c r="M52" s="298"/>
      <c r="O52" s="81">
        <v>1.01</v>
      </c>
      <c r="P52" s="81">
        <f t="shared" si="2"/>
        <v>84.183499999999995</v>
      </c>
      <c r="Q52" s="2"/>
      <c r="T52" s="106" t="s">
        <v>105</v>
      </c>
      <c r="U52" s="104" t="s">
        <v>602</v>
      </c>
      <c r="W52" s="120">
        <v>42760</v>
      </c>
      <c r="X52" s="40">
        <v>71.11</v>
      </c>
      <c r="Y52" s="40">
        <v>71.48</v>
      </c>
      <c r="Z52" s="40">
        <v>69.94</v>
      </c>
      <c r="AA52" s="40">
        <v>69.989999999999995</v>
      </c>
      <c r="AB52" s="102">
        <v>2649400</v>
      </c>
      <c r="AC52" s="9">
        <v>69.69</v>
      </c>
      <c r="AD52" s="2">
        <f t="shared" si="0"/>
        <v>1.5400000000000063</v>
      </c>
      <c r="AE52" s="134">
        <f t="shared" si="1"/>
        <v>-1.6094875052943713E-2</v>
      </c>
    </row>
    <row r="53" spans="1:42" x14ac:dyDescent="0.25">
      <c r="A53" s="298"/>
      <c r="B53" s="298"/>
      <c r="C53" s="298"/>
      <c r="D53" s="303"/>
      <c r="E53" s="299"/>
      <c r="F53" s="299"/>
      <c r="G53" s="298"/>
      <c r="H53" s="298"/>
      <c r="I53" s="303"/>
      <c r="J53" s="299"/>
      <c r="K53" s="299"/>
      <c r="L53" s="298"/>
      <c r="M53" s="298"/>
      <c r="O53" s="81">
        <v>1</v>
      </c>
      <c r="P53" s="81">
        <f t="shared" si="2"/>
        <v>83.35</v>
      </c>
      <c r="Q53" s="2"/>
      <c r="T53" s="106" t="s">
        <v>106</v>
      </c>
      <c r="U53" s="105">
        <v>1452972</v>
      </c>
      <c r="W53" s="120">
        <v>42759</v>
      </c>
      <c r="X53" s="40">
        <v>70.45</v>
      </c>
      <c r="Y53" s="40">
        <v>71.41</v>
      </c>
      <c r="Z53" s="40">
        <v>70.25</v>
      </c>
      <c r="AA53" s="40">
        <v>71.13</v>
      </c>
      <c r="AB53" s="102">
        <v>2110700</v>
      </c>
      <c r="AC53" s="9">
        <v>70.83</v>
      </c>
      <c r="AD53" s="2">
        <f t="shared" si="0"/>
        <v>1.1599999999999966</v>
      </c>
      <c r="AE53" s="134">
        <f t="shared" si="1"/>
        <v>1.214632752214917E-2</v>
      </c>
      <c r="AL53" s="182"/>
      <c r="AO53" s="182"/>
    </row>
    <row r="54" spans="1:42" x14ac:dyDescent="0.25">
      <c r="A54" s="21" t="s">
        <v>81</v>
      </c>
      <c r="B54" s="12"/>
      <c r="C54" s="75">
        <f>SUM(C38:C44)</f>
        <v>40</v>
      </c>
      <c r="D54" s="13"/>
      <c r="E54" s="13"/>
      <c r="F54" s="13">
        <f>SUM(F38:F44)</f>
        <v>2096</v>
      </c>
      <c r="G54" s="13"/>
      <c r="H54" s="75">
        <f>SUM(H38:H44)</f>
        <v>40</v>
      </c>
      <c r="I54" s="13"/>
      <c r="J54" s="13"/>
      <c r="K54" s="13">
        <f>SUM(K38:K44)</f>
        <v>2217.9499999999998</v>
      </c>
      <c r="L54" s="13"/>
      <c r="M54" s="13"/>
      <c r="O54" s="81">
        <v>0.99</v>
      </c>
      <c r="P54" s="81">
        <f t="shared" si="2"/>
        <v>82.516499999999994</v>
      </c>
      <c r="Q54" s="2"/>
      <c r="T54" s="106" t="s">
        <v>109</v>
      </c>
      <c r="U54" s="105">
        <v>1089500</v>
      </c>
      <c r="W54" s="120">
        <v>42758</v>
      </c>
      <c r="X54" s="40">
        <v>69.7</v>
      </c>
      <c r="Y54" s="40">
        <v>70.47</v>
      </c>
      <c r="Z54" s="40">
        <v>69.38</v>
      </c>
      <c r="AA54" s="40">
        <v>70.28</v>
      </c>
      <c r="AB54" s="102">
        <v>1077000</v>
      </c>
      <c r="AC54" s="9">
        <v>69.98</v>
      </c>
      <c r="AD54" s="2">
        <f t="shared" si="0"/>
        <v>1.0900000000000034</v>
      </c>
      <c r="AE54" s="134">
        <f t="shared" si="1"/>
        <v>2.2916069894014512E-3</v>
      </c>
    </row>
    <row r="55" spans="1:42" x14ac:dyDescent="0.25">
      <c r="O55" s="81">
        <v>0.98</v>
      </c>
      <c r="P55" s="81">
        <f t="shared" si="2"/>
        <v>81.682999999999993</v>
      </c>
      <c r="T55" s="106" t="s">
        <v>107</v>
      </c>
      <c r="U55" s="104" t="s">
        <v>603</v>
      </c>
      <c r="W55" s="120">
        <v>42755</v>
      </c>
      <c r="X55" s="40">
        <v>69</v>
      </c>
      <c r="Y55" s="40">
        <v>70.19</v>
      </c>
      <c r="Z55" s="40">
        <v>68.89</v>
      </c>
      <c r="AA55" s="40">
        <v>70.12</v>
      </c>
      <c r="AB55" s="102">
        <v>1328100</v>
      </c>
      <c r="AC55" s="9">
        <v>69.819999999999993</v>
      </c>
      <c r="AD55" s="2">
        <f t="shared" si="0"/>
        <v>1.2999999999999972</v>
      </c>
      <c r="AE55" s="134">
        <f t="shared" si="1"/>
        <v>1.8823872756456916E-2</v>
      </c>
    </row>
    <row r="56" spans="1:42" x14ac:dyDescent="0.25">
      <c r="O56" s="81">
        <v>0.97</v>
      </c>
      <c r="P56" s="81">
        <f t="shared" si="2"/>
        <v>80.849499999999992</v>
      </c>
      <c r="T56" s="106" t="s">
        <v>110</v>
      </c>
      <c r="U56" s="104">
        <v>20.99</v>
      </c>
      <c r="W56" s="120">
        <v>42754</v>
      </c>
      <c r="X56" s="40">
        <v>70.41</v>
      </c>
      <c r="Y56" s="40">
        <v>70.41</v>
      </c>
      <c r="Z56" s="40">
        <v>68.680000000000007</v>
      </c>
      <c r="AA56" s="40">
        <v>68.819999999999993</v>
      </c>
      <c r="AB56" s="102">
        <v>2520300</v>
      </c>
      <c r="AC56" s="9">
        <v>68.53</v>
      </c>
      <c r="AD56" s="2">
        <f t="shared" si="0"/>
        <v>1.7299999999999898</v>
      </c>
      <c r="AE56" s="134">
        <f t="shared" si="1"/>
        <v>-1.3246940244780459E-2</v>
      </c>
    </row>
    <row r="57" spans="1:42" x14ac:dyDescent="0.25">
      <c r="O57" s="81">
        <v>0.96</v>
      </c>
      <c r="P57" s="81">
        <f t="shared" si="2"/>
        <v>80.015999999999991</v>
      </c>
      <c r="T57" s="106" t="s">
        <v>111</v>
      </c>
      <c r="U57" s="104">
        <v>3.5</v>
      </c>
      <c r="W57" s="120">
        <v>42753</v>
      </c>
      <c r="X57" s="40">
        <v>69.84</v>
      </c>
      <c r="Y57" s="40">
        <v>70.319999999999993</v>
      </c>
      <c r="Z57" s="40">
        <v>69.430000000000007</v>
      </c>
      <c r="AA57" s="40">
        <v>69.75</v>
      </c>
      <c r="AB57" s="102">
        <v>1349700</v>
      </c>
      <c r="AC57" s="9">
        <v>69.45</v>
      </c>
      <c r="AD57" s="2">
        <f t="shared" si="0"/>
        <v>0.88999999999998636</v>
      </c>
      <c r="AE57" s="134">
        <f t="shared" si="1"/>
        <v>-7.8571428571427848E-3</v>
      </c>
      <c r="AL57" s="182"/>
      <c r="AO57" s="182"/>
    </row>
    <row r="58" spans="1:42" x14ac:dyDescent="0.25">
      <c r="O58" s="81">
        <v>0.95</v>
      </c>
      <c r="P58" s="81">
        <f t="shared" si="2"/>
        <v>79.18249999999999</v>
      </c>
      <c r="T58" s="106" t="s">
        <v>108</v>
      </c>
      <c r="U58" s="104" t="s">
        <v>508</v>
      </c>
      <c r="W58" s="120">
        <v>42752</v>
      </c>
      <c r="X58" s="40">
        <v>70.989999999999995</v>
      </c>
      <c r="Y58" s="40">
        <v>71.569999999999993</v>
      </c>
      <c r="Z58" s="40">
        <v>70.14</v>
      </c>
      <c r="AA58" s="40">
        <v>70.3</v>
      </c>
      <c r="AB58" s="102">
        <v>1201000</v>
      </c>
      <c r="AC58" s="9">
        <v>70</v>
      </c>
      <c r="AD58" s="2">
        <f t="shared" si="0"/>
        <v>1.4299999999999926</v>
      </c>
      <c r="AE58" s="134">
        <f t="shared" si="1"/>
        <v>-9.9009900990099098E-3</v>
      </c>
    </row>
    <row r="59" spans="1:42" x14ac:dyDescent="0.25">
      <c r="O59" s="81">
        <v>0.94</v>
      </c>
      <c r="P59" s="81">
        <f t="shared" si="2"/>
        <v>78.34899999999999</v>
      </c>
      <c r="W59" s="120">
        <v>42748</v>
      </c>
      <c r="X59" s="40">
        <v>70.64</v>
      </c>
      <c r="Y59" s="40">
        <v>71.5</v>
      </c>
      <c r="Z59" s="40">
        <v>70.44</v>
      </c>
      <c r="AA59" s="40">
        <v>71</v>
      </c>
      <c r="AB59" s="102">
        <v>629600</v>
      </c>
      <c r="AC59" s="9">
        <v>70.7</v>
      </c>
      <c r="AD59" s="2">
        <f t="shared" si="0"/>
        <v>1.0600000000000023</v>
      </c>
      <c r="AE59" s="134">
        <f t="shared" si="1"/>
        <v>6.1192543048242953E-3</v>
      </c>
      <c r="AL59" s="182"/>
    </row>
    <row r="60" spans="1:42" x14ac:dyDescent="0.25">
      <c r="O60" s="81">
        <v>0.93</v>
      </c>
      <c r="P60" s="81">
        <f t="shared" si="2"/>
        <v>77.515500000000003</v>
      </c>
      <c r="W60" s="120">
        <v>42747</v>
      </c>
      <c r="X60" s="40">
        <v>71.03</v>
      </c>
      <c r="Y60" s="40">
        <v>71.150000000000006</v>
      </c>
      <c r="Z60" s="40">
        <v>70.09</v>
      </c>
      <c r="AA60" s="40">
        <v>70.569999999999993</v>
      </c>
      <c r="AB60" s="102">
        <v>1208200</v>
      </c>
      <c r="AC60" s="9">
        <v>70.27</v>
      </c>
      <c r="AD60" s="2">
        <f t="shared" si="0"/>
        <v>1.0600000000000023</v>
      </c>
      <c r="AE60" s="134">
        <f t="shared" si="1"/>
        <v>9.9715099715091959E-4</v>
      </c>
    </row>
    <row r="61" spans="1:42" x14ac:dyDescent="0.25">
      <c r="O61" s="81">
        <v>0.92</v>
      </c>
      <c r="P61" s="81">
        <f t="shared" si="2"/>
        <v>76.682000000000002</v>
      </c>
      <c r="W61" s="120">
        <v>42746</v>
      </c>
      <c r="X61" s="40">
        <v>69.400000000000006</v>
      </c>
      <c r="Y61" s="40">
        <v>70.67</v>
      </c>
      <c r="Z61" s="40">
        <v>69.209999999999994</v>
      </c>
      <c r="AA61" s="40">
        <v>70.5</v>
      </c>
      <c r="AB61" s="102">
        <v>891100</v>
      </c>
      <c r="AC61" s="9">
        <v>70.2</v>
      </c>
      <c r="AD61" s="2">
        <f t="shared" si="0"/>
        <v>1.460000000000008</v>
      </c>
      <c r="AE61" s="134">
        <f t="shared" si="1"/>
        <v>1.7391304347826209E-2</v>
      </c>
      <c r="AL61" s="182"/>
      <c r="AO61" s="182"/>
    </row>
    <row r="62" spans="1:42" x14ac:dyDescent="0.25">
      <c r="O62" s="81">
        <v>0.91</v>
      </c>
      <c r="P62" s="81">
        <f t="shared" si="2"/>
        <v>75.848500000000001</v>
      </c>
      <c r="W62" s="120">
        <v>42745</v>
      </c>
      <c r="X62" s="40">
        <v>68.94</v>
      </c>
      <c r="Y62" s="40">
        <v>69.73</v>
      </c>
      <c r="Z62" s="40">
        <v>68.89</v>
      </c>
      <c r="AA62" s="40">
        <v>69.290000000000006</v>
      </c>
      <c r="AB62" s="102">
        <v>757700</v>
      </c>
      <c r="AC62" s="9">
        <v>69</v>
      </c>
      <c r="AD62" s="2">
        <f t="shared" si="0"/>
        <v>0.84000000000000341</v>
      </c>
      <c r="AE62" s="134">
        <f t="shared" si="1"/>
        <v>7.5934579439251859E-3</v>
      </c>
    </row>
    <row r="63" spans="1:42" x14ac:dyDescent="0.25">
      <c r="O63" s="81">
        <v>0.9</v>
      </c>
      <c r="P63" s="81">
        <f t="shared" si="2"/>
        <v>75.015000000000001</v>
      </c>
      <c r="W63" s="120">
        <v>42744</v>
      </c>
      <c r="X63" s="40">
        <v>68.95</v>
      </c>
      <c r="Y63" s="40">
        <v>69.08</v>
      </c>
      <c r="Z63" s="40">
        <v>68.41</v>
      </c>
      <c r="AA63" s="40">
        <v>68.77</v>
      </c>
      <c r="AB63" s="102">
        <v>947500</v>
      </c>
      <c r="AC63" s="9">
        <v>68.48</v>
      </c>
      <c r="AD63" s="2">
        <f t="shared" si="0"/>
        <v>0.67000000000000171</v>
      </c>
      <c r="AE63" s="134">
        <f t="shared" si="1"/>
        <v>-5.0849920092982392E-3</v>
      </c>
      <c r="AL63" s="182"/>
      <c r="AO63" s="182"/>
      <c r="AP63" s="182"/>
    </row>
    <row r="64" spans="1:42" x14ac:dyDescent="0.25">
      <c r="W64" s="120">
        <v>42741</v>
      </c>
      <c r="X64" s="40">
        <v>69.400000000000006</v>
      </c>
      <c r="Y64" s="40">
        <v>69.94</v>
      </c>
      <c r="Z64" s="40">
        <v>69.06</v>
      </c>
      <c r="AA64" s="40">
        <v>69.12</v>
      </c>
      <c r="AB64" s="102">
        <v>961800</v>
      </c>
      <c r="AC64" s="9">
        <v>68.83</v>
      </c>
      <c r="AD64" s="2">
        <f t="shared" si="0"/>
        <v>0.87999999999999545</v>
      </c>
      <c r="AE64" s="134">
        <f t="shared" si="1"/>
        <v>-4.6276211135214407E-3</v>
      </c>
    </row>
    <row r="65" spans="23:41" x14ac:dyDescent="0.25">
      <c r="W65" s="120">
        <v>42740</v>
      </c>
      <c r="X65" s="40">
        <v>68.959999999999994</v>
      </c>
      <c r="Y65" s="40">
        <v>69.989999999999995</v>
      </c>
      <c r="Z65" s="40">
        <v>68.53</v>
      </c>
      <c r="AA65" s="40">
        <v>69.45</v>
      </c>
      <c r="AB65" s="102">
        <v>925400</v>
      </c>
      <c r="AC65" s="9">
        <v>69.150000000000006</v>
      </c>
      <c r="AD65" s="2">
        <f t="shared" si="0"/>
        <v>1.4599999999999937</v>
      </c>
      <c r="AE65" s="134">
        <f t="shared" si="1"/>
        <v>7.5768614308613369E-3</v>
      </c>
      <c r="AL65" s="182"/>
      <c r="AO65" s="182"/>
    </row>
    <row r="66" spans="23:41" x14ac:dyDescent="0.25">
      <c r="W66" s="120">
        <v>42739</v>
      </c>
      <c r="X66" s="40">
        <v>68.47</v>
      </c>
      <c r="Y66" s="40">
        <v>69.06</v>
      </c>
      <c r="Z66" s="40">
        <v>68.13</v>
      </c>
      <c r="AA66" s="40">
        <v>68.92</v>
      </c>
      <c r="AB66" s="102">
        <v>1193700</v>
      </c>
      <c r="AC66" s="9">
        <v>68.63</v>
      </c>
      <c r="AD66" s="2">
        <f t="shared" si="0"/>
        <v>0.93000000000000682</v>
      </c>
      <c r="AE66" s="134">
        <f t="shared" si="1"/>
        <v>2.3411869967193466E-2</v>
      </c>
    </row>
    <row r="67" spans="23:41" x14ac:dyDescent="0.25">
      <c r="W67" s="120">
        <v>42738</v>
      </c>
      <c r="X67" s="40">
        <v>67.709999999999994</v>
      </c>
      <c r="Y67" s="40">
        <v>68.430000000000007</v>
      </c>
      <c r="Z67" s="40">
        <v>67.08</v>
      </c>
      <c r="AA67" s="40">
        <v>67.349999999999994</v>
      </c>
      <c r="AB67" s="102">
        <v>766200</v>
      </c>
      <c r="AC67" s="9">
        <v>67.06</v>
      </c>
      <c r="AD67" s="2">
        <f>Y67-Z67</f>
        <v>1.3500000000000085</v>
      </c>
      <c r="AE67" s="134">
        <f>AC67/AC68-1</f>
        <v>-7.4504544777231896E-4</v>
      </c>
      <c r="AL67" s="182"/>
    </row>
    <row r="68" spans="23:41" x14ac:dyDescent="0.25">
      <c r="W68" s="120">
        <v>42734</v>
      </c>
      <c r="X68" s="40">
        <v>68.150000000000006</v>
      </c>
      <c r="Y68" s="40">
        <v>68.37</v>
      </c>
      <c r="Z68" s="40">
        <v>67.180000000000007</v>
      </c>
      <c r="AA68" s="40">
        <v>67.400000000000006</v>
      </c>
      <c r="AB68" s="102">
        <v>526400</v>
      </c>
      <c r="AC68" s="9">
        <v>67.11</v>
      </c>
      <c r="AD68" s="2">
        <f>Y68-Z68</f>
        <v>1.1899999999999977</v>
      </c>
      <c r="AE68" s="134" t="e">
        <f>AC68/AC69-1</f>
        <v>#DIV/0!</v>
      </c>
    </row>
    <row r="69" spans="23:41" x14ac:dyDescent="0.25">
      <c r="W69" s="29" t="s">
        <v>120</v>
      </c>
      <c r="AB69" s="183"/>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756" priority="39">
      <formula>Q12&gt;0</formula>
    </cfRule>
    <cfRule type="expression" dxfId="755"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754" priority="33">
      <formula>F25&gt;0</formula>
    </cfRule>
    <cfRule type="expression" dxfId="753" priority="34">
      <formula>F25&lt;0</formula>
    </cfRule>
  </conditionalFormatting>
  <conditionalFormatting sqref="F30">
    <cfRule type="expression" dxfId="752" priority="31">
      <formula>F30&gt;0</formula>
    </cfRule>
    <cfRule type="expression" dxfId="751" priority="32">
      <formula>F30&lt;0</formula>
    </cfRule>
  </conditionalFormatting>
  <conditionalFormatting sqref="F31">
    <cfRule type="expression" dxfId="750" priority="29">
      <formula>F31&gt;0</formula>
    </cfRule>
    <cfRule type="expression" dxfId="749" priority="30">
      <formula>F31&lt;0</formula>
    </cfRule>
  </conditionalFormatting>
  <conditionalFormatting sqref="F32:F34">
    <cfRule type="expression" dxfId="748" priority="27">
      <formula>F32&gt;0</formula>
    </cfRule>
    <cfRule type="expression" dxfId="747" priority="28">
      <formula>F32&lt;0</formula>
    </cfRule>
  </conditionalFormatting>
  <conditionalFormatting sqref="H25:H29">
    <cfRule type="expression" dxfId="746" priority="25">
      <formula>H25&gt;0</formula>
    </cfRule>
    <cfRule type="expression" dxfId="745" priority="26">
      <formula>H25&lt;0</formula>
    </cfRule>
  </conditionalFormatting>
  <conditionalFormatting sqref="H30">
    <cfRule type="expression" dxfId="744" priority="23">
      <formula>H30&gt;0</formula>
    </cfRule>
    <cfRule type="expression" dxfId="743" priority="24">
      <formula>H30&lt;0</formula>
    </cfRule>
  </conditionalFormatting>
  <conditionalFormatting sqref="H31">
    <cfRule type="expression" dxfId="742" priority="21">
      <formula>H31&gt;0</formula>
    </cfRule>
    <cfRule type="expression" dxfId="741" priority="22">
      <formula>H31&lt;0</formula>
    </cfRule>
  </conditionalFormatting>
  <conditionalFormatting sqref="H32:H34">
    <cfRule type="expression" dxfId="740" priority="19">
      <formula>H32&gt;0</formula>
    </cfRule>
    <cfRule type="expression" dxfId="739" priority="20">
      <formula>H32&lt;0</formula>
    </cfRule>
  </conditionalFormatting>
  <conditionalFormatting sqref="F35">
    <cfRule type="expression" dxfId="738" priority="17">
      <formula>F35&gt;0</formula>
    </cfRule>
    <cfRule type="expression" dxfId="737" priority="18">
      <formula>F35&lt;0</formula>
    </cfRule>
  </conditionalFormatting>
  <conditionalFormatting sqref="H35">
    <cfRule type="expression" dxfId="736" priority="15">
      <formula>H35&gt;0</formula>
    </cfRule>
    <cfRule type="expression" dxfId="735" priority="16">
      <formula>H35&lt;0</formula>
    </cfRule>
  </conditionalFormatting>
  <conditionalFormatting sqref="F36">
    <cfRule type="expression" dxfId="734" priority="13">
      <formula>F36&gt;0</formula>
    </cfRule>
    <cfRule type="expression" dxfId="733" priority="14">
      <formula>F36&lt;0</formula>
    </cfRule>
  </conditionalFormatting>
  <conditionalFormatting sqref="H36">
    <cfRule type="expression" dxfId="732" priority="11">
      <formula>H36&gt;0</formula>
    </cfRule>
    <cfRule type="expression" dxfId="731" priority="12">
      <formula>H36&lt;0</formula>
    </cfRule>
  </conditionalFormatting>
  <conditionalFormatting sqref="H23:H24">
    <cfRule type="expression" dxfId="730" priority="5">
      <formula>H23&gt;0</formula>
    </cfRule>
    <cfRule type="expression" dxfId="729" priority="6">
      <formula>H23&lt;0</formula>
    </cfRule>
  </conditionalFormatting>
  <conditionalFormatting sqref="F23:F24">
    <cfRule type="expression" dxfId="728" priority="7">
      <formula>F23&gt;0</formula>
    </cfRule>
    <cfRule type="expression" dxfId="727" priority="8">
      <formula>F23&lt;0</formula>
    </cfRule>
  </conditionalFormatting>
  <conditionalFormatting sqref="Q7">
    <cfRule type="expression" dxfId="726" priority="3">
      <formula>Q7&gt;0</formula>
    </cfRule>
    <cfRule type="expression" dxfId="725" priority="4">
      <formula>Q7&lt;0</formula>
    </cfRule>
  </conditionalFormatting>
  <conditionalFormatting sqref="Q8">
    <cfRule type="expression" dxfId="724" priority="1">
      <formula>Q8&gt;0</formula>
    </cfRule>
    <cfRule type="expression" dxfId="723"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11"/>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4"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row>
    <row r="2" spans="1:33" x14ac:dyDescent="0.25">
      <c r="A2" s="6" t="s">
        <v>172</v>
      </c>
      <c r="B2" s="368">
        <v>43006</v>
      </c>
      <c r="C2" s="7">
        <v>40</v>
      </c>
      <c r="D2" s="43">
        <v>53.78</v>
      </c>
      <c r="E2" s="43">
        <v>0</v>
      </c>
      <c r="F2" s="43">
        <f t="shared" ref="F2:F12" si="0">C2*D2+E2</f>
        <v>2151.1999999999998</v>
      </c>
      <c r="G2" s="368">
        <v>43069</v>
      </c>
      <c r="H2" s="7">
        <v>40</v>
      </c>
      <c r="I2" s="43">
        <v>57.28</v>
      </c>
      <c r="J2" s="43">
        <v>0.05</v>
      </c>
      <c r="K2" s="43">
        <f t="shared" ref="K2:K8" si="1">H2*I2-J2</f>
        <v>2291.1499999999996</v>
      </c>
      <c r="L2" s="72">
        <v>43070</v>
      </c>
      <c r="M2" s="43">
        <v>46.8</v>
      </c>
      <c r="O2" s="11" t="s">
        <v>57</v>
      </c>
      <c r="Q2">
        <f>C18-H18</f>
        <v>120</v>
      </c>
      <c r="T2" s="83">
        <v>42566</v>
      </c>
      <c r="U2" t="s">
        <v>228</v>
      </c>
      <c r="W2" s="2"/>
      <c r="X2" s="134"/>
    </row>
    <row r="3" spans="1:33" x14ac:dyDescent="0.25">
      <c r="A3" s="22" t="s">
        <v>71</v>
      </c>
      <c r="B3" s="368">
        <v>43021</v>
      </c>
      <c r="C3" s="7">
        <v>80</v>
      </c>
      <c r="D3" s="43">
        <v>53.01</v>
      </c>
      <c r="E3" s="43">
        <v>0</v>
      </c>
      <c r="F3" s="43">
        <f t="shared" si="0"/>
        <v>4240.8</v>
      </c>
      <c r="G3" s="368">
        <v>43230</v>
      </c>
      <c r="H3" s="80">
        <v>80</v>
      </c>
      <c r="I3" s="43">
        <v>54.68</v>
      </c>
      <c r="J3" s="43">
        <v>0.1</v>
      </c>
      <c r="K3" s="43">
        <f t="shared" si="1"/>
        <v>4374.2999999999993</v>
      </c>
      <c r="L3" s="72">
        <v>43160</v>
      </c>
      <c r="M3" s="43">
        <v>31.2</v>
      </c>
      <c r="O3" s="11" t="s">
        <v>58</v>
      </c>
      <c r="Q3" s="178">
        <f>IF(Q2=0, Q4, (F18-K18-M18)/Q2)</f>
        <v>44.439000000000043</v>
      </c>
      <c r="T3" s="118"/>
      <c r="W3" s="2"/>
      <c r="X3" s="134"/>
      <c r="AG3" s="182"/>
    </row>
    <row r="4" spans="1:33" x14ac:dyDescent="0.25">
      <c r="B4" s="368">
        <v>43136</v>
      </c>
      <c r="C4" s="7">
        <v>40</v>
      </c>
      <c r="D4" s="43">
        <v>57.8</v>
      </c>
      <c r="E4" s="43">
        <v>0</v>
      </c>
      <c r="F4" s="43">
        <f t="shared" si="0"/>
        <v>2312</v>
      </c>
      <c r="G4" s="368">
        <v>43242</v>
      </c>
      <c r="H4" s="80">
        <v>80</v>
      </c>
      <c r="I4" s="43">
        <v>55.47</v>
      </c>
      <c r="J4" s="43">
        <v>-0.12</v>
      </c>
      <c r="K4" s="43">
        <f t="shared" si="1"/>
        <v>4437.72</v>
      </c>
      <c r="L4" s="72">
        <v>43252</v>
      </c>
      <c r="M4" s="43">
        <v>78</v>
      </c>
      <c r="O4" s="11" t="s">
        <v>66</v>
      </c>
      <c r="Q4" s="54">
        <v>48.78</v>
      </c>
      <c r="R4" s="405">
        <v>-7.9000000000000008E-3</v>
      </c>
      <c r="T4" s="736">
        <v>43203</v>
      </c>
      <c r="U4" t="s">
        <v>974</v>
      </c>
      <c r="W4" s="2"/>
      <c r="X4" s="134"/>
      <c r="AD4" s="182"/>
      <c r="AG4" s="182"/>
    </row>
    <row r="5" spans="1:33" x14ac:dyDescent="0.25">
      <c r="B5" s="368">
        <v>43181</v>
      </c>
      <c r="C5" s="7">
        <v>80</v>
      </c>
      <c r="D5" s="43">
        <v>53</v>
      </c>
      <c r="E5" s="43">
        <v>0</v>
      </c>
      <c r="F5" s="43">
        <f t="shared" si="0"/>
        <v>4240</v>
      </c>
      <c r="G5" s="368">
        <v>43272</v>
      </c>
      <c r="H5" s="651">
        <v>50</v>
      </c>
      <c r="I5" s="45">
        <v>54.6</v>
      </c>
      <c r="J5" s="45">
        <v>0.04</v>
      </c>
      <c r="K5" s="43">
        <f t="shared" si="1"/>
        <v>2729.96</v>
      </c>
      <c r="L5" s="72">
        <v>43347</v>
      </c>
      <c r="M5" s="43">
        <v>51.6</v>
      </c>
      <c r="O5" s="11" t="s">
        <v>67</v>
      </c>
      <c r="Q5" s="3">
        <f>Q4*Q2</f>
        <v>5853.6</v>
      </c>
      <c r="U5" t="s">
        <v>976</v>
      </c>
      <c r="W5" s="2"/>
      <c r="X5" s="134"/>
      <c r="AD5" s="182"/>
      <c r="AG5" s="182"/>
    </row>
    <row r="6" spans="1:33" x14ac:dyDescent="0.25">
      <c r="B6" s="368">
        <v>43237</v>
      </c>
      <c r="C6" s="7">
        <v>10</v>
      </c>
      <c r="D6" s="43">
        <v>54.05</v>
      </c>
      <c r="E6" s="43">
        <v>0</v>
      </c>
      <c r="F6" s="43">
        <f t="shared" si="0"/>
        <v>540.5</v>
      </c>
      <c r="G6" s="368">
        <v>43279</v>
      </c>
      <c r="H6" s="80">
        <v>80</v>
      </c>
      <c r="I6" s="43">
        <v>55.41</v>
      </c>
      <c r="J6" s="43">
        <v>0.06</v>
      </c>
      <c r="K6" s="45">
        <f t="shared" si="1"/>
        <v>4432.7399999999989</v>
      </c>
      <c r="L6" s="72">
        <v>43437</v>
      </c>
      <c r="M6" s="43">
        <v>51.6</v>
      </c>
      <c r="O6" s="11" t="s">
        <v>64</v>
      </c>
      <c r="Q6" s="2">
        <f>Q3*Q2</f>
        <v>5332.6800000000048</v>
      </c>
      <c r="W6" s="2"/>
      <c r="X6" s="134"/>
    </row>
    <row r="7" spans="1:33" x14ac:dyDescent="0.25">
      <c r="B7" s="368">
        <v>43237</v>
      </c>
      <c r="C7" s="7">
        <v>70</v>
      </c>
      <c r="D7" s="43">
        <v>54.05</v>
      </c>
      <c r="E7" s="43">
        <v>0</v>
      </c>
      <c r="F7" s="43">
        <f t="shared" si="0"/>
        <v>3783.5</v>
      </c>
      <c r="G7" s="368">
        <v>43286</v>
      </c>
      <c r="H7" s="80">
        <v>120</v>
      </c>
      <c r="I7" s="43">
        <v>55.2</v>
      </c>
      <c r="J7" s="43">
        <v>0.09</v>
      </c>
      <c r="K7" s="45">
        <f t="shared" si="1"/>
        <v>6623.91</v>
      </c>
      <c r="L7" s="72">
        <v>43525</v>
      </c>
      <c r="M7" s="43">
        <v>54</v>
      </c>
      <c r="O7" s="11" t="s">
        <v>177</v>
      </c>
      <c r="P7"/>
      <c r="Q7" s="2">
        <f>Q10+Q8</f>
        <v>2125.4999999999982</v>
      </c>
      <c r="R7">
        <v>120</v>
      </c>
      <c r="T7" s="83">
        <v>43237</v>
      </c>
      <c r="U7" t="s">
        <v>1056</v>
      </c>
      <c r="W7" s="2"/>
      <c r="X7" s="134"/>
      <c r="AD7" s="182"/>
      <c r="AG7" s="182"/>
    </row>
    <row r="8" spans="1:33" x14ac:dyDescent="0.25">
      <c r="B8" s="368">
        <v>43244</v>
      </c>
      <c r="C8" s="7">
        <v>80</v>
      </c>
      <c r="D8" s="43">
        <v>54.48</v>
      </c>
      <c r="E8" s="43">
        <v>0</v>
      </c>
      <c r="F8" s="43">
        <f t="shared" si="0"/>
        <v>4358.3999999999996</v>
      </c>
      <c r="G8" s="368">
        <v>43334</v>
      </c>
      <c r="H8" s="80">
        <v>80</v>
      </c>
      <c r="I8" s="43">
        <v>59.33</v>
      </c>
      <c r="J8" s="43">
        <v>0.06</v>
      </c>
      <c r="K8" s="43">
        <f t="shared" si="1"/>
        <v>4746.3399999999992</v>
      </c>
      <c r="L8" s="4"/>
      <c r="M8" s="4"/>
      <c r="O8" s="11" t="s">
        <v>179</v>
      </c>
      <c r="Q8" s="2">
        <f>K18+M18-F18+Q2*Q4</f>
        <v>520.91999999999643</v>
      </c>
      <c r="W8" s="2"/>
      <c r="X8" s="134"/>
    </row>
    <row r="9" spans="1:33" x14ac:dyDescent="0.25">
      <c r="B9" s="368">
        <v>43249</v>
      </c>
      <c r="C9" s="7">
        <v>50</v>
      </c>
      <c r="D9" s="43">
        <v>53.08</v>
      </c>
      <c r="E9" s="43">
        <v>0</v>
      </c>
      <c r="F9" s="43">
        <f t="shared" si="0"/>
        <v>2654</v>
      </c>
      <c r="G9" s="72"/>
      <c r="H9" s="161"/>
      <c r="I9" s="3"/>
      <c r="J9" s="3"/>
      <c r="K9" s="3"/>
      <c r="L9" s="4"/>
      <c r="M9" s="4"/>
      <c r="O9" s="11" t="s">
        <v>204</v>
      </c>
      <c r="P9"/>
      <c r="Q9" s="134">
        <f>IF(Q2=0, 0, Q8/Q6)</f>
        <v>9.7684466347126769E-2</v>
      </c>
      <c r="W9" s="2"/>
      <c r="X9" s="134"/>
      <c r="AD9" s="182"/>
      <c r="AG9" s="182"/>
    </row>
    <row r="10" spans="1:33" x14ac:dyDescent="0.25">
      <c r="B10" s="368">
        <v>43294</v>
      </c>
      <c r="C10" s="7">
        <v>80</v>
      </c>
      <c r="D10" s="43">
        <v>54.4</v>
      </c>
      <c r="E10" s="43">
        <v>0</v>
      </c>
      <c r="F10" s="43">
        <f t="shared" si="0"/>
        <v>4352</v>
      </c>
      <c r="G10" s="4"/>
      <c r="H10" s="161"/>
      <c r="I10" s="3"/>
      <c r="J10" s="3"/>
      <c r="K10" s="3"/>
      <c r="L10" s="4"/>
      <c r="M10" s="4"/>
      <c r="O10" s="11" t="s">
        <v>203</v>
      </c>
      <c r="Q10" s="2">
        <f>M69</f>
        <v>1604.5800000000017</v>
      </c>
      <c r="W10" s="2"/>
      <c r="X10" s="134"/>
    </row>
    <row r="11" spans="1:33" x14ac:dyDescent="0.25">
      <c r="B11" s="72">
        <v>43294</v>
      </c>
      <c r="C11" s="4">
        <v>40</v>
      </c>
      <c r="D11" s="3">
        <v>53.8</v>
      </c>
      <c r="E11" s="3">
        <v>0</v>
      </c>
      <c r="F11" s="3">
        <f t="shared" si="0"/>
        <v>2152</v>
      </c>
      <c r="G11" s="4"/>
      <c r="H11" s="161"/>
      <c r="I11" s="3"/>
      <c r="J11" s="3"/>
      <c r="K11" s="3"/>
      <c r="L11" s="4"/>
      <c r="M11" s="4"/>
      <c r="O11" s="11" t="s">
        <v>175</v>
      </c>
      <c r="Q11" s="134">
        <f>R11*4/Q4</f>
        <v>3.5260352603526036E-2</v>
      </c>
      <c r="R11">
        <v>0.43</v>
      </c>
      <c r="T11" s="83">
        <v>43294</v>
      </c>
      <c r="U11" t="s">
        <v>1166</v>
      </c>
      <c r="W11" s="2"/>
      <c r="X11" s="134"/>
      <c r="AD11" s="182"/>
      <c r="AG11" s="182"/>
    </row>
    <row r="12" spans="1:33" x14ac:dyDescent="0.25">
      <c r="B12" s="72">
        <v>43355</v>
      </c>
      <c r="C12" s="4">
        <v>80</v>
      </c>
      <c r="D12" s="3">
        <v>56.22</v>
      </c>
      <c r="E12" s="3">
        <v>0</v>
      </c>
      <c r="F12" s="3">
        <f t="shared" si="0"/>
        <v>4497.6000000000004</v>
      </c>
      <c r="G12" s="4"/>
      <c r="H12" s="161"/>
      <c r="I12" s="3"/>
      <c r="J12" s="3"/>
      <c r="K12" s="3"/>
      <c r="L12" s="4"/>
      <c r="M12" s="4"/>
      <c r="O12" s="11" t="s">
        <v>921</v>
      </c>
      <c r="Q12" s="1" t="s">
        <v>1355</v>
      </c>
      <c r="W12" s="2"/>
      <c r="X12" s="134"/>
    </row>
    <row r="13" spans="1:33" x14ac:dyDescent="0.25">
      <c r="B13" s="4"/>
      <c r="C13" s="4"/>
      <c r="D13" s="3"/>
      <c r="E13" s="3"/>
      <c r="F13" s="3"/>
      <c r="G13" s="4"/>
      <c r="H13" s="161"/>
      <c r="I13" s="3"/>
      <c r="J13" s="3"/>
      <c r="K13" s="3"/>
      <c r="L13" s="4"/>
      <c r="M13" s="4"/>
      <c r="O13" s="11" t="s">
        <v>947</v>
      </c>
      <c r="Q13" s="2">
        <f>Q4/4.52</f>
        <v>10.792035398230089</v>
      </c>
      <c r="W13" s="2"/>
      <c r="X13" s="134"/>
      <c r="AD13" s="182"/>
      <c r="AG13" s="182"/>
    </row>
    <row r="14" spans="1:33" x14ac:dyDescent="0.25">
      <c r="B14" s="4"/>
      <c r="C14" s="4"/>
      <c r="D14" s="3"/>
      <c r="E14" s="3"/>
      <c r="F14" s="3"/>
      <c r="G14" s="4"/>
      <c r="H14" s="161"/>
      <c r="I14" s="3"/>
      <c r="J14" s="3"/>
      <c r="K14" s="3"/>
      <c r="L14" s="4"/>
      <c r="M14" s="4"/>
      <c r="O14" s="11" t="s">
        <v>1034</v>
      </c>
      <c r="T14" s="82"/>
      <c r="U14" s="11"/>
      <c r="W14" s="2"/>
      <c r="X14" s="134"/>
    </row>
    <row r="15" spans="1:33" x14ac:dyDescent="0.25">
      <c r="H15" s="70"/>
      <c r="W15" s="2"/>
      <c r="X15" s="134"/>
      <c r="AD15" s="182"/>
      <c r="AG15" s="182"/>
    </row>
    <row r="16" spans="1:33" ht="20.25" thickBot="1" x14ac:dyDescent="0.35">
      <c r="H16" s="70"/>
      <c r="P16" s="735" t="s">
        <v>78</v>
      </c>
      <c r="Q16" s="735"/>
      <c r="W16" s="2"/>
      <c r="X16" s="134"/>
    </row>
    <row r="17" spans="1:33" ht="15.75" thickTop="1" x14ac:dyDescent="0.25">
      <c r="H17" s="70"/>
      <c r="P17" s="81">
        <v>1.1000000000000001</v>
      </c>
      <c r="Q17" s="81">
        <f>P17*$Q$4</f>
        <v>53.658000000000008</v>
      </c>
      <c r="W17" s="2"/>
      <c r="X17" s="134"/>
      <c r="AD17" s="182"/>
      <c r="AG17" s="182"/>
    </row>
    <row r="18" spans="1:33" x14ac:dyDescent="0.25">
      <c r="A18" s="31" t="s">
        <v>81</v>
      </c>
      <c r="B18" s="14"/>
      <c r="C18" s="14">
        <f>SUM(C2:C17)</f>
        <v>650</v>
      </c>
      <c r="D18" s="18"/>
      <c r="E18" s="18"/>
      <c r="F18" s="18">
        <f>SUM(F2:F17)</f>
        <v>35282</v>
      </c>
      <c r="G18" s="14"/>
      <c r="H18" s="71">
        <f>SUM(H2:H17)</f>
        <v>530</v>
      </c>
      <c r="I18" s="18"/>
      <c r="J18" s="18"/>
      <c r="K18" s="18">
        <f>SUM(K2:K17)</f>
        <v>29636.119999999995</v>
      </c>
      <c r="L18" s="18"/>
      <c r="M18" s="18">
        <f>SUM(M2:M17)</f>
        <v>313.2</v>
      </c>
      <c r="P18" s="81">
        <v>1.0900000000000001</v>
      </c>
      <c r="Q18" s="81">
        <f t="shared" ref="Q18:Q37" si="2">P18*$Q$4</f>
        <v>53.170200000000008</v>
      </c>
      <c r="W18" s="2"/>
      <c r="X18" s="134"/>
    </row>
    <row r="19" spans="1:33" ht="15.75" thickBot="1" x14ac:dyDescent="0.3">
      <c r="A19" s="277" t="s">
        <v>191</v>
      </c>
      <c r="B19" s="278"/>
      <c r="C19" s="279">
        <f>SumByColor($A$19,C2:C17)</f>
        <v>530</v>
      </c>
      <c r="D19" s="279"/>
      <c r="E19" s="279"/>
      <c r="F19" s="280">
        <f>SumByColor($A$19,F2:F17)</f>
        <v>28632</v>
      </c>
      <c r="G19" s="279"/>
      <c r="H19" s="279">
        <f>SumByColor($A$19,H2:H17)</f>
        <v>530</v>
      </c>
      <c r="I19" s="279"/>
      <c r="J19" s="279"/>
      <c r="K19" s="280">
        <f>SumByColor($A$19,K2:K17)</f>
        <v>29636</v>
      </c>
      <c r="L19" s="279"/>
      <c r="M19" s="280">
        <f>SumByColor($A$19,M2:M17)</f>
        <v>314</v>
      </c>
      <c r="P19" s="81">
        <v>1.08</v>
      </c>
      <c r="Q19" s="81">
        <f t="shared" si="2"/>
        <v>52.682400000000001</v>
      </c>
      <c r="W19" s="2"/>
      <c r="X19" s="134"/>
      <c r="AD19" s="182"/>
      <c r="AG19" s="182"/>
    </row>
    <row r="20" spans="1:33" x14ac:dyDescent="0.25">
      <c r="P20" s="81">
        <v>1.07</v>
      </c>
      <c r="Q20" s="81">
        <f t="shared" si="2"/>
        <v>52.194600000000001</v>
      </c>
      <c r="W20" s="2"/>
      <c r="X20" s="134"/>
    </row>
    <row r="21" spans="1:33" x14ac:dyDescent="0.25">
      <c r="P21" s="81">
        <v>1.06</v>
      </c>
      <c r="Q21" s="81">
        <f t="shared" si="2"/>
        <v>51.706800000000001</v>
      </c>
      <c r="W21" s="2"/>
      <c r="X21" s="134"/>
      <c r="AD21" s="182"/>
      <c r="AG21" s="182"/>
    </row>
    <row r="22" spans="1:33" x14ac:dyDescent="0.25">
      <c r="P22" s="81">
        <v>1.05</v>
      </c>
      <c r="Q22" s="81">
        <f t="shared" si="2"/>
        <v>51.219000000000001</v>
      </c>
      <c r="W22" s="2"/>
      <c r="X22" s="134"/>
    </row>
    <row r="23" spans="1:33" x14ac:dyDescent="0.25">
      <c r="A23" s="10"/>
      <c r="B23" s="162" t="s">
        <v>113</v>
      </c>
      <c r="C23" s="162" t="s">
        <v>145</v>
      </c>
      <c r="D23" s="163" t="s">
        <v>144</v>
      </c>
      <c r="E23" s="165" t="s">
        <v>146</v>
      </c>
      <c r="F23" s="165" t="s">
        <v>65</v>
      </c>
      <c r="G23" s="177" t="s">
        <v>150</v>
      </c>
      <c r="H23" s="177" t="s">
        <v>88</v>
      </c>
      <c r="I23" s="177" t="s">
        <v>153</v>
      </c>
      <c r="J23" s="177" t="s">
        <v>149</v>
      </c>
      <c r="K23" s="177" t="s">
        <v>487</v>
      </c>
      <c r="L23" s="177" t="s">
        <v>947</v>
      </c>
      <c r="M23" s="10"/>
      <c r="P23" s="81">
        <v>1.04</v>
      </c>
      <c r="Q23" s="81">
        <f t="shared" si="2"/>
        <v>50.731200000000001</v>
      </c>
      <c r="W23" s="2"/>
      <c r="X23" s="134"/>
      <c r="AD23" s="182"/>
    </row>
    <row r="24" spans="1:33" x14ac:dyDescent="0.25">
      <c r="A24" s="10"/>
      <c r="B24" s="164">
        <v>43014</v>
      </c>
      <c r="C24" s="10">
        <v>40</v>
      </c>
      <c r="D24" s="171">
        <v>53.78</v>
      </c>
      <c r="E24" s="39">
        <v>55.58</v>
      </c>
      <c r="F24" s="39">
        <f t="shared" ref="F24:F49" si="3">C24*(E24-D24)</f>
        <v>71.999999999999886</v>
      </c>
      <c r="G24" s="39">
        <f t="shared" ref="G24:G49" si="4">D24*C24</f>
        <v>2151.1999999999998</v>
      </c>
      <c r="H24" s="179">
        <f t="shared" ref="H24:H49" si="5">(E24-D24)/D24</f>
        <v>3.3469691335068746E-2</v>
      </c>
      <c r="I24" s="39"/>
      <c r="J24" s="39">
        <f t="shared" ref="J24:J55" si="6">F24+$Q$10</f>
        <v>1676.5800000000017</v>
      </c>
      <c r="K24" s="39"/>
      <c r="L24" s="10"/>
      <c r="M24" s="10"/>
      <c r="P24" s="81">
        <v>1.03</v>
      </c>
      <c r="Q24" s="81">
        <f t="shared" si="2"/>
        <v>50.243400000000001</v>
      </c>
      <c r="W24" s="2"/>
      <c r="X24" s="134"/>
    </row>
    <row r="25" spans="1:33" x14ac:dyDescent="0.25">
      <c r="A25" s="10"/>
      <c r="B25" s="164">
        <v>43021</v>
      </c>
      <c r="C25" s="185">
        <v>120</v>
      </c>
      <c r="D25" s="186">
        <v>53.2667</v>
      </c>
      <c r="E25" s="39">
        <v>53.39</v>
      </c>
      <c r="F25" s="39">
        <f t="shared" si="3"/>
        <v>14.796000000000049</v>
      </c>
      <c r="G25" s="39">
        <f t="shared" si="4"/>
        <v>6392.0039999999999</v>
      </c>
      <c r="H25" s="179">
        <f t="shared" si="5"/>
        <v>2.3147670120356699E-3</v>
      </c>
      <c r="I25" s="39">
        <v>53</v>
      </c>
      <c r="J25" s="39">
        <f t="shared" si="6"/>
        <v>1619.3760000000018</v>
      </c>
      <c r="K25" s="39"/>
      <c r="L25" s="10"/>
      <c r="M25" s="10"/>
      <c r="P25" s="81">
        <v>1.02</v>
      </c>
      <c r="Q25" s="81">
        <f t="shared" si="2"/>
        <v>49.755600000000001</v>
      </c>
      <c r="W25" s="2"/>
      <c r="X25" s="134"/>
    </row>
    <row r="26" spans="1:33" x14ac:dyDescent="0.25">
      <c r="A26" s="10"/>
      <c r="B26" s="164">
        <v>43031</v>
      </c>
      <c r="C26" s="10">
        <v>120</v>
      </c>
      <c r="D26" s="39">
        <v>53.2667</v>
      </c>
      <c r="E26" s="39">
        <v>54.91</v>
      </c>
      <c r="F26" s="39">
        <f t="shared" si="3"/>
        <v>197.19599999999957</v>
      </c>
      <c r="G26" s="39">
        <f t="shared" si="4"/>
        <v>6392.0039999999999</v>
      </c>
      <c r="H26" s="179">
        <f t="shared" si="5"/>
        <v>3.0850418741915613E-2</v>
      </c>
      <c r="I26" s="39"/>
      <c r="J26" s="39">
        <f t="shared" si="6"/>
        <v>1801.7760000000012</v>
      </c>
      <c r="K26" s="39"/>
      <c r="L26" s="10"/>
      <c r="M26" s="10"/>
      <c r="P26" s="81">
        <v>1.01</v>
      </c>
      <c r="Q26" s="81">
        <f t="shared" si="2"/>
        <v>49.267800000000001</v>
      </c>
      <c r="W26" s="2"/>
      <c r="X26" s="134"/>
    </row>
    <row r="27" spans="1:33" x14ac:dyDescent="0.25">
      <c r="A27" s="10">
        <v>80</v>
      </c>
      <c r="B27" s="164">
        <v>43069</v>
      </c>
      <c r="C27" s="10">
        <v>80</v>
      </c>
      <c r="D27" s="39">
        <v>51.259399999999999</v>
      </c>
      <c r="E27" s="39">
        <v>57.28</v>
      </c>
      <c r="F27" s="39">
        <f t="shared" si="3"/>
        <v>481.64800000000014</v>
      </c>
      <c r="G27" s="39">
        <f t="shared" si="4"/>
        <v>4100.7520000000004</v>
      </c>
      <c r="H27" s="179">
        <f t="shared" si="5"/>
        <v>0.11745357924595297</v>
      </c>
      <c r="I27" s="39">
        <v>50.8</v>
      </c>
      <c r="J27" s="39">
        <f t="shared" si="6"/>
        <v>2086.2280000000019</v>
      </c>
      <c r="K27" s="39"/>
      <c r="L27" s="10"/>
      <c r="M27" s="10"/>
      <c r="P27" s="81">
        <v>1</v>
      </c>
      <c r="Q27" s="81">
        <f t="shared" si="2"/>
        <v>48.78</v>
      </c>
      <c r="W27" s="2"/>
      <c r="X27" s="134"/>
    </row>
    <row r="28" spans="1:33" x14ac:dyDescent="0.25">
      <c r="A28" s="10">
        <v>80</v>
      </c>
      <c r="B28" s="164">
        <v>43072</v>
      </c>
      <c r="C28" s="10">
        <v>80</v>
      </c>
      <c r="D28" s="39">
        <v>50.675600000000003</v>
      </c>
      <c r="E28" s="39">
        <v>56.2</v>
      </c>
      <c r="F28" s="39">
        <f t="shared" si="3"/>
        <v>441.952</v>
      </c>
      <c r="G28" s="39">
        <f t="shared" si="4"/>
        <v>4054.0480000000002</v>
      </c>
      <c r="H28" s="179">
        <f t="shared" si="5"/>
        <v>0.10901498946238426</v>
      </c>
      <c r="I28" s="39" t="s">
        <v>746</v>
      </c>
      <c r="J28" s="39">
        <f t="shared" si="6"/>
        <v>2046.5320000000017</v>
      </c>
      <c r="K28" s="39"/>
      <c r="L28" s="10"/>
      <c r="M28" s="10"/>
      <c r="P28" s="81">
        <v>0.99</v>
      </c>
      <c r="Q28" s="81">
        <f t="shared" si="2"/>
        <v>48.292200000000001</v>
      </c>
      <c r="W28" s="2"/>
      <c r="X28" s="134"/>
    </row>
    <row r="29" spans="1:33" x14ac:dyDescent="0.25">
      <c r="A29" s="10">
        <v>80</v>
      </c>
      <c r="B29" s="164">
        <v>43108</v>
      </c>
      <c r="C29" s="10">
        <v>80</v>
      </c>
      <c r="D29" s="39">
        <v>50.675600000000003</v>
      </c>
      <c r="E29" s="39">
        <v>62.04</v>
      </c>
      <c r="F29" s="39">
        <f t="shared" si="3"/>
        <v>909.1519999999997</v>
      </c>
      <c r="G29" s="39">
        <f t="shared" si="4"/>
        <v>4054.0480000000002</v>
      </c>
      <c r="H29" s="179">
        <f t="shared" si="5"/>
        <v>0.22425782822502341</v>
      </c>
      <c r="I29" s="39" t="s">
        <v>830</v>
      </c>
      <c r="J29" s="39">
        <f t="shared" si="6"/>
        <v>2513.7320000000013</v>
      </c>
      <c r="K29" s="39"/>
      <c r="L29" s="10"/>
      <c r="M29" s="10"/>
      <c r="P29" s="81">
        <v>0.98</v>
      </c>
      <c r="Q29" s="81">
        <f t="shared" si="2"/>
        <v>47.804400000000001</v>
      </c>
      <c r="W29" s="2"/>
      <c r="X29" s="134"/>
    </row>
    <row r="30" spans="1:33" x14ac:dyDescent="0.25">
      <c r="A30" s="10">
        <v>80</v>
      </c>
      <c r="B30" s="164">
        <v>43117</v>
      </c>
      <c r="C30" s="10">
        <v>80</v>
      </c>
      <c r="D30" s="39">
        <v>50.675600000000003</v>
      </c>
      <c r="E30" s="39">
        <v>63.88</v>
      </c>
      <c r="F30" s="39">
        <f t="shared" si="3"/>
        <v>1056.3519999999999</v>
      </c>
      <c r="G30" s="39">
        <f t="shared" si="4"/>
        <v>4054.0480000000002</v>
      </c>
      <c r="H30" s="179">
        <f t="shared" si="5"/>
        <v>0.26056721578037556</v>
      </c>
      <c r="I30" s="39"/>
      <c r="J30" s="39">
        <f t="shared" si="6"/>
        <v>2660.9320000000016</v>
      </c>
      <c r="K30" s="39"/>
      <c r="L30" s="10"/>
      <c r="M30" s="10"/>
      <c r="P30" s="81">
        <v>0.97</v>
      </c>
      <c r="Q30" s="81">
        <f t="shared" si="2"/>
        <v>47.316600000000001</v>
      </c>
      <c r="W30" s="2"/>
      <c r="X30" s="134"/>
    </row>
    <row r="31" spans="1:33" x14ac:dyDescent="0.25">
      <c r="A31" s="10">
        <v>80</v>
      </c>
      <c r="B31" s="164">
        <v>43136</v>
      </c>
      <c r="C31" s="185">
        <v>120</v>
      </c>
      <c r="D31" s="186">
        <v>53.050400000000003</v>
      </c>
      <c r="E31" s="39">
        <v>58.16</v>
      </c>
      <c r="F31" s="39">
        <f t="shared" si="3"/>
        <v>613.15199999999913</v>
      </c>
      <c r="G31" s="39">
        <f t="shared" si="4"/>
        <v>6366.0480000000007</v>
      </c>
      <c r="H31" s="179">
        <f t="shared" si="5"/>
        <v>9.6315956147361617E-2</v>
      </c>
      <c r="I31" s="39"/>
      <c r="J31" s="39">
        <f t="shared" si="6"/>
        <v>2217.7320000000009</v>
      </c>
      <c r="K31" s="39"/>
      <c r="L31" s="10"/>
      <c r="M31" s="10"/>
      <c r="P31" s="81">
        <v>0.96</v>
      </c>
      <c r="Q31" s="81">
        <f t="shared" si="2"/>
        <v>46.828800000000001</v>
      </c>
      <c r="W31" s="2"/>
      <c r="X31" s="134"/>
    </row>
    <row r="32" spans="1:33" x14ac:dyDescent="0.25">
      <c r="A32" s="10">
        <v>120</v>
      </c>
      <c r="B32" s="164">
        <v>43178</v>
      </c>
      <c r="C32" s="10">
        <v>120</v>
      </c>
      <c r="D32" s="39">
        <v>52.79</v>
      </c>
      <c r="E32" s="39">
        <v>55.48</v>
      </c>
      <c r="F32" s="39">
        <f t="shared" si="3"/>
        <v>322.79999999999973</v>
      </c>
      <c r="G32" s="39">
        <f t="shared" si="4"/>
        <v>6334.8</v>
      </c>
      <c r="H32" s="179">
        <f t="shared" si="5"/>
        <v>5.0956620572078004E-2</v>
      </c>
      <c r="I32" s="173" t="s">
        <v>936</v>
      </c>
      <c r="J32" s="39">
        <f t="shared" si="6"/>
        <v>1927.3800000000015</v>
      </c>
      <c r="K32" s="39"/>
      <c r="L32" s="10"/>
      <c r="M32" s="10"/>
      <c r="P32" s="81">
        <v>0.95</v>
      </c>
      <c r="Q32" s="81">
        <f t="shared" si="2"/>
        <v>46.341000000000001</v>
      </c>
      <c r="W32" s="2"/>
      <c r="X32" s="134"/>
    </row>
    <row r="33" spans="1:24" x14ac:dyDescent="0.25">
      <c r="A33" s="10">
        <v>120</v>
      </c>
      <c r="B33" s="164">
        <v>43181</v>
      </c>
      <c r="C33" s="7">
        <v>200</v>
      </c>
      <c r="D33" s="43">
        <v>52.87</v>
      </c>
      <c r="E33" s="39">
        <v>52.76</v>
      </c>
      <c r="F33" s="39">
        <f t="shared" si="3"/>
        <v>-21.999999999999886</v>
      </c>
      <c r="G33" s="39">
        <f t="shared" si="4"/>
        <v>10574</v>
      </c>
      <c r="H33" s="179">
        <f t="shared" si="5"/>
        <v>-2.08057499527141E-3</v>
      </c>
      <c r="I33" s="39"/>
      <c r="J33" s="39">
        <f t="shared" si="6"/>
        <v>1582.5800000000017</v>
      </c>
      <c r="K33" s="39"/>
      <c r="L33" s="10"/>
      <c r="M33" s="10"/>
      <c r="P33" s="81">
        <v>0.94</v>
      </c>
      <c r="Q33" s="81">
        <f t="shared" si="2"/>
        <v>45.853200000000001</v>
      </c>
      <c r="W33" s="2"/>
      <c r="X33" s="134"/>
    </row>
    <row r="34" spans="1:24" x14ac:dyDescent="0.25">
      <c r="A34" s="10">
        <v>120</v>
      </c>
      <c r="B34" s="164">
        <v>43185</v>
      </c>
      <c r="C34" s="10">
        <v>200</v>
      </c>
      <c r="D34" s="39">
        <v>52.874299999999998</v>
      </c>
      <c r="E34" s="39">
        <v>52.29</v>
      </c>
      <c r="F34" s="39">
        <f t="shared" si="3"/>
        <v>-116.85999999999979</v>
      </c>
      <c r="G34" s="39">
        <f t="shared" si="4"/>
        <v>10574.859999999999</v>
      </c>
      <c r="H34" s="179">
        <f t="shared" si="5"/>
        <v>-1.105073731472566E-2</v>
      </c>
      <c r="I34" s="39"/>
      <c r="J34" s="39">
        <f t="shared" si="6"/>
        <v>1487.7200000000021</v>
      </c>
      <c r="K34" s="39"/>
      <c r="L34" s="10"/>
      <c r="M34" s="10"/>
      <c r="P34" s="81">
        <v>0.93</v>
      </c>
      <c r="Q34" s="81">
        <f t="shared" si="2"/>
        <v>45.365400000000001</v>
      </c>
      <c r="W34" s="2"/>
      <c r="X34" s="134"/>
    </row>
    <row r="35" spans="1:24" x14ac:dyDescent="0.25">
      <c r="A35" s="10">
        <v>120</v>
      </c>
      <c r="B35" s="164">
        <v>43186</v>
      </c>
      <c r="C35" s="10">
        <v>200</v>
      </c>
      <c r="D35" s="39">
        <v>52.874299999999998</v>
      </c>
      <c r="E35" s="39">
        <v>51.1</v>
      </c>
      <c r="F35" s="39">
        <f t="shared" si="3"/>
        <v>-354.85999999999933</v>
      </c>
      <c r="G35" s="39">
        <f t="shared" si="4"/>
        <v>10574.859999999999</v>
      </c>
      <c r="H35" s="179">
        <f t="shared" si="5"/>
        <v>-3.3556945434738555E-2</v>
      </c>
      <c r="I35" s="39"/>
      <c r="J35" s="39">
        <f t="shared" si="6"/>
        <v>1249.7200000000025</v>
      </c>
      <c r="K35" s="39"/>
      <c r="L35" s="10"/>
      <c r="M35" s="10"/>
      <c r="P35" s="81">
        <v>0.92</v>
      </c>
      <c r="Q35" s="81">
        <f t="shared" si="2"/>
        <v>44.877600000000001</v>
      </c>
      <c r="W35" s="2"/>
      <c r="X35" s="134"/>
    </row>
    <row r="36" spans="1:24" x14ac:dyDescent="0.25">
      <c r="A36" s="10">
        <v>120</v>
      </c>
      <c r="B36" s="164">
        <v>43187</v>
      </c>
      <c r="C36" s="10">
        <v>200</v>
      </c>
      <c r="D36" s="39">
        <v>52.87</v>
      </c>
      <c r="E36" s="39">
        <v>52.23</v>
      </c>
      <c r="F36" s="39">
        <f t="shared" si="3"/>
        <v>-128.00000000000011</v>
      </c>
      <c r="G36" s="39">
        <f t="shared" si="4"/>
        <v>10574</v>
      </c>
      <c r="H36" s="179">
        <f t="shared" si="5"/>
        <v>-1.2105163608851912E-2</v>
      </c>
      <c r="I36" s="39"/>
      <c r="J36" s="39">
        <f t="shared" si="6"/>
        <v>1476.5800000000017</v>
      </c>
      <c r="K36" s="39">
        <v>39</v>
      </c>
      <c r="L36" s="10"/>
      <c r="M36" s="10"/>
      <c r="P36" s="81">
        <v>0.91</v>
      </c>
      <c r="Q36" s="81">
        <f t="shared" si="2"/>
        <v>44.389800000000001</v>
      </c>
      <c r="W36" s="2"/>
      <c r="X36" s="134"/>
    </row>
    <row r="37" spans="1:24" x14ac:dyDescent="0.25">
      <c r="A37" s="10">
        <v>120</v>
      </c>
      <c r="B37" s="164">
        <v>43204</v>
      </c>
      <c r="C37" s="10">
        <v>200</v>
      </c>
      <c r="D37" s="39">
        <v>52.874299999999998</v>
      </c>
      <c r="E37" s="39">
        <v>50.89</v>
      </c>
      <c r="F37" s="39">
        <f t="shared" si="3"/>
        <v>-396.8599999999995</v>
      </c>
      <c r="G37" s="39">
        <f t="shared" si="4"/>
        <v>10574.859999999999</v>
      </c>
      <c r="H37" s="179">
        <f t="shared" si="5"/>
        <v>-3.7528629220623208E-2</v>
      </c>
      <c r="I37" s="39"/>
      <c r="J37" s="39">
        <f t="shared" si="6"/>
        <v>1207.7200000000023</v>
      </c>
      <c r="K37" s="39"/>
      <c r="L37" s="10"/>
      <c r="M37" s="10"/>
      <c r="P37" s="81">
        <v>0.9</v>
      </c>
      <c r="Q37" s="81">
        <f t="shared" si="2"/>
        <v>43.902000000000001</v>
      </c>
      <c r="W37" s="2"/>
      <c r="X37" s="134"/>
    </row>
    <row r="38" spans="1:24" x14ac:dyDescent="0.25">
      <c r="A38" s="10">
        <v>200</v>
      </c>
      <c r="B38" s="164">
        <v>43216</v>
      </c>
      <c r="C38" s="10">
        <v>200</v>
      </c>
      <c r="D38" s="39">
        <v>52.874299999999998</v>
      </c>
      <c r="E38" s="39">
        <v>52.44</v>
      </c>
      <c r="F38" s="39">
        <f t="shared" si="3"/>
        <v>-86.86000000000007</v>
      </c>
      <c r="G38" s="39">
        <f t="shared" si="4"/>
        <v>10574.859999999999</v>
      </c>
      <c r="H38" s="179">
        <f t="shared" si="5"/>
        <v>-8.2138203248080903E-3</v>
      </c>
      <c r="I38" s="39"/>
      <c r="J38" s="39">
        <f t="shared" si="6"/>
        <v>1517.7200000000016</v>
      </c>
      <c r="K38" s="39"/>
      <c r="L38" s="10"/>
      <c r="M38" s="10"/>
      <c r="W38" s="2"/>
      <c r="X38" s="134"/>
    </row>
    <row r="39" spans="1:24" x14ac:dyDescent="0.25">
      <c r="A39" s="10">
        <v>120</v>
      </c>
      <c r="B39" s="164">
        <v>43230</v>
      </c>
      <c r="C39" s="185">
        <v>120</v>
      </c>
      <c r="D39" s="186">
        <v>51.671300000000002</v>
      </c>
      <c r="E39" s="39">
        <v>54.65</v>
      </c>
      <c r="F39" s="39">
        <f t="shared" si="3"/>
        <v>357.44399999999956</v>
      </c>
      <c r="G39" s="39">
        <f t="shared" si="4"/>
        <v>6200.5560000000005</v>
      </c>
      <c r="H39" s="179">
        <f t="shared" si="5"/>
        <v>5.7647088422393016E-2</v>
      </c>
      <c r="I39" s="751" t="s">
        <v>1054</v>
      </c>
      <c r="J39" s="39">
        <f t="shared" si="6"/>
        <v>1962.0240000000013</v>
      </c>
      <c r="K39" s="39"/>
      <c r="L39" s="10">
        <v>12.05</v>
      </c>
      <c r="M39" s="10"/>
      <c r="O39" s="11"/>
      <c r="R39" s="33"/>
      <c r="W39" s="2"/>
      <c r="X39" s="134"/>
    </row>
    <row r="40" spans="1:24" x14ac:dyDescent="0.25">
      <c r="A40" s="10">
        <v>120</v>
      </c>
      <c r="B40" s="164">
        <v>43237</v>
      </c>
      <c r="C40" s="7">
        <v>200</v>
      </c>
      <c r="D40" s="43">
        <v>52.622799999999998</v>
      </c>
      <c r="E40" s="39">
        <v>54.22</v>
      </c>
      <c r="F40" s="39">
        <f t="shared" si="3"/>
        <v>319.44000000000017</v>
      </c>
      <c r="G40" s="39">
        <f t="shared" si="4"/>
        <v>10524.56</v>
      </c>
      <c r="H40" s="179">
        <f t="shared" si="5"/>
        <v>3.0351862690696826E-2</v>
      </c>
      <c r="I40" s="39">
        <v>52.25</v>
      </c>
      <c r="J40" s="39">
        <f t="shared" si="6"/>
        <v>1924.0200000000018</v>
      </c>
      <c r="K40" s="39"/>
      <c r="L40" s="39">
        <v>12</v>
      </c>
      <c r="M40" s="10"/>
      <c r="O40" s="2"/>
      <c r="R40" s="33"/>
      <c r="W40" s="2"/>
      <c r="X40" s="134"/>
    </row>
    <row r="41" spans="1:24" x14ac:dyDescent="0.25">
      <c r="A41" s="10">
        <v>40</v>
      </c>
      <c r="B41" s="164">
        <v>43242</v>
      </c>
      <c r="C41" s="185">
        <v>120</v>
      </c>
      <c r="D41" s="186">
        <v>50.723599999999998</v>
      </c>
      <c r="E41" s="39">
        <v>55.26</v>
      </c>
      <c r="F41" s="39">
        <f t="shared" si="3"/>
        <v>544.36800000000005</v>
      </c>
      <c r="G41" s="39">
        <f t="shared" si="4"/>
        <v>6086.8319999999994</v>
      </c>
      <c r="H41" s="179">
        <f t="shared" si="5"/>
        <v>8.9433715272575307E-2</v>
      </c>
      <c r="I41" s="751" t="s">
        <v>1067</v>
      </c>
      <c r="J41" s="39">
        <f t="shared" si="6"/>
        <v>2148.9480000000017</v>
      </c>
      <c r="K41" s="39"/>
      <c r="L41" s="10">
        <v>12.23</v>
      </c>
      <c r="M41" s="10"/>
      <c r="O41" s="2"/>
      <c r="R41" s="33"/>
      <c r="W41" s="2"/>
      <c r="X41" s="134"/>
    </row>
    <row r="42" spans="1:24" x14ac:dyDescent="0.25">
      <c r="A42" s="10">
        <v>40</v>
      </c>
      <c r="B42" s="164">
        <v>43244</v>
      </c>
      <c r="C42" s="7">
        <v>200</v>
      </c>
      <c r="D42" s="43">
        <v>52.226199999999999</v>
      </c>
      <c r="E42" s="39">
        <v>54.67</v>
      </c>
      <c r="F42" s="39">
        <f t="shared" si="3"/>
        <v>488.76000000000062</v>
      </c>
      <c r="G42" s="39">
        <f t="shared" si="4"/>
        <v>10445.24</v>
      </c>
      <c r="H42" s="179">
        <f t="shared" si="5"/>
        <v>4.6792606010010361E-2</v>
      </c>
      <c r="I42" s="751" t="s">
        <v>1071</v>
      </c>
      <c r="J42" s="39">
        <f t="shared" si="6"/>
        <v>2093.3400000000024</v>
      </c>
      <c r="K42" s="39"/>
      <c r="L42" s="39">
        <v>12.1</v>
      </c>
      <c r="M42" s="10"/>
      <c r="O42" s="2"/>
      <c r="R42" s="33"/>
      <c r="W42" s="2"/>
      <c r="X42" s="134"/>
    </row>
    <row r="43" spans="1:24" x14ac:dyDescent="0.25">
      <c r="A43" s="10">
        <v>40</v>
      </c>
      <c r="B43" s="164">
        <v>43249</v>
      </c>
      <c r="C43" s="10">
        <v>250</v>
      </c>
      <c r="D43" s="39">
        <v>52.396900000000002</v>
      </c>
      <c r="E43" s="39">
        <v>52.95</v>
      </c>
      <c r="F43" s="39">
        <f t="shared" si="3"/>
        <v>138.27500000000015</v>
      </c>
      <c r="G43" s="39">
        <f t="shared" si="4"/>
        <v>13099.225</v>
      </c>
      <c r="H43" s="179">
        <f t="shared" si="5"/>
        <v>1.0555968005740808E-2</v>
      </c>
      <c r="I43" s="39"/>
      <c r="J43" s="39">
        <f t="shared" si="6"/>
        <v>1742.8550000000018</v>
      </c>
      <c r="K43" s="39"/>
      <c r="L43" s="10">
        <v>11.71</v>
      </c>
      <c r="M43" s="10"/>
      <c r="O43" s="2"/>
      <c r="R43" s="81"/>
      <c r="W43" s="2"/>
      <c r="X43" s="134"/>
    </row>
    <row r="44" spans="1:24" x14ac:dyDescent="0.25">
      <c r="A44" s="10">
        <v>40</v>
      </c>
      <c r="B44" s="164">
        <v>43252</v>
      </c>
      <c r="C44" s="10">
        <v>250</v>
      </c>
      <c r="D44" s="39">
        <v>52.084899999999998</v>
      </c>
      <c r="E44" s="39">
        <v>54.69</v>
      </c>
      <c r="F44" s="39">
        <f t="shared" si="3"/>
        <v>651.27500000000009</v>
      </c>
      <c r="G44" s="39">
        <f t="shared" si="4"/>
        <v>13021.224999999999</v>
      </c>
      <c r="H44" s="179">
        <f t="shared" si="5"/>
        <v>5.001641550622158E-2</v>
      </c>
      <c r="I44" s="39"/>
      <c r="J44" s="39">
        <f t="shared" si="6"/>
        <v>2255.8550000000018</v>
      </c>
      <c r="K44" s="39"/>
      <c r="L44" s="10">
        <v>12.1</v>
      </c>
      <c r="M44" s="10"/>
      <c r="O44" s="2"/>
      <c r="R44" s="81"/>
      <c r="W44" s="2"/>
      <c r="X44" s="134"/>
    </row>
    <row r="45" spans="1:24" x14ac:dyDescent="0.25">
      <c r="A45" s="10">
        <v>70</v>
      </c>
      <c r="B45" s="164">
        <v>43273</v>
      </c>
      <c r="C45" s="7">
        <v>200</v>
      </c>
      <c r="D45" s="43">
        <v>51.456400000000002</v>
      </c>
      <c r="E45" s="39">
        <v>53.94</v>
      </c>
      <c r="F45" s="39">
        <f t="shared" si="3"/>
        <v>496.71999999999912</v>
      </c>
      <c r="G45" s="39">
        <f t="shared" si="4"/>
        <v>10291.280000000001</v>
      </c>
      <c r="H45" s="179">
        <f t="shared" si="5"/>
        <v>4.8266104896572543E-2</v>
      </c>
      <c r="I45" s="751" t="s">
        <v>1115</v>
      </c>
      <c r="J45" s="39">
        <f t="shared" si="6"/>
        <v>2101.3000000000011</v>
      </c>
      <c r="K45" s="39"/>
      <c r="L45" s="10">
        <v>11.93</v>
      </c>
      <c r="M45" s="10"/>
      <c r="O45" s="2"/>
      <c r="R45" s="81"/>
      <c r="W45" s="2"/>
      <c r="X45" s="134"/>
    </row>
    <row r="46" spans="1:24" x14ac:dyDescent="0.25">
      <c r="A46" s="10">
        <v>150</v>
      </c>
      <c r="B46" s="164">
        <v>43278</v>
      </c>
      <c r="C46" s="10">
        <v>200</v>
      </c>
      <c r="D46" s="39">
        <v>51.46</v>
      </c>
      <c r="E46" s="39">
        <v>53.28</v>
      </c>
      <c r="F46" s="39">
        <f t="shared" si="3"/>
        <v>364.00000000000006</v>
      </c>
      <c r="G46" s="39">
        <f t="shared" si="4"/>
        <v>10292</v>
      </c>
      <c r="H46" s="179">
        <f t="shared" si="5"/>
        <v>3.5367275553828223E-2</v>
      </c>
      <c r="I46" s="39"/>
      <c r="J46" s="39">
        <f t="shared" si="6"/>
        <v>1968.5800000000017</v>
      </c>
      <c r="K46" s="39"/>
      <c r="L46" s="10">
        <v>11.79</v>
      </c>
      <c r="M46" s="10"/>
      <c r="O46" s="2"/>
      <c r="R46" s="81"/>
      <c r="W46" s="2"/>
      <c r="X46" s="134"/>
    </row>
    <row r="47" spans="1:24" x14ac:dyDescent="0.25">
      <c r="A47" s="10">
        <v>70</v>
      </c>
      <c r="B47" s="164">
        <v>43279</v>
      </c>
      <c r="C47" s="185">
        <v>120</v>
      </c>
      <c r="D47" s="186">
        <v>48.82</v>
      </c>
      <c r="E47" s="39">
        <v>53.63</v>
      </c>
      <c r="F47" s="39">
        <f t="shared" si="3"/>
        <v>577.20000000000027</v>
      </c>
      <c r="G47" s="39">
        <f t="shared" si="4"/>
        <v>5858.4</v>
      </c>
      <c r="H47" s="179">
        <f t="shared" si="5"/>
        <v>9.8525194592380225E-2</v>
      </c>
      <c r="I47" s="751" t="s">
        <v>1117</v>
      </c>
      <c r="J47" s="39">
        <f t="shared" si="6"/>
        <v>2181.780000000002</v>
      </c>
      <c r="K47" s="39"/>
      <c r="L47" s="10">
        <v>11.87</v>
      </c>
      <c r="M47" s="10"/>
      <c r="O47" s="2"/>
      <c r="R47" s="81"/>
      <c r="X47" s="134"/>
    </row>
    <row r="48" spans="1:24" x14ac:dyDescent="0.25">
      <c r="A48" s="10">
        <v>0</v>
      </c>
      <c r="B48" s="164">
        <v>43286</v>
      </c>
      <c r="C48" s="10">
        <v>0</v>
      </c>
      <c r="D48" s="39"/>
      <c r="E48" s="39"/>
      <c r="F48" s="39">
        <v>765.38</v>
      </c>
      <c r="G48" s="10"/>
      <c r="H48" s="179"/>
      <c r="I48" s="39"/>
      <c r="J48" s="39">
        <f t="shared" si="6"/>
        <v>2369.9600000000019</v>
      </c>
      <c r="K48" s="39"/>
      <c r="L48" s="10">
        <v>12.22</v>
      </c>
      <c r="M48" s="10"/>
      <c r="O48" s="2"/>
      <c r="R48" s="81"/>
      <c r="X48" s="134"/>
    </row>
    <row r="49" spans="1:24" x14ac:dyDescent="0.25">
      <c r="A49" s="10">
        <v>0</v>
      </c>
      <c r="B49" s="164">
        <v>43294</v>
      </c>
      <c r="C49" s="10">
        <v>80</v>
      </c>
      <c r="D49" s="39">
        <v>44.832799999999999</v>
      </c>
      <c r="E49" s="39">
        <v>54.4</v>
      </c>
      <c r="F49" s="39">
        <f t="shared" si="3"/>
        <v>765.37599999999998</v>
      </c>
      <c r="G49" s="39">
        <f t="shared" si="4"/>
        <v>3586.6239999999998</v>
      </c>
      <c r="H49" s="179">
        <f t="shared" si="5"/>
        <v>0.21339733409468067</v>
      </c>
      <c r="I49" s="39"/>
      <c r="J49" s="39">
        <f t="shared" si="6"/>
        <v>2369.9560000000019</v>
      </c>
      <c r="K49" s="39"/>
      <c r="L49" s="10">
        <v>12.01</v>
      </c>
      <c r="M49" s="10"/>
      <c r="R49" s="81"/>
      <c r="X49" s="134"/>
    </row>
    <row r="50" spans="1:24" x14ac:dyDescent="0.25">
      <c r="A50" s="10">
        <v>0</v>
      </c>
      <c r="B50" s="164">
        <v>43294</v>
      </c>
      <c r="C50" s="185">
        <v>120</v>
      </c>
      <c r="D50" s="186">
        <v>47.822000000000003</v>
      </c>
      <c r="E50" s="39">
        <v>55.36</v>
      </c>
      <c r="F50" s="39">
        <f t="shared" ref="F50:F55" si="7">C50*(E50-D50)</f>
        <v>904.5599999999996</v>
      </c>
      <c r="G50" s="39">
        <f t="shared" ref="G50:G55" si="8">D50*C50</f>
        <v>5738.64</v>
      </c>
      <c r="H50" s="179">
        <f t="shared" ref="H50:H55" si="9">(E50-D50)/D50</f>
        <v>0.15762619714775619</v>
      </c>
      <c r="I50" s="751" t="s">
        <v>1235</v>
      </c>
      <c r="J50" s="39">
        <f t="shared" si="6"/>
        <v>2509.1400000000012</v>
      </c>
      <c r="K50" s="39"/>
      <c r="L50" s="10">
        <v>11.9</v>
      </c>
      <c r="M50" s="10"/>
      <c r="R50" s="81"/>
      <c r="X50" s="134"/>
    </row>
    <row r="51" spans="1:24" x14ac:dyDescent="0.25">
      <c r="A51" s="10">
        <v>0</v>
      </c>
      <c r="B51" s="164">
        <v>43312</v>
      </c>
      <c r="C51" s="10">
        <v>120</v>
      </c>
      <c r="D51" s="39">
        <v>47.821800000000003</v>
      </c>
      <c r="E51" s="39">
        <v>57.29</v>
      </c>
      <c r="F51" s="39">
        <f t="shared" si="7"/>
        <v>1136.1839999999995</v>
      </c>
      <c r="G51" s="39">
        <f t="shared" si="8"/>
        <v>5738.616</v>
      </c>
      <c r="H51" s="179">
        <f t="shared" si="9"/>
        <v>0.19798920157752312</v>
      </c>
      <c r="I51" s="39"/>
      <c r="J51" s="39">
        <f t="shared" si="6"/>
        <v>2740.764000000001</v>
      </c>
      <c r="K51" s="39"/>
      <c r="L51" s="10">
        <v>12.67</v>
      </c>
      <c r="M51" s="10"/>
      <c r="R51" s="81"/>
      <c r="X51" s="134"/>
    </row>
    <row r="52" spans="1:24" x14ac:dyDescent="0.25">
      <c r="A52" s="10">
        <v>0</v>
      </c>
      <c r="B52" s="164">
        <v>43316</v>
      </c>
      <c r="C52" s="10">
        <v>120</v>
      </c>
      <c r="D52" s="39">
        <v>47.821800000000003</v>
      </c>
      <c r="E52" s="39">
        <v>58.83</v>
      </c>
      <c r="F52" s="39">
        <f t="shared" si="7"/>
        <v>1320.9839999999995</v>
      </c>
      <c r="G52" s="39">
        <f t="shared" si="8"/>
        <v>5738.616</v>
      </c>
      <c r="H52" s="179">
        <f t="shared" si="9"/>
        <v>0.23019208812717201</v>
      </c>
      <c r="I52" s="39"/>
      <c r="J52" s="778">
        <f t="shared" si="6"/>
        <v>2925.5640000000012</v>
      </c>
      <c r="K52" s="39"/>
      <c r="L52" s="10">
        <v>12.67</v>
      </c>
      <c r="M52" s="10"/>
      <c r="R52" s="81"/>
      <c r="X52" s="134"/>
    </row>
    <row r="53" spans="1:24" x14ac:dyDescent="0.25">
      <c r="A53" s="10"/>
      <c r="B53" s="164">
        <v>43324</v>
      </c>
      <c r="C53" s="10">
        <v>120</v>
      </c>
      <c r="D53" s="39">
        <v>47.821800000000003</v>
      </c>
      <c r="E53" s="39">
        <v>58.05</v>
      </c>
      <c r="F53" s="39">
        <f t="shared" si="7"/>
        <v>1227.3839999999993</v>
      </c>
      <c r="G53" s="39">
        <f t="shared" si="8"/>
        <v>5738.616</v>
      </c>
      <c r="H53" s="179">
        <f t="shared" si="9"/>
        <v>0.21388153519942774</v>
      </c>
      <c r="I53" s="39"/>
      <c r="J53" s="39">
        <f t="shared" si="6"/>
        <v>2831.9640000000009</v>
      </c>
      <c r="K53" s="39"/>
      <c r="L53" s="10"/>
      <c r="M53" s="10"/>
      <c r="R53" s="81"/>
      <c r="X53" s="134"/>
    </row>
    <row r="54" spans="1:24" x14ac:dyDescent="0.25">
      <c r="A54" s="10">
        <v>120</v>
      </c>
      <c r="B54" s="164">
        <v>43325</v>
      </c>
      <c r="C54" s="10">
        <v>120</v>
      </c>
      <c r="D54" s="39">
        <v>47.82</v>
      </c>
      <c r="E54" s="39">
        <v>57.61</v>
      </c>
      <c r="F54" s="39">
        <f t="shared" si="7"/>
        <v>1174.8</v>
      </c>
      <c r="G54" s="39">
        <f t="shared" si="8"/>
        <v>5738.4</v>
      </c>
      <c r="H54" s="179">
        <f t="shared" si="9"/>
        <v>0.20472605604349642</v>
      </c>
      <c r="I54" s="39"/>
      <c r="J54" s="39">
        <f t="shared" si="6"/>
        <v>2779.3800000000019</v>
      </c>
      <c r="K54" s="39"/>
      <c r="L54" s="10">
        <v>12.75</v>
      </c>
      <c r="M54" s="10"/>
      <c r="R54" s="81"/>
      <c r="X54" s="134"/>
    </row>
    <row r="55" spans="1:24" x14ac:dyDescent="0.25">
      <c r="A55" s="10">
        <v>40</v>
      </c>
      <c r="B55" s="164">
        <v>43334</v>
      </c>
      <c r="C55" s="10">
        <v>40</v>
      </c>
      <c r="D55" s="39">
        <v>24.806999999999999</v>
      </c>
      <c r="E55" s="39">
        <v>59.17</v>
      </c>
      <c r="F55" s="39">
        <f t="shared" si="7"/>
        <v>1374.52</v>
      </c>
      <c r="G55" s="39">
        <f t="shared" si="8"/>
        <v>992.28</v>
      </c>
      <c r="H55" s="179">
        <f t="shared" si="9"/>
        <v>1.3852138509291734</v>
      </c>
      <c r="I55" s="39"/>
      <c r="J55" s="39">
        <f t="shared" si="6"/>
        <v>2979.1000000000017</v>
      </c>
      <c r="K55" s="39"/>
      <c r="L55" s="10">
        <v>13.09</v>
      </c>
      <c r="M55" s="10"/>
      <c r="R55" s="81"/>
      <c r="X55" s="134"/>
    </row>
    <row r="56" spans="1:24" x14ac:dyDescent="0.25">
      <c r="A56" s="10">
        <v>40</v>
      </c>
      <c r="B56" s="164">
        <v>43355</v>
      </c>
      <c r="C56" s="185">
        <v>120</v>
      </c>
      <c r="D56" s="186">
        <v>45.319000000000003</v>
      </c>
      <c r="E56" s="39">
        <v>55.94</v>
      </c>
      <c r="F56" s="39">
        <f t="shared" ref="F56:F61" si="10">C56*(E56-D56)</f>
        <v>1274.5199999999995</v>
      </c>
      <c r="G56" s="39">
        <f t="shared" ref="G56:G61" si="11">D56*C56</f>
        <v>5438.2800000000007</v>
      </c>
      <c r="H56" s="179">
        <f t="shared" ref="H56:H61" si="12">(E56-D56)/D56</f>
        <v>0.23436086409673634</v>
      </c>
      <c r="I56" s="751" t="s">
        <v>1266</v>
      </c>
      <c r="J56" s="39">
        <f t="shared" ref="J56:J61" si="13">F56+$Q$10</f>
        <v>2879.1000000000013</v>
      </c>
      <c r="K56" s="39"/>
      <c r="L56" s="10">
        <v>12.38</v>
      </c>
      <c r="M56" s="10"/>
      <c r="O56" s="2"/>
      <c r="R56" s="81"/>
      <c r="X56" s="134"/>
    </row>
    <row r="57" spans="1:24" x14ac:dyDescent="0.25">
      <c r="A57" s="10">
        <v>40</v>
      </c>
      <c r="B57" s="164">
        <v>43358</v>
      </c>
      <c r="C57" s="10">
        <v>120</v>
      </c>
      <c r="D57" s="39">
        <v>45.319000000000003</v>
      </c>
      <c r="E57" s="39">
        <v>54.73</v>
      </c>
      <c r="F57" s="39">
        <f t="shared" si="10"/>
        <v>1129.3199999999993</v>
      </c>
      <c r="G57" s="39">
        <f t="shared" si="11"/>
        <v>5438.2800000000007</v>
      </c>
      <c r="H57" s="179">
        <f t="shared" si="12"/>
        <v>0.20766124583508008</v>
      </c>
      <c r="I57" s="781"/>
      <c r="J57" s="39">
        <f t="shared" si="13"/>
        <v>2733.900000000001</v>
      </c>
      <c r="K57" s="39"/>
      <c r="L57" s="10">
        <v>12.11</v>
      </c>
      <c r="M57" s="10"/>
      <c r="O57" s="2"/>
      <c r="R57" s="81"/>
      <c r="X57" s="134"/>
    </row>
    <row r="58" spans="1:24" x14ac:dyDescent="0.25">
      <c r="A58" s="10"/>
      <c r="B58" s="164">
        <v>43353</v>
      </c>
      <c r="C58" s="10">
        <v>120</v>
      </c>
      <c r="D58" s="39">
        <v>45.319000000000003</v>
      </c>
      <c r="E58" s="39">
        <v>52.43</v>
      </c>
      <c r="F58" s="39">
        <f t="shared" si="10"/>
        <v>853.31999999999971</v>
      </c>
      <c r="G58" s="39">
        <f t="shared" si="11"/>
        <v>5438.2800000000007</v>
      </c>
      <c r="H58" s="179">
        <f t="shared" si="12"/>
        <v>0.15690990533771701</v>
      </c>
      <c r="I58" s="781"/>
      <c r="J58" s="39">
        <f t="shared" si="13"/>
        <v>2457.9000000000015</v>
      </c>
      <c r="K58" s="39"/>
      <c r="L58" s="10">
        <v>11.6</v>
      </c>
      <c r="M58" s="10"/>
      <c r="O58" s="2"/>
      <c r="R58" s="81"/>
      <c r="X58" s="134"/>
    </row>
    <row r="59" spans="1:24" x14ac:dyDescent="0.25">
      <c r="A59" s="10">
        <v>120</v>
      </c>
      <c r="B59" s="164">
        <v>43437</v>
      </c>
      <c r="C59" s="185">
        <v>120</v>
      </c>
      <c r="D59" s="186">
        <v>44.889000000000003</v>
      </c>
      <c r="E59" s="39">
        <v>54.24</v>
      </c>
      <c r="F59" s="39">
        <f t="shared" si="10"/>
        <v>1122.1199999999999</v>
      </c>
      <c r="G59" s="10">
        <f t="shared" si="11"/>
        <v>5386.68</v>
      </c>
      <c r="H59" s="179">
        <f t="shared" si="12"/>
        <v>0.20831384080732471</v>
      </c>
      <c r="I59" s="39">
        <v>44.5</v>
      </c>
      <c r="J59" s="39">
        <f t="shared" si="13"/>
        <v>2726.7000000000016</v>
      </c>
      <c r="K59" s="39"/>
      <c r="L59" s="10">
        <v>12.01</v>
      </c>
      <c r="M59" s="10"/>
      <c r="O59" s="2"/>
      <c r="R59" s="81"/>
      <c r="X59" s="134"/>
    </row>
    <row r="60" spans="1:24" x14ac:dyDescent="0.25">
      <c r="A60" s="164"/>
      <c r="B60" s="164">
        <v>43492</v>
      </c>
      <c r="C60" s="10">
        <v>120</v>
      </c>
      <c r="D60" s="39">
        <v>44.89</v>
      </c>
      <c r="E60" s="39">
        <v>50.13</v>
      </c>
      <c r="F60" s="39">
        <f t="shared" si="10"/>
        <v>628.80000000000018</v>
      </c>
      <c r="G60" s="10">
        <f t="shared" si="11"/>
        <v>5386.8</v>
      </c>
      <c r="H60" s="10">
        <f t="shared" si="12"/>
        <v>0.11672978391623974</v>
      </c>
      <c r="I60" s="39"/>
      <c r="J60" s="39">
        <f t="shared" si="13"/>
        <v>2233.3800000000019</v>
      </c>
      <c r="K60" s="39"/>
      <c r="L60" s="10">
        <v>11.09</v>
      </c>
      <c r="M60" s="10"/>
      <c r="O60" s="2"/>
      <c r="R60" s="81"/>
      <c r="X60" s="134"/>
    </row>
    <row r="61" spans="1:24" x14ac:dyDescent="0.25">
      <c r="A61" s="10">
        <v>120</v>
      </c>
      <c r="B61" s="164">
        <v>43525</v>
      </c>
      <c r="C61" s="185">
        <v>120</v>
      </c>
      <c r="D61" s="186">
        <v>44.439</v>
      </c>
      <c r="E61" s="39">
        <v>50.03</v>
      </c>
      <c r="F61" s="39">
        <f t="shared" si="10"/>
        <v>670.92000000000007</v>
      </c>
      <c r="G61" s="10">
        <f t="shared" si="11"/>
        <v>5332.68</v>
      </c>
      <c r="H61" s="10">
        <f t="shared" si="12"/>
        <v>0.12581291208173004</v>
      </c>
      <c r="I61" s="39"/>
      <c r="J61" s="39">
        <f t="shared" si="13"/>
        <v>2275.5000000000018</v>
      </c>
      <c r="K61" s="39"/>
      <c r="L61" s="10">
        <v>11.07</v>
      </c>
      <c r="M61" s="10"/>
      <c r="O61" s="2"/>
      <c r="X61" s="134"/>
    </row>
    <row r="62" spans="1:24" x14ac:dyDescent="0.25">
      <c r="A62" s="10"/>
      <c r="B62" s="10"/>
      <c r="C62" s="10"/>
      <c r="D62" s="39"/>
      <c r="E62" s="39"/>
      <c r="F62" s="39"/>
      <c r="G62" s="10"/>
      <c r="H62" s="10"/>
      <c r="I62" s="39"/>
      <c r="J62" s="39"/>
      <c r="K62" s="39"/>
      <c r="L62" s="10"/>
      <c r="M62" s="10"/>
      <c r="O62" s="2"/>
      <c r="X62" s="134"/>
    </row>
    <row r="63" spans="1:24" x14ac:dyDescent="0.25">
      <c r="A63" s="10"/>
      <c r="B63" s="10"/>
      <c r="C63" s="10"/>
      <c r="D63" s="39"/>
      <c r="E63" s="39"/>
      <c r="F63" s="39"/>
      <c r="G63" s="10"/>
      <c r="H63" s="10"/>
      <c r="I63" s="39"/>
      <c r="J63" s="39"/>
      <c r="K63" s="39"/>
      <c r="L63" s="10"/>
      <c r="M63" s="10"/>
      <c r="O63" s="2"/>
      <c r="X63" s="134"/>
    </row>
    <row r="64" spans="1:24" x14ac:dyDescent="0.25">
      <c r="A64" s="10"/>
      <c r="B64" s="10"/>
      <c r="C64" s="10"/>
      <c r="D64" s="39"/>
      <c r="E64" s="39"/>
      <c r="F64" s="39"/>
      <c r="G64" s="10"/>
      <c r="H64" s="10"/>
      <c r="I64" s="39"/>
      <c r="J64" s="39"/>
      <c r="K64" s="39"/>
      <c r="L64" s="10"/>
      <c r="M64" s="10"/>
      <c r="O64" s="2"/>
      <c r="X64" s="134"/>
    </row>
    <row r="65" spans="1:24" x14ac:dyDescent="0.25">
      <c r="A65" s="10"/>
      <c r="B65" s="10"/>
      <c r="C65" s="10"/>
      <c r="D65" s="39"/>
      <c r="E65" s="39"/>
      <c r="F65" s="39"/>
      <c r="G65" s="10"/>
      <c r="H65" s="10"/>
      <c r="I65" s="39"/>
      <c r="J65" s="39"/>
      <c r="K65" s="39"/>
      <c r="L65" s="10"/>
      <c r="M65" s="10"/>
      <c r="O65" s="2"/>
      <c r="X65" s="134"/>
    </row>
    <row r="66" spans="1:24" x14ac:dyDescent="0.25">
      <c r="A66" s="10"/>
      <c r="B66" s="10"/>
      <c r="C66" s="10"/>
      <c r="D66" s="39"/>
      <c r="E66" s="39"/>
      <c r="F66" s="39"/>
      <c r="G66" s="10"/>
      <c r="H66" s="10"/>
      <c r="I66" s="39"/>
      <c r="J66" s="39"/>
      <c r="K66" s="39"/>
      <c r="L66" s="10"/>
      <c r="M66" s="10"/>
      <c r="O66" s="2"/>
      <c r="X66" s="134"/>
    </row>
    <row r="67" spans="1:24" x14ac:dyDescent="0.25">
      <c r="O67" s="2"/>
      <c r="X67" s="134"/>
    </row>
    <row r="68" spans="1:24" x14ac:dyDescent="0.25">
      <c r="O68" s="2"/>
      <c r="X68" s="134"/>
    </row>
    <row r="69" spans="1:24" x14ac:dyDescent="0.25">
      <c r="L69" t="s">
        <v>65</v>
      </c>
      <c r="M69" s="39">
        <f>M110+K110-F110</f>
        <v>1604.5800000000017</v>
      </c>
      <c r="O69" s="2"/>
      <c r="X69" s="134"/>
    </row>
    <row r="70" spans="1:24" x14ac:dyDescent="0.25">
      <c r="A70" s="199" t="s">
        <v>1</v>
      </c>
      <c r="B70" s="199" t="s">
        <v>2</v>
      </c>
      <c r="C70" s="199" t="s">
        <v>4</v>
      </c>
      <c r="D70" s="200" t="s">
        <v>5</v>
      </c>
      <c r="E70" s="200" t="s">
        <v>90</v>
      </c>
      <c r="F70" s="200" t="s">
        <v>60</v>
      </c>
      <c r="G70" s="199" t="s">
        <v>3</v>
      </c>
      <c r="H70" s="199" t="s">
        <v>6</v>
      </c>
      <c r="I70" s="200" t="s">
        <v>7</v>
      </c>
      <c r="J70" s="200" t="s">
        <v>89</v>
      </c>
      <c r="K70" s="200" t="s">
        <v>61</v>
      </c>
      <c r="L70" s="199" t="s">
        <v>77</v>
      </c>
      <c r="M70" s="199" t="s">
        <v>38</v>
      </c>
      <c r="O70" s="2"/>
    </row>
    <row r="71" spans="1:24" x14ac:dyDescent="0.25">
      <c r="A71" s="201" t="s">
        <v>172</v>
      </c>
      <c r="B71" s="202">
        <v>42376</v>
      </c>
      <c r="C71" s="197">
        <v>40</v>
      </c>
      <c r="D71" s="198">
        <v>50.5</v>
      </c>
      <c r="E71" s="198">
        <v>0</v>
      </c>
      <c r="F71" s="198">
        <f t="shared" ref="F71:F79" si="14">C71*D71+E71</f>
        <v>2020</v>
      </c>
      <c r="G71" s="197"/>
      <c r="H71" s="197"/>
      <c r="I71" s="198"/>
      <c r="J71" s="198"/>
      <c r="K71" s="198"/>
      <c r="L71" s="202">
        <v>42430</v>
      </c>
      <c r="M71" s="198">
        <v>15</v>
      </c>
    </row>
    <row r="72" spans="1:24" x14ac:dyDescent="0.25">
      <c r="A72" s="204" t="s">
        <v>71</v>
      </c>
      <c r="B72" s="202">
        <v>42466</v>
      </c>
      <c r="C72" s="197">
        <v>40</v>
      </c>
      <c r="D72" s="198">
        <v>47.38</v>
      </c>
      <c r="E72" s="198">
        <v>0</v>
      </c>
      <c r="F72" s="198">
        <f t="shared" si="14"/>
        <v>1895.2</v>
      </c>
      <c r="G72" s="202">
        <v>42473</v>
      </c>
      <c r="H72" s="203">
        <v>40</v>
      </c>
      <c r="I72" s="198">
        <v>48.91</v>
      </c>
      <c r="J72" s="198">
        <v>0.04</v>
      </c>
      <c r="K72" s="198">
        <f t="shared" ref="K72:K78" si="15">I72*H72-J72</f>
        <v>1956.36</v>
      </c>
      <c r="L72" s="202">
        <v>42522</v>
      </c>
      <c r="M72" s="198">
        <v>30.4</v>
      </c>
    </row>
    <row r="73" spans="1:24" x14ac:dyDescent="0.25">
      <c r="A73" s="197"/>
      <c r="B73" s="202">
        <v>42474</v>
      </c>
      <c r="C73" s="197">
        <v>40</v>
      </c>
      <c r="D73" s="198">
        <v>48.55</v>
      </c>
      <c r="E73" s="198">
        <v>0</v>
      </c>
      <c r="F73" s="198">
        <f t="shared" si="14"/>
        <v>1942</v>
      </c>
      <c r="G73" s="202">
        <v>42487</v>
      </c>
      <c r="H73" s="203">
        <v>40</v>
      </c>
      <c r="I73" s="198">
        <v>50.97</v>
      </c>
      <c r="J73" s="198">
        <v>0.04</v>
      </c>
      <c r="K73" s="198">
        <f t="shared" si="15"/>
        <v>2038.76</v>
      </c>
      <c r="L73" s="202">
        <v>42614</v>
      </c>
      <c r="M73" s="198">
        <v>41.8</v>
      </c>
    </row>
    <row r="74" spans="1:24" x14ac:dyDescent="0.25">
      <c r="A74" s="197"/>
      <c r="B74" s="202">
        <v>42489</v>
      </c>
      <c r="C74" s="197">
        <v>40</v>
      </c>
      <c r="D74" s="198">
        <v>50.01</v>
      </c>
      <c r="E74" s="198">
        <v>0</v>
      </c>
      <c r="F74" s="198">
        <f t="shared" si="14"/>
        <v>2000.3999999999999</v>
      </c>
      <c r="G74" s="202">
        <v>42514</v>
      </c>
      <c r="H74" s="328">
        <v>40</v>
      </c>
      <c r="I74" s="290">
        <v>49.29</v>
      </c>
      <c r="J74" s="290">
        <v>0.04</v>
      </c>
      <c r="K74" s="290">
        <f t="shared" si="15"/>
        <v>1971.56</v>
      </c>
      <c r="L74" s="197"/>
      <c r="M74" s="197"/>
    </row>
    <row r="75" spans="1:24" x14ac:dyDescent="0.25">
      <c r="A75" s="197"/>
      <c r="B75" s="202">
        <v>42503</v>
      </c>
      <c r="C75" s="197">
        <v>10</v>
      </c>
      <c r="D75" s="198">
        <v>48.2</v>
      </c>
      <c r="E75" s="198">
        <v>0</v>
      </c>
      <c r="F75" s="198">
        <f t="shared" si="14"/>
        <v>482</v>
      </c>
      <c r="G75" s="202">
        <v>42517</v>
      </c>
      <c r="H75" s="203">
        <v>20</v>
      </c>
      <c r="I75" s="198">
        <v>50.72</v>
      </c>
      <c r="J75" s="198">
        <v>0.02</v>
      </c>
      <c r="K75" s="290">
        <f t="shared" si="15"/>
        <v>1014.38</v>
      </c>
      <c r="L75" s="197"/>
      <c r="M75" s="197"/>
    </row>
    <row r="76" spans="1:24" x14ac:dyDescent="0.25">
      <c r="A76" s="197"/>
      <c r="B76" s="202">
        <v>42503</v>
      </c>
      <c r="C76" s="197">
        <v>20</v>
      </c>
      <c r="D76" s="198">
        <v>48.2</v>
      </c>
      <c r="E76" s="198">
        <v>0</v>
      </c>
      <c r="F76" s="198">
        <f t="shared" si="14"/>
        <v>964</v>
      </c>
      <c r="G76" s="202">
        <v>42527</v>
      </c>
      <c r="H76" s="203">
        <v>30</v>
      </c>
      <c r="I76" s="198">
        <v>50.59</v>
      </c>
      <c r="J76" s="198">
        <v>0.03</v>
      </c>
      <c r="K76" s="290">
        <f t="shared" si="15"/>
        <v>1517.67</v>
      </c>
      <c r="L76" s="197"/>
      <c r="M76" s="197"/>
    </row>
    <row r="77" spans="1:24" x14ac:dyDescent="0.25">
      <c r="A77" s="197"/>
      <c r="B77" s="202">
        <v>42524</v>
      </c>
      <c r="C77" s="197">
        <v>30</v>
      </c>
      <c r="D77" s="198">
        <v>50.01</v>
      </c>
      <c r="E77" s="198">
        <v>0</v>
      </c>
      <c r="F77" s="198">
        <f t="shared" si="14"/>
        <v>1500.3</v>
      </c>
      <c r="G77" s="202">
        <v>42587</v>
      </c>
      <c r="H77" s="203">
        <v>30</v>
      </c>
      <c r="I77" s="198">
        <v>48.68</v>
      </c>
      <c r="J77" s="198">
        <v>0.03</v>
      </c>
      <c r="K77" s="198">
        <f t="shared" si="15"/>
        <v>1460.3700000000001</v>
      </c>
      <c r="L77" s="197"/>
      <c r="M77" s="197"/>
    </row>
    <row r="78" spans="1:24" x14ac:dyDescent="0.25">
      <c r="A78" s="197"/>
      <c r="B78" s="202">
        <v>42531</v>
      </c>
      <c r="C78" s="197">
        <v>30</v>
      </c>
      <c r="D78" s="198">
        <v>48.51</v>
      </c>
      <c r="E78" s="198">
        <v>0</v>
      </c>
      <c r="F78" s="198">
        <f t="shared" si="14"/>
        <v>1455.3</v>
      </c>
      <c r="G78" s="202">
        <v>42611</v>
      </c>
      <c r="H78" s="203">
        <v>80</v>
      </c>
      <c r="I78" s="198">
        <v>49.71</v>
      </c>
      <c r="J78" s="198">
        <v>0.09</v>
      </c>
      <c r="K78" s="198">
        <f t="shared" si="15"/>
        <v>3976.71</v>
      </c>
      <c r="L78" s="197"/>
      <c r="M78" s="197"/>
    </row>
    <row r="79" spans="1:24" x14ac:dyDescent="0.25">
      <c r="A79" s="197"/>
      <c r="B79" s="202">
        <v>42566</v>
      </c>
      <c r="C79" s="197">
        <v>30</v>
      </c>
      <c r="D79" s="198">
        <v>47.58</v>
      </c>
      <c r="E79" s="198">
        <v>0</v>
      </c>
      <c r="F79" s="198">
        <f t="shared" si="14"/>
        <v>1427.3999999999999</v>
      </c>
      <c r="G79" s="197"/>
      <c r="H79" s="197"/>
      <c r="I79" s="198"/>
      <c r="J79" s="198"/>
      <c r="K79" s="198"/>
      <c r="L79" s="197"/>
      <c r="M79" s="197"/>
    </row>
    <row r="80" spans="1:24" x14ac:dyDescent="0.25">
      <c r="A80" s="197"/>
      <c r="B80" s="202">
        <v>42627</v>
      </c>
      <c r="C80" s="197">
        <v>40</v>
      </c>
      <c r="D80" s="198">
        <v>46.47</v>
      </c>
      <c r="E80" s="198">
        <v>0</v>
      </c>
      <c r="F80" s="198">
        <f>D80*C80+E80</f>
        <v>1858.8</v>
      </c>
      <c r="G80" s="202">
        <v>42670</v>
      </c>
      <c r="H80" s="203">
        <v>40</v>
      </c>
      <c r="I80" s="198">
        <v>46.48</v>
      </c>
      <c r="J80" s="198">
        <v>0.04</v>
      </c>
      <c r="K80" s="198">
        <f>I80*H80-J80</f>
        <v>1859.1599999999999</v>
      </c>
      <c r="L80" s="202">
        <v>42705</v>
      </c>
      <c r="M80" s="198">
        <v>15.2</v>
      </c>
    </row>
    <row r="81" spans="1:13" x14ac:dyDescent="0.25">
      <c r="A81" s="197"/>
      <c r="B81" s="202">
        <v>42639</v>
      </c>
      <c r="C81" s="197">
        <v>40</v>
      </c>
      <c r="D81" s="198">
        <v>44.8</v>
      </c>
      <c r="E81" s="198">
        <v>0</v>
      </c>
      <c r="F81" s="198">
        <f>D81*C81+E81</f>
        <v>1792</v>
      </c>
      <c r="G81" s="202">
        <v>42683</v>
      </c>
      <c r="H81" s="203">
        <v>40</v>
      </c>
      <c r="I81" s="198">
        <v>46.58</v>
      </c>
      <c r="J81" s="198">
        <v>0.04</v>
      </c>
      <c r="K81" s="198">
        <f>I81*H81-J81</f>
        <v>1863.1599999999999</v>
      </c>
      <c r="L81" s="202"/>
      <c r="M81" s="198"/>
    </row>
    <row r="82" spans="1:13" x14ac:dyDescent="0.25">
      <c r="A82" s="197"/>
      <c r="B82" s="202">
        <v>42678</v>
      </c>
      <c r="C82" s="197">
        <v>40</v>
      </c>
      <c r="D82" s="198">
        <v>44.95</v>
      </c>
      <c r="E82" s="198">
        <v>0</v>
      </c>
      <c r="F82" s="198">
        <f>D82*C82+E82</f>
        <v>1798</v>
      </c>
      <c r="G82" s="202">
        <v>42710</v>
      </c>
      <c r="H82" s="203">
        <v>40</v>
      </c>
      <c r="I82" s="198">
        <v>55.08</v>
      </c>
      <c r="J82" s="198">
        <v>0.05</v>
      </c>
      <c r="K82" s="198">
        <f>I82*H82-J82</f>
        <v>2203.1499999999996</v>
      </c>
      <c r="L82" s="202"/>
      <c r="M82" s="197"/>
    </row>
    <row r="83" spans="1:13" x14ac:dyDescent="0.25">
      <c r="A83" s="197"/>
      <c r="B83" s="202"/>
      <c r="C83" s="197"/>
      <c r="D83" s="198"/>
      <c r="E83" s="198"/>
      <c r="F83" s="198"/>
      <c r="G83" s="202"/>
      <c r="H83" s="328"/>
      <c r="I83" s="290"/>
      <c r="J83" s="290"/>
      <c r="K83" s="290"/>
      <c r="L83" s="197"/>
      <c r="M83" s="197"/>
    </row>
    <row r="84" spans="1:13" x14ac:dyDescent="0.25">
      <c r="A84" s="197"/>
      <c r="B84" s="368">
        <v>42718</v>
      </c>
      <c r="C84" s="7">
        <v>40</v>
      </c>
      <c r="D84" s="43">
        <v>54.28</v>
      </c>
      <c r="E84" s="43">
        <v>0</v>
      </c>
      <c r="F84" s="43">
        <f>C84*D84+E84</f>
        <v>2171.1999999999998</v>
      </c>
      <c r="G84" s="368">
        <v>42759</v>
      </c>
      <c r="H84" s="80">
        <v>40</v>
      </c>
      <c r="I84" s="43">
        <v>54.92</v>
      </c>
      <c r="J84" s="43">
        <v>0.05</v>
      </c>
      <c r="K84" s="43">
        <f>H84*I84-J84</f>
        <v>2196.75</v>
      </c>
      <c r="L84" s="197"/>
      <c r="M84" s="197"/>
    </row>
    <row r="85" spans="1:13" x14ac:dyDescent="0.25">
      <c r="A85" s="197"/>
      <c r="B85" s="368">
        <v>42733</v>
      </c>
      <c r="C85" s="7">
        <v>40</v>
      </c>
      <c r="D85" s="43">
        <v>54.58</v>
      </c>
      <c r="E85" s="43">
        <v>0</v>
      </c>
      <c r="F85" s="43">
        <f>C85*D85+E85</f>
        <v>2183.1999999999998</v>
      </c>
      <c r="G85" s="498">
        <v>42767</v>
      </c>
      <c r="H85" s="80">
        <v>40</v>
      </c>
      <c r="I85" s="43">
        <v>57.05</v>
      </c>
      <c r="J85" s="43">
        <v>0.05</v>
      </c>
      <c r="K85" s="43">
        <f>H85*I85-J85</f>
        <v>2281.9499999999998</v>
      </c>
      <c r="L85" s="197"/>
      <c r="M85" s="197"/>
    </row>
    <row r="86" spans="1:13" x14ac:dyDescent="0.25">
      <c r="A86" s="197"/>
      <c r="B86" s="368">
        <v>42740</v>
      </c>
      <c r="C86" s="7">
        <v>40</v>
      </c>
      <c r="D86" s="43">
        <v>54.9</v>
      </c>
      <c r="E86" s="43">
        <v>0</v>
      </c>
      <c r="F86" s="43">
        <f>C86*D86+E86</f>
        <v>2196</v>
      </c>
      <c r="G86" s="368">
        <v>42781</v>
      </c>
      <c r="H86" s="80">
        <v>40</v>
      </c>
      <c r="I86" s="43">
        <v>58.48</v>
      </c>
      <c r="J86" s="43">
        <v>0.05</v>
      </c>
      <c r="K86" s="43">
        <f>H86*I86-J86</f>
        <v>2339.1499999999996</v>
      </c>
      <c r="L86" s="197"/>
      <c r="M86" s="197"/>
    </row>
    <row r="87" spans="1:13" x14ac:dyDescent="0.25">
      <c r="A87" s="197"/>
      <c r="B87" s="202"/>
      <c r="C87" s="197"/>
      <c r="D87" s="198"/>
      <c r="E87" s="198"/>
      <c r="F87" s="198"/>
      <c r="G87" s="202"/>
      <c r="H87" s="203"/>
      <c r="I87" s="198"/>
      <c r="J87" s="198"/>
      <c r="K87" s="290"/>
      <c r="L87" s="197"/>
      <c r="M87" s="197"/>
    </row>
    <row r="88" spans="1:13" x14ac:dyDescent="0.25">
      <c r="A88" s="197"/>
      <c r="B88" s="368">
        <v>42767</v>
      </c>
      <c r="C88" s="7">
        <v>40</v>
      </c>
      <c r="D88" s="43">
        <v>56.68</v>
      </c>
      <c r="E88" s="43">
        <v>0</v>
      </c>
      <c r="F88" s="43">
        <f>C88*D88+E88</f>
        <v>2267.1999999999998</v>
      </c>
      <c r="G88" s="368">
        <v>42803</v>
      </c>
      <c r="H88" s="7">
        <v>40</v>
      </c>
      <c r="I88" s="43">
        <v>58.65</v>
      </c>
      <c r="J88" s="43">
        <v>0.05</v>
      </c>
      <c r="K88" s="43">
        <f>H88*I88-J88</f>
        <v>2345.9499999999998</v>
      </c>
      <c r="L88" s="72">
        <v>42795</v>
      </c>
      <c r="M88" s="43">
        <v>30.4</v>
      </c>
    </row>
    <row r="89" spans="1:13" x14ac:dyDescent="0.25">
      <c r="A89" s="197"/>
      <c r="B89" s="202"/>
      <c r="C89" s="197"/>
      <c r="D89" s="198"/>
      <c r="E89" s="198"/>
      <c r="F89" s="198"/>
      <c r="G89" s="202"/>
      <c r="H89" s="203"/>
      <c r="I89" s="198"/>
      <c r="J89" s="198"/>
      <c r="K89" s="290"/>
      <c r="L89" s="197"/>
      <c r="M89" s="197"/>
    </row>
    <row r="90" spans="1:13" x14ac:dyDescent="0.25">
      <c r="A90" s="197"/>
      <c r="B90" s="368">
        <v>42782</v>
      </c>
      <c r="C90" s="7">
        <v>40</v>
      </c>
      <c r="D90" s="43">
        <v>57.85</v>
      </c>
      <c r="E90" s="43">
        <v>0</v>
      </c>
      <c r="F90" s="43">
        <f t="shared" ref="F90:F95" si="16">C90*D90+E90</f>
        <v>2314</v>
      </c>
      <c r="G90" s="368">
        <v>42915</v>
      </c>
      <c r="H90" s="7">
        <v>80</v>
      </c>
      <c r="I90" s="43">
        <v>55.8</v>
      </c>
      <c r="J90" s="43">
        <v>0.1</v>
      </c>
      <c r="K90" s="43">
        <f>H90*I90-J90</f>
        <v>4463.8999999999996</v>
      </c>
      <c r="L90" s="72">
        <v>42888</v>
      </c>
      <c r="M90" s="43">
        <v>45.6</v>
      </c>
    </row>
    <row r="91" spans="1:13" x14ac:dyDescent="0.25">
      <c r="A91" s="197"/>
      <c r="B91" s="368">
        <v>42815</v>
      </c>
      <c r="C91" s="7">
        <v>40</v>
      </c>
      <c r="D91" s="43">
        <v>57.28</v>
      </c>
      <c r="E91" s="43">
        <v>0</v>
      </c>
      <c r="F91" s="43">
        <f t="shared" si="16"/>
        <v>2291.1999999999998</v>
      </c>
      <c r="G91" s="368">
        <v>42997</v>
      </c>
      <c r="H91" s="80">
        <v>80</v>
      </c>
      <c r="I91" s="43">
        <v>53.18</v>
      </c>
      <c r="J91" s="43">
        <v>0.1</v>
      </c>
      <c r="K91" s="43">
        <f>H91*I91-J91</f>
        <v>4254.2999999999993</v>
      </c>
      <c r="L91" s="1">
        <v>42979</v>
      </c>
      <c r="M91" s="43">
        <v>62.4</v>
      </c>
    </row>
    <row r="92" spans="1:13" x14ac:dyDescent="0.25">
      <c r="A92" s="197"/>
      <c r="B92" s="368">
        <v>42836</v>
      </c>
      <c r="C92" s="7">
        <v>40</v>
      </c>
      <c r="D92" s="43">
        <v>53.6</v>
      </c>
      <c r="E92" s="43">
        <v>0</v>
      </c>
      <c r="F92" s="43">
        <f t="shared" si="16"/>
        <v>2144</v>
      </c>
      <c r="G92" s="368">
        <v>43005</v>
      </c>
      <c r="H92" s="80">
        <v>40</v>
      </c>
      <c r="I92" s="43">
        <v>54.42</v>
      </c>
      <c r="J92" s="43">
        <v>0.05</v>
      </c>
      <c r="K92" s="43">
        <f>H92*I92-J92</f>
        <v>2176.75</v>
      </c>
      <c r="L92" s="72"/>
      <c r="M92" s="4"/>
    </row>
    <row r="93" spans="1:13" x14ac:dyDescent="0.25">
      <c r="A93" s="197"/>
      <c r="B93" s="368">
        <v>42886</v>
      </c>
      <c r="C93" s="7">
        <v>80</v>
      </c>
      <c r="D93" s="43">
        <v>50.88</v>
      </c>
      <c r="E93" s="43">
        <v>0</v>
      </c>
      <c r="F93" s="43">
        <f t="shared" si="16"/>
        <v>4070.4</v>
      </c>
      <c r="G93" s="368">
        <v>43006</v>
      </c>
      <c r="H93" s="651">
        <v>40</v>
      </c>
      <c r="I93" s="45">
        <v>54.3</v>
      </c>
      <c r="J93" s="45">
        <v>0.05</v>
      </c>
      <c r="K93" s="43">
        <f>H93*I93-J93</f>
        <v>2171.9499999999998</v>
      </c>
      <c r="L93" s="4"/>
      <c r="M93" s="4"/>
    </row>
    <row r="94" spans="1:13" x14ac:dyDescent="0.25">
      <c r="A94" s="197"/>
      <c r="B94" s="368">
        <v>42944</v>
      </c>
      <c r="C94" s="7">
        <v>40</v>
      </c>
      <c r="D94" s="43">
        <v>53.37</v>
      </c>
      <c r="E94" s="43">
        <v>-0.1</v>
      </c>
      <c r="F94" s="43">
        <f t="shared" si="16"/>
        <v>2134.6999999999998</v>
      </c>
      <c r="G94" s="368">
        <v>43007</v>
      </c>
      <c r="H94" s="80">
        <v>80</v>
      </c>
      <c r="I94" s="43">
        <v>54.85</v>
      </c>
      <c r="J94" s="43">
        <v>0.1</v>
      </c>
      <c r="K94" s="45">
        <f>H94*I94-J94</f>
        <v>4387.8999999999996</v>
      </c>
      <c r="L94" s="4"/>
      <c r="M94" s="4"/>
    </row>
    <row r="95" spans="1:13" x14ac:dyDescent="0.25">
      <c r="A95" s="197"/>
      <c r="B95" s="368">
        <v>42951</v>
      </c>
      <c r="C95" s="7">
        <v>80</v>
      </c>
      <c r="D95" s="43">
        <v>52.61</v>
      </c>
      <c r="E95" s="43">
        <v>0</v>
      </c>
      <c r="F95" s="43">
        <f t="shared" si="16"/>
        <v>4208.8</v>
      </c>
      <c r="G95" s="72"/>
      <c r="H95" s="161"/>
      <c r="I95" s="3"/>
      <c r="J95" s="3"/>
      <c r="K95" s="73"/>
      <c r="L95" s="4"/>
      <c r="M95" s="4"/>
    </row>
    <row r="96" spans="1:13" x14ac:dyDescent="0.25">
      <c r="A96" s="197"/>
      <c r="B96" s="202"/>
      <c r="C96" s="197"/>
      <c r="D96" s="198"/>
      <c r="E96" s="198"/>
      <c r="F96" s="198"/>
      <c r="G96" s="202"/>
      <c r="H96" s="203"/>
      <c r="I96" s="198"/>
      <c r="J96" s="198"/>
      <c r="K96" s="290"/>
      <c r="L96" s="197"/>
      <c r="M96" s="197"/>
    </row>
    <row r="97" spans="1:13" x14ac:dyDescent="0.25">
      <c r="A97" s="197"/>
      <c r="B97" s="202"/>
      <c r="C97" s="197"/>
      <c r="D97" s="198"/>
      <c r="E97" s="198"/>
      <c r="F97" s="198"/>
      <c r="G97" s="202"/>
      <c r="H97" s="203"/>
      <c r="I97" s="198"/>
      <c r="J97" s="198"/>
      <c r="K97" s="290"/>
      <c r="L97" s="197"/>
      <c r="M97" s="197"/>
    </row>
    <row r="98" spans="1:13" x14ac:dyDescent="0.25">
      <c r="A98" s="197"/>
      <c r="B98" s="202"/>
      <c r="C98" s="197"/>
      <c r="D98" s="198"/>
      <c r="E98" s="198"/>
      <c r="F98" s="198"/>
      <c r="G98" s="202"/>
      <c r="H98" s="203"/>
      <c r="I98" s="198"/>
      <c r="J98" s="198"/>
      <c r="K98" s="290"/>
      <c r="L98" s="197"/>
      <c r="M98" s="197"/>
    </row>
    <row r="99" spans="1:13" x14ac:dyDescent="0.25">
      <c r="A99" s="197"/>
      <c r="B99" s="202"/>
      <c r="C99" s="197"/>
      <c r="D99" s="198"/>
      <c r="E99" s="198"/>
      <c r="F99" s="198"/>
      <c r="G99" s="202"/>
      <c r="H99" s="203"/>
      <c r="I99" s="198"/>
      <c r="J99" s="198"/>
      <c r="K99" s="290"/>
      <c r="L99" s="197"/>
      <c r="M99" s="197"/>
    </row>
    <row r="100" spans="1:13" x14ac:dyDescent="0.25">
      <c r="A100" s="197"/>
      <c r="B100" s="202"/>
      <c r="C100" s="197"/>
      <c r="D100" s="198"/>
      <c r="E100" s="198"/>
      <c r="F100" s="198"/>
      <c r="G100" s="202"/>
      <c r="H100" s="203"/>
      <c r="I100" s="198"/>
      <c r="J100" s="198"/>
      <c r="K100" s="290"/>
      <c r="L100" s="197"/>
      <c r="M100" s="197"/>
    </row>
    <row r="101" spans="1:13" x14ac:dyDescent="0.25">
      <c r="A101" s="197"/>
      <c r="B101" s="202"/>
      <c r="C101" s="197"/>
      <c r="D101" s="198"/>
      <c r="E101" s="198"/>
      <c r="F101" s="198"/>
      <c r="G101" s="202"/>
      <c r="H101" s="203"/>
      <c r="I101" s="198"/>
      <c r="J101" s="198"/>
      <c r="K101" s="290"/>
      <c r="L101" s="197"/>
      <c r="M101" s="197"/>
    </row>
    <row r="102" spans="1:13" x14ac:dyDescent="0.25">
      <c r="A102" s="197"/>
      <c r="B102" s="202"/>
      <c r="C102" s="197"/>
      <c r="D102" s="198"/>
      <c r="E102" s="198"/>
      <c r="F102" s="198"/>
      <c r="G102" s="202"/>
      <c r="H102" s="203"/>
      <c r="I102" s="198"/>
      <c r="J102" s="198"/>
      <c r="K102" s="290"/>
      <c r="L102" s="197"/>
      <c r="M102" s="197"/>
    </row>
    <row r="103" spans="1:13" x14ac:dyDescent="0.25">
      <c r="A103" s="197"/>
      <c r="B103" s="202"/>
      <c r="C103" s="197"/>
      <c r="D103" s="198"/>
      <c r="E103" s="198"/>
      <c r="F103" s="198"/>
      <c r="G103" s="202"/>
      <c r="H103" s="203"/>
      <c r="I103" s="198"/>
      <c r="J103" s="198"/>
      <c r="K103" s="290"/>
      <c r="L103" s="197"/>
      <c r="M103" s="197"/>
    </row>
    <row r="104" spans="1:13" x14ac:dyDescent="0.25">
      <c r="A104" s="197"/>
      <c r="B104" s="202"/>
      <c r="C104" s="197"/>
      <c r="D104" s="198"/>
      <c r="E104" s="198"/>
      <c r="F104" s="198"/>
      <c r="G104" s="202"/>
      <c r="H104" s="203"/>
      <c r="I104" s="198"/>
      <c r="J104" s="198"/>
      <c r="K104" s="290"/>
      <c r="L104" s="197"/>
      <c r="M104" s="197"/>
    </row>
    <row r="105" spans="1:13" x14ac:dyDescent="0.25">
      <c r="A105" s="197"/>
      <c r="B105" s="202"/>
      <c r="C105" s="197"/>
      <c r="D105" s="198"/>
      <c r="E105" s="198"/>
      <c r="F105" s="198"/>
      <c r="G105" s="202"/>
      <c r="H105" s="203"/>
      <c r="I105" s="198"/>
      <c r="J105" s="198"/>
      <c r="K105" s="290"/>
      <c r="L105" s="197"/>
      <c r="M105" s="197"/>
    </row>
    <row r="106" spans="1:13" x14ac:dyDescent="0.25">
      <c r="A106" s="197"/>
      <c r="B106" s="202"/>
      <c r="C106" s="197"/>
      <c r="D106" s="198"/>
      <c r="E106" s="198"/>
      <c r="F106" s="198"/>
      <c r="G106" s="202"/>
      <c r="H106" s="203"/>
      <c r="I106" s="198"/>
      <c r="J106" s="198"/>
      <c r="K106" s="290"/>
      <c r="L106" s="197"/>
      <c r="M106" s="197"/>
    </row>
    <row r="107" spans="1:13" x14ac:dyDescent="0.25">
      <c r="A107" s="197"/>
      <c r="B107" s="202"/>
      <c r="C107" s="197"/>
      <c r="D107" s="198"/>
      <c r="E107" s="198"/>
      <c r="F107" s="198"/>
      <c r="G107" s="202"/>
      <c r="H107" s="203"/>
      <c r="I107" s="198"/>
      <c r="J107" s="198"/>
      <c r="K107" s="290"/>
      <c r="L107" s="197"/>
      <c r="M107" s="197"/>
    </row>
    <row r="108" spans="1:13" x14ac:dyDescent="0.25">
      <c r="A108" s="197"/>
      <c r="B108" s="202"/>
      <c r="C108" s="197"/>
      <c r="D108" s="198"/>
      <c r="E108" s="198"/>
      <c r="F108" s="198"/>
      <c r="G108" s="202"/>
      <c r="H108" s="203"/>
      <c r="I108" s="198"/>
      <c r="J108" s="198"/>
      <c r="K108" s="290"/>
      <c r="L108" s="197"/>
      <c r="M108" s="197"/>
    </row>
    <row r="109" spans="1:13" x14ac:dyDescent="0.25">
      <c r="A109" s="197"/>
      <c r="B109" s="197"/>
      <c r="C109" s="197"/>
      <c r="D109" s="198"/>
      <c r="E109" s="198"/>
      <c r="F109" s="198"/>
      <c r="G109" s="197"/>
      <c r="H109" s="203"/>
      <c r="I109" s="198"/>
      <c r="J109" s="198"/>
      <c r="K109" s="198"/>
      <c r="L109" s="197"/>
      <c r="M109" s="197"/>
    </row>
    <row r="110" spans="1:13" x14ac:dyDescent="0.25">
      <c r="A110" s="31" t="s">
        <v>81</v>
      </c>
      <c r="B110" s="14"/>
      <c r="C110" s="14">
        <f>SUM(C71:C109)</f>
        <v>880</v>
      </c>
      <c r="D110" s="18"/>
      <c r="E110" s="18"/>
      <c r="F110" s="18">
        <f>SUM(F71:F109)</f>
        <v>45116.1</v>
      </c>
      <c r="G110" s="14"/>
      <c r="H110" s="71">
        <f>SUM(H72:H109)</f>
        <v>880</v>
      </c>
      <c r="I110" s="18"/>
      <c r="J110" s="18"/>
      <c r="K110" s="18">
        <f>SUM(K72:K109)</f>
        <v>46479.88</v>
      </c>
      <c r="L110" s="18"/>
      <c r="M110" s="18">
        <f>SUM(M71:M109)</f>
        <v>240.79999999999998</v>
      </c>
    </row>
    <row r="111" spans="1:13" ht="15.75" thickBot="1" x14ac:dyDescent="0.3">
      <c r="A111" s="373" t="s">
        <v>191</v>
      </c>
      <c r="B111" s="374"/>
      <c r="C111" s="375">
        <f>SumByColor($A$19,C71:C109)</f>
        <v>480</v>
      </c>
      <c r="D111" s="375"/>
      <c r="E111" s="375"/>
      <c r="F111" s="376">
        <f>SumByColor($A$19,F71:F109)</f>
        <v>25980</v>
      </c>
      <c r="G111" s="375"/>
      <c r="H111" s="375">
        <f>SumByColor($A$19,H71:H109)</f>
        <v>480</v>
      </c>
      <c r="I111" s="375"/>
      <c r="J111" s="375"/>
      <c r="K111" s="376">
        <f>SumByColor($A$19,K71:K109)</f>
        <v>26619</v>
      </c>
      <c r="L111" s="375"/>
      <c r="M111" s="376">
        <f>SumByColor($A$19,M71:M109)</f>
        <v>138</v>
      </c>
    </row>
  </sheetData>
  <conditionalFormatting sqref="P17:P37">
    <cfRule type="colorScale" priority="111">
      <colorScale>
        <cfvo type="min"/>
        <cfvo type="percentile" val="50"/>
        <cfvo type="max"/>
        <color rgb="FFF8696B"/>
        <color rgb="FFFFEB84"/>
        <color rgb="FF63BE7B"/>
      </colorScale>
    </cfRule>
  </conditionalFormatting>
  <conditionalFormatting sqref="Q17:Q37">
    <cfRule type="colorScale" priority="108">
      <colorScale>
        <cfvo type="min"/>
        <cfvo type="percentile" val="50"/>
        <cfvo type="max"/>
        <color rgb="FFF8696B"/>
        <color rgb="FFFFEB84"/>
        <color rgb="FF63BE7B"/>
      </colorScale>
    </cfRule>
  </conditionalFormatting>
  <conditionalFormatting sqref="R43:R60">
    <cfRule type="colorScale" priority="107">
      <colorScale>
        <cfvo type="min"/>
        <cfvo type="percentile" val="50"/>
        <cfvo type="max"/>
        <color rgb="FFF8696B"/>
        <color rgb="FFFFEB84"/>
        <color rgb="FF63BE7B"/>
      </colorScale>
    </cfRule>
  </conditionalFormatting>
  <conditionalFormatting sqref="X1:X69">
    <cfRule type="iconSet" priority="105">
      <iconSet iconSet="3Arrows">
        <cfvo type="percent" val="0"/>
        <cfvo type="num" val="0"/>
        <cfvo type="num" val="0"/>
      </iconSet>
    </cfRule>
  </conditionalFormatting>
  <conditionalFormatting sqref="Q8 J24:J58 J60:J61 J65:J66">
    <cfRule type="expression" dxfId="722" priority="79">
      <formula>J8&gt;0</formula>
    </cfRule>
    <cfRule type="expression" dxfId="721" priority="80">
      <formula>J8&lt;0</formula>
    </cfRule>
  </conditionalFormatting>
  <conditionalFormatting sqref="Q7">
    <cfRule type="expression" dxfId="720" priority="81">
      <formula>Q7&gt;0</formula>
    </cfRule>
    <cfRule type="expression" dxfId="719" priority="82">
      <formula>Q7&lt;0</formula>
    </cfRule>
  </conditionalFormatting>
  <conditionalFormatting sqref="M69">
    <cfRule type="expression" dxfId="718" priority="69">
      <formula>M69&gt;0</formula>
    </cfRule>
    <cfRule type="expression" dxfId="717" priority="70">
      <formula>M69&lt;0</formula>
    </cfRule>
  </conditionalFormatting>
  <conditionalFormatting sqref="M69">
    <cfRule type="expression" dxfId="716" priority="71">
      <formula>M69&gt;0</formula>
    </cfRule>
    <cfRule type="expression" dxfId="715" priority="72">
      <formula>M69&lt;0</formula>
    </cfRule>
  </conditionalFormatting>
  <conditionalFormatting sqref="F24:F58">
    <cfRule type="expression" dxfId="714" priority="57">
      <formula>F24&gt;0</formula>
    </cfRule>
    <cfRule type="expression" dxfId="713" priority="58">
      <formula>F24&lt;0</formula>
    </cfRule>
  </conditionalFormatting>
  <conditionalFormatting sqref="F24:F58">
    <cfRule type="expression" dxfId="712" priority="59">
      <formula>F24&gt;0</formula>
    </cfRule>
    <cfRule type="expression" dxfId="711" priority="60">
      <formula>F24&lt;0</formula>
    </cfRule>
  </conditionalFormatting>
  <conditionalFormatting sqref="H24:H58">
    <cfRule type="expression" dxfId="710" priority="55">
      <formula>H24&gt;0</formula>
    </cfRule>
    <cfRule type="expression" dxfId="709" priority="56">
      <formula>H24&lt;0</formula>
    </cfRule>
  </conditionalFormatting>
  <conditionalFormatting sqref="W1:W46">
    <cfRule type="dataBar" priority="850">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708" priority="9">
      <formula>J59&gt;0</formula>
    </cfRule>
    <cfRule type="expression" dxfId="707" priority="10">
      <formula>J59&lt;0</formula>
    </cfRule>
  </conditionalFormatting>
  <conditionalFormatting sqref="F59:F61">
    <cfRule type="expression" dxfId="706" priority="5">
      <formula>F59&gt;0</formula>
    </cfRule>
    <cfRule type="expression" dxfId="705" priority="6">
      <formula>F59&lt;0</formula>
    </cfRule>
  </conditionalFormatting>
  <conditionalFormatting sqref="F59:F61">
    <cfRule type="expression" dxfId="704" priority="7">
      <formula>F59&gt;0</formula>
    </cfRule>
    <cfRule type="expression" dxfId="703" priority="8">
      <formula>F59&lt;0</formula>
    </cfRule>
  </conditionalFormatting>
  <conditionalFormatting sqref="H59">
    <cfRule type="expression" dxfId="702" priority="3">
      <formula>H59&gt;0</formula>
    </cfRule>
    <cfRule type="expression" dxfId="701" priority="4">
      <formula>H59&lt;0</formula>
    </cfRule>
  </conditionalFormatting>
  <conditionalFormatting sqref="J62:J64">
    <cfRule type="expression" dxfId="700" priority="1">
      <formula>J62&gt;0</formula>
    </cfRule>
    <cfRule type="expression" dxfId="699" priority="2">
      <formula>J62&lt;0</formula>
    </cfRule>
  </conditionalFormatting>
  <hyperlinks>
    <hyperlink ref="A3" location="ACTIVE!A1" display="Back"/>
    <hyperlink ref="A72"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9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4"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c r="W1" s="90" t="s">
        <v>113</v>
      </c>
      <c r="X1" s="91" t="s">
        <v>114</v>
      </c>
      <c r="Y1" s="91" t="s">
        <v>115</v>
      </c>
      <c r="Z1" s="91" t="s">
        <v>116</v>
      </c>
      <c r="AA1" s="91" t="s">
        <v>117</v>
      </c>
      <c r="AB1" s="91" t="s">
        <v>118</v>
      </c>
      <c r="AC1" s="91" t="s">
        <v>119</v>
      </c>
      <c r="AD1" s="11" t="s">
        <v>125</v>
      </c>
      <c r="AE1" s="11" t="s">
        <v>127</v>
      </c>
    </row>
    <row r="2" spans="1:40" x14ac:dyDescent="0.25">
      <c r="A2" s="6" t="s">
        <v>10</v>
      </c>
      <c r="B2" s="117"/>
      <c r="C2" s="17"/>
      <c r="D2" s="73"/>
      <c r="E2" s="73"/>
      <c r="F2" s="73"/>
      <c r="G2" s="1"/>
      <c r="H2" s="161"/>
      <c r="I2" s="3"/>
      <c r="J2" s="3"/>
      <c r="K2" s="3"/>
      <c r="L2" s="117"/>
      <c r="M2" s="3"/>
      <c r="O2" s="11" t="s">
        <v>57</v>
      </c>
      <c r="Q2">
        <f>C18-H18</f>
        <v>0</v>
      </c>
      <c r="T2" s="83">
        <v>42562</v>
      </c>
      <c r="U2" t="s">
        <v>226</v>
      </c>
      <c r="W2" s="92">
        <v>42830</v>
      </c>
      <c r="X2" s="10">
        <v>34.79</v>
      </c>
      <c r="Y2" s="10">
        <v>35.090000000000003</v>
      </c>
      <c r="Z2" s="10">
        <v>33.76</v>
      </c>
      <c r="AA2" s="10">
        <v>33.85</v>
      </c>
      <c r="AB2" s="93">
        <v>4014800</v>
      </c>
      <c r="AC2" s="10">
        <v>33.85</v>
      </c>
      <c r="AD2" s="2">
        <f>Y2-Z2</f>
        <v>1.3300000000000054</v>
      </c>
      <c r="AE2" s="134">
        <f>AC2/AC3-1</f>
        <v>-1.1101373064563158E-2</v>
      </c>
    </row>
    <row r="3" spans="1:40" x14ac:dyDescent="0.25">
      <c r="A3" s="22" t="s">
        <v>71</v>
      </c>
      <c r="B3" s="194"/>
      <c r="C3" s="213"/>
      <c r="D3" s="214"/>
      <c r="E3" s="214"/>
      <c r="F3" s="73"/>
      <c r="G3" s="1"/>
      <c r="H3" s="161"/>
      <c r="I3" s="3"/>
      <c r="J3" s="3"/>
      <c r="K3" s="3"/>
      <c r="L3" s="194"/>
      <c r="M3" s="3"/>
      <c r="O3" s="11" t="s">
        <v>58</v>
      </c>
      <c r="Q3" s="178">
        <f>IF(Q2=0, Q4, (F18-K18-M18)/Q2)</f>
        <v>29.59</v>
      </c>
      <c r="T3" s="118">
        <v>42568</v>
      </c>
      <c r="U3" t="s">
        <v>231</v>
      </c>
      <c r="W3" s="92">
        <v>42829</v>
      </c>
      <c r="X3" s="10">
        <v>34.03</v>
      </c>
      <c r="Y3" s="10">
        <v>34.5</v>
      </c>
      <c r="Z3" s="10">
        <v>33.82</v>
      </c>
      <c r="AA3" s="10">
        <v>34.229999999999997</v>
      </c>
      <c r="AB3" s="93">
        <v>2297000</v>
      </c>
      <c r="AC3" s="10">
        <v>34.229999999999997</v>
      </c>
      <c r="AD3" s="2">
        <f t="shared" ref="AD3:AD40" si="0">Y3-Z3</f>
        <v>0.67999999999999972</v>
      </c>
      <c r="AE3" s="134">
        <f t="shared" ref="AE3:AE39" si="1">AC3/AC4-1</f>
        <v>2.9222676797191482E-4</v>
      </c>
      <c r="AN3" s="182"/>
    </row>
    <row r="4" spans="1:40" x14ac:dyDescent="0.25">
      <c r="B4" s="194"/>
      <c r="C4" s="213"/>
      <c r="D4" s="214"/>
      <c r="E4" s="214"/>
      <c r="F4" s="73"/>
      <c r="G4" s="194"/>
      <c r="H4" s="215"/>
      <c r="I4" s="214"/>
      <c r="J4" s="214"/>
      <c r="K4" s="214"/>
      <c r="L4" s="213"/>
      <c r="O4" s="11" t="s">
        <v>66</v>
      </c>
      <c r="Q4" s="172">
        <v>29.59</v>
      </c>
      <c r="R4" s="405">
        <v>-8.0000000000000004E-4</v>
      </c>
      <c r="T4" s="118"/>
      <c r="W4" s="92">
        <v>42828</v>
      </c>
      <c r="X4" s="10">
        <v>34.619999999999997</v>
      </c>
      <c r="Y4" s="10">
        <v>35</v>
      </c>
      <c r="Z4" s="10">
        <v>33.5</v>
      </c>
      <c r="AA4" s="10">
        <v>34.22</v>
      </c>
      <c r="AB4" s="93">
        <v>4204800</v>
      </c>
      <c r="AC4" s="10">
        <v>34.22</v>
      </c>
      <c r="AD4" s="2">
        <f t="shared" si="0"/>
        <v>1.5</v>
      </c>
      <c r="AE4" s="134">
        <f t="shared" si="1"/>
        <v>-5.2325581395348264E-3</v>
      </c>
      <c r="AK4" s="182"/>
      <c r="AN4" s="182"/>
    </row>
    <row r="5" spans="1:40" x14ac:dyDescent="0.25">
      <c r="B5" s="194"/>
      <c r="C5" s="213"/>
      <c r="D5" s="214"/>
      <c r="E5" s="214"/>
      <c r="F5" s="214"/>
      <c r="G5" s="194"/>
      <c r="H5" s="215"/>
      <c r="I5" s="214"/>
      <c r="J5" s="214"/>
      <c r="K5" s="214"/>
      <c r="L5" s="213"/>
      <c r="O5" s="11" t="s">
        <v>67</v>
      </c>
      <c r="Q5" s="3">
        <f>Q4*Q2</f>
        <v>0</v>
      </c>
      <c r="W5" s="92">
        <v>42825</v>
      </c>
      <c r="X5" s="10">
        <v>34.06</v>
      </c>
      <c r="Y5" s="10">
        <v>34.74</v>
      </c>
      <c r="Z5" s="10">
        <v>33.6</v>
      </c>
      <c r="AA5" s="10">
        <v>34.4</v>
      </c>
      <c r="AB5" s="93">
        <v>5188400</v>
      </c>
      <c r="AC5" s="10">
        <v>34.4</v>
      </c>
      <c r="AD5" s="2">
        <f t="shared" si="0"/>
        <v>1.1400000000000006</v>
      </c>
      <c r="AE5" s="134">
        <f t="shared" si="1"/>
        <v>2.7172290235891294E-2</v>
      </c>
      <c r="AK5" s="182"/>
      <c r="AN5" s="182"/>
    </row>
    <row r="6" spans="1:40" x14ac:dyDescent="0.25">
      <c r="B6" s="194"/>
      <c r="C6" s="213"/>
      <c r="D6" s="214"/>
      <c r="E6" s="214"/>
      <c r="F6" s="214"/>
      <c r="G6" s="194"/>
      <c r="H6" s="215"/>
      <c r="I6" s="214"/>
      <c r="J6" s="214"/>
      <c r="K6" s="214"/>
      <c r="L6" s="213"/>
      <c r="O6" s="11" t="s">
        <v>64</v>
      </c>
      <c r="Q6" s="2">
        <f>Q3*Q2</f>
        <v>0</v>
      </c>
      <c r="W6" s="92">
        <v>42824</v>
      </c>
      <c r="X6" s="10">
        <v>33.15</v>
      </c>
      <c r="Y6" s="10">
        <v>35.14</v>
      </c>
      <c r="Z6" s="10">
        <v>32.96</v>
      </c>
      <c r="AA6" s="10">
        <v>33.49</v>
      </c>
      <c r="AB6" s="93">
        <v>7122600</v>
      </c>
      <c r="AC6" s="10">
        <v>33.49</v>
      </c>
      <c r="AD6" s="2">
        <f t="shared" si="0"/>
        <v>2.1799999999999997</v>
      </c>
      <c r="AE6" s="134">
        <f t="shared" si="1"/>
        <v>1.7623822546338763E-2</v>
      </c>
    </row>
    <row r="7" spans="1:40" x14ac:dyDescent="0.25">
      <c r="B7" s="194"/>
      <c r="C7" s="213"/>
      <c r="D7" s="214"/>
      <c r="E7" s="214"/>
      <c r="F7" s="214"/>
      <c r="G7" s="194"/>
      <c r="H7" s="215"/>
      <c r="I7" s="214"/>
      <c r="J7" s="214"/>
      <c r="K7" s="214"/>
      <c r="L7" s="213"/>
      <c r="O7" s="11" t="s">
        <v>177</v>
      </c>
      <c r="P7"/>
      <c r="Q7" s="2">
        <f>Q10+Q8</f>
        <v>1128.3800000000047</v>
      </c>
      <c r="R7">
        <v>0</v>
      </c>
      <c r="T7" s="83"/>
      <c r="W7" s="92">
        <v>42823</v>
      </c>
      <c r="X7" s="10">
        <v>32.909999999999997</v>
      </c>
      <c r="Y7" s="10">
        <v>33.29</v>
      </c>
      <c r="Z7" s="10">
        <v>32.729999999999997</v>
      </c>
      <c r="AA7" s="10">
        <v>32.909999999999997</v>
      </c>
      <c r="AB7" s="93">
        <v>2611700</v>
      </c>
      <c r="AC7" s="10">
        <v>32.909999999999997</v>
      </c>
      <c r="AD7" s="2">
        <f t="shared" si="0"/>
        <v>0.56000000000000227</v>
      </c>
      <c r="AE7" s="134">
        <f t="shared" si="1"/>
        <v>-3.0376670716902865E-4</v>
      </c>
      <c r="AK7" s="182"/>
      <c r="AN7" s="182"/>
    </row>
    <row r="8" spans="1:40" x14ac:dyDescent="0.25">
      <c r="B8" s="194"/>
      <c r="C8" s="213"/>
      <c r="D8" s="214"/>
      <c r="E8" s="214"/>
      <c r="F8" s="214"/>
      <c r="G8" s="194"/>
      <c r="H8" s="215"/>
      <c r="I8" s="214"/>
      <c r="J8" s="214"/>
      <c r="K8" s="214"/>
      <c r="L8" s="213"/>
      <c r="O8" s="11" t="s">
        <v>179</v>
      </c>
      <c r="Q8" s="2">
        <f>K18+M18-F18+Q2*Q4</f>
        <v>0</v>
      </c>
      <c r="W8" s="92">
        <v>42822</v>
      </c>
      <c r="X8" s="10">
        <v>32.5</v>
      </c>
      <c r="Y8" s="10">
        <v>33.64</v>
      </c>
      <c r="Z8" s="10">
        <v>32.450000000000003</v>
      </c>
      <c r="AA8" s="10">
        <v>32.92</v>
      </c>
      <c r="AB8" s="93">
        <v>4039700</v>
      </c>
      <c r="AC8" s="10">
        <v>32.92</v>
      </c>
      <c r="AD8" s="2">
        <f t="shared" si="0"/>
        <v>1.1899999999999977</v>
      </c>
      <c r="AE8" s="134">
        <f t="shared" si="1"/>
        <v>1.3858946720049392E-2</v>
      </c>
    </row>
    <row r="9" spans="1:40" x14ac:dyDescent="0.25">
      <c r="O9" s="11" t="s">
        <v>204</v>
      </c>
      <c r="P9"/>
      <c r="Q9" s="134">
        <f>IF(Q2=0, 0, Q8/Q6)</f>
        <v>0</v>
      </c>
      <c r="W9" s="92">
        <v>42821</v>
      </c>
      <c r="X9" s="10">
        <v>31.74</v>
      </c>
      <c r="Y9" s="10">
        <v>32.57</v>
      </c>
      <c r="Z9" s="10">
        <v>31.29</v>
      </c>
      <c r="AA9" s="10">
        <v>32.47</v>
      </c>
      <c r="AB9" s="93">
        <v>3654000</v>
      </c>
      <c r="AC9" s="10">
        <v>32.47</v>
      </c>
      <c r="AD9" s="2">
        <f t="shared" si="0"/>
        <v>1.2800000000000011</v>
      </c>
      <c r="AE9" s="134">
        <f t="shared" si="1"/>
        <v>-2.7641277641278217E-3</v>
      </c>
      <c r="AK9" s="182"/>
      <c r="AN9" s="182"/>
    </row>
    <row r="10" spans="1:40" x14ac:dyDescent="0.25">
      <c r="O10" s="11" t="s">
        <v>203</v>
      </c>
      <c r="Q10" s="2">
        <f>M42</f>
        <v>1128.3800000000047</v>
      </c>
      <c r="W10" s="92">
        <v>42818</v>
      </c>
      <c r="X10" s="10">
        <v>33.61</v>
      </c>
      <c r="Y10" s="10">
        <v>33.86</v>
      </c>
      <c r="Z10" s="10">
        <v>32.369999999999997</v>
      </c>
      <c r="AA10" s="10">
        <v>32.56</v>
      </c>
      <c r="AB10" s="93">
        <v>4111000</v>
      </c>
      <c r="AC10" s="10">
        <v>32.56</v>
      </c>
      <c r="AD10" s="2">
        <f t="shared" si="0"/>
        <v>1.490000000000002</v>
      </c>
      <c r="AE10" s="134">
        <f t="shared" si="1"/>
        <v>-2.2515761032722903E-2</v>
      </c>
    </row>
    <row r="11" spans="1:40" x14ac:dyDescent="0.25">
      <c r="O11" s="11" t="s">
        <v>175</v>
      </c>
      <c r="Q11" s="134">
        <f>VALUE(TRIM(CLEAN(MID(U55, FIND("(", U55)+1, 5))))</f>
        <v>1.2500000000000001E-2</v>
      </c>
      <c r="W11" s="92">
        <v>42817</v>
      </c>
      <c r="X11" s="10">
        <v>33.409999999999997</v>
      </c>
      <c r="Y11" s="10">
        <v>33.69</v>
      </c>
      <c r="Z11" s="10">
        <v>33.11</v>
      </c>
      <c r="AA11" s="10">
        <v>33.31</v>
      </c>
      <c r="AB11" s="93">
        <v>3072000</v>
      </c>
      <c r="AC11" s="10">
        <v>33.31</v>
      </c>
      <c r="AD11" s="2">
        <f t="shared" si="0"/>
        <v>0.57999999999999829</v>
      </c>
      <c r="AE11" s="134">
        <f t="shared" si="1"/>
        <v>-1.1279311368358469E-2</v>
      </c>
      <c r="AK11" s="182"/>
      <c r="AN11" s="182"/>
    </row>
    <row r="12" spans="1:40" x14ac:dyDescent="0.25">
      <c r="W12" s="92">
        <v>42816</v>
      </c>
      <c r="X12" s="10">
        <v>33.35</v>
      </c>
      <c r="Y12" s="10">
        <v>34.15</v>
      </c>
      <c r="Z12" s="10">
        <v>33.01</v>
      </c>
      <c r="AA12" s="10">
        <v>33.69</v>
      </c>
      <c r="AB12" s="93">
        <v>2877900</v>
      </c>
      <c r="AC12" s="10">
        <v>33.69</v>
      </c>
      <c r="AD12" s="2">
        <f t="shared" si="0"/>
        <v>1.1400000000000006</v>
      </c>
      <c r="AE12" s="134">
        <f t="shared" si="1"/>
        <v>1.4148103552076963E-2</v>
      </c>
    </row>
    <row r="13" spans="1:40" x14ac:dyDescent="0.25">
      <c r="W13" s="92">
        <v>42815</v>
      </c>
      <c r="X13" s="10">
        <v>34.9</v>
      </c>
      <c r="Y13" s="10">
        <v>35.25</v>
      </c>
      <c r="Z13" s="10">
        <v>33.17</v>
      </c>
      <c r="AA13" s="10">
        <v>33.22</v>
      </c>
      <c r="AB13" s="93">
        <v>4536900</v>
      </c>
      <c r="AC13" s="10">
        <v>33.22</v>
      </c>
      <c r="AD13" s="2">
        <f t="shared" si="0"/>
        <v>2.0799999999999983</v>
      </c>
      <c r="AE13" s="134">
        <f t="shared" si="1"/>
        <v>-4.8137535816618948E-2</v>
      </c>
      <c r="AK13" s="182"/>
      <c r="AN13" s="182"/>
    </row>
    <row r="14" spans="1:40" x14ac:dyDescent="0.25">
      <c r="T14" s="82"/>
      <c r="U14" s="11"/>
      <c r="W14" s="92">
        <v>42814</v>
      </c>
      <c r="X14" s="10">
        <v>34.9</v>
      </c>
      <c r="Y14" s="10">
        <v>35.36</v>
      </c>
      <c r="Z14" s="10">
        <v>34.1</v>
      </c>
      <c r="AA14" s="10">
        <v>34.9</v>
      </c>
      <c r="AB14" s="93">
        <v>2688900</v>
      </c>
      <c r="AC14" s="10">
        <v>34.9</v>
      </c>
      <c r="AD14" s="2">
        <f t="shared" si="0"/>
        <v>1.259999999999998</v>
      </c>
      <c r="AE14" s="134">
        <f t="shared" si="1"/>
        <v>-2.0017157563626542E-3</v>
      </c>
    </row>
    <row r="15" spans="1:40" x14ac:dyDescent="0.25">
      <c r="W15" s="92">
        <v>42811</v>
      </c>
      <c r="X15" s="10">
        <v>35.57</v>
      </c>
      <c r="Y15" s="10">
        <v>35.979999999999997</v>
      </c>
      <c r="Z15" s="10">
        <v>34.950000000000003</v>
      </c>
      <c r="AA15" s="10">
        <v>34.97</v>
      </c>
      <c r="AB15" s="93">
        <v>3824700</v>
      </c>
      <c r="AC15" s="10">
        <v>34.97</v>
      </c>
      <c r="AD15" s="2">
        <f t="shared" si="0"/>
        <v>1.029999999999994</v>
      </c>
      <c r="AE15" s="134">
        <f t="shared" si="1"/>
        <v>-1.1588468061051516E-2</v>
      </c>
      <c r="AK15" s="182"/>
      <c r="AN15" s="182"/>
    </row>
    <row r="16" spans="1:40" x14ac:dyDescent="0.25">
      <c r="W16" s="92">
        <v>42810</v>
      </c>
      <c r="X16" s="10">
        <v>35.659999999999997</v>
      </c>
      <c r="Y16" s="10">
        <v>35.99</v>
      </c>
      <c r="Z16" s="10">
        <v>34.979999999999997</v>
      </c>
      <c r="AA16" s="10">
        <v>35.380000000000003</v>
      </c>
      <c r="AB16" s="93">
        <v>3644300</v>
      </c>
      <c r="AC16" s="10">
        <v>35.380000000000003</v>
      </c>
      <c r="AD16" s="2">
        <f t="shared" si="0"/>
        <v>1.0100000000000051</v>
      </c>
      <c r="AE16" s="134">
        <f t="shared" si="1"/>
        <v>6.8298235628914128E-3</v>
      </c>
    </row>
    <row r="17" spans="1:40" x14ac:dyDescent="0.25">
      <c r="W17" s="92">
        <v>42809</v>
      </c>
      <c r="X17" s="10">
        <v>34.4</v>
      </c>
      <c r="Y17" s="10">
        <v>35.29</v>
      </c>
      <c r="Z17" s="10">
        <v>33.950000000000003</v>
      </c>
      <c r="AA17" s="10">
        <v>35.14</v>
      </c>
      <c r="AB17" s="93">
        <v>3753400</v>
      </c>
      <c r="AC17" s="10">
        <v>35.14</v>
      </c>
      <c r="AD17" s="2">
        <f t="shared" si="0"/>
        <v>1.3399999999999963</v>
      </c>
      <c r="AE17" s="134">
        <f t="shared" si="1"/>
        <v>2.7785902310617283E-2</v>
      </c>
      <c r="AK17" s="182"/>
      <c r="AN17" s="182"/>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92">
        <v>42808</v>
      </c>
      <c r="X18" s="10">
        <v>34.450000000000003</v>
      </c>
      <c r="Y18" s="10">
        <v>34.58</v>
      </c>
      <c r="Z18" s="10">
        <v>33.770000000000003</v>
      </c>
      <c r="AA18" s="10">
        <v>34.19</v>
      </c>
      <c r="AB18" s="93">
        <v>3112200</v>
      </c>
      <c r="AC18" s="10">
        <v>34.19</v>
      </c>
      <c r="AD18" s="2">
        <f t="shared" si="0"/>
        <v>0.80999999999999517</v>
      </c>
      <c r="AE18" s="134">
        <f t="shared" si="1"/>
        <v>-1.4697406340057784E-2</v>
      </c>
    </row>
    <row r="19" spans="1:40"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92">
        <v>42807</v>
      </c>
      <c r="X19" s="10">
        <v>35.21</v>
      </c>
      <c r="Y19" s="10">
        <v>35.520000000000003</v>
      </c>
      <c r="Z19" s="10">
        <v>34.53</v>
      </c>
      <c r="AA19" s="10">
        <v>34.700000000000003</v>
      </c>
      <c r="AB19" s="93">
        <v>2491400</v>
      </c>
      <c r="AC19" s="10">
        <v>34.700000000000003</v>
      </c>
      <c r="AD19" s="2">
        <f t="shared" si="0"/>
        <v>0.99000000000000199</v>
      </c>
      <c r="AE19" s="134">
        <f t="shared" si="1"/>
        <v>4.9232551404576608E-3</v>
      </c>
      <c r="AK19" s="182"/>
      <c r="AN19" s="182"/>
    </row>
    <row r="20" spans="1:40" x14ac:dyDescent="0.25">
      <c r="W20" s="92">
        <v>42804</v>
      </c>
      <c r="X20" s="10">
        <v>35.9</v>
      </c>
      <c r="Y20" s="10">
        <v>36</v>
      </c>
      <c r="Z20" s="10">
        <v>34.24</v>
      </c>
      <c r="AA20" s="10">
        <v>34.53</v>
      </c>
      <c r="AB20" s="93">
        <v>4052400</v>
      </c>
      <c r="AC20" s="10">
        <v>34.53</v>
      </c>
      <c r="AD20" s="2">
        <f t="shared" si="0"/>
        <v>1.759999999999998</v>
      </c>
      <c r="AE20" s="134">
        <f t="shared" si="1"/>
        <v>-2.3472850678732948E-2</v>
      </c>
    </row>
    <row r="21" spans="1:40" x14ac:dyDescent="0.25">
      <c r="B21" s="162" t="s">
        <v>113</v>
      </c>
      <c r="C21" s="162" t="s">
        <v>145</v>
      </c>
      <c r="D21" s="163" t="s">
        <v>144</v>
      </c>
      <c r="E21" s="165" t="s">
        <v>146</v>
      </c>
      <c r="F21" s="165" t="s">
        <v>65</v>
      </c>
      <c r="G21" s="177" t="s">
        <v>150</v>
      </c>
      <c r="H21" s="177" t="s">
        <v>88</v>
      </c>
      <c r="I21" s="177" t="s">
        <v>153</v>
      </c>
      <c r="W21" s="92">
        <v>42803</v>
      </c>
      <c r="X21" s="10">
        <v>36.07</v>
      </c>
      <c r="Y21" s="10">
        <v>36.549999999999997</v>
      </c>
      <c r="Z21" s="10">
        <v>34.89</v>
      </c>
      <c r="AA21" s="10">
        <v>35.36</v>
      </c>
      <c r="AB21" s="93">
        <v>4826200</v>
      </c>
      <c r="AC21" s="10">
        <v>35.36</v>
      </c>
      <c r="AD21" s="2">
        <f t="shared" si="0"/>
        <v>1.6599999999999966</v>
      </c>
      <c r="AE21" s="134">
        <f t="shared" si="1"/>
        <v>-1.7504862461795057E-2</v>
      </c>
      <c r="AK21" s="182"/>
      <c r="AN21" s="182"/>
    </row>
    <row r="22" spans="1:40" x14ac:dyDescent="0.25">
      <c r="B22" s="164"/>
      <c r="C22" s="10"/>
      <c r="D22" s="39"/>
      <c r="E22" s="39"/>
      <c r="F22" s="39"/>
      <c r="G22" s="39"/>
      <c r="H22" s="179"/>
      <c r="I22" s="39"/>
      <c r="W22" s="92">
        <v>42802</v>
      </c>
      <c r="X22" s="10">
        <v>35.9</v>
      </c>
      <c r="Y22" s="10">
        <v>36.82</v>
      </c>
      <c r="Z22" s="10">
        <v>35.9</v>
      </c>
      <c r="AA22" s="10">
        <v>35.99</v>
      </c>
      <c r="AB22" s="93">
        <v>4485700</v>
      </c>
      <c r="AC22" s="10">
        <v>35.99</v>
      </c>
      <c r="AD22" s="2">
        <f t="shared" si="0"/>
        <v>0.92000000000000171</v>
      </c>
      <c r="AE22" s="134">
        <f t="shared" si="1"/>
        <v>5.3072625698324938E-3</v>
      </c>
    </row>
    <row r="23" spans="1:40" x14ac:dyDescent="0.25">
      <c r="B23" s="164"/>
      <c r="C23" s="10"/>
      <c r="D23" s="39"/>
      <c r="E23" s="39"/>
      <c r="F23" s="39"/>
      <c r="G23" s="39"/>
      <c r="H23" s="179"/>
      <c r="I23" s="39"/>
      <c r="W23" s="92">
        <v>42801</v>
      </c>
      <c r="X23" s="10">
        <v>36.81</v>
      </c>
      <c r="Y23" s="10">
        <v>36.89</v>
      </c>
      <c r="Z23" s="10">
        <v>35.75</v>
      </c>
      <c r="AA23" s="10">
        <v>35.799999999999997</v>
      </c>
      <c r="AB23" s="93">
        <v>3753400</v>
      </c>
      <c r="AC23" s="10">
        <v>35.799999999999997</v>
      </c>
      <c r="AD23" s="2">
        <f t="shared" si="0"/>
        <v>1.1400000000000006</v>
      </c>
      <c r="AE23" s="134">
        <f t="shared" si="1"/>
        <v>-3.0598429461142773E-2</v>
      </c>
      <c r="AK23" s="182"/>
    </row>
    <row r="24" spans="1:40" x14ac:dyDescent="0.25">
      <c r="B24" s="164"/>
      <c r="C24" s="10"/>
      <c r="D24" s="39"/>
      <c r="E24" s="39"/>
      <c r="F24" s="39"/>
      <c r="G24" s="39"/>
      <c r="H24" s="179"/>
      <c r="I24" s="39"/>
      <c r="W24" s="92">
        <v>42800</v>
      </c>
      <c r="X24" s="10">
        <v>36.799999999999997</v>
      </c>
      <c r="Y24" s="10">
        <v>37.479999999999997</v>
      </c>
      <c r="Z24" s="10">
        <v>35.799999999999997</v>
      </c>
      <c r="AA24" s="10">
        <v>36.93</v>
      </c>
      <c r="AB24" s="93">
        <v>5764000</v>
      </c>
      <c r="AC24" s="10">
        <v>36.93</v>
      </c>
      <c r="AD24" s="2">
        <f t="shared" si="0"/>
        <v>1.6799999999999997</v>
      </c>
      <c r="AE24" s="134">
        <f t="shared" si="1"/>
        <v>1.511819681143467E-2</v>
      </c>
    </row>
    <row r="25" spans="1:40" x14ac:dyDescent="0.25">
      <c r="B25" s="164"/>
      <c r="C25" s="10"/>
      <c r="D25" s="39"/>
      <c r="E25" s="39"/>
      <c r="F25" s="39"/>
      <c r="G25" s="39"/>
      <c r="H25" s="179"/>
      <c r="I25" s="39"/>
      <c r="W25" s="92">
        <v>42797</v>
      </c>
      <c r="X25" s="10">
        <v>36.06</v>
      </c>
      <c r="Y25" s="10">
        <v>36.89</v>
      </c>
      <c r="Z25" s="10">
        <v>35.75</v>
      </c>
      <c r="AA25" s="10">
        <v>36.380000000000003</v>
      </c>
      <c r="AB25" s="93">
        <v>3238100</v>
      </c>
      <c r="AC25" s="10">
        <v>36.380000000000003</v>
      </c>
      <c r="AD25" s="2">
        <f t="shared" si="0"/>
        <v>1.1400000000000006</v>
      </c>
      <c r="AE25" s="134">
        <f t="shared" si="1"/>
        <v>1.4783821478382198E-2</v>
      </c>
    </row>
    <row r="26" spans="1:40" x14ac:dyDescent="0.25">
      <c r="B26" s="164"/>
      <c r="C26" s="10"/>
      <c r="D26" s="39"/>
      <c r="E26" s="39"/>
      <c r="F26" s="39"/>
      <c r="G26" s="39"/>
      <c r="H26" s="179"/>
      <c r="I26" s="39"/>
      <c r="W26" s="92">
        <v>42796</v>
      </c>
      <c r="X26" s="10">
        <v>37.64</v>
      </c>
      <c r="Y26" s="10">
        <v>38.17</v>
      </c>
      <c r="Z26" s="10">
        <v>35.83</v>
      </c>
      <c r="AA26" s="10">
        <v>35.85</v>
      </c>
      <c r="AB26" s="93">
        <v>5099300</v>
      </c>
      <c r="AC26" s="10">
        <v>35.85</v>
      </c>
      <c r="AD26" s="2">
        <f t="shared" si="0"/>
        <v>2.3400000000000034</v>
      </c>
      <c r="AE26" s="134">
        <f t="shared" si="1"/>
        <v>-5.6330613319294565E-2</v>
      </c>
    </row>
    <row r="27" spans="1:40" x14ac:dyDescent="0.25">
      <c r="B27" s="164"/>
      <c r="C27" s="10"/>
      <c r="D27" s="39"/>
      <c r="E27" s="39"/>
      <c r="F27" s="39"/>
      <c r="G27" s="39"/>
      <c r="H27" s="179"/>
      <c r="I27" s="39"/>
      <c r="W27" s="92">
        <v>42795</v>
      </c>
      <c r="X27" s="10">
        <v>35.93</v>
      </c>
      <c r="Y27" s="10">
        <v>38.15</v>
      </c>
      <c r="Z27" s="10">
        <v>35.85</v>
      </c>
      <c r="AA27" s="10">
        <v>37.99</v>
      </c>
      <c r="AB27" s="93">
        <v>10564500</v>
      </c>
      <c r="AC27" s="10">
        <v>37.99</v>
      </c>
      <c r="AD27" s="2">
        <f t="shared" si="0"/>
        <v>2.2999999999999972</v>
      </c>
      <c r="AE27" s="134">
        <f t="shared" si="1"/>
        <v>9.8294304712344571E-2</v>
      </c>
    </row>
    <row r="28" spans="1:40" x14ac:dyDescent="0.25">
      <c r="B28" s="164"/>
      <c r="C28" s="10"/>
      <c r="D28" s="39"/>
      <c r="E28" s="39"/>
      <c r="F28" s="39"/>
      <c r="G28" s="39"/>
      <c r="H28" s="179"/>
      <c r="I28" s="39"/>
      <c r="W28" s="92">
        <v>42794</v>
      </c>
      <c r="X28" s="10">
        <v>34.729999999999997</v>
      </c>
      <c r="Y28" s="10">
        <v>35.33</v>
      </c>
      <c r="Z28" s="10">
        <v>34.4</v>
      </c>
      <c r="AA28" s="10">
        <v>34.590000000000003</v>
      </c>
      <c r="AB28" s="93">
        <v>4034100</v>
      </c>
      <c r="AC28" s="10">
        <v>34.590000000000003</v>
      </c>
      <c r="AD28" s="2">
        <f t="shared" si="0"/>
        <v>0.92999999999999972</v>
      </c>
      <c r="AE28" s="134">
        <f t="shared" si="1"/>
        <v>-5.4629097182288255E-3</v>
      </c>
    </row>
    <row r="29" spans="1:40" x14ac:dyDescent="0.25">
      <c r="B29" s="164"/>
      <c r="C29" s="10"/>
      <c r="D29" s="39"/>
      <c r="E29" s="39"/>
      <c r="F29" s="39"/>
      <c r="G29" s="39"/>
      <c r="H29" s="179"/>
      <c r="I29" s="39"/>
      <c r="W29" s="92">
        <v>42793</v>
      </c>
      <c r="X29" s="10">
        <v>34.520000000000003</v>
      </c>
      <c r="Y29" s="10">
        <v>35.380000000000003</v>
      </c>
      <c r="Z29" s="10">
        <v>34.19</v>
      </c>
      <c r="AA29" s="10">
        <v>34.78</v>
      </c>
      <c r="AB29" s="93">
        <v>3898400</v>
      </c>
      <c r="AC29" s="10">
        <v>34.78</v>
      </c>
      <c r="AD29" s="2">
        <f t="shared" si="0"/>
        <v>1.1900000000000048</v>
      </c>
      <c r="AE29" s="134">
        <f t="shared" si="1"/>
        <v>8.7006960556845758E-3</v>
      </c>
    </row>
    <row r="30" spans="1:40" x14ac:dyDescent="0.25">
      <c r="B30" s="164"/>
      <c r="C30" s="10"/>
      <c r="D30" s="39"/>
      <c r="E30" s="39"/>
      <c r="F30" s="39"/>
      <c r="G30" s="39"/>
      <c r="H30" s="179"/>
      <c r="I30" s="39"/>
      <c r="W30" s="92">
        <v>42790</v>
      </c>
      <c r="X30" s="10">
        <v>33.81</v>
      </c>
      <c r="Y30" s="10">
        <v>34.64</v>
      </c>
      <c r="Z30" s="10">
        <v>33.35</v>
      </c>
      <c r="AA30" s="10">
        <v>34.479999999999997</v>
      </c>
      <c r="AB30" s="93">
        <v>5763800</v>
      </c>
      <c r="AC30" s="10">
        <v>34.479999999999997</v>
      </c>
      <c r="AD30" s="2">
        <f t="shared" si="0"/>
        <v>1.2899999999999991</v>
      </c>
      <c r="AE30" s="134">
        <f t="shared" si="1"/>
        <v>4.6620046620045041E-3</v>
      </c>
    </row>
    <row r="31" spans="1:40" x14ac:dyDescent="0.25">
      <c r="B31" s="164"/>
      <c r="C31" s="10"/>
      <c r="D31" s="39"/>
      <c r="E31" s="39"/>
      <c r="F31" s="39"/>
      <c r="G31" s="39"/>
      <c r="H31" s="179"/>
      <c r="I31" s="184"/>
      <c r="W31" s="92">
        <v>42789</v>
      </c>
      <c r="X31" s="10">
        <v>36.86</v>
      </c>
      <c r="Y31" s="10">
        <v>36.880000000000003</v>
      </c>
      <c r="Z31" s="10">
        <v>34.26</v>
      </c>
      <c r="AA31" s="10">
        <v>34.32</v>
      </c>
      <c r="AB31" s="93">
        <v>7140000</v>
      </c>
      <c r="AC31" s="10">
        <v>34.32</v>
      </c>
      <c r="AD31" s="2">
        <f t="shared" si="0"/>
        <v>2.6200000000000045</v>
      </c>
      <c r="AE31" s="134">
        <f t="shared" si="1"/>
        <v>-6.2295081967213117E-2</v>
      </c>
    </row>
    <row r="32" spans="1:40" x14ac:dyDescent="0.25">
      <c r="B32" s="164"/>
      <c r="C32" s="10"/>
      <c r="D32" s="39"/>
      <c r="E32" s="39"/>
      <c r="F32" s="39"/>
      <c r="G32" s="39"/>
      <c r="H32" s="179"/>
      <c r="I32" s="39"/>
      <c r="W32" s="92">
        <v>42788</v>
      </c>
      <c r="X32" s="10">
        <v>36.4</v>
      </c>
      <c r="Y32" s="10">
        <v>36.71</v>
      </c>
      <c r="Z32" s="10">
        <v>36.21</v>
      </c>
      <c r="AA32" s="10">
        <v>36.6</v>
      </c>
      <c r="AB32" s="93">
        <v>2585700</v>
      </c>
      <c r="AC32" s="10">
        <v>36.6</v>
      </c>
      <c r="AD32" s="2">
        <f t="shared" si="0"/>
        <v>0.5</v>
      </c>
      <c r="AE32" s="134">
        <f t="shared" si="1"/>
        <v>-2.9964587305910673E-3</v>
      </c>
    </row>
    <row r="33" spans="1:31" x14ac:dyDescent="0.25">
      <c r="B33" s="164"/>
      <c r="C33" s="10"/>
      <c r="D33" s="39"/>
      <c r="E33" s="39"/>
      <c r="F33" s="39"/>
      <c r="G33" s="39"/>
      <c r="H33" s="179"/>
      <c r="I33" s="39"/>
      <c r="W33" s="92">
        <v>42787</v>
      </c>
      <c r="X33" s="10">
        <v>36.31</v>
      </c>
      <c r="Y33" s="10">
        <v>37.01</v>
      </c>
      <c r="Z33" s="10">
        <v>36.229999999999997</v>
      </c>
      <c r="AA33" s="10">
        <v>36.71</v>
      </c>
      <c r="AB33" s="93">
        <v>3393400</v>
      </c>
      <c r="AC33" s="10">
        <v>36.71</v>
      </c>
      <c r="AD33" s="2">
        <f t="shared" si="0"/>
        <v>0.78000000000000114</v>
      </c>
      <c r="AE33" s="134">
        <f t="shared" si="1"/>
        <v>1.3808340237503547E-2</v>
      </c>
    </row>
    <row r="34" spans="1:31" x14ac:dyDescent="0.25">
      <c r="B34" s="164"/>
      <c r="C34" s="10"/>
      <c r="D34" s="39"/>
      <c r="E34" s="39"/>
      <c r="F34" s="39"/>
      <c r="G34" s="39"/>
      <c r="H34" s="179"/>
      <c r="I34" s="39"/>
      <c r="W34" s="92">
        <v>42783</v>
      </c>
      <c r="X34" s="10">
        <v>36.24</v>
      </c>
      <c r="Y34" s="10">
        <v>36.61</v>
      </c>
      <c r="Z34" s="10">
        <v>35.79</v>
      </c>
      <c r="AA34" s="10">
        <v>36.21</v>
      </c>
      <c r="AB34" s="93">
        <v>4516800</v>
      </c>
      <c r="AC34" s="10">
        <v>36.21</v>
      </c>
      <c r="AD34" s="2">
        <f t="shared" si="0"/>
        <v>0.82000000000000028</v>
      </c>
      <c r="AE34" s="134">
        <f t="shared" si="1"/>
        <v>-6.85682940208443E-3</v>
      </c>
    </row>
    <row r="35" spans="1:31" x14ac:dyDescent="0.25">
      <c r="B35" s="164"/>
      <c r="C35" s="10"/>
      <c r="D35" s="39"/>
      <c r="E35" s="39"/>
      <c r="F35" s="39"/>
      <c r="G35" s="39"/>
      <c r="H35" s="179"/>
      <c r="I35" s="39"/>
      <c r="W35" s="92">
        <v>42782</v>
      </c>
      <c r="X35" s="10">
        <v>37.82</v>
      </c>
      <c r="Y35" s="10">
        <v>37.83</v>
      </c>
      <c r="Z35" s="10">
        <v>36.35</v>
      </c>
      <c r="AA35" s="10">
        <v>36.46</v>
      </c>
      <c r="AB35" s="93">
        <v>7040700</v>
      </c>
      <c r="AC35" s="10">
        <v>36.46</v>
      </c>
      <c r="AD35" s="2">
        <f t="shared" si="0"/>
        <v>1.4799999999999969</v>
      </c>
      <c r="AE35" s="134">
        <f t="shared" si="1"/>
        <v>-3.7232637972009375E-2</v>
      </c>
    </row>
    <row r="36" spans="1:31" x14ac:dyDescent="0.25">
      <c r="B36" s="164"/>
      <c r="C36" s="10"/>
      <c r="D36" s="39"/>
      <c r="E36" s="39"/>
      <c r="F36" s="39"/>
      <c r="G36" s="39"/>
      <c r="H36" s="179"/>
      <c r="I36" s="39"/>
      <c r="W36" s="92">
        <v>42781</v>
      </c>
      <c r="X36" s="10">
        <v>38.25</v>
      </c>
      <c r="Y36" s="10">
        <v>38.299999999999997</v>
      </c>
      <c r="Z36" s="10">
        <v>37.729999999999997</v>
      </c>
      <c r="AA36" s="10">
        <v>37.869999999999997</v>
      </c>
      <c r="AB36" s="93">
        <v>11488900</v>
      </c>
      <c r="AC36" s="10">
        <v>37.869999999999997</v>
      </c>
      <c r="AD36" s="2">
        <f t="shared" si="0"/>
        <v>0.57000000000000028</v>
      </c>
      <c r="AE36" s="134">
        <f t="shared" si="1"/>
        <v>-1.7894190871369453E-2</v>
      </c>
    </row>
    <row r="37" spans="1:31" x14ac:dyDescent="0.25">
      <c r="B37" s="164"/>
      <c r="C37" s="10"/>
      <c r="D37" s="39"/>
      <c r="E37" s="39"/>
      <c r="F37" s="39"/>
      <c r="G37" s="39"/>
      <c r="H37" s="179"/>
      <c r="I37" s="39"/>
      <c r="W37" s="92">
        <v>42780</v>
      </c>
      <c r="X37" s="10">
        <v>38.57</v>
      </c>
      <c r="Y37" s="10">
        <v>39.25</v>
      </c>
      <c r="Z37" s="10">
        <v>38.18</v>
      </c>
      <c r="AA37" s="10">
        <v>38.56</v>
      </c>
      <c r="AB37" s="93">
        <v>3818600</v>
      </c>
      <c r="AC37" s="10">
        <v>38.56</v>
      </c>
      <c r="AD37" s="2">
        <f t="shared" si="0"/>
        <v>1.0700000000000003</v>
      </c>
      <c r="AE37" s="134">
        <f t="shared" si="1"/>
        <v>2.0790020790022457E-3</v>
      </c>
    </row>
    <row r="38" spans="1:31" x14ac:dyDescent="0.25">
      <c r="B38" s="164"/>
      <c r="C38" s="10"/>
      <c r="D38" s="39"/>
      <c r="E38" s="39"/>
      <c r="F38" s="39"/>
      <c r="G38" s="39"/>
      <c r="H38" s="179"/>
      <c r="I38" s="39"/>
      <c r="W38" s="92">
        <v>42779</v>
      </c>
      <c r="X38" s="10">
        <v>38.79</v>
      </c>
      <c r="Y38" s="10">
        <v>39.78</v>
      </c>
      <c r="Z38" s="10">
        <v>38.450000000000003</v>
      </c>
      <c r="AA38" s="10">
        <v>38.479999999999997</v>
      </c>
      <c r="AB38" s="93">
        <v>5365800</v>
      </c>
      <c r="AC38" s="10">
        <v>38.479999999999997</v>
      </c>
      <c r="AD38" s="2">
        <f t="shared" si="0"/>
        <v>1.3299999999999983</v>
      </c>
      <c r="AE38" s="134">
        <f t="shared" si="1"/>
        <v>4.6997389033942572E-3</v>
      </c>
    </row>
    <row r="39" spans="1:31" ht="20.25" thickBot="1" x14ac:dyDescent="0.35">
      <c r="B39" s="164"/>
      <c r="C39" s="10"/>
      <c r="D39" s="39"/>
      <c r="E39" s="39"/>
      <c r="F39" s="39"/>
      <c r="G39" s="39"/>
      <c r="H39" s="179"/>
      <c r="I39" s="39"/>
      <c r="O39" s="11"/>
      <c r="P39" s="884" t="s">
        <v>78</v>
      </c>
      <c r="Q39" s="884"/>
      <c r="R39" s="33"/>
      <c r="T39" s="89" t="s">
        <v>112</v>
      </c>
      <c r="W39" s="92">
        <v>42776</v>
      </c>
      <c r="X39" s="10">
        <v>37.92</v>
      </c>
      <c r="Y39" s="10">
        <v>38.54</v>
      </c>
      <c r="Z39" s="10">
        <v>37.51</v>
      </c>
      <c r="AA39" s="10">
        <v>38.299999999999997</v>
      </c>
      <c r="AB39" s="93">
        <v>3628600</v>
      </c>
      <c r="AC39" s="10">
        <v>38.299999999999997</v>
      </c>
      <c r="AD39" s="2">
        <f t="shared" si="0"/>
        <v>1.0300000000000011</v>
      </c>
      <c r="AE39" s="134">
        <f t="shared" si="1"/>
        <v>2.3516835916622014E-2</v>
      </c>
    </row>
    <row r="40" spans="1:31" ht="15.75" thickTop="1" x14ac:dyDescent="0.25">
      <c r="B40" s="194"/>
      <c r="C40" s="215"/>
      <c r="D40" s="214"/>
      <c r="E40" s="214"/>
      <c r="F40" s="214"/>
      <c r="G40" s="194"/>
      <c r="H40" s="215"/>
      <c r="I40" s="214"/>
      <c r="J40" s="214"/>
      <c r="K40" s="214"/>
      <c r="L40" s="213"/>
      <c r="O40" s="2"/>
      <c r="P40" s="81">
        <v>1.1000000000000001</v>
      </c>
      <c r="Q40" s="81">
        <f>P40*$Q$4</f>
        <v>32.548999999999999</v>
      </c>
      <c r="R40" s="33"/>
      <c r="T40" s="85" t="s">
        <v>97</v>
      </c>
      <c r="U40" s="86">
        <v>34.229999999999997</v>
      </c>
      <c r="W40" s="92">
        <v>42775</v>
      </c>
      <c r="X40" s="10">
        <v>37.409999999999997</v>
      </c>
      <c r="Y40" s="10">
        <v>37.75</v>
      </c>
      <c r="Z40" s="10">
        <v>36.99</v>
      </c>
      <c r="AA40" s="10">
        <v>37.42</v>
      </c>
      <c r="AB40" s="93">
        <v>3392400</v>
      </c>
      <c r="AC40" s="10">
        <v>37.42</v>
      </c>
      <c r="AD40" s="2">
        <f t="shared" si="0"/>
        <v>0.75999999999999801</v>
      </c>
      <c r="AE40" s="134" t="e">
        <f>AC40/AC68-1</f>
        <v>#DIV/0!</v>
      </c>
    </row>
    <row r="41" spans="1:31" x14ac:dyDescent="0.25">
      <c r="A41" s="4"/>
      <c r="B41" s="72"/>
      <c r="C41" s="4"/>
      <c r="D41" s="3"/>
      <c r="E41" s="3"/>
      <c r="F41" s="3"/>
      <c r="G41" s="3"/>
      <c r="H41" s="216"/>
      <c r="I41" s="3"/>
      <c r="J41" s="3"/>
      <c r="K41" s="3"/>
      <c r="L41" s="4"/>
      <c r="M41" s="4"/>
      <c r="N41" s="4"/>
      <c r="O41" s="2"/>
      <c r="P41" s="81">
        <v>1.0900000000000001</v>
      </c>
      <c r="Q41" s="81">
        <f t="shared" ref="Q41:Q60" si="2">P41*$Q$4</f>
        <v>32.253100000000003</v>
      </c>
      <c r="R41" s="33"/>
      <c r="T41" s="85" t="s">
        <v>98</v>
      </c>
      <c r="U41" s="86">
        <v>34.79</v>
      </c>
      <c r="W41" s="92">
        <v>42774</v>
      </c>
      <c r="X41" s="10">
        <v>37.93</v>
      </c>
      <c r="Y41" s="10">
        <v>38.5</v>
      </c>
      <c r="Z41" s="10">
        <v>37.11</v>
      </c>
      <c r="AA41" s="10">
        <v>37.54</v>
      </c>
      <c r="AB41" s="93">
        <v>3121700</v>
      </c>
      <c r="AC41" s="10">
        <v>37.54</v>
      </c>
      <c r="AD41" s="2">
        <f>Y68-Z68</f>
        <v>0</v>
      </c>
      <c r="AE41" s="134" t="e">
        <f>AC68/AC69-1</f>
        <v>#DIV/0!</v>
      </c>
    </row>
    <row r="42" spans="1:31" x14ac:dyDescent="0.25">
      <c r="A42" s="197"/>
      <c r="B42" s="197"/>
      <c r="C42" s="197"/>
      <c r="D42" s="198"/>
      <c r="E42" s="198"/>
      <c r="F42" s="198"/>
      <c r="G42" s="197"/>
      <c r="H42" s="197"/>
      <c r="I42" s="198"/>
      <c r="J42" s="198"/>
      <c r="K42" s="199" t="s">
        <v>130</v>
      </c>
      <c r="L42" s="197"/>
      <c r="M42" s="198">
        <f>K85+M85-F85</f>
        <v>1128.3800000000047</v>
      </c>
      <c r="N42" s="197"/>
      <c r="O42" s="2"/>
      <c r="P42" s="81">
        <v>1.08</v>
      </c>
      <c r="Q42" s="81">
        <f t="shared" si="2"/>
        <v>31.9572</v>
      </c>
      <c r="R42" s="33"/>
      <c r="T42" s="85" t="s">
        <v>99</v>
      </c>
      <c r="U42" s="86" t="s">
        <v>128</v>
      </c>
      <c r="W42" s="92">
        <v>42773</v>
      </c>
      <c r="X42" s="10">
        <v>38.04</v>
      </c>
      <c r="Y42" s="10">
        <v>38.25</v>
      </c>
      <c r="Z42" s="10">
        <v>37.31</v>
      </c>
      <c r="AA42" s="10">
        <v>37.97</v>
      </c>
      <c r="AB42" s="93">
        <v>3270000</v>
      </c>
      <c r="AC42" s="10">
        <v>37.97</v>
      </c>
      <c r="AD42" s="2"/>
      <c r="AE42" s="134"/>
    </row>
    <row r="43" spans="1:31" x14ac:dyDescent="0.25">
      <c r="A43" s="199" t="s">
        <v>1</v>
      </c>
      <c r="B43" s="199" t="s">
        <v>2</v>
      </c>
      <c r="C43" s="199" t="s">
        <v>4</v>
      </c>
      <c r="D43" s="200" t="s">
        <v>5</v>
      </c>
      <c r="E43" s="200" t="s">
        <v>90</v>
      </c>
      <c r="F43" s="200" t="s">
        <v>60</v>
      </c>
      <c r="G43" s="199" t="s">
        <v>3</v>
      </c>
      <c r="H43" s="199" t="s">
        <v>6</v>
      </c>
      <c r="I43" s="200" t="s">
        <v>7</v>
      </c>
      <c r="J43" s="200" t="s">
        <v>89</v>
      </c>
      <c r="K43" s="200" t="s">
        <v>61</v>
      </c>
      <c r="L43" s="199" t="s">
        <v>77</v>
      </c>
      <c r="M43" s="199" t="s">
        <v>38</v>
      </c>
      <c r="N43" s="199"/>
      <c r="O43" s="2"/>
      <c r="P43" s="81">
        <v>1.07</v>
      </c>
      <c r="Q43" s="81">
        <f t="shared" si="2"/>
        <v>31.661300000000001</v>
      </c>
      <c r="R43" s="81"/>
      <c r="T43" s="85" t="s">
        <v>100</v>
      </c>
      <c r="U43" s="86" t="s">
        <v>128</v>
      </c>
      <c r="W43" s="92">
        <v>42772</v>
      </c>
      <c r="X43" s="10">
        <v>36.9</v>
      </c>
      <c r="Y43" s="10">
        <v>38</v>
      </c>
      <c r="Z43" s="10">
        <v>36.799999999999997</v>
      </c>
      <c r="AA43" s="10">
        <v>37.75</v>
      </c>
      <c r="AB43" s="93">
        <v>2833900</v>
      </c>
      <c r="AC43" s="10">
        <v>37.75</v>
      </c>
      <c r="AD43" s="2"/>
      <c r="AE43" s="134"/>
    </row>
    <row r="44" spans="1:31" x14ac:dyDescent="0.25">
      <c r="A44" s="201" t="s">
        <v>10</v>
      </c>
      <c r="B44" s="202">
        <v>42146</v>
      </c>
      <c r="C44" s="197">
        <v>100</v>
      </c>
      <c r="D44" s="198">
        <v>13.1</v>
      </c>
      <c r="E44" s="198">
        <v>0</v>
      </c>
      <c r="F44" s="198">
        <f>C44*D44+E44</f>
        <v>1310</v>
      </c>
      <c r="G44" s="202">
        <v>42199</v>
      </c>
      <c r="H44" s="197">
        <v>52</v>
      </c>
      <c r="I44" s="198">
        <v>10.7</v>
      </c>
      <c r="J44" s="198">
        <v>0.01</v>
      </c>
      <c r="K44" s="198">
        <f t="shared" ref="K44:K67" si="3">H44*I44-J44</f>
        <v>556.39</v>
      </c>
      <c r="L44" s="202">
        <v>42241</v>
      </c>
      <c r="M44" s="198">
        <v>12</v>
      </c>
      <c r="N44" s="197"/>
      <c r="O44" s="2"/>
      <c r="P44" s="81">
        <v>1.06</v>
      </c>
      <c r="Q44" s="81">
        <f t="shared" si="2"/>
        <v>31.365400000000001</v>
      </c>
      <c r="R44" s="81"/>
      <c r="T44" s="85" t="s">
        <v>101</v>
      </c>
      <c r="U44" s="86">
        <v>42.91</v>
      </c>
      <c r="W44" s="92">
        <v>42769</v>
      </c>
      <c r="X44" s="10">
        <v>37.869999999999997</v>
      </c>
      <c r="Y44" s="10">
        <v>38.049999999999997</v>
      </c>
      <c r="Z44" s="10">
        <v>36.83</v>
      </c>
      <c r="AA44" s="10">
        <v>36.86</v>
      </c>
      <c r="AB44" s="93">
        <v>5243300</v>
      </c>
      <c r="AC44" s="10">
        <v>36.86</v>
      </c>
      <c r="AD44" s="2"/>
      <c r="AE44" s="134"/>
    </row>
    <row r="45" spans="1:31" x14ac:dyDescent="0.25">
      <c r="A45" s="204" t="s">
        <v>71</v>
      </c>
      <c r="B45" s="202">
        <v>42151</v>
      </c>
      <c r="C45" s="197">
        <v>102</v>
      </c>
      <c r="D45" s="198">
        <v>12.99</v>
      </c>
      <c r="E45" s="198">
        <v>0</v>
      </c>
      <c r="F45" s="198">
        <f t="shared" ref="F45:F79" si="4">C45*D45+E45</f>
        <v>1324.98</v>
      </c>
      <c r="G45" s="202">
        <v>42235</v>
      </c>
      <c r="H45" s="197">
        <v>150</v>
      </c>
      <c r="I45" s="198">
        <v>9.41</v>
      </c>
      <c r="J45" s="198">
        <v>0.03</v>
      </c>
      <c r="K45" s="198">
        <f t="shared" si="3"/>
        <v>1411.47</v>
      </c>
      <c r="L45" s="202">
        <v>42333</v>
      </c>
      <c r="M45" s="198">
        <v>111</v>
      </c>
      <c r="N45" s="197"/>
      <c r="O45" s="2"/>
      <c r="P45" s="81">
        <v>1.05</v>
      </c>
      <c r="Q45" s="81">
        <f t="shared" si="2"/>
        <v>31.069500000000001</v>
      </c>
      <c r="R45" s="81"/>
      <c r="T45" s="85" t="s">
        <v>102</v>
      </c>
      <c r="U45" s="86">
        <v>0.69392299999999996</v>
      </c>
      <c r="W45" s="92">
        <v>42768</v>
      </c>
      <c r="X45" s="10">
        <v>36.700000000000003</v>
      </c>
      <c r="Y45" s="10">
        <v>38.369999999999997</v>
      </c>
      <c r="Z45" s="10">
        <v>36.630000000000003</v>
      </c>
      <c r="AA45" s="10">
        <v>37.68</v>
      </c>
      <c r="AB45" s="93">
        <v>5049700</v>
      </c>
      <c r="AC45" s="10">
        <v>37.68</v>
      </c>
      <c r="AD45" s="2"/>
      <c r="AE45" s="134"/>
    </row>
    <row r="46" spans="1:31" x14ac:dyDescent="0.25">
      <c r="A46" s="197"/>
      <c r="B46" s="202">
        <v>42152</v>
      </c>
      <c r="C46" s="197">
        <v>50</v>
      </c>
      <c r="D46" s="198">
        <v>12.94</v>
      </c>
      <c r="E46" s="198">
        <v>0</v>
      </c>
      <c r="F46" s="198">
        <f t="shared" si="4"/>
        <v>647</v>
      </c>
      <c r="G46" s="202">
        <v>42256</v>
      </c>
      <c r="H46" s="203">
        <v>300</v>
      </c>
      <c r="I46" s="198">
        <v>9.6999999999999993</v>
      </c>
      <c r="J46" s="198">
        <v>0.05</v>
      </c>
      <c r="K46" s="198">
        <f t="shared" si="3"/>
        <v>2909.95</v>
      </c>
      <c r="L46" s="202">
        <v>42425</v>
      </c>
      <c r="M46" s="198">
        <v>15</v>
      </c>
      <c r="N46" s="197"/>
      <c r="O46" s="2"/>
      <c r="P46" s="81">
        <v>1.04</v>
      </c>
      <c r="Q46" s="81">
        <f t="shared" si="2"/>
        <v>30.773600000000002</v>
      </c>
      <c r="R46" s="81"/>
      <c r="T46" s="85" t="s">
        <v>103</v>
      </c>
      <c r="U46" s="87" t="s">
        <v>128</v>
      </c>
      <c r="W46" s="92">
        <v>42767</v>
      </c>
      <c r="X46" s="10">
        <v>36.58</v>
      </c>
      <c r="Y46" s="10">
        <v>37.19</v>
      </c>
      <c r="Z46" s="10">
        <v>36.200000000000003</v>
      </c>
      <c r="AA46" s="10">
        <v>36.26</v>
      </c>
      <c r="AB46" s="93">
        <v>2905400</v>
      </c>
      <c r="AC46" s="10">
        <v>36.26</v>
      </c>
      <c r="AD46" s="2"/>
      <c r="AE46" s="134"/>
    </row>
    <row r="47" spans="1:31" x14ac:dyDescent="0.25">
      <c r="A47" s="197"/>
      <c r="B47" s="202">
        <v>42166</v>
      </c>
      <c r="C47" s="197">
        <v>48</v>
      </c>
      <c r="D47" s="198">
        <v>12.3</v>
      </c>
      <c r="E47" s="198">
        <v>0</v>
      </c>
      <c r="F47" s="198">
        <f t="shared" si="4"/>
        <v>590.40000000000009</v>
      </c>
      <c r="G47" s="202">
        <v>42285</v>
      </c>
      <c r="H47" s="203">
        <v>300</v>
      </c>
      <c r="I47" s="198">
        <v>9.85</v>
      </c>
      <c r="J47" s="198">
        <v>0.05</v>
      </c>
      <c r="K47" s="198">
        <f t="shared" si="3"/>
        <v>2954.95</v>
      </c>
      <c r="L47" s="197"/>
      <c r="M47" s="198"/>
      <c r="N47" s="197"/>
      <c r="O47" s="2"/>
      <c r="P47" s="81">
        <v>1.03</v>
      </c>
      <c r="Q47" s="81">
        <f t="shared" si="2"/>
        <v>30.477700000000002</v>
      </c>
      <c r="R47" s="81"/>
      <c r="T47" s="85"/>
      <c r="U47" s="86"/>
      <c r="W47" s="92">
        <v>42766</v>
      </c>
      <c r="X47" s="10">
        <v>36.78</v>
      </c>
      <c r="Y47" s="10">
        <v>37.229999999999997</v>
      </c>
      <c r="Z47" s="10">
        <v>36.01</v>
      </c>
      <c r="AA47" s="10">
        <v>36.450000000000003</v>
      </c>
      <c r="AB47" s="93">
        <v>2690300</v>
      </c>
      <c r="AC47" s="10">
        <v>36.450000000000003</v>
      </c>
      <c r="AD47" s="2"/>
      <c r="AE47" s="134"/>
    </row>
    <row r="48" spans="1:31" x14ac:dyDescent="0.25">
      <c r="A48" s="197"/>
      <c r="B48" s="202">
        <v>42180</v>
      </c>
      <c r="C48" s="197">
        <v>50</v>
      </c>
      <c r="D48" s="198">
        <v>11.7</v>
      </c>
      <c r="E48" s="198">
        <v>0</v>
      </c>
      <c r="F48" s="198">
        <f t="shared" si="4"/>
        <v>585</v>
      </c>
      <c r="G48" s="202">
        <v>42285</v>
      </c>
      <c r="H48" s="203">
        <v>100</v>
      </c>
      <c r="I48" s="198">
        <v>9.98</v>
      </c>
      <c r="J48" s="198">
        <v>0.02</v>
      </c>
      <c r="K48" s="198">
        <f t="shared" si="3"/>
        <v>997.98</v>
      </c>
      <c r="L48" s="197"/>
      <c r="M48" s="198"/>
      <c r="N48" s="197"/>
      <c r="O48" s="2"/>
      <c r="P48" s="81">
        <v>1.02</v>
      </c>
      <c r="Q48" s="81">
        <f t="shared" si="2"/>
        <v>30.181799999999999</v>
      </c>
      <c r="R48" s="81"/>
      <c r="T48" s="85" t="s">
        <v>104</v>
      </c>
      <c r="U48" s="86" t="s">
        <v>604</v>
      </c>
      <c r="W48" s="92">
        <v>42765</v>
      </c>
      <c r="X48" s="10">
        <v>36.479999999999997</v>
      </c>
      <c r="Y48" s="10">
        <v>36.590000000000003</v>
      </c>
      <c r="Z48" s="10">
        <v>35.770000000000003</v>
      </c>
      <c r="AA48" s="10">
        <v>36.549999999999997</v>
      </c>
      <c r="AB48" s="93">
        <v>3002400</v>
      </c>
      <c r="AC48" s="10">
        <v>36.549999999999997</v>
      </c>
      <c r="AD48" s="2"/>
      <c r="AE48" s="134"/>
    </row>
    <row r="49" spans="1:31" x14ac:dyDescent="0.25">
      <c r="A49" s="197"/>
      <c r="B49" s="202">
        <v>42198</v>
      </c>
      <c r="C49" s="197">
        <v>50</v>
      </c>
      <c r="D49" s="198">
        <v>10.5</v>
      </c>
      <c r="E49" s="198">
        <v>0</v>
      </c>
      <c r="F49" s="198">
        <f t="shared" si="4"/>
        <v>525</v>
      </c>
      <c r="G49" s="202">
        <v>42304</v>
      </c>
      <c r="H49" s="203">
        <v>1400</v>
      </c>
      <c r="I49" s="198">
        <v>9.4600000000000009</v>
      </c>
      <c r="J49" s="198">
        <v>0.24</v>
      </c>
      <c r="K49" s="198">
        <f t="shared" si="3"/>
        <v>13243.760000000002</v>
      </c>
      <c r="L49" s="197"/>
      <c r="M49" s="198"/>
      <c r="N49" s="197"/>
      <c r="O49" s="2"/>
      <c r="P49" s="81">
        <v>1.01</v>
      </c>
      <c r="Q49" s="81">
        <f t="shared" si="2"/>
        <v>29.885899999999999</v>
      </c>
      <c r="R49" s="81"/>
      <c r="T49" s="85" t="s">
        <v>105</v>
      </c>
      <c r="U49" s="86" t="s">
        <v>416</v>
      </c>
      <c r="W49" s="92">
        <v>42762</v>
      </c>
      <c r="X49" s="10">
        <v>36.299999999999997</v>
      </c>
      <c r="Y49" s="10">
        <v>37.39</v>
      </c>
      <c r="Z49" s="10">
        <v>36.270000000000003</v>
      </c>
      <c r="AA49" s="10">
        <v>36.67</v>
      </c>
      <c r="AB49" s="93">
        <v>3617600</v>
      </c>
      <c r="AC49" s="10">
        <v>36.67</v>
      </c>
      <c r="AD49" s="2"/>
      <c r="AE49" s="134"/>
    </row>
    <row r="50" spans="1:31" x14ac:dyDescent="0.25">
      <c r="A50" s="197"/>
      <c r="B50" s="202">
        <v>42205</v>
      </c>
      <c r="C50" s="197">
        <v>20</v>
      </c>
      <c r="D50" s="198">
        <v>10.56</v>
      </c>
      <c r="E50" s="198">
        <v>0</v>
      </c>
      <c r="F50" s="198">
        <f t="shared" si="4"/>
        <v>211.20000000000002</v>
      </c>
      <c r="G50" s="202">
        <v>42310</v>
      </c>
      <c r="H50" s="203">
        <v>3400</v>
      </c>
      <c r="I50" s="198">
        <v>9.1199999999999992</v>
      </c>
      <c r="J50" s="198">
        <v>7.52</v>
      </c>
      <c r="K50" s="198">
        <f t="shared" si="3"/>
        <v>31000.479999999996</v>
      </c>
      <c r="L50" s="197"/>
      <c r="M50" s="198"/>
      <c r="N50" s="197"/>
      <c r="O50" s="2"/>
      <c r="P50" s="81">
        <v>1</v>
      </c>
      <c r="Q50" s="81">
        <f t="shared" si="2"/>
        <v>29.59</v>
      </c>
      <c r="R50" s="81"/>
      <c r="T50" s="85" t="s">
        <v>106</v>
      </c>
      <c r="U50" s="88">
        <v>4016824</v>
      </c>
      <c r="W50" s="92">
        <v>42761</v>
      </c>
      <c r="X50" s="10">
        <v>36.22</v>
      </c>
      <c r="Y50" s="10">
        <v>37.07</v>
      </c>
      <c r="Z50" s="10">
        <v>35.51</v>
      </c>
      <c r="AA50" s="10">
        <v>36.299999999999997</v>
      </c>
      <c r="AB50" s="93">
        <v>5735400</v>
      </c>
      <c r="AC50" s="10">
        <v>36.299999999999997</v>
      </c>
      <c r="AD50" s="2"/>
      <c r="AE50" s="134"/>
    </row>
    <row r="51" spans="1:31" x14ac:dyDescent="0.25">
      <c r="A51" s="197"/>
      <c r="B51" s="202">
        <v>42208</v>
      </c>
      <c r="C51" s="197">
        <v>32</v>
      </c>
      <c r="D51" s="198">
        <v>10.220000000000001</v>
      </c>
      <c r="E51" s="198">
        <v>0</v>
      </c>
      <c r="F51" s="198">
        <f t="shared" si="4"/>
        <v>327.04000000000002</v>
      </c>
      <c r="G51" s="202">
        <v>42314</v>
      </c>
      <c r="H51" s="203">
        <v>1400</v>
      </c>
      <c r="I51" s="198">
        <v>9.42</v>
      </c>
      <c r="J51" s="198">
        <v>0.24</v>
      </c>
      <c r="K51" s="198">
        <f t="shared" si="3"/>
        <v>13187.76</v>
      </c>
      <c r="L51" s="197"/>
      <c r="M51" s="198"/>
      <c r="N51" s="197"/>
      <c r="O51" s="2"/>
      <c r="P51" s="81">
        <v>0.99</v>
      </c>
      <c r="Q51" s="81">
        <f t="shared" si="2"/>
        <v>29.2941</v>
      </c>
      <c r="R51" s="81"/>
      <c r="T51" s="85" t="s">
        <v>109</v>
      </c>
      <c r="U51" s="88">
        <v>4551930</v>
      </c>
      <c r="W51" s="92">
        <v>42760</v>
      </c>
      <c r="X51" s="10">
        <v>38.58</v>
      </c>
      <c r="Y51" s="10">
        <v>38.94</v>
      </c>
      <c r="Z51" s="10">
        <v>36.31</v>
      </c>
      <c r="AA51" s="10">
        <v>36.53</v>
      </c>
      <c r="AB51" s="93">
        <v>13583300</v>
      </c>
      <c r="AC51" s="10">
        <v>36.53</v>
      </c>
      <c r="AD51" s="2"/>
      <c r="AE51" s="134"/>
    </row>
    <row r="52" spans="1:31" x14ac:dyDescent="0.25">
      <c r="A52" s="197"/>
      <c r="B52" s="202">
        <v>42230</v>
      </c>
      <c r="C52" s="197">
        <v>100</v>
      </c>
      <c r="D52" s="198">
        <v>9.58</v>
      </c>
      <c r="E52" s="198">
        <v>0</v>
      </c>
      <c r="F52" s="198">
        <f t="shared" si="4"/>
        <v>958</v>
      </c>
      <c r="G52" s="202">
        <v>42331</v>
      </c>
      <c r="H52" s="203">
        <v>1400</v>
      </c>
      <c r="I52" s="198">
        <v>8.41</v>
      </c>
      <c r="J52" s="198">
        <v>0.22</v>
      </c>
      <c r="K52" s="198">
        <f t="shared" si="3"/>
        <v>11773.78</v>
      </c>
      <c r="L52" s="198"/>
      <c r="M52" s="198"/>
      <c r="N52" s="197"/>
      <c r="O52" s="2"/>
      <c r="P52" s="81">
        <v>0.98</v>
      </c>
      <c r="Q52" s="81">
        <f t="shared" si="2"/>
        <v>28.998200000000001</v>
      </c>
      <c r="R52" s="81"/>
      <c r="T52" s="85" t="s">
        <v>107</v>
      </c>
      <c r="U52" s="86" t="s">
        <v>605</v>
      </c>
      <c r="W52" s="92">
        <v>42759</v>
      </c>
      <c r="X52" s="10">
        <v>37.18</v>
      </c>
      <c r="Y52" s="10">
        <v>38.380000000000003</v>
      </c>
      <c r="Z52" s="10">
        <v>37.18</v>
      </c>
      <c r="AA52" s="10">
        <v>37.5</v>
      </c>
      <c r="AB52" s="93">
        <v>11911100</v>
      </c>
      <c r="AC52" s="10">
        <v>37.5</v>
      </c>
      <c r="AD52" s="2"/>
      <c r="AE52" s="134"/>
    </row>
    <row r="53" spans="1:31" x14ac:dyDescent="0.25">
      <c r="A53" s="197"/>
      <c r="B53" s="202">
        <v>42233</v>
      </c>
      <c r="C53" s="197">
        <v>150</v>
      </c>
      <c r="D53" s="198">
        <v>9.3000000000000007</v>
      </c>
      <c r="E53" s="198">
        <v>0</v>
      </c>
      <c r="F53" s="198">
        <f t="shared" si="4"/>
        <v>1395</v>
      </c>
      <c r="G53" s="202">
        <v>42331</v>
      </c>
      <c r="H53" s="203">
        <v>65</v>
      </c>
      <c r="I53" s="198">
        <v>8.41</v>
      </c>
      <c r="J53" s="198">
        <v>0.01</v>
      </c>
      <c r="K53" s="198">
        <f t="shared" si="3"/>
        <v>546.64</v>
      </c>
      <c r="L53" s="197"/>
      <c r="M53" s="197"/>
      <c r="N53" s="197"/>
      <c r="O53" s="2"/>
      <c r="P53" s="81">
        <v>0.97</v>
      </c>
      <c r="Q53" s="81">
        <f t="shared" si="2"/>
        <v>28.702299999999997</v>
      </c>
      <c r="R53" s="81"/>
      <c r="T53" s="85" t="s">
        <v>110</v>
      </c>
      <c r="U53" s="86" t="s">
        <v>128</v>
      </c>
      <c r="W53" s="92">
        <v>42758</v>
      </c>
      <c r="X53" s="10">
        <v>35.92</v>
      </c>
      <c r="Y53" s="10">
        <v>36.4</v>
      </c>
      <c r="Z53" s="10">
        <v>35.46</v>
      </c>
      <c r="AA53" s="10">
        <v>36.29</v>
      </c>
      <c r="AB53" s="93">
        <v>5245000</v>
      </c>
      <c r="AC53" s="10">
        <v>36.29</v>
      </c>
      <c r="AD53" s="2"/>
      <c r="AE53" s="134"/>
    </row>
    <row r="54" spans="1:31" x14ac:dyDescent="0.25">
      <c r="A54" s="197"/>
      <c r="B54" s="202">
        <v>42240</v>
      </c>
      <c r="C54" s="197">
        <v>200</v>
      </c>
      <c r="D54" s="198">
        <v>9.2100000000000009</v>
      </c>
      <c r="E54" s="198">
        <v>0</v>
      </c>
      <c r="F54" s="198">
        <f t="shared" si="4"/>
        <v>1842.0000000000002</v>
      </c>
      <c r="G54" s="202">
        <v>42332</v>
      </c>
      <c r="H54" s="203">
        <v>2235</v>
      </c>
      <c r="I54" s="198">
        <v>8.5</v>
      </c>
      <c r="J54" s="198">
        <v>0.35</v>
      </c>
      <c r="K54" s="198">
        <f t="shared" si="3"/>
        <v>18997.150000000001</v>
      </c>
      <c r="L54" s="197"/>
      <c r="M54" s="197"/>
      <c r="N54" s="197"/>
      <c r="O54" s="2"/>
      <c r="P54" s="81">
        <v>0.96</v>
      </c>
      <c r="Q54" s="81">
        <f t="shared" si="2"/>
        <v>28.406399999999998</v>
      </c>
      <c r="R54" s="81"/>
      <c r="T54" s="85" t="s">
        <v>111</v>
      </c>
      <c r="U54" s="86">
        <v>-2.19</v>
      </c>
      <c r="W54" s="92">
        <v>42755</v>
      </c>
      <c r="X54" s="10">
        <v>35.4</v>
      </c>
      <c r="Y54" s="10">
        <v>35.74</v>
      </c>
      <c r="Z54" s="10">
        <v>34.93</v>
      </c>
      <c r="AA54" s="10">
        <v>35.659999999999997</v>
      </c>
      <c r="AB54" s="93">
        <v>5330900</v>
      </c>
      <c r="AC54" s="10">
        <v>35.659999999999997</v>
      </c>
      <c r="AD54" s="2"/>
      <c r="AE54" s="134"/>
    </row>
    <row r="55" spans="1:31" x14ac:dyDescent="0.25">
      <c r="A55" s="197"/>
      <c r="B55" s="202">
        <v>42272</v>
      </c>
      <c r="C55" s="197">
        <v>100</v>
      </c>
      <c r="D55" s="198">
        <v>9.4499999999999993</v>
      </c>
      <c r="E55" s="198">
        <v>0</v>
      </c>
      <c r="F55" s="198">
        <f t="shared" si="4"/>
        <v>944.99999999999989</v>
      </c>
      <c r="G55" s="202">
        <v>42332</v>
      </c>
      <c r="H55" s="203">
        <v>600</v>
      </c>
      <c r="I55" s="198">
        <v>8.75</v>
      </c>
      <c r="J55" s="198">
        <v>0.1</v>
      </c>
      <c r="K55" s="198">
        <f t="shared" si="3"/>
        <v>5249.9</v>
      </c>
      <c r="L55" s="197"/>
      <c r="M55" s="197"/>
      <c r="N55" s="197"/>
      <c r="O55" s="2"/>
      <c r="P55" s="81">
        <v>0.95</v>
      </c>
      <c r="Q55" s="81">
        <f t="shared" si="2"/>
        <v>28.110499999999998</v>
      </c>
      <c r="R55" s="81"/>
      <c r="T55" s="85" t="s">
        <v>108</v>
      </c>
      <c r="U55" s="86" t="s">
        <v>498</v>
      </c>
      <c r="W55" s="92">
        <v>42754</v>
      </c>
      <c r="X55" s="10">
        <v>34.22</v>
      </c>
      <c r="Y55" s="10">
        <v>35.630000000000003</v>
      </c>
      <c r="Z55" s="10">
        <v>34.18</v>
      </c>
      <c r="AA55" s="10">
        <v>35.42</v>
      </c>
      <c r="AB55" s="93">
        <v>5050100</v>
      </c>
      <c r="AC55" s="10">
        <v>35.42</v>
      </c>
      <c r="AD55" s="2"/>
      <c r="AE55" s="134"/>
    </row>
    <row r="56" spans="1:31" x14ac:dyDescent="0.25">
      <c r="A56" s="197"/>
      <c r="B56" s="202">
        <v>42275</v>
      </c>
      <c r="C56" s="197">
        <v>100</v>
      </c>
      <c r="D56" s="198">
        <v>9.3000000000000007</v>
      </c>
      <c r="E56" s="198">
        <v>0</v>
      </c>
      <c r="F56" s="198">
        <f t="shared" si="4"/>
        <v>930.00000000000011</v>
      </c>
      <c r="G56" s="202">
        <v>42335</v>
      </c>
      <c r="H56" s="203">
        <v>500</v>
      </c>
      <c r="I56" s="198">
        <v>9.1</v>
      </c>
      <c r="J56" s="198">
        <v>0.08</v>
      </c>
      <c r="K56" s="198">
        <f t="shared" si="3"/>
        <v>4549.92</v>
      </c>
      <c r="L56" s="197"/>
      <c r="M56" s="197"/>
      <c r="N56" s="197"/>
      <c r="O56" s="2"/>
      <c r="P56" s="81">
        <v>0.94</v>
      </c>
      <c r="Q56" s="81">
        <f t="shared" si="2"/>
        <v>27.814599999999999</v>
      </c>
      <c r="R56" s="81"/>
      <c r="W56" s="92">
        <v>42753</v>
      </c>
      <c r="X56" s="10">
        <v>32.950000000000003</v>
      </c>
      <c r="Y56" s="10">
        <v>34.83</v>
      </c>
      <c r="Z56" s="10">
        <v>32.64</v>
      </c>
      <c r="AA56" s="10">
        <v>34.81</v>
      </c>
      <c r="AB56" s="93">
        <v>6420100</v>
      </c>
      <c r="AC56" s="10">
        <v>34.81</v>
      </c>
      <c r="AD56" s="2"/>
      <c r="AE56" s="134"/>
    </row>
    <row r="57" spans="1:31" x14ac:dyDescent="0.25">
      <c r="A57" s="197"/>
      <c r="B57" s="202">
        <v>42290</v>
      </c>
      <c r="C57" s="197">
        <v>400</v>
      </c>
      <c r="D57" s="198">
        <v>10.79</v>
      </c>
      <c r="E57" s="198">
        <v>0</v>
      </c>
      <c r="F57" s="198">
        <f t="shared" si="4"/>
        <v>4316</v>
      </c>
      <c r="G57" s="202">
        <v>42339</v>
      </c>
      <c r="H57" s="203">
        <v>400</v>
      </c>
      <c r="I57" s="198">
        <v>9.35</v>
      </c>
      <c r="J57" s="198">
        <v>7.0000000000000007E-2</v>
      </c>
      <c r="K57" s="198">
        <f t="shared" si="3"/>
        <v>3739.93</v>
      </c>
      <c r="L57" s="197"/>
      <c r="M57" s="197"/>
      <c r="N57" s="197"/>
      <c r="O57" s="2"/>
      <c r="P57" s="81">
        <v>0.93</v>
      </c>
      <c r="Q57" s="81">
        <f t="shared" si="2"/>
        <v>27.518700000000003</v>
      </c>
      <c r="R57" s="81"/>
      <c r="W57" s="92">
        <v>42752</v>
      </c>
      <c r="X57" s="10">
        <v>32.97</v>
      </c>
      <c r="Y57" s="10">
        <v>33.04</v>
      </c>
      <c r="Z57" s="10">
        <v>32.520000000000003</v>
      </c>
      <c r="AA57" s="10">
        <v>32.64</v>
      </c>
      <c r="AB57" s="93">
        <v>1381800</v>
      </c>
      <c r="AC57" s="10">
        <v>32.64</v>
      </c>
      <c r="AD57" s="2"/>
      <c r="AE57" s="134"/>
    </row>
    <row r="58" spans="1:31" x14ac:dyDescent="0.25">
      <c r="A58" s="197"/>
      <c r="B58" s="202">
        <v>42291</v>
      </c>
      <c r="C58" s="197">
        <v>150</v>
      </c>
      <c r="D58" s="198">
        <v>10.46</v>
      </c>
      <c r="E58" s="198">
        <v>0</v>
      </c>
      <c r="F58" s="198">
        <f t="shared" si="4"/>
        <v>1569.0000000000002</v>
      </c>
      <c r="G58" s="202">
        <v>42342</v>
      </c>
      <c r="H58" s="203">
        <v>500</v>
      </c>
      <c r="I58" s="198">
        <v>9.52</v>
      </c>
      <c r="J58" s="198">
        <v>0.09</v>
      </c>
      <c r="K58" s="198">
        <f t="shared" si="3"/>
        <v>4759.91</v>
      </c>
      <c r="L58" s="197"/>
      <c r="M58" s="197"/>
      <c r="N58" s="197"/>
      <c r="O58" s="2"/>
      <c r="P58" s="81">
        <v>0.92</v>
      </c>
      <c r="Q58" s="81">
        <f t="shared" si="2"/>
        <v>27.222799999999999</v>
      </c>
      <c r="R58" s="81"/>
      <c r="W58" s="92">
        <v>42748</v>
      </c>
      <c r="X58" s="10">
        <v>32.82</v>
      </c>
      <c r="Y58" s="10">
        <v>33.43</v>
      </c>
      <c r="Z58" s="10">
        <v>32.53</v>
      </c>
      <c r="AA58" s="10">
        <v>33.01</v>
      </c>
      <c r="AB58" s="93">
        <v>3026200</v>
      </c>
      <c r="AC58" s="10">
        <v>33.01</v>
      </c>
      <c r="AD58" s="2"/>
      <c r="AE58" s="134"/>
    </row>
    <row r="59" spans="1:31" x14ac:dyDescent="0.25">
      <c r="A59" s="197"/>
      <c r="B59" s="202">
        <v>42292</v>
      </c>
      <c r="C59" s="197">
        <v>150</v>
      </c>
      <c r="D59" s="198">
        <v>10.3</v>
      </c>
      <c r="E59" s="198">
        <v>0</v>
      </c>
      <c r="F59" s="198">
        <f t="shared" si="4"/>
        <v>1545</v>
      </c>
      <c r="G59" s="202">
        <v>42347</v>
      </c>
      <c r="H59" s="203">
        <v>1500</v>
      </c>
      <c r="I59" s="198">
        <v>9.31</v>
      </c>
      <c r="J59" s="198">
        <v>0.26</v>
      </c>
      <c r="K59" s="198">
        <f t="shared" si="3"/>
        <v>13964.74</v>
      </c>
      <c r="L59" s="197"/>
      <c r="M59" s="197"/>
      <c r="N59" s="197"/>
      <c r="O59" s="2"/>
      <c r="P59" s="81">
        <v>0.91</v>
      </c>
      <c r="Q59" s="81">
        <f t="shared" si="2"/>
        <v>26.9269</v>
      </c>
      <c r="R59" s="81"/>
      <c r="W59" s="92">
        <v>42747</v>
      </c>
      <c r="X59" s="10">
        <v>33</v>
      </c>
      <c r="Y59" s="10">
        <v>33.5</v>
      </c>
      <c r="Z59" s="10">
        <v>32.51</v>
      </c>
      <c r="AA59" s="10">
        <v>33.04</v>
      </c>
      <c r="AB59" s="93">
        <v>4521700</v>
      </c>
      <c r="AC59" s="10">
        <v>33.04</v>
      </c>
      <c r="AD59" s="2"/>
      <c r="AE59" s="134"/>
    </row>
    <row r="60" spans="1:31" x14ac:dyDescent="0.25">
      <c r="A60" s="197"/>
      <c r="B60" s="202">
        <v>42297</v>
      </c>
      <c r="C60" s="203">
        <v>200</v>
      </c>
      <c r="D60" s="198">
        <v>9.8000000000000007</v>
      </c>
      <c r="E60" s="198">
        <v>0</v>
      </c>
      <c r="F60" s="198">
        <f t="shared" si="4"/>
        <v>1960.0000000000002</v>
      </c>
      <c r="G60" s="202">
        <v>42353</v>
      </c>
      <c r="H60" s="203">
        <v>200</v>
      </c>
      <c r="I60" s="198">
        <v>9.2899999999999991</v>
      </c>
      <c r="J60" s="198">
        <v>0.03</v>
      </c>
      <c r="K60" s="198">
        <f t="shared" si="3"/>
        <v>1857.9699999999998</v>
      </c>
      <c r="L60" s="197"/>
      <c r="M60" s="197"/>
      <c r="N60" s="197"/>
      <c r="O60" s="2"/>
      <c r="P60" s="81">
        <v>0.9</v>
      </c>
      <c r="Q60" s="81">
        <f t="shared" si="2"/>
        <v>26.631</v>
      </c>
      <c r="R60" s="81"/>
      <c r="W60" s="92">
        <v>42746</v>
      </c>
      <c r="X60" s="10">
        <v>31.08</v>
      </c>
      <c r="Y60" s="10">
        <v>32</v>
      </c>
      <c r="Z60" s="10">
        <v>31.08</v>
      </c>
      <c r="AA60" s="10">
        <v>31.97</v>
      </c>
      <c r="AB60" s="93">
        <v>3068300</v>
      </c>
      <c r="AC60" s="10">
        <v>31.97</v>
      </c>
      <c r="AD60" s="2"/>
      <c r="AE60" s="134"/>
    </row>
    <row r="61" spans="1:31" x14ac:dyDescent="0.25">
      <c r="A61" s="197"/>
      <c r="B61" s="202">
        <v>42297</v>
      </c>
      <c r="C61" s="203">
        <v>900</v>
      </c>
      <c r="D61" s="198">
        <v>9.74</v>
      </c>
      <c r="E61" s="198">
        <v>0</v>
      </c>
      <c r="F61" s="198">
        <f t="shared" si="4"/>
        <v>8766</v>
      </c>
      <c r="G61" s="202">
        <v>42354</v>
      </c>
      <c r="H61" s="203">
        <v>500</v>
      </c>
      <c r="I61" s="198">
        <v>8.93</v>
      </c>
      <c r="J61" s="198">
        <v>0.08</v>
      </c>
      <c r="K61" s="198">
        <f t="shared" si="3"/>
        <v>4464.92</v>
      </c>
      <c r="L61" s="197"/>
      <c r="M61" s="197"/>
      <c r="N61" s="197"/>
      <c r="W61" s="92">
        <v>42745</v>
      </c>
      <c r="X61" s="10">
        <v>29.83</v>
      </c>
      <c r="Y61" s="10">
        <v>31.1</v>
      </c>
      <c r="Z61" s="10">
        <v>29.73</v>
      </c>
      <c r="AA61" s="10">
        <v>30.98</v>
      </c>
      <c r="AB61" s="93">
        <v>3823600</v>
      </c>
      <c r="AC61" s="10">
        <v>30.98</v>
      </c>
      <c r="AD61" s="2"/>
      <c r="AE61" s="134"/>
    </row>
    <row r="62" spans="1:31" x14ac:dyDescent="0.25">
      <c r="A62" s="197"/>
      <c r="B62" s="202">
        <v>42299</v>
      </c>
      <c r="C62" s="197">
        <v>1000</v>
      </c>
      <c r="D62" s="198">
        <v>9.3800000000000008</v>
      </c>
      <c r="E62" s="198">
        <v>0</v>
      </c>
      <c r="F62" s="198">
        <f t="shared" si="4"/>
        <v>9380</v>
      </c>
      <c r="G62" s="202">
        <v>42366</v>
      </c>
      <c r="H62" s="203">
        <v>2000</v>
      </c>
      <c r="I62" s="198">
        <v>9.4499999999999993</v>
      </c>
      <c r="J62" s="198">
        <v>0.35</v>
      </c>
      <c r="K62" s="198">
        <f t="shared" si="3"/>
        <v>18899.650000000001</v>
      </c>
      <c r="L62" s="197"/>
      <c r="M62" s="197"/>
      <c r="N62" s="197"/>
      <c r="W62" s="92">
        <v>42744</v>
      </c>
      <c r="X62" s="10">
        <v>30.88</v>
      </c>
      <c r="Y62" s="10">
        <v>30.88</v>
      </c>
      <c r="Z62" s="10">
        <v>29.22</v>
      </c>
      <c r="AA62" s="10">
        <v>29.48</v>
      </c>
      <c r="AB62" s="93">
        <v>4205100</v>
      </c>
      <c r="AC62" s="10">
        <v>29.48</v>
      </c>
      <c r="AD62" s="2"/>
      <c r="AE62" s="134"/>
    </row>
    <row r="63" spans="1:31" x14ac:dyDescent="0.25">
      <c r="A63" s="197"/>
      <c r="B63" s="202">
        <v>42303</v>
      </c>
      <c r="C63" s="197">
        <v>400</v>
      </c>
      <c r="D63" s="198">
        <v>9.1999999999999993</v>
      </c>
      <c r="E63" s="198">
        <v>0</v>
      </c>
      <c r="F63" s="198">
        <f t="shared" si="4"/>
        <v>3679.9999999999995</v>
      </c>
      <c r="G63" s="202">
        <v>42367</v>
      </c>
      <c r="H63" s="203">
        <v>1000</v>
      </c>
      <c r="I63" s="198">
        <v>9.89</v>
      </c>
      <c r="J63" s="198">
        <v>0.18</v>
      </c>
      <c r="K63" s="198">
        <f t="shared" si="3"/>
        <v>9889.82</v>
      </c>
      <c r="L63" s="197"/>
      <c r="M63" s="197"/>
      <c r="N63" s="197"/>
      <c r="W63" s="92">
        <v>42741</v>
      </c>
      <c r="X63" s="10">
        <v>30.69</v>
      </c>
      <c r="Y63" s="10">
        <v>31.1</v>
      </c>
      <c r="Z63" s="10">
        <v>30.31</v>
      </c>
      <c r="AA63" s="10">
        <v>30.68</v>
      </c>
      <c r="AB63" s="93">
        <v>2086300</v>
      </c>
      <c r="AC63" s="10">
        <v>30.68</v>
      </c>
      <c r="AD63" s="2"/>
      <c r="AE63" s="134"/>
    </row>
    <row r="64" spans="1:31" x14ac:dyDescent="0.25">
      <c r="A64" s="197"/>
      <c r="B64" s="217">
        <v>42304</v>
      </c>
      <c r="C64" s="197">
        <v>900</v>
      </c>
      <c r="D64" s="198">
        <v>9.32</v>
      </c>
      <c r="E64" s="198">
        <v>0</v>
      </c>
      <c r="F64" s="198">
        <f t="shared" si="4"/>
        <v>8388</v>
      </c>
      <c r="G64" s="202">
        <v>42398</v>
      </c>
      <c r="H64" s="203">
        <v>100</v>
      </c>
      <c r="I64" s="198">
        <v>7.21</v>
      </c>
      <c r="J64" s="198">
        <v>0.01</v>
      </c>
      <c r="K64" s="198">
        <f t="shared" si="3"/>
        <v>720.99</v>
      </c>
      <c r="L64" s="197"/>
      <c r="M64" s="197"/>
      <c r="N64" s="197"/>
      <c r="W64" s="92">
        <v>42740</v>
      </c>
      <c r="X64" s="10">
        <v>30.18</v>
      </c>
      <c r="Y64" s="10">
        <v>30.93</v>
      </c>
      <c r="Z64" s="10">
        <v>30.12</v>
      </c>
      <c r="AA64" s="10">
        <v>30.65</v>
      </c>
      <c r="AB64" s="93">
        <v>2444600</v>
      </c>
      <c r="AC64" s="10">
        <v>30.65</v>
      </c>
      <c r="AD64" s="2"/>
      <c r="AE64" s="134"/>
    </row>
    <row r="65" spans="1:31" x14ac:dyDescent="0.25">
      <c r="A65" s="197"/>
      <c r="B65" s="217"/>
      <c r="C65" s="197">
        <v>500</v>
      </c>
      <c r="D65" s="198">
        <v>9.32</v>
      </c>
      <c r="E65" s="198">
        <v>0</v>
      </c>
      <c r="F65" s="198">
        <f t="shared" si="4"/>
        <v>4660</v>
      </c>
      <c r="G65" s="202">
        <v>42403</v>
      </c>
      <c r="H65" s="203">
        <v>100</v>
      </c>
      <c r="I65" s="198">
        <v>7.42</v>
      </c>
      <c r="J65" s="198">
        <v>0.01</v>
      </c>
      <c r="K65" s="198">
        <f t="shared" si="3"/>
        <v>741.99</v>
      </c>
      <c r="L65" s="198"/>
      <c r="M65" s="197"/>
      <c r="N65" s="197"/>
      <c r="W65" s="92">
        <v>42739</v>
      </c>
      <c r="X65" s="10">
        <v>29.02</v>
      </c>
      <c r="Y65" s="10">
        <v>30.3</v>
      </c>
      <c r="Z65" s="10">
        <v>29.02</v>
      </c>
      <c r="AA65" s="10">
        <v>30.26</v>
      </c>
      <c r="AB65" s="93">
        <v>3339500</v>
      </c>
      <c r="AC65" s="10">
        <v>30.26</v>
      </c>
      <c r="AD65" s="2"/>
      <c r="AE65" s="134"/>
    </row>
    <row r="66" spans="1:31" x14ac:dyDescent="0.25">
      <c r="A66" s="197"/>
      <c r="B66" s="202">
        <v>42306</v>
      </c>
      <c r="C66" s="197">
        <v>300</v>
      </c>
      <c r="D66" s="198">
        <v>8.7200000000000006</v>
      </c>
      <c r="E66" s="198">
        <v>6.95</v>
      </c>
      <c r="F66" s="198">
        <f t="shared" si="4"/>
        <v>2622.95</v>
      </c>
      <c r="G66" s="202">
        <v>42404</v>
      </c>
      <c r="H66" s="203">
        <v>100</v>
      </c>
      <c r="I66" s="198">
        <v>8.02</v>
      </c>
      <c r="J66" s="198">
        <v>0.01</v>
      </c>
      <c r="K66" s="198">
        <f t="shared" si="3"/>
        <v>801.99</v>
      </c>
      <c r="L66" s="197"/>
      <c r="M66" s="197"/>
      <c r="N66" s="197"/>
      <c r="W66" s="92">
        <v>42738</v>
      </c>
      <c r="X66" s="10">
        <v>28.6</v>
      </c>
      <c r="Y66" s="10">
        <v>28.87</v>
      </c>
      <c r="Z66" s="10">
        <v>28.17</v>
      </c>
      <c r="AA66" s="10">
        <v>28.83</v>
      </c>
      <c r="AB66" s="93">
        <v>2746400</v>
      </c>
      <c r="AC66" s="10">
        <v>28.83</v>
      </c>
      <c r="AD66" s="2"/>
      <c r="AE66" s="134"/>
    </row>
    <row r="67" spans="1:31" x14ac:dyDescent="0.25">
      <c r="A67" s="197"/>
      <c r="B67" s="202">
        <v>42310</v>
      </c>
      <c r="C67" s="197">
        <v>3400</v>
      </c>
      <c r="D67" s="198">
        <v>9.0299999999999994</v>
      </c>
      <c r="E67" s="198">
        <v>6.95</v>
      </c>
      <c r="F67" s="198">
        <f t="shared" si="4"/>
        <v>30708.949999999997</v>
      </c>
      <c r="G67" s="202">
        <v>42416</v>
      </c>
      <c r="H67" s="203">
        <v>300</v>
      </c>
      <c r="I67" s="198">
        <v>7.98</v>
      </c>
      <c r="J67" s="198">
        <v>0.05</v>
      </c>
      <c r="K67" s="198">
        <f t="shared" si="3"/>
        <v>2393.9499999999998</v>
      </c>
      <c r="L67" s="197"/>
      <c r="M67" s="197"/>
      <c r="N67" s="197"/>
      <c r="W67" s="92">
        <v>42734</v>
      </c>
      <c r="X67" s="10">
        <v>28.97</v>
      </c>
      <c r="Y67" s="10">
        <v>29.38</v>
      </c>
      <c r="Z67" s="10">
        <v>28.01</v>
      </c>
      <c r="AA67" s="10">
        <v>28.08</v>
      </c>
      <c r="AB67" s="93">
        <v>2686000</v>
      </c>
      <c r="AC67" s="10">
        <v>28.08</v>
      </c>
      <c r="AD67" s="2"/>
      <c r="AE67" s="134"/>
    </row>
    <row r="68" spans="1:31" x14ac:dyDescent="0.25">
      <c r="A68" s="197"/>
      <c r="B68" s="202">
        <v>42314</v>
      </c>
      <c r="C68" s="197">
        <v>1400</v>
      </c>
      <c r="D68" s="198">
        <v>9.35</v>
      </c>
      <c r="E68" s="198">
        <v>0</v>
      </c>
      <c r="F68" s="198">
        <f t="shared" si="4"/>
        <v>13090</v>
      </c>
      <c r="G68" s="202">
        <v>42444</v>
      </c>
      <c r="H68" s="197">
        <v>200</v>
      </c>
      <c r="I68" s="198">
        <v>9.49</v>
      </c>
      <c r="J68" s="198">
        <v>0.04</v>
      </c>
      <c r="K68" s="198">
        <v>1897.96</v>
      </c>
      <c r="L68" s="197"/>
      <c r="M68" s="197"/>
      <c r="N68" s="197"/>
      <c r="W68" s="92" t="s">
        <v>120</v>
      </c>
      <c r="X68" s="10"/>
      <c r="Y68" s="10"/>
      <c r="Z68" s="10"/>
      <c r="AA68" s="10"/>
      <c r="AB68" s="93"/>
      <c r="AC68" s="10"/>
      <c r="AD68" s="2"/>
      <c r="AE68" s="134"/>
    </row>
    <row r="69" spans="1:31" x14ac:dyDescent="0.25">
      <c r="A69" s="197"/>
      <c r="B69" s="202">
        <v>42324</v>
      </c>
      <c r="C69" s="211">
        <v>3700</v>
      </c>
      <c r="D69" s="198">
        <v>8.2899999999999991</v>
      </c>
      <c r="E69" s="198">
        <v>0</v>
      </c>
      <c r="F69" s="198">
        <f t="shared" si="4"/>
        <v>30672.999999999996</v>
      </c>
      <c r="G69" s="202"/>
      <c r="H69" s="203"/>
      <c r="I69" s="198"/>
      <c r="J69" s="198"/>
      <c r="K69" s="198"/>
      <c r="L69" s="197"/>
      <c r="M69" s="197"/>
      <c r="N69" s="197"/>
      <c r="AD69" s="2"/>
      <c r="AE69" s="134"/>
    </row>
    <row r="70" spans="1:31" x14ac:dyDescent="0.25">
      <c r="A70" s="197"/>
      <c r="B70" s="202">
        <v>42324</v>
      </c>
      <c r="C70" s="211">
        <v>600</v>
      </c>
      <c r="D70" s="198">
        <v>8.14</v>
      </c>
      <c r="E70" s="198">
        <v>0</v>
      </c>
      <c r="F70" s="198">
        <f t="shared" si="4"/>
        <v>4884</v>
      </c>
      <c r="G70" s="202"/>
      <c r="H70" s="203"/>
      <c r="I70" s="198"/>
      <c r="J70" s="198"/>
      <c r="K70" s="198"/>
      <c r="L70" s="197"/>
      <c r="M70" s="197"/>
      <c r="N70" s="197"/>
    </row>
    <row r="71" spans="1:31" x14ac:dyDescent="0.25">
      <c r="A71" s="197"/>
      <c r="B71" s="202">
        <v>42335</v>
      </c>
      <c r="C71" s="197">
        <v>500</v>
      </c>
      <c r="D71" s="198">
        <v>9.06</v>
      </c>
      <c r="E71" s="198">
        <v>0</v>
      </c>
      <c r="F71" s="198">
        <f t="shared" si="4"/>
        <v>4530</v>
      </c>
      <c r="G71" s="197"/>
      <c r="H71" s="203"/>
      <c r="I71" s="198"/>
      <c r="J71" s="198"/>
      <c r="K71" s="198"/>
      <c r="L71" s="197"/>
      <c r="M71" s="197"/>
      <c r="N71" s="197"/>
    </row>
    <row r="72" spans="1:31" x14ac:dyDescent="0.25">
      <c r="A72" s="197"/>
      <c r="B72" s="202">
        <v>42345</v>
      </c>
      <c r="C72" s="197">
        <v>200</v>
      </c>
      <c r="D72" s="198">
        <v>9.35</v>
      </c>
      <c r="E72" s="198">
        <v>0</v>
      </c>
      <c r="F72" s="198">
        <f t="shared" si="4"/>
        <v>1870</v>
      </c>
      <c r="G72" s="197"/>
      <c r="H72" s="203"/>
      <c r="I72" s="198"/>
      <c r="J72" s="198"/>
      <c r="K72" s="198"/>
      <c r="L72" s="197"/>
      <c r="M72" s="197"/>
      <c r="N72" s="197"/>
    </row>
    <row r="73" spans="1:31" x14ac:dyDescent="0.25">
      <c r="A73" s="197"/>
      <c r="B73" s="202">
        <v>42347</v>
      </c>
      <c r="C73" s="197">
        <v>1500</v>
      </c>
      <c r="D73" s="198">
        <v>9.2759999999999998</v>
      </c>
      <c r="E73" s="198">
        <v>0</v>
      </c>
      <c r="F73" s="198">
        <f t="shared" si="4"/>
        <v>13914</v>
      </c>
      <c r="G73" s="197"/>
      <c r="H73" s="203"/>
      <c r="I73" s="198"/>
      <c r="J73" s="198"/>
      <c r="K73" s="198"/>
      <c r="L73" s="197"/>
      <c r="M73" s="197"/>
      <c r="N73" s="197"/>
    </row>
    <row r="74" spans="1:31" x14ac:dyDescent="0.25">
      <c r="A74" s="197"/>
      <c r="B74" s="202">
        <v>42348</v>
      </c>
      <c r="C74" s="197">
        <v>100</v>
      </c>
      <c r="D74" s="198">
        <v>8.9499999999999993</v>
      </c>
      <c r="E74" s="198">
        <v>0</v>
      </c>
      <c r="F74" s="198">
        <f t="shared" si="4"/>
        <v>894.99999999999989</v>
      </c>
      <c r="G74" s="197"/>
      <c r="H74" s="203"/>
      <c r="I74" s="198"/>
      <c r="J74" s="198"/>
      <c r="K74" s="198"/>
      <c r="L74" s="197"/>
      <c r="M74" s="197"/>
      <c r="N74" s="197"/>
    </row>
    <row r="75" spans="1:31" x14ac:dyDescent="0.25">
      <c r="A75" s="197"/>
      <c r="B75" s="202">
        <v>42353</v>
      </c>
      <c r="C75" s="197">
        <v>100</v>
      </c>
      <c r="D75" s="198">
        <v>9.2200000000000006</v>
      </c>
      <c r="E75" s="198">
        <v>0</v>
      </c>
      <c r="F75" s="198">
        <f t="shared" si="4"/>
        <v>922.00000000000011</v>
      </c>
      <c r="G75" s="197"/>
      <c r="H75" s="203"/>
      <c r="I75" s="198"/>
      <c r="J75" s="198"/>
      <c r="K75" s="198"/>
      <c r="L75" s="197"/>
      <c r="M75" s="197"/>
      <c r="N75" s="197"/>
    </row>
    <row r="76" spans="1:31" x14ac:dyDescent="0.25">
      <c r="A76" s="197"/>
      <c r="B76" s="202">
        <v>42354</v>
      </c>
      <c r="C76" s="197">
        <v>500</v>
      </c>
      <c r="D76" s="198">
        <v>8.85</v>
      </c>
      <c r="E76" s="198">
        <v>0</v>
      </c>
      <c r="F76" s="198">
        <f t="shared" si="4"/>
        <v>4425</v>
      </c>
      <c r="G76" s="197"/>
      <c r="H76" s="203"/>
      <c r="I76" s="198"/>
      <c r="J76" s="198"/>
      <c r="K76" s="198"/>
      <c r="L76" s="197"/>
      <c r="M76" s="197"/>
      <c r="N76" s="197"/>
    </row>
    <row r="77" spans="1:31" x14ac:dyDescent="0.25">
      <c r="A77" s="197"/>
      <c r="B77" s="202">
        <v>42377</v>
      </c>
      <c r="C77" s="197">
        <v>400</v>
      </c>
      <c r="D77" s="198">
        <v>8.0399999999999991</v>
      </c>
      <c r="E77" s="198">
        <v>0</v>
      </c>
      <c r="F77" s="198">
        <f t="shared" si="4"/>
        <v>3215.9999999999995</v>
      </c>
      <c r="G77" s="197"/>
      <c r="H77" s="197"/>
      <c r="I77" s="198"/>
      <c r="J77" s="198"/>
      <c r="K77" s="198"/>
      <c r="L77" s="197"/>
      <c r="M77" s="197"/>
      <c r="N77" s="197"/>
    </row>
    <row r="78" spans="1:31" x14ac:dyDescent="0.25">
      <c r="A78" s="197"/>
      <c r="B78" s="202">
        <v>42389</v>
      </c>
      <c r="C78" s="197">
        <v>100</v>
      </c>
      <c r="D78" s="198">
        <v>6.45</v>
      </c>
      <c r="E78" s="198">
        <v>0</v>
      </c>
      <c r="F78" s="198">
        <f t="shared" si="4"/>
        <v>645</v>
      </c>
      <c r="G78" s="197"/>
      <c r="H78" s="197"/>
      <c r="I78" s="198"/>
      <c r="J78" s="198"/>
      <c r="K78" s="198"/>
      <c r="L78" s="197"/>
      <c r="M78" s="197"/>
      <c r="N78" s="197"/>
    </row>
    <row r="79" spans="1:31" x14ac:dyDescent="0.25">
      <c r="A79" s="197"/>
      <c r="B79" s="202">
        <v>42402</v>
      </c>
      <c r="C79" s="197">
        <v>100</v>
      </c>
      <c r="D79" s="198">
        <v>6.95</v>
      </c>
      <c r="E79" s="198">
        <v>0</v>
      </c>
      <c r="F79" s="198">
        <f t="shared" si="4"/>
        <v>695</v>
      </c>
      <c r="G79" s="197"/>
      <c r="H79" s="197"/>
      <c r="I79" s="198"/>
      <c r="J79" s="198"/>
      <c r="K79" s="198"/>
      <c r="L79" s="197"/>
      <c r="M79" s="197"/>
      <c r="N79" s="197"/>
    </row>
    <row r="80" spans="1:31" x14ac:dyDescent="0.25">
      <c r="A80" s="197"/>
      <c r="B80" s="202">
        <v>42444</v>
      </c>
      <c r="C80" s="197">
        <v>200</v>
      </c>
      <c r="D80" s="198">
        <v>9.4499999999999993</v>
      </c>
      <c r="E80" s="198">
        <v>0</v>
      </c>
      <c r="F80" s="198">
        <v>1889.9999999999998</v>
      </c>
      <c r="G80" s="197"/>
      <c r="H80" s="197"/>
      <c r="I80" s="198"/>
      <c r="J80" s="198"/>
      <c r="K80" s="198"/>
      <c r="L80" s="197"/>
      <c r="M80" s="197"/>
      <c r="N80" s="197"/>
    </row>
    <row r="81" spans="1:14" x14ac:dyDescent="0.25">
      <c r="A81" s="298"/>
      <c r="B81" s="298"/>
      <c r="C81" s="298"/>
      <c r="D81" s="299"/>
      <c r="E81" s="299"/>
      <c r="F81" s="299"/>
      <c r="G81" s="298"/>
      <c r="H81" s="298"/>
      <c r="I81" s="299"/>
      <c r="J81" s="299"/>
      <c r="K81" s="299"/>
      <c r="L81" s="298"/>
      <c r="M81" s="298"/>
      <c r="N81" s="298"/>
    </row>
    <row r="82" spans="1:14" x14ac:dyDescent="0.25">
      <c r="A82" s="298"/>
      <c r="B82" s="297">
        <v>42545</v>
      </c>
      <c r="C82" s="298">
        <v>250</v>
      </c>
      <c r="D82" s="299">
        <v>9.36</v>
      </c>
      <c r="E82" s="299">
        <v>0</v>
      </c>
      <c r="F82" s="299">
        <f>D82*C82+E82</f>
        <v>2340</v>
      </c>
      <c r="G82" s="298">
        <v>42577</v>
      </c>
      <c r="H82" s="302">
        <v>150</v>
      </c>
      <c r="I82" s="299">
        <v>10.58</v>
      </c>
      <c r="J82" s="299">
        <v>0.03</v>
      </c>
      <c r="K82" s="299">
        <f>H82*I82-J82</f>
        <v>1586.97</v>
      </c>
      <c r="L82" s="298"/>
      <c r="M82" s="298"/>
      <c r="N82" s="298"/>
    </row>
    <row r="83" spans="1:14" x14ac:dyDescent="0.25">
      <c r="A83" s="298"/>
      <c r="B83" s="297"/>
      <c r="C83" s="298"/>
      <c r="D83" s="299"/>
      <c r="E83" s="299"/>
      <c r="F83" s="299"/>
      <c r="G83" s="298">
        <v>42577</v>
      </c>
      <c r="H83" s="302">
        <v>100</v>
      </c>
      <c r="I83" s="299">
        <v>10.65</v>
      </c>
      <c r="J83" s="299">
        <v>0.02</v>
      </c>
      <c r="K83" s="299">
        <f>H83*I83-J83</f>
        <v>1064.98</v>
      </c>
      <c r="L83" s="298"/>
      <c r="M83" s="298"/>
      <c r="N83" s="298"/>
    </row>
    <row r="84" spans="1:14" x14ac:dyDescent="0.25">
      <c r="A84" s="298"/>
      <c r="B84" s="298"/>
      <c r="C84" s="298"/>
      <c r="D84" s="299"/>
      <c r="E84" s="299"/>
      <c r="F84" s="299"/>
      <c r="G84" s="298"/>
      <c r="H84" s="298"/>
      <c r="I84" s="299"/>
      <c r="J84" s="299"/>
      <c r="K84" s="299"/>
      <c r="L84" s="298"/>
      <c r="M84" s="298"/>
      <c r="N84" s="298"/>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7"/>
    </row>
    <row r="86" spans="1:14" x14ac:dyDescent="0.25">
      <c r="A86" s="197"/>
      <c r="B86" s="197"/>
      <c r="C86" s="197"/>
      <c r="D86" s="198"/>
      <c r="E86" s="198"/>
      <c r="F86" s="198"/>
      <c r="G86" s="197"/>
      <c r="H86" s="197"/>
      <c r="I86" s="198"/>
      <c r="J86" s="198"/>
      <c r="K86" s="198"/>
      <c r="L86" s="197"/>
      <c r="M86" s="197"/>
      <c r="N86" s="197"/>
    </row>
    <row r="87" spans="1:14" x14ac:dyDescent="0.25">
      <c r="A87" s="197"/>
      <c r="B87" s="197"/>
      <c r="C87" s="197"/>
      <c r="D87" s="198"/>
      <c r="E87" s="198"/>
      <c r="F87" s="198"/>
      <c r="G87" s="197"/>
      <c r="H87" s="197"/>
      <c r="I87" s="198"/>
      <c r="J87" s="198"/>
      <c r="K87" s="198"/>
      <c r="L87" s="197"/>
      <c r="M87" s="197"/>
      <c r="N87" s="197"/>
    </row>
    <row r="88" spans="1:14" x14ac:dyDescent="0.25">
      <c r="A88" s="197"/>
      <c r="B88" s="205" t="s">
        <v>113</v>
      </c>
      <c r="C88" s="205" t="s">
        <v>145</v>
      </c>
      <c r="D88" s="206" t="s">
        <v>144</v>
      </c>
      <c r="E88" s="207" t="s">
        <v>146</v>
      </c>
      <c r="F88" s="207" t="s">
        <v>65</v>
      </c>
      <c r="G88" s="209" t="s">
        <v>150</v>
      </c>
      <c r="H88" s="209" t="s">
        <v>88</v>
      </c>
      <c r="I88" s="209" t="s">
        <v>153</v>
      </c>
      <c r="J88" s="198"/>
      <c r="K88" s="198"/>
      <c r="L88" s="197"/>
      <c r="M88" s="197"/>
      <c r="N88" s="197"/>
    </row>
    <row r="89" spans="1:14" x14ac:dyDescent="0.25">
      <c r="A89" s="197"/>
      <c r="B89" s="202">
        <v>42304</v>
      </c>
      <c r="C89" s="197">
        <v>3700</v>
      </c>
      <c r="D89" s="198">
        <v>9.84</v>
      </c>
      <c r="E89" s="198">
        <v>8.73</v>
      </c>
      <c r="F89" s="198">
        <f>C89*(E89-D89)</f>
        <v>-4106.9999999999982</v>
      </c>
      <c r="G89" s="198">
        <f>D89*C89</f>
        <v>36408</v>
      </c>
      <c r="H89" s="212">
        <f>(E89-D89)/D89</f>
        <v>-0.11280487804878044</v>
      </c>
      <c r="I89" s="198"/>
      <c r="J89" s="198"/>
      <c r="K89" s="198"/>
      <c r="L89" s="197"/>
      <c r="M89" s="197"/>
      <c r="N89" s="197"/>
    </row>
    <row r="90" spans="1:14" x14ac:dyDescent="0.25">
      <c r="A90" s="197"/>
      <c r="B90" s="202">
        <v>42305</v>
      </c>
      <c r="C90" s="197">
        <v>3700</v>
      </c>
      <c r="D90" s="198">
        <v>9.76</v>
      </c>
      <c r="E90" s="198">
        <v>8.99</v>
      </c>
      <c r="F90" s="198">
        <f t="shared" ref="F90:F107" si="5">C90*(E90-D90)</f>
        <v>-2848.9999999999986</v>
      </c>
      <c r="G90" s="198">
        <f t="shared" ref="G90:G107" si="6">D90*C90</f>
        <v>36112</v>
      </c>
      <c r="H90" s="212">
        <f t="shared" ref="H90:H96" si="7">(E90-D90)/D90</f>
        <v>-7.8893442622950782E-2</v>
      </c>
      <c r="I90" s="198"/>
      <c r="J90" s="198"/>
      <c r="K90" s="198"/>
      <c r="L90" s="197"/>
      <c r="M90" s="197"/>
      <c r="N90" s="197"/>
    </row>
    <row r="91" spans="1:14" x14ac:dyDescent="0.25">
      <c r="A91" s="197"/>
      <c r="B91" s="202">
        <v>42311</v>
      </c>
      <c r="C91" s="197">
        <v>3700</v>
      </c>
      <c r="D91" s="198">
        <v>9.73</v>
      </c>
      <c r="E91" s="198">
        <v>9.3800000000000008</v>
      </c>
      <c r="F91" s="198">
        <f t="shared" si="5"/>
        <v>-1294.9999999999986</v>
      </c>
      <c r="G91" s="198">
        <f t="shared" si="6"/>
        <v>36001</v>
      </c>
      <c r="H91" s="212">
        <f t="shared" si="7"/>
        <v>-3.5971223021582698E-2</v>
      </c>
      <c r="I91" s="198"/>
      <c r="J91" s="198"/>
      <c r="K91" s="198"/>
      <c r="L91" s="197"/>
      <c r="M91" s="197"/>
      <c r="N91" s="197"/>
    </row>
    <row r="92" spans="1:14" x14ac:dyDescent="0.25">
      <c r="A92" s="197"/>
      <c r="B92" s="202">
        <v>42320</v>
      </c>
      <c r="C92" s="197">
        <v>7400</v>
      </c>
      <c r="D92" s="198">
        <v>9.01</v>
      </c>
      <c r="E92" s="198">
        <v>7.82</v>
      </c>
      <c r="F92" s="198">
        <f t="shared" si="5"/>
        <v>-8805.9999999999964</v>
      </c>
      <c r="G92" s="198">
        <f t="shared" si="6"/>
        <v>66674</v>
      </c>
      <c r="H92" s="212">
        <f t="shared" si="7"/>
        <v>-0.13207547169811315</v>
      </c>
      <c r="I92" s="198"/>
      <c r="J92" s="198"/>
      <c r="K92" s="198"/>
      <c r="L92" s="197"/>
      <c r="M92" s="197"/>
      <c r="N92" s="197"/>
    </row>
    <row r="93" spans="1:14" x14ac:dyDescent="0.25">
      <c r="A93" s="197"/>
      <c r="B93" s="202">
        <v>42320</v>
      </c>
      <c r="C93" s="197">
        <v>8000</v>
      </c>
      <c r="D93" s="198">
        <v>8.94</v>
      </c>
      <c r="E93" s="198">
        <v>7.82</v>
      </c>
      <c r="F93" s="198">
        <f t="shared" si="5"/>
        <v>-8959.9999999999945</v>
      </c>
      <c r="G93" s="198">
        <f t="shared" si="6"/>
        <v>71520</v>
      </c>
      <c r="H93" s="212">
        <f t="shared" si="7"/>
        <v>-0.12527964205816547</v>
      </c>
      <c r="I93" s="198"/>
      <c r="J93" s="198"/>
      <c r="K93" s="198"/>
      <c r="L93" s="197"/>
      <c r="M93" s="197"/>
      <c r="N93" s="197"/>
    </row>
    <row r="94" spans="1:14" x14ac:dyDescent="0.25">
      <c r="A94" s="197"/>
      <c r="B94" s="202">
        <v>42326</v>
      </c>
      <c r="C94" s="197">
        <v>6600</v>
      </c>
      <c r="D94" s="198">
        <v>9.0582999999999991</v>
      </c>
      <c r="E94" s="198">
        <v>8.41</v>
      </c>
      <c r="F94" s="198">
        <f t="shared" si="5"/>
        <v>-4278.7799999999934</v>
      </c>
      <c r="G94" s="198">
        <f t="shared" si="6"/>
        <v>59784.779999999992</v>
      </c>
      <c r="H94" s="212">
        <f t="shared" si="7"/>
        <v>-7.1569720587748145E-2</v>
      </c>
      <c r="I94" s="198"/>
      <c r="J94" s="198"/>
      <c r="K94" s="198"/>
      <c r="L94" s="197"/>
      <c r="M94" s="197"/>
      <c r="N94" s="197"/>
    </row>
    <row r="95" spans="1:14" x14ac:dyDescent="0.25">
      <c r="A95" s="197"/>
      <c r="B95" s="202">
        <v>42326</v>
      </c>
      <c r="C95" s="197">
        <v>6535</v>
      </c>
      <c r="D95" s="198">
        <v>9.0648</v>
      </c>
      <c r="E95" s="198">
        <v>8.41</v>
      </c>
      <c r="F95" s="198">
        <f t="shared" si="5"/>
        <v>-4279.1179999999986</v>
      </c>
      <c r="G95" s="198">
        <f t="shared" si="6"/>
        <v>59238.468000000001</v>
      </c>
      <c r="H95" s="212">
        <f t="shared" si="7"/>
        <v>-7.2235460241814473E-2</v>
      </c>
      <c r="I95" s="198"/>
      <c r="J95" s="198"/>
      <c r="K95" s="198"/>
      <c r="L95" s="197"/>
      <c r="M95" s="197"/>
      <c r="N95" s="197"/>
    </row>
    <row r="96" spans="1:14" x14ac:dyDescent="0.25">
      <c r="A96" s="197"/>
      <c r="B96" s="202">
        <v>42327</v>
      </c>
      <c r="C96" s="197">
        <v>4300</v>
      </c>
      <c r="D96" s="198">
        <v>9.3583999999999996</v>
      </c>
      <c r="E96" s="198">
        <v>8.76</v>
      </c>
      <c r="F96" s="198">
        <f t="shared" si="5"/>
        <v>-2573.1199999999994</v>
      </c>
      <c r="G96" s="198">
        <f t="shared" si="6"/>
        <v>40241.119999999995</v>
      </c>
      <c r="H96" s="212">
        <f t="shared" si="7"/>
        <v>-6.3942554282783365E-2</v>
      </c>
      <c r="I96" s="198"/>
      <c r="J96" s="198"/>
      <c r="K96" s="198"/>
      <c r="L96" s="197"/>
      <c r="M96" s="197"/>
      <c r="N96" s="197"/>
    </row>
    <row r="97" spans="1:14" x14ac:dyDescent="0.25">
      <c r="A97" s="197"/>
      <c r="B97" s="202">
        <v>42327</v>
      </c>
      <c r="C97" s="197">
        <v>3700</v>
      </c>
      <c r="D97" s="198">
        <v>9.4571000000000005</v>
      </c>
      <c r="E97" s="198">
        <v>8.76</v>
      </c>
      <c r="F97" s="198">
        <f t="shared" si="5"/>
        <v>-2579.2700000000027</v>
      </c>
      <c r="G97" s="198">
        <f t="shared" si="6"/>
        <v>34991.270000000004</v>
      </c>
      <c r="H97" s="212">
        <f>(E97-D97)/D97</f>
        <v>-7.371181440399284E-2</v>
      </c>
      <c r="I97" s="198"/>
      <c r="J97" s="198"/>
      <c r="K97" s="198"/>
      <c r="L97" s="197"/>
      <c r="M97" s="197"/>
      <c r="N97" s="197"/>
    </row>
    <row r="98" spans="1:14" x14ac:dyDescent="0.25">
      <c r="A98" s="197"/>
      <c r="B98" s="202">
        <v>42331</v>
      </c>
      <c r="C98" s="197">
        <v>3700</v>
      </c>
      <c r="D98" s="198">
        <v>9.4499999999999993</v>
      </c>
      <c r="E98" s="198">
        <v>9.07</v>
      </c>
      <c r="F98" s="198">
        <f t="shared" si="5"/>
        <v>-1405.9999999999964</v>
      </c>
      <c r="G98" s="198">
        <f t="shared" si="6"/>
        <v>34965</v>
      </c>
      <c r="H98" s="212">
        <f t="shared" ref="H98:H107" si="8">(E98-D98)/D98</f>
        <v>-4.0211640211640108E-2</v>
      </c>
      <c r="I98" s="198"/>
      <c r="J98" s="198"/>
      <c r="K98" s="198"/>
      <c r="L98" s="197"/>
      <c r="M98" s="197"/>
      <c r="N98" s="197"/>
    </row>
    <row r="99" spans="1:14" x14ac:dyDescent="0.25">
      <c r="A99" s="197"/>
      <c r="B99" s="202">
        <v>42333</v>
      </c>
      <c r="C99" s="197">
        <v>3300</v>
      </c>
      <c r="D99" s="198">
        <v>9.4304000000000006</v>
      </c>
      <c r="E99" s="198">
        <v>9.41</v>
      </c>
      <c r="F99" s="198">
        <f t="shared" si="5"/>
        <v>-67.320000000001386</v>
      </c>
      <c r="G99" s="198">
        <f t="shared" si="6"/>
        <v>31120.320000000003</v>
      </c>
      <c r="H99" s="212">
        <f t="shared" si="8"/>
        <v>-2.1632168306753071E-3</v>
      </c>
      <c r="I99" s="198"/>
      <c r="J99" s="198"/>
      <c r="K99" s="198"/>
      <c r="L99" s="197"/>
      <c r="M99" s="197"/>
      <c r="N99" s="197"/>
    </row>
    <row r="100" spans="1:14" x14ac:dyDescent="0.25">
      <c r="A100" s="197"/>
      <c r="B100" s="202">
        <v>42339</v>
      </c>
      <c r="C100" s="197">
        <v>2800</v>
      </c>
      <c r="D100" s="198">
        <v>9.4145000000000003</v>
      </c>
      <c r="E100" s="198">
        <v>9.48</v>
      </c>
      <c r="F100" s="198">
        <f t="shared" si="5"/>
        <v>183.40000000000032</v>
      </c>
      <c r="G100" s="198">
        <f t="shared" si="6"/>
        <v>26360.600000000002</v>
      </c>
      <c r="H100" s="212">
        <f t="shared" si="8"/>
        <v>6.9573530192787838E-3</v>
      </c>
      <c r="I100" s="198"/>
      <c r="J100" s="198"/>
      <c r="K100" s="198"/>
      <c r="L100" s="197"/>
      <c r="M100" s="197"/>
      <c r="N100" s="197"/>
    </row>
    <row r="101" spans="1:14" x14ac:dyDescent="0.25">
      <c r="A101" s="197"/>
      <c r="B101" s="202">
        <v>42340</v>
      </c>
      <c r="C101" s="197">
        <v>3000</v>
      </c>
      <c r="D101" s="198">
        <v>9.41</v>
      </c>
      <c r="E101" s="198">
        <v>9.35</v>
      </c>
      <c r="F101" s="198">
        <f t="shared" si="5"/>
        <v>-180.00000000000148</v>
      </c>
      <c r="G101" s="198">
        <f t="shared" si="6"/>
        <v>28230</v>
      </c>
      <c r="H101" s="212">
        <f t="shared" si="8"/>
        <v>-6.3761955366631769E-3</v>
      </c>
      <c r="I101" s="198"/>
      <c r="J101" s="198"/>
      <c r="K101" s="198"/>
      <c r="L101" s="197"/>
      <c r="M101" s="197"/>
      <c r="N101" s="197"/>
    </row>
    <row r="102" spans="1:14" x14ac:dyDescent="0.25">
      <c r="A102" s="197"/>
      <c r="B102" s="202">
        <v>42342</v>
      </c>
      <c r="C102" s="197">
        <v>1500</v>
      </c>
      <c r="D102" s="198">
        <v>9.51</v>
      </c>
      <c r="E102" s="198">
        <v>9.34</v>
      </c>
      <c r="F102" s="198">
        <f t="shared" si="5"/>
        <v>-254.99999999999989</v>
      </c>
      <c r="G102" s="198">
        <f t="shared" si="6"/>
        <v>14265</v>
      </c>
      <c r="H102" s="212">
        <f t="shared" si="8"/>
        <v>-1.787592008412197E-2</v>
      </c>
      <c r="I102" s="198"/>
      <c r="J102" s="198"/>
      <c r="K102" s="198"/>
      <c r="L102" s="197"/>
      <c r="M102" s="197"/>
      <c r="N102" s="197"/>
    </row>
    <row r="103" spans="1:14" x14ac:dyDescent="0.25">
      <c r="A103" s="197"/>
      <c r="B103" s="202">
        <v>42342</v>
      </c>
      <c r="C103" s="197">
        <v>3000</v>
      </c>
      <c r="D103" s="198">
        <v>9.3933</v>
      </c>
      <c r="E103" s="198">
        <v>9.34</v>
      </c>
      <c r="F103" s="198">
        <f t="shared" si="5"/>
        <v>-159.90000000000038</v>
      </c>
      <c r="G103" s="198">
        <f t="shared" si="6"/>
        <v>28179.9</v>
      </c>
      <c r="H103" s="212">
        <f t="shared" si="8"/>
        <v>-5.6742571833115225E-3</v>
      </c>
      <c r="I103" s="198"/>
      <c r="J103" s="198"/>
      <c r="K103" s="198"/>
      <c r="L103" s="197"/>
      <c r="M103" s="197"/>
      <c r="N103" s="197"/>
    </row>
    <row r="104" spans="1:14" x14ac:dyDescent="0.25">
      <c r="A104" s="197"/>
      <c r="B104" s="202">
        <v>42345</v>
      </c>
      <c r="C104" s="197">
        <v>3100</v>
      </c>
      <c r="D104" s="198">
        <v>9.3789999999999996</v>
      </c>
      <c r="E104" s="198">
        <v>9.0399999999999991</v>
      </c>
      <c r="F104" s="198">
        <f t="shared" si="5"/>
        <v>-1050.9000000000012</v>
      </c>
      <c r="G104" s="198">
        <f t="shared" si="6"/>
        <v>29074.899999999998</v>
      </c>
      <c r="H104" s="212">
        <f t="shared" si="8"/>
        <v>-3.6144578313253059E-2</v>
      </c>
      <c r="I104" s="198"/>
      <c r="J104" s="198"/>
      <c r="K104" s="198"/>
      <c r="L104" s="197"/>
      <c r="M104" s="197"/>
      <c r="N104" s="197"/>
    </row>
    <row r="105" spans="1:14" x14ac:dyDescent="0.25">
      <c r="A105" s="197"/>
      <c r="B105" s="202">
        <v>42348</v>
      </c>
      <c r="C105" s="197">
        <v>3000</v>
      </c>
      <c r="D105" s="198">
        <v>9.3800000000000008</v>
      </c>
      <c r="E105" s="198">
        <v>9.17</v>
      </c>
      <c r="F105" s="198">
        <f t="shared" si="5"/>
        <v>-630.0000000000025</v>
      </c>
      <c r="G105" s="198">
        <f t="shared" si="6"/>
        <v>28140.000000000004</v>
      </c>
      <c r="H105" s="212">
        <f t="shared" si="8"/>
        <v>-2.2388059701492626E-2</v>
      </c>
      <c r="I105" s="198"/>
      <c r="J105" s="198"/>
      <c r="K105" s="198"/>
      <c r="L105" s="197"/>
      <c r="M105" s="197"/>
      <c r="N105" s="197"/>
    </row>
    <row r="106" spans="1:14" x14ac:dyDescent="0.25">
      <c r="A106" s="197"/>
      <c r="B106" s="202">
        <v>42349</v>
      </c>
      <c r="C106" s="197">
        <v>3000</v>
      </c>
      <c r="D106" s="198">
        <v>9.3659999999999997</v>
      </c>
      <c r="E106" s="198">
        <v>8.86</v>
      </c>
      <c r="F106" s="198">
        <f t="shared" si="5"/>
        <v>-1518.0000000000007</v>
      </c>
      <c r="G106" s="198">
        <f t="shared" si="6"/>
        <v>28098</v>
      </c>
      <c r="H106" s="212">
        <f t="shared" si="8"/>
        <v>-5.4025197522955398E-2</v>
      </c>
      <c r="I106" s="198"/>
      <c r="J106" s="198"/>
      <c r="K106" s="198"/>
      <c r="L106" s="197"/>
      <c r="M106" s="197"/>
      <c r="N106" s="197"/>
    </row>
    <row r="107" spans="1:14" x14ac:dyDescent="0.25">
      <c r="A107" s="197"/>
      <c r="B107" s="202">
        <v>42360</v>
      </c>
      <c r="C107" s="197">
        <v>1000</v>
      </c>
      <c r="D107" s="198">
        <v>9.1999999999999993</v>
      </c>
      <c r="E107" s="198">
        <v>9.56</v>
      </c>
      <c r="F107" s="198">
        <f t="shared" si="5"/>
        <v>360.00000000000119</v>
      </c>
      <c r="G107" s="198">
        <f t="shared" si="6"/>
        <v>9200</v>
      </c>
      <c r="H107" s="212">
        <f t="shared" si="8"/>
        <v>3.9130434782608831E-2</v>
      </c>
      <c r="I107" s="198"/>
      <c r="J107" s="198"/>
      <c r="K107" s="198"/>
      <c r="L107" s="197"/>
      <c r="M107" s="197"/>
      <c r="N107" s="197"/>
    </row>
    <row r="108" spans="1:14" x14ac:dyDescent="0.25">
      <c r="A108" s="197"/>
      <c r="B108" s="202">
        <v>42361</v>
      </c>
      <c r="C108" s="197">
        <v>0</v>
      </c>
      <c r="D108" s="198">
        <v>0</v>
      </c>
      <c r="E108" s="198">
        <v>10.19</v>
      </c>
      <c r="F108" s="198">
        <v>360</v>
      </c>
      <c r="G108" s="198"/>
      <c r="H108" s="212"/>
      <c r="I108" s="198"/>
      <c r="J108" s="198"/>
      <c r="K108" s="198"/>
      <c r="L108" s="197"/>
      <c r="M108" s="197"/>
      <c r="N108" s="197"/>
    </row>
    <row r="109" spans="1:14" x14ac:dyDescent="0.25">
      <c r="A109" s="197"/>
      <c r="B109" s="202">
        <v>42377</v>
      </c>
      <c r="C109" s="197">
        <v>400</v>
      </c>
      <c r="D109" s="198">
        <v>6.31</v>
      </c>
      <c r="E109" s="198">
        <v>8.07</v>
      </c>
      <c r="F109" s="198">
        <f t="shared" ref="F109:F114" si="9">C109*(E109-D109)</f>
        <v>704.00000000000023</v>
      </c>
      <c r="G109" s="198">
        <f t="shared" ref="G109:G114" si="10">D109*C109</f>
        <v>2524</v>
      </c>
      <c r="H109" s="212">
        <f t="shared" ref="H109:H114" si="11">(E109-D109)/D109</f>
        <v>0.27892234548335987</v>
      </c>
      <c r="I109" s="198"/>
      <c r="J109" s="198"/>
      <c r="K109" s="198"/>
      <c r="L109" s="197"/>
      <c r="M109" s="197"/>
      <c r="N109" s="197"/>
    </row>
    <row r="110" spans="1:14" x14ac:dyDescent="0.25">
      <c r="A110" s="197"/>
      <c r="B110" s="202">
        <v>42389</v>
      </c>
      <c r="C110" s="197">
        <v>500</v>
      </c>
      <c r="D110" s="198">
        <v>6.34</v>
      </c>
      <c r="E110" s="198">
        <v>6.74</v>
      </c>
      <c r="F110" s="198">
        <f t="shared" si="9"/>
        <v>200.00000000000017</v>
      </c>
      <c r="G110" s="198">
        <f t="shared" si="10"/>
        <v>3170</v>
      </c>
      <c r="H110" s="212">
        <f t="shared" si="11"/>
        <v>6.3091482649842323E-2</v>
      </c>
      <c r="I110" s="198"/>
      <c r="J110" s="198"/>
      <c r="K110" s="198"/>
      <c r="L110" s="197"/>
      <c r="M110" s="197"/>
      <c r="N110" s="197"/>
    </row>
    <row r="111" spans="1:14" x14ac:dyDescent="0.25">
      <c r="A111" s="197"/>
      <c r="B111" s="202">
        <v>42398</v>
      </c>
      <c r="C111" s="197">
        <v>400</v>
      </c>
      <c r="D111" s="198">
        <v>6.12</v>
      </c>
      <c r="E111" s="198">
        <v>7.14</v>
      </c>
      <c r="F111" s="198">
        <f t="shared" si="9"/>
        <v>407.99999999999983</v>
      </c>
      <c r="G111" s="198">
        <f t="shared" si="10"/>
        <v>2448</v>
      </c>
      <c r="H111" s="212">
        <f t="shared" si="11"/>
        <v>0.1666666666666666</v>
      </c>
      <c r="I111" s="198"/>
      <c r="J111" s="198"/>
      <c r="K111" s="198"/>
      <c r="L111" s="197"/>
      <c r="M111" s="197"/>
      <c r="N111" s="197"/>
    </row>
    <row r="112" spans="1:14" x14ac:dyDescent="0.25">
      <c r="A112" s="197"/>
      <c r="B112" s="202">
        <v>42402</v>
      </c>
      <c r="C112" s="197">
        <v>500</v>
      </c>
      <c r="D112" s="198">
        <v>6.2888999999999999</v>
      </c>
      <c r="E112" s="198">
        <v>6.97</v>
      </c>
      <c r="F112" s="198">
        <f t="shared" si="9"/>
        <v>340.5499999999999</v>
      </c>
      <c r="G112" s="198">
        <f t="shared" si="10"/>
        <v>3144.45</v>
      </c>
      <c r="H112" s="212">
        <f t="shared" si="11"/>
        <v>0.10830192879517878</v>
      </c>
      <c r="I112" s="198"/>
      <c r="J112" s="198"/>
      <c r="K112" s="198"/>
      <c r="L112" s="197"/>
      <c r="M112" s="197"/>
      <c r="N112" s="197"/>
    </row>
    <row r="113" spans="1:14" x14ac:dyDescent="0.25">
      <c r="A113" s="197"/>
      <c r="B113" s="202">
        <v>42403</v>
      </c>
      <c r="C113" s="197">
        <v>400</v>
      </c>
      <c r="D113" s="198">
        <v>6.01</v>
      </c>
      <c r="E113" s="198">
        <v>7.55</v>
      </c>
      <c r="F113" s="198">
        <f t="shared" si="9"/>
        <v>616</v>
      </c>
      <c r="G113" s="198">
        <f t="shared" si="10"/>
        <v>2404</v>
      </c>
      <c r="H113" s="212">
        <f t="shared" si="11"/>
        <v>0.2562396006655574</v>
      </c>
      <c r="I113" s="198"/>
      <c r="J113" s="198"/>
      <c r="K113" s="198"/>
      <c r="L113" s="197"/>
      <c r="M113" s="197"/>
      <c r="N113" s="298"/>
    </row>
    <row r="114" spans="1:14" x14ac:dyDescent="0.25">
      <c r="A114" s="197"/>
      <c r="B114" s="202">
        <v>42404</v>
      </c>
      <c r="C114" s="197">
        <v>300</v>
      </c>
      <c r="D114" s="198">
        <v>5.3349000000000002</v>
      </c>
      <c r="E114" s="198">
        <v>8.31</v>
      </c>
      <c r="F114" s="198">
        <f t="shared" si="9"/>
        <v>892.53000000000009</v>
      </c>
      <c r="G114" s="198">
        <f t="shared" si="10"/>
        <v>1600.47</v>
      </c>
      <c r="H114" s="212">
        <f t="shared" si="11"/>
        <v>0.55766743519091266</v>
      </c>
      <c r="I114" s="198"/>
      <c r="J114" s="198"/>
      <c r="K114" s="198"/>
      <c r="L114" s="197"/>
      <c r="M114" s="197"/>
      <c r="N114" s="298"/>
    </row>
    <row r="115" spans="1:14" x14ac:dyDescent="0.25">
      <c r="A115" s="197"/>
      <c r="B115" s="202">
        <v>42416</v>
      </c>
      <c r="C115" s="197">
        <v>0</v>
      </c>
      <c r="D115" s="198">
        <v>0</v>
      </c>
      <c r="E115" s="198">
        <v>0</v>
      </c>
      <c r="F115" s="198">
        <v>793.47</v>
      </c>
      <c r="G115" s="198"/>
      <c r="H115" s="212"/>
      <c r="I115" s="198"/>
      <c r="J115" s="198"/>
      <c r="K115" s="198"/>
      <c r="L115" s="197"/>
      <c r="M115" s="197"/>
      <c r="N115" s="298"/>
    </row>
    <row r="116" spans="1:14" x14ac:dyDescent="0.25">
      <c r="A116" s="298"/>
      <c r="B116" s="297"/>
      <c r="C116" s="298"/>
      <c r="D116" s="299"/>
      <c r="E116" s="299"/>
      <c r="F116" s="299"/>
      <c r="G116" s="299"/>
      <c r="H116" s="300"/>
      <c r="I116" s="299"/>
      <c r="J116" s="299"/>
      <c r="K116" s="299"/>
      <c r="L116" s="298"/>
      <c r="M116" s="298"/>
      <c r="N116" s="298"/>
    </row>
    <row r="117" spans="1:14" x14ac:dyDescent="0.25">
      <c r="A117" s="298"/>
      <c r="B117" s="297">
        <v>42545</v>
      </c>
      <c r="C117" s="298">
        <v>250</v>
      </c>
      <c r="D117" s="299">
        <v>9.36</v>
      </c>
      <c r="E117" s="299">
        <v>9.3800000000000008</v>
      </c>
      <c r="F117" s="299">
        <f t="shared" ref="F117:F127" si="12">C117*(E117-D117)</f>
        <v>5.0000000000003375</v>
      </c>
      <c r="G117" s="299">
        <f t="shared" ref="G117:G127" si="13">D117*C117</f>
        <v>2340</v>
      </c>
      <c r="H117" s="300">
        <f t="shared" ref="H117:H127" si="14">(E117-D117)/D117</f>
        <v>2.1367521367522809E-3</v>
      </c>
      <c r="I117" s="299"/>
      <c r="J117" s="299"/>
      <c r="K117" s="299"/>
      <c r="L117" s="298"/>
      <c r="M117" s="298"/>
      <c r="N117" s="298"/>
    </row>
    <row r="118" spans="1:14" x14ac:dyDescent="0.25">
      <c r="A118" s="298"/>
      <c r="B118" s="297">
        <v>42548</v>
      </c>
      <c r="C118" s="298">
        <v>250</v>
      </c>
      <c r="D118" s="299">
        <v>9.36</v>
      </c>
      <c r="E118" s="299">
        <v>9.1</v>
      </c>
      <c r="F118" s="299">
        <f t="shared" si="12"/>
        <v>-64.999999999999943</v>
      </c>
      <c r="G118" s="299">
        <f t="shared" si="13"/>
        <v>2340</v>
      </c>
      <c r="H118" s="300">
        <f t="shared" si="14"/>
        <v>-2.7777777777777755E-2</v>
      </c>
      <c r="I118" s="299"/>
      <c r="J118" s="299"/>
      <c r="K118" s="299"/>
      <c r="L118" s="298"/>
      <c r="M118" s="298"/>
      <c r="N118" s="298"/>
    </row>
    <row r="119" spans="1:14" x14ac:dyDescent="0.25">
      <c r="A119" s="298"/>
      <c r="B119" s="297">
        <v>42549</v>
      </c>
      <c r="C119" s="298">
        <v>250</v>
      </c>
      <c r="D119" s="299">
        <v>9.36</v>
      </c>
      <c r="E119" s="299">
        <v>9.33</v>
      </c>
      <c r="F119" s="299">
        <f t="shared" si="12"/>
        <v>-7.4999999999998401</v>
      </c>
      <c r="G119" s="299">
        <f t="shared" si="13"/>
        <v>2340</v>
      </c>
      <c r="H119" s="300">
        <f t="shared" si="14"/>
        <v>-3.2051282051281369E-3</v>
      </c>
      <c r="I119" s="299"/>
      <c r="J119" s="299"/>
      <c r="K119" s="299"/>
      <c r="L119" s="298"/>
      <c r="M119" s="298"/>
      <c r="N119" s="298"/>
    </row>
    <row r="120" spans="1:14" x14ac:dyDescent="0.25">
      <c r="A120" s="298"/>
      <c r="B120" s="297">
        <v>42550</v>
      </c>
      <c r="C120" s="298">
        <v>250</v>
      </c>
      <c r="D120" s="299">
        <v>9.36</v>
      </c>
      <c r="E120" s="299">
        <v>9.1</v>
      </c>
      <c r="F120" s="299">
        <f t="shared" si="12"/>
        <v>-64.999999999999943</v>
      </c>
      <c r="G120" s="299">
        <f t="shared" si="13"/>
        <v>2340</v>
      </c>
      <c r="H120" s="300">
        <f t="shared" si="14"/>
        <v>-2.7777777777777755E-2</v>
      </c>
      <c r="I120" s="299"/>
      <c r="J120" s="299"/>
      <c r="K120" s="299"/>
      <c r="L120" s="298"/>
      <c r="M120" s="298"/>
      <c r="N120" s="298"/>
    </row>
    <row r="121" spans="1:14" x14ac:dyDescent="0.25">
      <c r="A121" s="298"/>
      <c r="B121" s="297">
        <v>42552</v>
      </c>
      <c r="C121" s="298">
        <v>250</v>
      </c>
      <c r="D121" s="299">
        <v>9.36</v>
      </c>
      <c r="E121" s="299">
        <v>9.5500000000000007</v>
      </c>
      <c r="F121" s="299">
        <f t="shared" si="12"/>
        <v>47.50000000000032</v>
      </c>
      <c r="G121" s="299">
        <f t="shared" si="13"/>
        <v>2340</v>
      </c>
      <c r="H121" s="300">
        <f t="shared" si="14"/>
        <v>2.0299145299145439E-2</v>
      </c>
      <c r="I121" s="299"/>
      <c r="J121" s="299"/>
      <c r="K121" s="299"/>
      <c r="L121" s="298"/>
      <c r="M121" s="298"/>
      <c r="N121" s="298"/>
    </row>
    <row r="122" spans="1:14" x14ac:dyDescent="0.25">
      <c r="A122" s="298"/>
      <c r="B122" s="297">
        <v>42556</v>
      </c>
      <c r="C122" s="298">
        <v>250</v>
      </c>
      <c r="D122" s="299">
        <v>9.36</v>
      </c>
      <c r="E122" s="299">
        <v>9.26</v>
      </c>
      <c r="F122" s="299">
        <f t="shared" si="12"/>
        <v>-24.999999999999911</v>
      </c>
      <c r="G122" s="299">
        <f t="shared" si="13"/>
        <v>2340</v>
      </c>
      <c r="H122" s="300">
        <f t="shared" si="14"/>
        <v>-1.0683760683760646E-2</v>
      </c>
      <c r="I122" s="299"/>
      <c r="J122" s="299"/>
      <c r="K122" s="299"/>
      <c r="L122" s="298"/>
      <c r="M122" s="298"/>
      <c r="N122" s="298"/>
    </row>
    <row r="123" spans="1:14" x14ac:dyDescent="0.25">
      <c r="A123" s="298"/>
      <c r="B123" s="297">
        <v>42557</v>
      </c>
      <c r="C123" s="298">
        <v>250</v>
      </c>
      <c r="D123" s="299">
        <v>9.36</v>
      </c>
      <c r="E123" s="299">
        <v>9.19</v>
      </c>
      <c r="F123" s="299">
        <f t="shared" si="12"/>
        <v>-42.499999999999986</v>
      </c>
      <c r="G123" s="299">
        <f t="shared" si="13"/>
        <v>2340</v>
      </c>
      <c r="H123" s="300">
        <f t="shared" si="14"/>
        <v>-1.8162393162393157E-2</v>
      </c>
      <c r="I123" s="299"/>
      <c r="J123" s="299"/>
      <c r="K123" s="299"/>
      <c r="L123" s="298"/>
      <c r="M123" s="298"/>
      <c r="N123" s="298"/>
    </row>
    <row r="124" spans="1:14" x14ac:dyDescent="0.25">
      <c r="A124" s="298"/>
      <c r="B124" s="297">
        <v>42559</v>
      </c>
      <c r="C124" s="298">
        <v>250</v>
      </c>
      <c r="D124" s="299">
        <v>9.36</v>
      </c>
      <c r="E124" s="299">
        <v>9.82</v>
      </c>
      <c r="F124" s="299">
        <f t="shared" si="12"/>
        <v>115.00000000000021</v>
      </c>
      <c r="G124" s="299">
        <f t="shared" si="13"/>
        <v>2340</v>
      </c>
      <c r="H124" s="300">
        <f t="shared" si="14"/>
        <v>4.9145299145299241E-2</v>
      </c>
      <c r="I124" s="299"/>
      <c r="J124" s="299"/>
      <c r="K124" s="299"/>
      <c r="L124" s="298"/>
      <c r="M124" s="298"/>
      <c r="N124" s="298"/>
    </row>
    <row r="125" spans="1:14" x14ac:dyDescent="0.25">
      <c r="A125" s="298"/>
      <c r="B125" s="297">
        <v>42562</v>
      </c>
      <c r="C125" s="298">
        <v>250</v>
      </c>
      <c r="D125" s="299">
        <v>9.36</v>
      </c>
      <c r="E125" s="299">
        <v>10.14</v>
      </c>
      <c r="F125" s="299">
        <f t="shared" si="12"/>
        <v>195.00000000000028</v>
      </c>
      <c r="G125" s="299">
        <f t="shared" si="13"/>
        <v>2340</v>
      </c>
      <c r="H125" s="300">
        <f t="shared" si="14"/>
        <v>8.3333333333333454E-2</v>
      </c>
      <c r="I125" s="299" t="s">
        <v>225</v>
      </c>
      <c r="J125" s="299"/>
      <c r="K125" s="299"/>
      <c r="L125" s="298"/>
      <c r="M125" s="298"/>
      <c r="N125" s="298"/>
    </row>
    <row r="126" spans="1:14" x14ac:dyDescent="0.25">
      <c r="A126" s="298"/>
      <c r="B126" s="297">
        <v>42566</v>
      </c>
      <c r="C126" s="298">
        <v>250</v>
      </c>
      <c r="D126" s="299">
        <v>9.36</v>
      </c>
      <c r="E126" s="299">
        <v>10.92</v>
      </c>
      <c r="F126" s="299">
        <f t="shared" si="12"/>
        <v>390.00000000000011</v>
      </c>
      <c r="G126" s="299">
        <f t="shared" si="13"/>
        <v>2340</v>
      </c>
      <c r="H126" s="300">
        <f t="shared" si="14"/>
        <v>0.16666666666666674</v>
      </c>
      <c r="I126" s="377">
        <v>8.8000000000000007</v>
      </c>
      <c r="J126" s="299"/>
      <c r="K126" s="299"/>
      <c r="L126" s="298"/>
      <c r="M126" s="298"/>
      <c r="N126" s="298"/>
    </row>
    <row r="127" spans="1:14" x14ac:dyDescent="0.25">
      <c r="A127" s="298"/>
      <c r="B127" s="297">
        <v>42570</v>
      </c>
      <c r="C127" s="298">
        <v>250</v>
      </c>
      <c r="D127" s="299">
        <v>9.36</v>
      </c>
      <c r="E127" s="299">
        <v>10.63</v>
      </c>
      <c r="F127" s="299">
        <f t="shared" si="12"/>
        <v>317.50000000000034</v>
      </c>
      <c r="G127" s="299">
        <f t="shared" si="13"/>
        <v>2340</v>
      </c>
      <c r="H127" s="300">
        <f t="shared" si="14"/>
        <v>0.13568376068376084</v>
      </c>
      <c r="I127" s="299"/>
      <c r="J127" s="299"/>
      <c r="K127" s="299"/>
      <c r="L127" s="298"/>
      <c r="M127" s="298"/>
      <c r="N127" s="298"/>
    </row>
    <row r="128" spans="1:14" x14ac:dyDescent="0.25">
      <c r="A128" s="298"/>
      <c r="B128" s="297">
        <v>42577</v>
      </c>
      <c r="C128" s="298">
        <v>0</v>
      </c>
      <c r="D128" s="299"/>
      <c r="E128" s="299"/>
      <c r="F128" s="299">
        <v>311.95</v>
      </c>
      <c r="G128" s="299"/>
      <c r="H128" s="300"/>
      <c r="I128" s="299"/>
      <c r="J128" s="299"/>
      <c r="K128" s="299"/>
      <c r="L128" s="298"/>
      <c r="M128" s="298"/>
    </row>
    <row r="129" spans="1:13" x14ac:dyDescent="0.25">
      <c r="A129" s="298"/>
      <c r="B129" s="297"/>
      <c r="C129" s="298"/>
      <c r="D129" s="299"/>
      <c r="E129" s="299"/>
      <c r="F129" s="299"/>
      <c r="G129" s="299"/>
      <c r="H129" s="300"/>
      <c r="I129" s="299"/>
      <c r="J129" s="299"/>
      <c r="K129" s="299"/>
      <c r="L129" s="298"/>
      <c r="M129" s="298"/>
    </row>
    <row r="130" spans="1:13" x14ac:dyDescent="0.25">
      <c r="A130" s="298"/>
      <c r="B130" s="297"/>
      <c r="C130" s="298"/>
      <c r="D130" s="299"/>
      <c r="E130" s="299"/>
      <c r="F130" s="299"/>
      <c r="G130" s="299"/>
      <c r="H130" s="300"/>
      <c r="I130" s="299"/>
      <c r="J130" s="299"/>
      <c r="K130" s="299"/>
      <c r="L130" s="298"/>
      <c r="M130" s="298"/>
    </row>
  </sheetData>
  <mergeCells count="1">
    <mergeCell ref="P39:Q39"/>
  </mergeCells>
  <conditionalFormatting sqref="F22:F39 H22:H39">
    <cfRule type="expression" dxfId="698" priority="66">
      <formula>F22&gt;0</formula>
    </cfRule>
    <cfRule type="expression" dxfId="697"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696" priority="53">
      <formula>F41&gt;0</formula>
    </cfRule>
    <cfRule type="expression" dxfId="695" priority="54">
      <formula>F41&lt;0</formula>
    </cfRule>
  </conditionalFormatting>
  <conditionalFormatting sqref="F41">
    <cfRule type="expression" dxfId="694" priority="57">
      <formula>F41&gt;0</formula>
    </cfRule>
    <cfRule type="expression" dxfId="693" priority="58">
      <formula>F41&lt;0</formula>
    </cfRule>
  </conditionalFormatting>
  <conditionalFormatting sqref="H41">
    <cfRule type="expression" dxfId="692" priority="35">
      <formula>H41&gt;0</formula>
    </cfRule>
    <cfRule type="expression" dxfId="691" priority="36">
      <formula>H41&lt;0</formula>
    </cfRule>
  </conditionalFormatting>
  <conditionalFormatting sqref="F89:F95">
    <cfRule type="expression" dxfId="690" priority="29">
      <formula>F89&gt;0</formula>
    </cfRule>
    <cfRule type="expression" dxfId="689" priority="30">
      <formula>F89&lt;0</formula>
    </cfRule>
  </conditionalFormatting>
  <conditionalFormatting sqref="F96:F110">
    <cfRule type="expression" dxfId="688" priority="25">
      <formula>F96&gt;0</formula>
    </cfRule>
    <cfRule type="expression" dxfId="687" priority="26">
      <formula>F96&lt;0</formula>
    </cfRule>
  </conditionalFormatting>
  <conditionalFormatting sqref="F96:F110">
    <cfRule type="expression" dxfId="686" priority="27">
      <formula>F96&gt;0</formula>
    </cfRule>
    <cfRule type="expression" dxfId="685" priority="28">
      <formula>F96&lt;0</formula>
    </cfRule>
  </conditionalFormatting>
  <conditionalFormatting sqref="H89:H100">
    <cfRule type="expression" dxfId="684" priority="23">
      <formula>H89&gt;0</formula>
    </cfRule>
    <cfRule type="expression" dxfId="683" priority="24">
      <formula>H89&lt;0</formula>
    </cfRule>
  </conditionalFormatting>
  <conditionalFormatting sqref="H101">
    <cfRule type="expression" dxfId="682" priority="21">
      <formula>H101&gt;0</formula>
    </cfRule>
    <cfRule type="expression" dxfId="681" priority="22">
      <formula>H101&lt;0</formula>
    </cfRule>
  </conditionalFormatting>
  <conditionalFormatting sqref="F111:F116">
    <cfRule type="expression" dxfId="680" priority="19">
      <formula>F111&gt;0</formula>
    </cfRule>
    <cfRule type="expression" dxfId="679" priority="20">
      <formula>F111&lt;0</formula>
    </cfRule>
  </conditionalFormatting>
  <conditionalFormatting sqref="H103:H116">
    <cfRule type="expression" dxfId="678" priority="17">
      <formula>H103&gt;0</formula>
    </cfRule>
    <cfRule type="expression" dxfId="677" priority="18">
      <formula>H103&lt;0</formula>
    </cfRule>
  </conditionalFormatting>
  <conditionalFormatting sqref="H102">
    <cfRule type="expression" dxfId="676" priority="15">
      <formula>H102&gt;0</formula>
    </cfRule>
    <cfRule type="expression" dxfId="675" priority="16">
      <formula>H102&lt;0</formula>
    </cfRule>
  </conditionalFormatting>
  <conditionalFormatting sqref="M42">
    <cfRule type="expression" dxfId="674" priority="13">
      <formula>M42&gt;0</formula>
    </cfRule>
    <cfRule type="expression" dxfId="673" priority="14">
      <formula>M42&lt;0</formula>
    </cfRule>
  </conditionalFormatting>
  <conditionalFormatting sqref="Q7">
    <cfRule type="expression" dxfId="672" priority="9">
      <formula>Q7&gt;0</formula>
    </cfRule>
    <cfRule type="expression" dxfId="671" priority="10">
      <formula>Q7&lt;0</formula>
    </cfRule>
  </conditionalFormatting>
  <conditionalFormatting sqref="Q8">
    <cfRule type="expression" dxfId="670" priority="7">
      <formula>Q8&gt;0</formula>
    </cfRule>
    <cfRule type="expression" dxfId="669" priority="8">
      <formula>Q8&lt;0</formula>
    </cfRule>
  </conditionalFormatting>
  <conditionalFormatting sqref="F117:F130 H117:H130">
    <cfRule type="expression" dxfId="668" priority="1">
      <formula>F117&gt;0</formula>
    </cfRule>
    <cfRule type="expression" dxfId="667"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218</v>
      </c>
      <c r="B2" s="407"/>
      <c r="C2" s="4"/>
      <c r="D2" s="3"/>
      <c r="E2" s="3"/>
      <c r="F2" s="3"/>
      <c r="G2" s="407"/>
      <c r="H2" s="4"/>
      <c r="I2" s="3"/>
      <c r="J2" s="3"/>
      <c r="K2" s="3"/>
      <c r="L2" s="72"/>
      <c r="M2" s="3"/>
      <c r="O2" s="11" t="s">
        <v>57</v>
      </c>
      <c r="Q2">
        <f>C18-H18</f>
        <v>0</v>
      </c>
      <c r="T2" s="1">
        <v>42568</v>
      </c>
      <c r="U2" t="s">
        <v>232</v>
      </c>
      <c r="W2" s="134"/>
    </row>
    <row r="3" spans="1:23" x14ac:dyDescent="0.25">
      <c r="A3" s="22" t="s">
        <v>71</v>
      </c>
      <c r="G3" s="407"/>
      <c r="H3" s="161"/>
      <c r="I3" s="3"/>
      <c r="J3" s="3"/>
      <c r="K3" s="3"/>
      <c r="L3" s="72"/>
      <c r="M3" s="3"/>
      <c r="O3" s="11" t="s">
        <v>58</v>
      </c>
      <c r="Q3" s="178">
        <f>IF(Q2=0, Q4, (F18-K18-M18)/Q2)</f>
        <v>43.06</v>
      </c>
      <c r="T3" s="1" t="s">
        <v>233</v>
      </c>
      <c r="W3" s="134"/>
    </row>
    <row r="4" spans="1:23" x14ac:dyDescent="0.25">
      <c r="B4" s="407"/>
      <c r="C4" s="4"/>
      <c r="D4" s="3"/>
      <c r="E4" s="3"/>
      <c r="F4" s="3"/>
      <c r="G4" s="407"/>
      <c r="H4" s="161"/>
      <c r="I4" s="3"/>
      <c r="J4" s="3"/>
      <c r="K4" s="3"/>
      <c r="L4" s="72"/>
      <c r="M4" s="3"/>
      <c r="O4" s="11" t="s">
        <v>66</v>
      </c>
      <c r="Q4" s="54">
        <v>43.06</v>
      </c>
      <c r="R4" s="423">
        <v>2.69E-2</v>
      </c>
      <c r="T4" s="156">
        <v>42633</v>
      </c>
      <c r="U4" s="1" t="s">
        <v>265</v>
      </c>
      <c r="W4" s="134"/>
    </row>
    <row r="5" spans="1:23" x14ac:dyDescent="0.25">
      <c r="B5" s="407"/>
      <c r="C5" s="4"/>
      <c r="D5" s="3"/>
      <c r="E5" s="3"/>
      <c r="F5" s="3"/>
      <c r="G5" s="407"/>
      <c r="H5" s="161"/>
      <c r="I5" s="3"/>
      <c r="J5" s="3"/>
      <c r="K5" s="3"/>
      <c r="L5" s="4"/>
      <c r="M5" s="4"/>
      <c r="O5" s="11" t="s">
        <v>67</v>
      </c>
      <c r="Q5" s="3">
        <f>Q4*Q2</f>
        <v>0</v>
      </c>
      <c r="W5" s="134"/>
    </row>
    <row r="6" spans="1:23" x14ac:dyDescent="0.25">
      <c r="A6" s="29"/>
      <c r="B6" s="407"/>
      <c r="C6" s="4"/>
      <c r="D6" s="3"/>
      <c r="E6" s="3"/>
      <c r="F6" s="3"/>
      <c r="G6" s="407"/>
      <c r="H6" s="161"/>
      <c r="I6" s="3"/>
      <c r="J6" s="3"/>
      <c r="K6" s="3"/>
      <c r="L6" s="4"/>
      <c r="M6" s="4"/>
      <c r="O6" s="11" t="s">
        <v>64</v>
      </c>
      <c r="Q6" s="2">
        <f>Q3*Q2</f>
        <v>0</v>
      </c>
      <c r="T6" t="s">
        <v>317</v>
      </c>
      <c r="U6" t="s">
        <v>446</v>
      </c>
      <c r="W6" s="134"/>
    </row>
    <row r="7" spans="1:23" x14ac:dyDescent="0.25">
      <c r="B7" s="407"/>
      <c r="C7" s="4"/>
      <c r="D7" s="3"/>
      <c r="E7" s="3"/>
      <c r="F7" s="3"/>
      <c r="G7" s="407"/>
      <c r="H7" s="161"/>
      <c r="I7" s="3"/>
      <c r="J7" s="3"/>
      <c r="K7" s="3"/>
      <c r="L7" s="4"/>
      <c r="M7" s="4"/>
      <c r="O7" s="11" t="s">
        <v>177</v>
      </c>
      <c r="Q7" s="2">
        <f>Q10+Q8</f>
        <v>4376.9599999999991</v>
      </c>
      <c r="R7">
        <v>0</v>
      </c>
      <c r="T7" t="s">
        <v>445</v>
      </c>
      <c r="W7" s="134"/>
    </row>
    <row r="8" spans="1:23" x14ac:dyDescent="0.25">
      <c r="B8" s="407"/>
      <c r="C8" s="4"/>
      <c r="D8" s="3"/>
      <c r="E8" s="3"/>
      <c r="F8" s="3"/>
      <c r="G8" s="407"/>
      <c r="H8" s="161"/>
      <c r="I8" s="3"/>
      <c r="J8" s="3"/>
      <c r="K8" s="3"/>
      <c r="L8" s="4"/>
      <c r="M8" s="4"/>
      <c r="O8" s="11" t="s">
        <v>179</v>
      </c>
      <c r="P8" s="33"/>
      <c r="Q8" s="2">
        <f>K18+M18-F18+Q2*Q4</f>
        <v>0</v>
      </c>
      <c r="T8" t="s">
        <v>447</v>
      </c>
      <c r="W8" s="134"/>
    </row>
    <row r="9" spans="1:23" x14ac:dyDescent="0.25">
      <c r="B9" s="407"/>
      <c r="C9" s="4"/>
      <c r="D9" s="3"/>
      <c r="E9" s="3"/>
      <c r="F9" s="3"/>
      <c r="G9" s="407"/>
      <c r="H9" s="161"/>
      <c r="I9" s="3"/>
      <c r="J9" s="3"/>
      <c r="K9" s="3"/>
      <c r="L9" s="4"/>
      <c r="M9" s="4"/>
      <c r="O9" s="11" t="s">
        <v>204</v>
      </c>
      <c r="Q9" s="134">
        <f>IF(Q2=0, 0, Q8/Q6)</f>
        <v>0</v>
      </c>
      <c r="W9" s="134"/>
    </row>
    <row r="10" spans="1:23" x14ac:dyDescent="0.25">
      <c r="B10" s="407"/>
      <c r="C10" s="4"/>
      <c r="D10" s="3"/>
      <c r="E10" s="3"/>
      <c r="F10" s="3"/>
      <c r="G10" s="407"/>
      <c r="H10" s="161"/>
      <c r="I10" s="3"/>
      <c r="J10" s="3"/>
      <c r="K10" s="3"/>
      <c r="L10" s="407"/>
      <c r="M10" s="4"/>
      <c r="O10" s="11" t="s">
        <v>203</v>
      </c>
      <c r="P10" s="33"/>
      <c r="Q10" s="2">
        <f>M42</f>
        <v>4376.9599999999991</v>
      </c>
      <c r="W10" s="134"/>
    </row>
    <row r="11" spans="1:23" x14ac:dyDescent="0.25">
      <c r="B11" s="407"/>
      <c r="C11" s="4"/>
      <c r="D11" s="3"/>
      <c r="E11" s="3"/>
      <c r="F11" s="3"/>
      <c r="G11" s="407"/>
      <c r="H11" s="161"/>
      <c r="I11" s="3"/>
      <c r="J11" s="3"/>
      <c r="K11" s="3"/>
      <c r="L11" s="4"/>
      <c r="M11" s="4"/>
      <c r="O11" s="11" t="s">
        <v>175</v>
      </c>
      <c r="P11" s="33"/>
      <c r="Q11" s="134">
        <f>IF(U71="N/A (N/A)", 0, VALUE(TRIM(CLEAN(MID(U71, FIND("(", U71)+1, 5)))))</f>
        <v>4.0899999999999999E-2</v>
      </c>
      <c r="W11" s="134"/>
    </row>
    <row r="12" spans="1:23" x14ac:dyDescent="0.25">
      <c r="B12" s="407"/>
      <c r="C12" s="4"/>
      <c r="D12" s="3"/>
      <c r="E12" s="3"/>
      <c r="F12" s="3"/>
      <c r="G12" s="407"/>
      <c r="H12" s="161"/>
      <c r="I12" s="3"/>
      <c r="J12" s="3"/>
      <c r="K12" s="3"/>
      <c r="L12" s="4"/>
      <c r="M12" s="4"/>
      <c r="O12" s="11" t="s">
        <v>969</v>
      </c>
      <c r="Q12" s="1" t="s">
        <v>1170</v>
      </c>
      <c r="W12" s="134"/>
    </row>
    <row r="13" spans="1:23" x14ac:dyDescent="0.25">
      <c r="F13" s="3"/>
      <c r="G13" s="407"/>
      <c r="H13" s="161"/>
      <c r="I13" s="3"/>
      <c r="J13" s="3"/>
      <c r="K13" s="3"/>
      <c r="L13" s="4"/>
      <c r="M13" s="4"/>
      <c r="W13" s="134"/>
    </row>
    <row r="14" spans="1:23" x14ac:dyDescent="0.25">
      <c r="G14" s="407"/>
      <c r="H14" s="161"/>
      <c r="I14" s="3"/>
      <c r="J14" s="3"/>
      <c r="K14" s="3"/>
      <c r="L14" s="4"/>
      <c r="M14" s="4"/>
      <c r="W14" s="134"/>
    </row>
    <row r="15" spans="1:23" x14ac:dyDescent="0.25">
      <c r="B15" s="407"/>
      <c r="C15" s="4"/>
      <c r="D15" s="3"/>
      <c r="E15" s="3"/>
      <c r="F15" s="3"/>
      <c r="G15" s="407"/>
      <c r="H15" s="161"/>
      <c r="I15" s="3"/>
      <c r="J15" s="3"/>
      <c r="K15" s="3"/>
      <c r="L15" s="4"/>
      <c r="M15" s="4"/>
      <c r="W15" s="134"/>
    </row>
    <row r="16" spans="1:23" x14ac:dyDescent="0.25">
      <c r="G16" s="29"/>
      <c r="H16" s="70"/>
      <c r="W16" s="134"/>
    </row>
    <row r="17" spans="1:23" x14ac:dyDescent="0.25">
      <c r="G17" s="29"/>
      <c r="W17" s="134"/>
    </row>
    <row r="18" spans="1:23" x14ac:dyDescent="0.25">
      <c r="A18" s="31" t="s">
        <v>81</v>
      </c>
      <c r="B18" s="408"/>
      <c r="C18" s="14">
        <f>SUM(C2:C12)</f>
        <v>0</v>
      </c>
      <c r="D18" s="18"/>
      <c r="E18" s="18"/>
      <c r="F18" s="18">
        <f>SUM(F2:F12)</f>
        <v>0</v>
      </c>
      <c r="G18" s="14"/>
      <c r="H18" s="14">
        <f>SUM(H2:H13)</f>
        <v>0</v>
      </c>
      <c r="I18" s="18"/>
      <c r="J18" s="18"/>
      <c r="K18" s="18">
        <f>SUM(K2:K13)</f>
        <v>0</v>
      </c>
      <c r="L18" s="14"/>
      <c r="M18" s="18">
        <f>SUM(M2:M10)</f>
        <v>0</v>
      </c>
      <c r="W18" s="134"/>
    </row>
    <row r="19" spans="1:23" ht="15.75" thickBot="1" x14ac:dyDescent="0.3">
      <c r="A19" s="277" t="s">
        <v>191</v>
      </c>
      <c r="B19" s="409"/>
      <c r="C19" s="279">
        <f>SumByColor($A$19,C2:C17)</f>
        <v>0</v>
      </c>
      <c r="D19" s="279"/>
      <c r="E19" s="279"/>
      <c r="F19" s="280">
        <f>SumByColor($A$19,F2:F17)</f>
        <v>0</v>
      </c>
      <c r="G19" s="279"/>
      <c r="H19" s="279">
        <f>SumByColor($A$19,H2:H17)</f>
        <v>0</v>
      </c>
      <c r="I19" s="279"/>
      <c r="J19" s="279"/>
      <c r="K19" s="280">
        <f>SumByColor($A$19,K2:K17)</f>
        <v>0</v>
      </c>
      <c r="L19" s="279"/>
      <c r="M19" s="280">
        <f>SumByColor($A$19,M2:M17)</f>
        <v>0</v>
      </c>
      <c r="W19" s="134"/>
    </row>
    <row r="20" spans="1:23" x14ac:dyDescent="0.25">
      <c r="W20" s="134"/>
    </row>
    <row r="21" spans="1:23" x14ac:dyDescent="0.25">
      <c r="W21" s="134"/>
    </row>
    <row r="22" spans="1:23" x14ac:dyDescent="0.25">
      <c r="W22" s="134"/>
    </row>
    <row r="23" spans="1:23" x14ac:dyDescent="0.25">
      <c r="B23" s="410" t="s">
        <v>113</v>
      </c>
      <c r="C23" s="162" t="s">
        <v>145</v>
      </c>
      <c r="D23" s="163" t="s">
        <v>144</v>
      </c>
      <c r="E23" s="165" t="s">
        <v>146</v>
      </c>
      <c r="F23" s="165" t="s">
        <v>65</v>
      </c>
      <c r="G23" s="177" t="s">
        <v>150</v>
      </c>
      <c r="H23" s="177" t="s">
        <v>88</v>
      </c>
      <c r="I23" s="177" t="s">
        <v>153</v>
      </c>
      <c r="J23" s="177" t="s">
        <v>493</v>
      </c>
      <c r="W23" s="134"/>
    </row>
    <row r="24" spans="1:23" x14ac:dyDescent="0.25">
      <c r="B24" s="150">
        <v>43009</v>
      </c>
      <c r="C24" s="10">
        <v>100</v>
      </c>
      <c r="D24" s="39">
        <v>29.15</v>
      </c>
      <c r="E24" s="39">
        <v>35.159999999999997</v>
      </c>
      <c r="F24" s="39">
        <f>C24*(E24-D24)</f>
        <v>600.99999999999977</v>
      </c>
      <c r="G24" s="39">
        <f>D24*C24</f>
        <v>2915</v>
      </c>
      <c r="H24" s="179">
        <f>(E24-D24)/D24</f>
        <v>0.20617495711835329</v>
      </c>
      <c r="I24" s="39">
        <v>28.5</v>
      </c>
      <c r="J24" s="39">
        <v>4225</v>
      </c>
      <c r="W24" s="134"/>
    </row>
    <row r="25" spans="1:23" x14ac:dyDescent="0.25">
      <c r="B25" s="150">
        <v>43021</v>
      </c>
      <c r="C25" s="10">
        <v>0</v>
      </c>
      <c r="D25" s="39"/>
      <c r="E25" s="39"/>
      <c r="F25" s="39">
        <v>752.92</v>
      </c>
      <c r="G25" s="39"/>
      <c r="H25" s="179"/>
      <c r="I25" s="39"/>
      <c r="J25" s="39">
        <v>4376.96</v>
      </c>
      <c r="W25" s="134"/>
    </row>
    <row r="26" spans="1:23" x14ac:dyDescent="0.25">
      <c r="B26" s="150"/>
      <c r="C26" s="10"/>
      <c r="D26" s="39"/>
      <c r="E26" s="39"/>
      <c r="F26" s="39"/>
      <c r="G26" s="39"/>
      <c r="H26" s="179"/>
      <c r="I26" s="39"/>
      <c r="J26" s="39"/>
      <c r="W26" s="134"/>
    </row>
    <row r="27" spans="1:23" x14ac:dyDescent="0.25">
      <c r="B27" s="150"/>
      <c r="C27" s="10"/>
      <c r="D27" s="39"/>
      <c r="E27" s="39"/>
      <c r="F27" s="39"/>
      <c r="G27" s="39"/>
      <c r="H27" s="179"/>
      <c r="I27" s="39"/>
      <c r="J27" s="39"/>
      <c r="W27" s="134"/>
    </row>
    <row r="28" spans="1:23" ht="20.25" thickBot="1" x14ac:dyDescent="0.35">
      <c r="B28" s="150"/>
      <c r="C28" s="10"/>
      <c r="D28" s="39"/>
      <c r="E28" s="39"/>
      <c r="F28" s="39"/>
      <c r="G28" s="39"/>
      <c r="H28" s="179"/>
      <c r="I28" s="39"/>
      <c r="J28" s="39"/>
      <c r="O28" s="591" t="s">
        <v>78</v>
      </c>
      <c r="P28" s="591"/>
      <c r="W28" s="134"/>
    </row>
    <row r="29" spans="1:23" ht="15.75" thickTop="1" x14ac:dyDescent="0.25">
      <c r="B29" s="150"/>
      <c r="C29" s="10"/>
      <c r="D29" s="39"/>
      <c r="E29" s="39"/>
      <c r="F29" s="39"/>
      <c r="G29" s="39"/>
      <c r="H29" s="179"/>
      <c r="I29" s="39"/>
      <c r="J29" s="39"/>
      <c r="O29" s="81">
        <v>1.1000000000000001</v>
      </c>
      <c r="P29" s="81">
        <f>O29*$Q$4</f>
        <v>47.366000000000007</v>
      </c>
      <c r="W29" s="134"/>
    </row>
    <row r="30" spans="1:23" x14ac:dyDescent="0.25">
      <c r="B30" s="150"/>
      <c r="C30" s="10"/>
      <c r="D30" s="39"/>
      <c r="E30" s="39"/>
      <c r="F30" s="39"/>
      <c r="G30" s="39"/>
      <c r="H30" s="179"/>
      <c r="I30" s="39"/>
      <c r="J30" s="39"/>
      <c r="O30" s="81">
        <v>1.0900000000000001</v>
      </c>
      <c r="P30" s="81">
        <f t="shared" ref="P30:P49" si="0">O30*$Q$4</f>
        <v>46.935400000000008</v>
      </c>
      <c r="W30" s="134"/>
    </row>
    <row r="31" spans="1:23" x14ac:dyDescent="0.25">
      <c r="B31" s="150"/>
      <c r="C31" s="10"/>
      <c r="D31" s="39"/>
      <c r="E31" s="39"/>
      <c r="F31" s="39"/>
      <c r="G31" s="39"/>
      <c r="H31" s="179"/>
      <c r="I31" s="39"/>
      <c r="J31" s="39"/>
      <c r="O31" s="81">
        <v>1.08</v>
      </c>
      <c r="P31" s="81">
        <f t="shared" si="0"/>
        <v>46.504800000000003</v>
      </c>
      <c r="W31" s="134"/>
    </row>
    <row r="32" spans="1:23" x14ac:dyDescent="0.25">
      <c r="B32" s="150"/>
      <c r="C32" s="10"/>
      <c r="D32" s="39"/>
      <c r="E32" s="39"/>
      <c r="F32" s="39"/>
      <c r="G32" s="39"/>
      <c r="H32" s="179"/>
      <c r="I32" s="39"/>
      <c r="J32" s="39"/>
      <c r="O32" s="81">
        <v>1.07</v>
      </c>
      <c r="P32" s="81">
        <f t="shared" si="0"/>
        <v>46.074200000000005</v>
      </c>
      <c r="W32" s="134"/>
    </row>
    <row r="33" spans="1:23" x14ac:dyDescent="0.25">
      <c r="B33" s="150"/>
      <c r="C33" s="10"/>
      <c r="D33" s="39"/>
      <c r="E33" s="39"/>
      <c r="F33" s="39"/>
      <c r="G33" s="39"/>
      <c r="H33" s="179"/>
      <c r="I33" s="39"/>
      <c r="J33" s="39"/>
      <c r="O33" s="81">
        <v>1.06</v>
      </c>
      <c r="P33" s="81">
        <f t="shared" si="0"/>
        <v>45.643600000000006</v>
      </c>
      <c r="W33" s="134"/>
    </row>
    <row r="34" spans="1:23" x14ac:dyDescent="0.25">
      <c r="B34" s="150"/>
      <c r="C34" s="10"/>
      <c r="D34" s="39"/>
      <c r="E34" s="39"/>
      <c r="F34" s="39"/>
      <c r="G34" s="39"/>
      <c r="H34" s="179"/>
      <c r="I34" s="39"/>
      <c r="J34" s="39"/>
      <c r="O34" s="81">
        <v>1.05</v>
      </c>
      <c r="P34" s="81">
        <f t="shared" si="0"/>
        <v>45.213000000000001</v>
      </c>
      <c r="W34" s="134"/>
    </row>
    <row r="35" spans="1:23" x14ac:dyDescent="0.25">
      <c r="B35" s="150"/>
      <c r="C35" s="10"/>
      <c r="D35" s="39"/>
      <c r="E35" s="39"/>
      <c r="F35" s="39"/>
      <c r="G35" s="39"/>
      <c r="H35" s="179"/>
      <c r="I35" s="39"/>
      <c r="J35" s="39"/>
      <c r="O35" s="81">
        <v>1.04</v>
      </c>
      <c r="P35" s="81">
        <f t="shared" si="0"/>
        <v>44.782400000000003</v>
      </c>
      <c r="W35" s="134"/>
    </row>
    <row r="36" spans="1:23" x14ac:dyDescent="0.25">
      <c r="B36" s="150"/>
      <c r="C36" s="10"/>
      <c r="D36" s="39"/>
      <c r="E36" s="39"/>
      <c r="F36" s="39"/>
      <c r="G36" s="39"/>
      <c r="H36" s="179"/>
      <c r="I36" s="39"/>
      <c r="J36" s="39"/>
      <c r="O36" s="81">
        <v>1.03</v>
      </c>
      <c r="P36" s="81">
        <f t="shared" si="0"/>
        <v>44.351800000000004</v>
      </c>
      <c r="W36" s="134"/>
    </row>
    <row r="37" spans="1:23" x14ac:dyDescent="0.25">
      <c r="B37" s="150"/>
      <c r="C37" s="10"/>
      <c r="D37" s="39"/>
      <c r="E37" s="39"/>
      <c r="F37" s="39"/>
      <c r="G37" s="39"/>
      <c r="H37" s="179"/>
      <c r="I37" s="39"/>
      <c r="J37" s="39"/>
      <c r="O37" s="81">
        <v>1.02</v>
      </c>
      <c r="P37" s="81">
        <f t="shared" si="0"/>
        <v>43.921200000000006</v>
      </c>
      <c r="W37" s="134"/>
    </row>
    <row r="38" spans="1:23" x14ac:dyDescent="0.25">
      <c r="B38" s="150"/>
      <c r="C38" s="10"/>
      <c r="D38" s="39"/>
      <c r="E38" s="39"/>
      <c r="F38" s="39"/>
      <c r="G38" s="39"/>
      <c r="H38" s="179"/>
      <c r="I38" s="39"/>
      <c r="J38" s="39"/>
      <c r="O38" s="81">
        <v>1.01</v>
      </c>
      <c r="P38" s="81">
        <f t="shared" si="0"/>
        <v>43.490600000000001</v>
      </c>
      <c r="W38" s="134"/>
    </row>
    <row r="39" spans="1:23" x14ac:dyDescent="0.25">
      <c r="B39" s="150"/>
      <c r="C39" s="10"/>
      <c r="D39" s="39"/>
      <c r="E39" s="39"/>
      <c r="F39" s="39"/>
      <c r="G39" s="10"/>
      <c r="H39" s="10"/>
      <c r="I39" s="39"/>
      <c r="J39" s="39"/>
      <c r="O39" s="81">
        <v>1</v>
      </c>
      <c r="P39" s="81">
        <f t="shared" si="0"/>
        <v>43.06</v>
      </c>
      <c r="W39" s="134"/>
    </row>
    <row r="40" spans="1:23" x14ac:dyDescent="0.25">
      <c r="O40" s="81">
        <v>0.99</v>
      </c>
      <c r="P40" s="81">
        <f t="shared" si="0"/>
        <v>42.629400000000004</v>
      </c>
      <c r="W40" s="134"/>
    </row>
    <row r="41" spans="1:23" x14ac:dyDescent="0.25">
      <c r="O41" s="81">
        <v>0.98</v>
      </c>
      <c r="P41" s="81">
        <f t="shared" si="0"/>
        <v>42.198799999999999</v>
      </c>
      <c r="W41" s="134"/>
    </row>
    <row r="42" spans="1:23" x14ac:dyDescent="0.25">
      <c r="A42" s="491"/>
      <c r="B42" s="490"/>
      <c r="C42" s="491"/>
      <c r="D42" s="492"/>
      <c r="E42" s="492"/>
      <c r="F42" s="492"/>
      <c r="G42" s="491"/>
      <c r="H42" s="491"/>
      <c r="I42" s="492"/>
      <c r="J42" s="492"/>
      <c r="K42" s="492"/>
      <c r="L42" s="491" t="s">
        <v>65</v>
      </c>
      <c r="M42" s="492">
        <f>M80+K80-F80</f>
        <v>4376.9599999999991</v>
      </c>
      <c r="O42" s="81">
        <v>0.97</v>
      </c>
      <c r="P42" s="81">
        <f t="shared" si="0"/>
        <v>41.7682</v>
      </c>
      <c r="W42" s="134"/>
    </row>
    <row r="43" spans="1:23" x14ac:dyDescent="0.25">
      <c r="A43" s="610" t="s">
        <v>1</v>
      </c>
      <c r="B43" s="629" t="s">
        <v>2</v>
      </c>
      <c r="C43" s="610" t="s">
        <v>4</v>
      </c>
      <c r="D43" s="611" t="s">
        <v>5</v>
      </c>
      <c r="E43" s="611" t="s">
        <v>94</v>
      </c>
      <c r="F43" s="611" t="s">
        <v>60</v>
      </c>
      <c r="G43" s="610" t="s">
        <v>3</v>
      </c>
      <c r="H43" s="610" t="s">
        <v>6</v>
      </c>
      <c r="I43" s="611" t="s">
        <v>7</v>
      </c>
      <c r="J43" s="611" t="s">
        <v>95</v>
      </c>
      <c r="K43" s="611" t="s">
        <v>61</v>
      </c>
      <c r="L43" s="610" t="s">
        <v>37</v>
      </c>
      <c r="M43" s="610" t="s">
        <v>38</v>
      </c>
      <c r="O43" s="81">
        <v>0.96</v>
      </c>
      <c r="P43" s="81">
        <f t="shared" si="0"/>
        <v>41.337600000000002</v>
      </c>
      <c r="W43" s="134"/>
    </row>
    <row r="44" spans="1:23" x14ac:dyDescent="0.25">
      <c r="A44" s="612" t="s">
        <v>218</v>
      </c>
      <c r="B44" s="490">
        <v>42545</v>
      </c>
      <c r="C44" s="491">
        <v>100</v>
      </c>
      <c r="D44" s="492">
        <v>25.25</v>
      </c>
      <c r="E44" s="492">
        <v>0</v>
      </c>
      <c r="F44" s="492">
        <f t="shared" ref="F44:F55" si="1">D44*C44+E44</f>
        <v>2525</v>
      </c>
      <c r="G44" s="490">
        <v>42577</v>
      </c>
      <c r="H44" s="493">
        <v>30</v>
      </c>
      <c r="I44" s="492">
        <v>25.81</v>
      </c>
      <c r="J44" s="492">
        <v>0.02</v>
      </c>
      <c r="K44" s="492">
        <f t="shared" ref="K44:K50" si="2">H44*I44-J44</f>
        <v>774.28</v>
      </c>
      <c r="L44" s="494">
        <v>42613</v>
      </c>
      <c r="M44" s="492">
        <v>90</v>
      </c>
      <c r="O44" s="81">
        <v>0.95</v>
      </c>
      <c r="P44" s="81">
        <f t="shared" si="0"/>
        <v>40.907000000000004</v>
      </c>
      <c r="W44" s="134"/>
    </row>
    <row r="45" spans="1:23" x14ac:dyDescent="0.25">
      <c r="A45" s="613" t="s">
        <v>71</v>
      </c>
      <c r="B45" s="490">
        <v>42580</v>
      </c>
      <c r="C45" s="491">
        <v>30</v>
      </c>
      <c r="D45" s="492">
        <v>23.78</v>
      </c>
      <c r="E45" s="492">
        <v>0</v>
      </c>
      <c r="F45" s="492">
        <f t="shared" si="1"/>
        <v>713.40000000000009</v>
      </c>
      <c r="G45" s="490">
        <v>42597</v>
      </c>
      <c r="H45" s="493">
        <v>70</v>
      </c>
      <c r="I45" s="492">
        <v>22.94</v>
      </c>
      <c r="J45" s="492">
        <v>0.38</v>
      </c>
      <c r="K45" s="492">
        <f t="shared" si="2"/>
        <v>1605.42</v>
      </c>
      <c r="L45" s="494">
        <v>42704</v>
      </c>
      <c r="M45" s="492">
        <v>102</v>
      </c>
      <c r="O45" s="81">
        <v>0.94</v>
      </c>
      <c r="P45" s="81">
        <f t="shared" si="0"/>
        <v>40.476399999999998</v>
      </c>
      <c r="W45" s="134"/>
    </row>
    <row r="46" spans="1:23" x14ac:dyDescent="0.25">
      <c r="A46" s="491"/>
      <c r="B46" s="490">
        <v>42586</v>
      </c>
      <c r="C46" s="491">
        <v>40</v>
      </c>
      <c r="D46" s="492">
        <v>22.65</v>
      </c>
      <c r="E46" s="492">
        <v>0</v>
      </c>
      <c r="F46" s="492">
        <f t="shared" si="1"/>
        <v>906</v>
      </c>
      <c r="G46" s="490">
        <v>42599</v>
      </c>
      <c r="H46" s="493">
        <v>30</v>
      </c>
      <c r="I46" s="492">
        <v>23.48</v>
      </c>
      <c r="J46" s="492">
        <v>0.02</v>
      </c>
      <c r="K46" s="492">
        <f t="shared" si="2"/>
        <v>704.38</v>
      </c>
      <c r="L46" s="491"/>
      <c r="M46" s="491"/>
      <c r="O46" s="81">
        <v>0.93</v>
      </c>
      <c r="P46" s="81">
        <f t="shared" si="0"/>
        <v>40.045800000000007</v>
      </c>
      <c r="W46" s="134"/>
    </row>
    <row r="47" spans="1:23" x14ac:dyDescent="0.25">
      <c r="A47" s="491"/>
      <c r="B47" s="490">
        <v>42586</v>
      </c>
      <c r="C47" s="491">
        <v>60</v>
      </c>
      <c r="D47" s="492">
        <v>22.65</v>
      </c>
      <c r="E47" s="492">
        <v>0</v>
      </c>
      <c r="F47" s="492">
        <f t="shared" si="1"/>
        <v>1359</v>
      </c>
      <c r="G47" s="490">
        <v>42621</v>
      </c>
      <c r="H47" s="493">
        <v>40</v>
      </c>
      <c r="I47" s="492">
        <v>26.28</v>
      </c>
      <c r="J47" s="492">
        <v>0.02</v>
      </c>
      <c r="K47" s="492">
        <f t="shared" si="2"/>
        <v>1051.18</v>
      </c>
      <c r="L47" s="491"/>
      <c r="M47" s="491"/>
      <c r="O47" s="81">
        <v>0.92</v>
      </c>
      <c r="P47" s="81">
        <f t="shared" si="0"/>
        <v>39.615200000000002</v>
      </c>
      <c r="W47" s="134"/>
    </row>
    <row r="48" spans="1:23" x14ac:dyDescent="0.25">
      <c r="A48" s="491"/>
      <c r="B48" s="490">
        <v>42586</v>
      </c>
      <c r="C48" s="491">
        <v>100</v>
      </c>
      <c r="D48" s="492">
        <v>20.92</v>
      </c>
      <c r="E48" s="492">
        <v>-0.5</v>
      </c>
      <c r="F48" s="492">
        <f t="shared" si="1"/>
        <v>2091.5</v>
      </c>
      <c r="G48" s="490">
        <v>42639</v>
      </c>
      <c r="H48" s="493">
        <v>100</v>
      </c>
      <c r="I48" s="492">
        <v>22.82</v>
      </c>
      <c r="J48" s="492">
        <v>0.05</v>
      </c>
      <c r="K48" s="492">
        <f t="shared" si="2"/>
        <v>2281.9499999999998</v>
      </c>
      <c r="L48" s="491"/>
      <c r="M48" s="491"/>
      <c r="O48" s="81">
        <v>0.91</v>
      </c>
      <c r="P48" s="81">
        <f t="shared" si="0"/>
        <v>39.184600000000003</v>
      </c>
      <c r="W48" s="134"/>
    </row>
    <row r="49" spans="1:23" x14ac:dyDescent="0.25">
      <c r="A49" s="491"/>
      <c r="B49" s="490">
        <v>42626</v>
      </c>
      <c r="C49" s="491">
        <v>40</v>
      </c>
      <c r="D49" s="492">
        <v>24.58</v>
      </c>
      <c r="E49" s="492">
        <v>0</v>
      </c>
      <c r="F49" s="492">
        <f t="shared" si="1"/>
        <v>983.19999999999993</v>
      </c>
      <c r="G49" s="490">
        <v>42643</v>
      </c>
      <c r="H49" s="493">
        <v>60</v>
      </c>
      <c r="I49" s="492">
        <v>24.72</v>
      </c>
      <c r="J49" s="492">
        <v>0.03</v>
      </c>
      <c r="K49" s="492">
        <f t="shared" si="2"/>
        <v>1483.1699999999998</v>
      </c>
      <c r="L49" s="491"/>
      <c r="M49" s="491"/>
      <c r="O49" s="81">
        <v>0.9</v>
      </c>
      <c r="P49" s="81">
        <f t="shared" si="0"/>
        <v>38.754000000000005</v>
      </c>
      <c r="W49" s="134"/>
    </row>
    <row r="50" spans="1:23" x14ac:dyDescent="0.25">
      <c r="A50" s="491"/>
      <c r="B50" s="490">
        <v>42639</v>
      </c>
      <c r="C50" s="491">
        <v>100</v>
      </c>
      <c r="D50" s="492">
        <v>22.28</v>
      </c>
      <c r="E50" s="492">
        <v>0</v>
      </c>
      <c r="F50" s="492">
        <f t="shared" si="1"/>
        <v>2228</v>
      </c>
      <c r="G50" s="490">
        <v>42663</v>
      </c>
      <c r="H50" s="493">
        <v>40</v>
      </c>
      <c r="I50" s="492">
        <v>24.78</v>
      </c>
      <c r="J50" s="492">
        <v>0.02</v>
      </c>
      <c r="K50" s="492">
        <f t="shared" si="2"/>
        <v>991.18000000000006</v>
      </c>
      <c r="L50" s="491"/>
      <c r="M50" s="491"/>
      <c r="W50" s="134"/>
    </row>
    <row r="51" spans="1:23" x14ac:dyDescent="0.25">
      <c r="A51" s="491"/>
      <c r="B51" s="490">
        <v>42643</v>
      </c>
      <c r="C51" s="491">
        <v>60</v>
      </c>
      <c r="D51" s="492">
        <v>24.3</v>
      </c>
      <c r="E51" s="492">
        <v>0</v>
      </c>
      <c r="F51" s="492">
        <f t="shared" si="1"/>
        <v>1458</v>
      </c>
      <c r="G51" s="490">
        <v>42675</v>
      </c>
      <c r="H51" s="493">
        <v>100</v>
      </c>
      <c r="I51" s="492">
        <v>24.75</v>
      </c>
      <c r="J51" s="492">
        <v>0.05</v>
      </c>
      <c r="K51" s="492">
        <f>H51*I51-J51</f>
        <v>2474.9499999999998</v>
      </c>
      <c r="L51" s="491"/>
      <c r="M51" s="491"/>
      <c r="W51" s="134"/>
    </row>
    <row r="52" spans="1:23" x14ac:dyDescent="0.25">
      <c r="A52" s="491"/>
      <c r="B52" s="490">
        <v>42655</v>
      </c>
      <c r="C52" s="491">
        <v>100</v>
      </c>
      <c r="D52" s="492">
        <v>22.56</v>
      </c>
      <c r="E52" s="492">
        <v>0</v>
      </c>
      <c r="F52" s="492">
        <f t="shared" si="1"/>
        <v>2256</v>
      </c>
      <c r="G52" s="490">
        <v>42677</v>
      </c>
      <c r="H52" s="493">
        <v>60</v>
      </c>
      <c r="I52" s="492">
        <v>23.16</v>
      </c>
      <c r="J52" s="492">
        <v>0.03</v>
      </c>
      <c r="K52" s="492">
        <f>H52*I52-J52</f>
        <v>1389.57</v>
      </c>
      <c r="L52" s="491"/>
      <c r="M52" s="491"/>
      <c r="W52" s="134"/>
    </row>
    <row r="53" spans="1:23" x14ac:dyDescent="0.25">
      <c r="A53" s="491"/>
      <c r="B53" s="490">
        <v>42674</v>
      </c>
      <c r="C53" s="491">
        <v>40</v>
      </c>
      <c r="D53" s="492">
        <v>24.16</v>
      </c>
      <c r="E53" s="492">
        <v>-0.1</v>
      </c>
      <c r="F53" s="492">
        <f t="shared" si="1"/>
        <v>966.3</v>
      </c>
      <c r="G53" s="490">
        <v>42688</v>
      </c>
      <c r="H53" s="493">
        <v>100</v>
      </c>
      <c r="I53" s="492">
        <v>28</v>
      </c>
      <c r="J53" s="492">
        <v>0.06</v>
      </c>
      <c r="K53" s="492">
        <f>H53*I53-J53</f>
        <v>2799.94</v>
      </c>
      <c r="L53" s="491"/>
      <c r="M53" s="491"/>
      <c r="W53" s="134"/>
    </row>
    <row r="54" spans="1:23" x14ac:dyDescent="0.25">
      <c r="A54" s="491"/>
      <c r="B54" s="490">
        <v>42675</v>
      </c>
      <c r="C54" s="491">
        <v>100</v>
      </c>
      <c r="D54" s="492">
        <v>24.53</v>
      </c>
      <c r="E54" s="492">
        <v>0</v>
      </c>
      <c r="F54" s="492">
        <f>D54*C54+E54</f>
        <v>2453</v>
      </c>
      <c r="G54" s="490">
        <v>42705</v>
      </c>
      <c r="H54" s="493">
        <v>40</v>
      </c>
      <c r="I54" s="492">
        <v>29.58</v>
      </c>
      <c r="J54" s="492">
        <v>0.03</v>
      </c>
      <c r="K54" s="492">
        <f>H54*I54-J54</f>
        <v>1183.1699999999998</v>
      </c>
      <c r="L54" s="491"/>
      <c r="M54" s="491"/>
      <c r="Q54" s="2"/>
      <c r="W54" s="134"/>
    </row>
    <row r="55" spans="1:23" ht="20.25" thickBot="1" x14ac:dyDescent="0.35">
      <c r="A55" s="491"/>
      <c r="B55" s="490">
        <v>42677</v>
      </c>
      <c r="C55" s="491">
        <v>100</v>
      </c>
      <c r="D55" s="492">
        <v>22.38</v>
      </c>
      <c r="E55" s="492">
        <v>0</v>
      </c>
      <c r="F55" s="492">
        <f t="shared" si="1"/>
        <v>2238</v>
      </c>
      <c r="G55" s="490">
        <v>42711</v>
      </c>
      <c r="H55" s="493">
        <v>200</v>
      </c>
      <c r="I55" s="492">
        <v>29.9</v>
      </c>
      <c r="J55" s="492">
        <v>0.13</v>
      </c>
      <c r="K55" s="492">
        <f>H55*I55-J55</f>
        <v>5979.87</v>
      </c>
      <c r="L55" s="491"/>
      <c r="M55" s="491"/>
      <c r="Q55" s="2"/>
      <c r="T55" s="89" t="s">
        <v>112</v>
      </c>
      <c r="W55" s="134"/>
    </row>
    <row r="56" spans="1:23" ht="15.75" thickTop="1" x14ac:dyDescent="0.25">
      <c r="A56" s="491"/>
      <c r="B56" s="490"/>
      <c r="C56" s="491"/>
      <c r="D56" s="492"/>
      <c r="E56" s="492"/>
      <c r="F56" s="492"/>
      <c r="G56" s="490"/>
      <c r="H56" s="493"/>
      <c r="I56" s="492"/>
      <c r="J56" s="492"/>
      <c r="K56" s="492"/>
      <c r="L56" s="491"/>
      <c r="M56" s="491"/>
      <c r="Q56" s="2"/>
      <c r="T56" s="125" t="s">
        <v>97</v>
      </c>
      <c r="U56" s="126">
        <v>29.23</v>
      </c>
      <c r="W56" s="134"/>
    </row>
    <row r="57" spans="1:23" x14ac:dyDescent="0.25">
      <c r="A57" s="491"/>
      <c r="B57" s="490">
        <v>42716</v>
      </c>
      <c r="C57" s="491">
        <v>100</v>
      </c>
      <c r="D57" s="492">
        <v>29.49</v>
      </c>
      <c r="E57" s="492">
        <v>0</v>
      </c>
      <c r="F57" s="492">
        <f>D57*C57+E57</f>
        <v>2949</v>
      </c>
      <c r="G57" s="490">
        <v>42720</v>
      </c>
      <c r="H57" s="493">
        <v>100</v>
      </c>
      <c r="I57" s="492">
        <v>29.36</v>
      </c>
      <c r="J57" s="492">
        <v>0.06</v>
      </c>
      <c r="K57" s="492">
        <f>I57*H57-J57</f>
        <v>2935.94</v>
      </c>
      <c r="L57" s="494"/>
      <c r="M57" s="492"/>
      <c r="Q57" s="2"/>
      <c r="T57" s="91" t="s">
        <v>98</v>
      </c>
      <c r="U57" s="127">
        <v>29.39</v>
      </c>
      <c r="W57" s="134"/>
    </row>
    <row r="58" spans="1:23" x14ac:dyDescent="0.25">
      <c r="A58" s="491"/>
      <c r="B58" s="490">
        <v>42716</v>
      </c>
      <c r="C58" s="491">
        <v>100</v>
      </c>
      <c r="D58" s="492">
        <v>29.08</v>
      </c>
      <c r="E58" s="492">
        <v>0</v>
      </c>
      <c r="F58" s="492">
        <f>D58*C58+E58</f>
        <v>2908</v>
      </c>
      <c r="G58" s="490">
        <v>42724</v>
      </c>
      <c r="H58" s="493">
        <v>100</v>
      </c>
      <c r="I58" s="492">
        <v>28.98</v>
      </c>
      <c r="J58" s="492">
        <v>0.06</v>
      </c>
      <c r="K58" s="492">
        <f>I58*H58-J58</f>
        <v>2897.94</v>
      </c>
      <c r="L58" s="494"/>
      <c r="M58" s="492"/>
      <c r="Q58" s="2"/>
      <c r="T58" s="91" t="s">
        <v>99</v>
      </c>
      <c r="U58" s="127" t="s">
        <v>128</v>
      </c>
      <c r="W58" s="134"/>
    </row>
    <row r="59" spans="1:23" x14ac:dyDescent="0.25">
      <c r="A59" s="491"/>
      <c r="B59" s="490">
        <v>42723</v>
      </c>
      <c r="C59" s="491">
        <v>100</v>
      </c>
      <c r="D59" s="492">
        <v>28.28</v>
      </c>
      <c r="E59" s="492">
        <v>0</v>
      </c>
      <c r="F59" s="492">
        <f>D59*C59+E59</f>
        <v>2828</v>
      </c>
      <c r="G59" s="490">
        <v>42755</v>
      </c>
      <c r="H59" s="493">
        <v>100</v>
      </c>
      <c r="I59" s="492">
        <v>34.28</v>
      </c>
      <c r="J59" s="492">
        <v>7.0000000000000007E-2</v>
      </c>
      <c r="K59" s="492">
        <f>I59*H59-J59</f>
        <v>3427.93</v>
      </c>
      <c r="L59" s="491"/>
      <c r="M59" s="491"/>
      <c r="Q59" s="2"/>
      <c r="T59" s="91" t="s">
        <v>100</v>
      </c>
      <c r="U59" s="127" t="s">
        <v>128</v>
      </c>
      <c r="W59" s="134"/>
    </row>
    <row r="60" spans="1:23" x14ac:dyDescent="0.25">
      <c r="A60" s="491"/>
      <c r="B60" s="490"/>
      <c r="C60" s="491"/>
      <c r="D60" s="492"/>
      <c r="E60" s="492"/>
      <c r="F60" s="492"/>
      <c r="G60" s="490"/>
      <c r="H60" s="493"/>
      <c r="I60" s="492"/>
      <c r="J60" s="492"/>
      <c r="K60" s="492"/>
      <c r="L60" s="491"/>
      <c r="M60" s="491"/>
      <c r="Q60" s="2"/>
      <c r="T60" s="91" t="s">
        <v>101</v>
      </c>
      <c r="U60" s="127">
        <v>33.35</v>
      </c>
      <c r="W60" s="134"/>
    </row>
    <row r="61" spans="1:23" x14ac:dyDescent="0.25">
      <c r="A61" s="491"/>
      <c r="B61" s="490"/>
      <c r="C61" s="491"/>
      <c r="D61" s="492"/>
      <c r="E61" s="492"/>
      <c r="F61" s="492"/>
      <c r="G61" s="490"/>
      <c r="H61" s="493"/>
      <c r="I61" s="492"/>
      <c r="J61" s="492"/>
      <c r="K61" s="492"/>
      <c r="L61" s="491"/>
      <c r="M61" s="491"/>
      <c r="Q61" s="2"/>
      <c r="T61" s="91" t="s">
        <v>102</v>
      </c>
      <c r="U61" s="127">
        <v>0.84249399999999997</v>
      </c>
      <c r="W61" s="134"/>
    </row>
    <row r="62" spans="1:23" x14ac:dyDescent="0.25">
      <c r="A62" s="491"/>
      <c r="B62" s="490">
        <v>42755</v>
      </c>
      <c r="C62" s="491">
        <v>100</v>
      </c>
      <c r="D62" s="492">
        <v>33.58</v>
      </c>
      <c r="E62" s="492">
        <v>0</v>
      </c>
      <c r="F62" s="492">
        <f t="shared" ref="F62:F72" si="3">D62*C62+E62</f>
        <v>3358</v>
      </c>
      <c r="G62" s="490">
        <v>42811</v>
      </c>
      <c r="H62" s="493">
        <v>100</v>
      </c>
      <c r="I62" s="492">
        <v>29.38</v>
      </c>
      <c r="J62" s="492">
        <v>0.06</v>
      </c>
      <c r="K62" s="492">
        <f t="shared" ref="K62:K72" si="4">H62*I62-J62</f>
        <v>2937.94</v>
      </c>
      <c r="L62" s="494">
        <v>42794</v>
      </c>
      <c r="M62" s="492">
        <v>30</v>
      </c>
      <c r="Q62" s="2"/>
      <c r="T62" s="91" t="s">
        <v>121</v>
      </c>
      <c r="U62" s="127" t="s">
        <v>413</v>
      </c>
      <c r="W62" s="134"/>
    </row>
    <row r="63" spans="1:23" x14ac:dyDescent="0.25">
      <c r="A63" s="491"/>
      <c r="B63" s="490">
        <v>42781</v>
      </c>
      <c r="C63" s="491">
        <v>50</v>
      </c>
      <c r="D63" s="492">
        <v>34.65</v>
      </c>
      <c r="E63" s="492">
        <v>0</v>
      </c>
      <c r="F63" s="492">
        <f t="shared" si="3"/>
        <v>1732.5</v>
      </c>
      <c r="G63" s="490">
        <v>42829</v>
      </c>
      <c r="H63" s="493">
        <v>100</v>
      </c>
      <c r="I63" s="492">
        <v>29.02</v>
      </c>
      <c r="J63" s="492">
        <v>0.06</v>
      </c>
      <c r="K63" s="492">
        <f t="shared" si="4"/>
        <v>2901.94</v>
      </c>
      <c r="L63" s="494">
        <v>42887</v>
      </c>
      <c r="M63" s="492">
        <v>75</v>
      </c>
      <c r="Q63" s="2"/>
      <c r="T63" s="91"/>
      <c r="U63" s="127"/>
      <c r="W63" s="134"/>
    </row>
    <row r="64" spans="1:23" x14ac:dyDescent="0.25">
      <c r="A64" s="491"/>
      <c r="B64" s="490">
        <v>42788</v>
      </c>
      <c r="C64" s="491">
        <v>50</v>
      </c>
      <c r="D64" s="492">
        <v>33.24</v>
      </c>
      <c r="E64" s="492">
        <v>0</v>
      </c>
      <c r="F64" s="492">
        <f t="shared" si="3"/>
        <v>1662</v>
      </c>
      <c r="G64" s="490">
        <v>42851</v>
      </c>
      <c r="H64" s="493">
        <v>100</v>
      </c>
      <c r="I64" s="492">
        <v>27.4</v>
      </c>
      <c r="J64" s="492">
        <v>0.06</v>
      </c>
      <c r="K64" s="492">
        <f t="shared" si="4"/>
        <v>2739.94</v>
      </c>
      <c r="L64" s="494">
        <v>42979</v>
      </c>
      <c r="M64" s="492">
        <v>75</v>
      </c>
      <c r="Q64" s="2"/>
      <c r="T64" s="91" t="s">
        <v>104</v>
      </c>
      <c r="U64" s="127" t="s">
        <v>606</v>
      </c>
      <c r="W64" s="134"/>
    </row>
    <row r="65" spans="1:23" x14ac:dyDescent="0.25">
      <c r="A65" s="491"/>
      <c r="B65" s="490">
        <v>42789</v>
      </c>
      <c r="C65" s="491">
        <v>50</v>
      </c>
      <c r="D65" s="492">
        <v>31.68</v>
      </c>
      <c r="E65" s="492">
        <v>0</v>
      </c>
      <c r="F65" s="492">
        <f t="shared" si="3"/>
        <v>1584</v>
      </c>
      <c r="G65" s="490">
        <v>42860</v>
      </c>
      <c r="H65" s="493">
        <v>100</v>
      </c>
      <c r="I65" s="492">
        <v>27.58</v>
      </c>
      <c r="J65" s="492">
        <v>0.06</v>
      </c>
      <c r="K65" s="492">
        <f t="shared" si="4"/>
        <v>2757.94</v>
      </c>
      <c r="L65" s="491"/>
      <c r="M65" s="491"/>
      <c r="Q65" s="2"/>
      <c r="T65" s="91" t="s">
        <v>105</v>
      </c>
      <c r="U65" s="127" t="s">
        <v>461</v>
      </c>
      <c r="W65" s="134"/>
    </row>
    <row r="66" spans="1:23" x14ac:dyDescent="0.25">
      <c r="A66" s="491"/>
      <c r="B66" s="490">
        <v>42810</v>
      </c>
      <c r="C66" s="491">
        <v>100</v>
      </c>
      <c r="D66" s="492">
        <v>28.38</v>
      </c>
      <c r="E66" s="492">
        <v>0</v>
      </c>
      <c r="F66" s="492">
        <f t="shared" si="3"/>
        <v>2838</v>
      </c>
      <c r="G66" s="490">
        <v>42898</v>
      </c>
      <c r="H66" s="493">
        <v>100</v>
      </c>
      <c r="I66" s="492">
        <v>27.68</v>
      </c>
      <c r="J66" s="492">
        <v>0.06</v>
      </c>
      <c r="K66" s="492">
        <f t="shared" si="4"/>
        <v>2767.94</v>
      </c>
      <c r="L66" s="491"/>
      <c r="M66" s="491"/>
      <c r="Q66" s="2"/>
      <c r="T66" s="91" t="s">
        <v>106</v>
      </c>
      <c r="U66" s="128">
        <v>3892969</v>
      </c>
      <c r="W66" s="134"/>
    </row>
    <row r="67" spans="1:23" x14ac:dyDescent="0.25">
      <c r="A67" s="491"/>
      <c r="B67" s="490">
        <v>42828</v>
      </c>
      <c r="C67" s="491">
        <v>100</v>
      </c>
      <c r="D67" s="492">
        <v>28.36</v>
      </c>
      <c r="E67" s="492">
        <v>0</v>
      </c>
      <c r="F67" s="492">
        <f t="shared" si="3"/>
        <v>2836</v>
      </c>
      <c r="G67" s="490">
        <v>42936</v>
      </c>
      <c r="H67" s="493">
        <v>100</v>
      </c>
      <c r="I67" s="492">
        <v>31.14</v>
      </c>
      <c r="J67" s="492">
        <v>0.56999999999999995</v>
      </c>
      <c r="K67" s="492">
        <f t="shared" si="4"/>
        <v>3113.43</v>
      </c>
      <c r="L67" s="491"/>
      <c r="M67" s="491"/>
      <c r="T67" s="91" t="s">
        <v>109</v>
      </c>
      <c r="U67" s="128">
        <v>5373180</v>
      </c>
      <c r="W67" s="134"/>
    </row>
    <row r="68" spans="1:23" x14ac:dyDescent="0.25">
      <c r="A68" s="491"/>
      <c r="B68" s="490">
        <v>42846</v>
      </c>
      <c r="C68" s="491">
        <v>100</v>
      </c>
      <c r="D68" s="492">
        <v>26</v>
      </c>
      <c r="E68" s="492">
        <v>0</v>
      </c>
      <c r="F68" s="492">
        <f t="shared" si="3"/>
        <v>2600</v>
      </c>
      <c r="G68" s="490">
        <v>42950</v>
      </c>
      <c r="H68" s="493">
        <v>50</v>
      </c>
      <c r="I68" s="492">
        <v>30.38</v>
      </c>
      <c r="J68" s="492">
        <v>0.04</v>
      </c>
      <c r="K68" s="492">
        <f t="shared" si="4"/>
        <v>1518.96</v>
      </c>
      <c r="L68" s="491"/>
      <c r="M68" s="491"/>
      <c r="T68" s="91" t="s">
        <v>107</v>
      </c>
      <c r="U68" s="127" t="s">
        <v>607</v>
      </c>
      <c r="W68" s="134"/>
    </row>
    <row r="69" spans="1:23" x14ac:dyDescent="0.25">
      <c r="A69" s="491"/>
      <c r="B69" s="490">
        <v>42853</v>
      </c>
      <c r="C69" s="491">
        <v>100</v>
      </c>
      <c r="D69" s="492">
        <v>26.75</v>
      </c>
      <c r="E69" s="492">
        <v>-0.21</v>
      </c>
      <c r="F69" s="492">
        <f t="shared" si="3"/>
        <v>2674.79</v>
      </c>
      <c r="G69" s="490">
        <v>42951</v>
      </c>
      <c r="H69" s="493">
        <v>50</v>
      </c>
      <c r="I69" s="492">
        <v>31.38</v>
      </c>
      <c r="J69" s="492">
        <v>0.04</v>
      </c>
      <c r="K69" s="492">
        <f t="shared" si="4"/>
        <v>1568.96</v>
      </c>
      <c r="L69" s="491"/>
      <c r="M69" s="491"/>
      <c r="T69" s="91" t="s">
        <v>110</v>
      </c>
      <c r="U69" s="127" t="s">
        <v>128</v>
      </c>
      <c r="W69" s="134"/>
    </row>
    <row r="70" spans="1:23" x14ac:dyDescent="0.25">
      <c r="A70" s="491"/>
      <c r="B70" s="490">
        <v>42888</v>
      </c>
      <c r="C70" s="491">
        <v>100</v>
      </c>
      <c r="D70" s="492">
        <v>26.2</v>
      </c>
      <c r="E70" s="492">
        <v>0</v>
      </c>
      <c r="F70" s="492">
        <f t="shared" si="3"/>
        <v>2620</v>
      </c>
      <c r="G70" s="490">
        <v>42984</v>
      </c>
      <c r="H70" s="493">
        <v>100</v>
      </c>
      <c r="I70" s="492">
        <v>29.98</v>
      </c>
      <c r="J70" s="492">
        <v>7.0000000000000007E-2</v>
      </c>
      <c r="K70" s="492">
        <f t="shared" si="4"/>
        <v>2997.93</v>
      </c>
      <c r="L70" s="490"/>
      <c r="M70" s="491"/>
      <c r="T70" s="91" t="s">
        <v>111</v>
      </c>
      <c r="U70" s="127">
        <v>-1.19</v>
      </c>
    </row>
    <row r="71" spans="1:23" x14ac:dyDescent="0.25">
      <c r="A71" s="491"/>
      <c r="B71" s="490">
        <v>42940</v>
      </c>
      <c r="C71" s="491">
        <v>100</v>
      </c>
      <c r="D71" s="492">
        <v>30.29</v>
      </c>
      <c r="E71" s="492">
        <v>0</v>
      </c>
      <c r="F71" s="492">
        <f t="shared" si="3"/>
        <v>3029</v>
      </c>
      <c r="G71" s="490">
        <v>42984</v>
      </c>
      <c r="H71" s="493">
        <v>50</v>
      </c>
      <c r="I71" s="492">
        <v>30.78</v>
      </c>
      <c r="J71" s="492">
        <v>0.04</v>
      </c>
      <c r="K71" s="492">
        <f t="shared" si="4"/>
        <v>1538.96</v>
      </c>
      <c r="L71" s="491"/>
      <c r="M71" s="491"/>
      <c r="T71" s="91" t="s">
        <v>108</v>
      </c>
      <c r="U71" s="127" t="s">
        <v>533</v>
      </c>
    </row>
    <row r="72" spans="1:23" x14ac:dyDescent="0.25">
      <c r="A72" s="491"/>
      <c r="B72" s="490">
        <v>42942</v>
      </c>
      <c r="C72" s="491">
        <v>50</v>
      </c>
      <c r="D72" s="492">
        <v>28.79</v>
      </c>
      <c r="E72" s="492">
        <v>0</v>
      </c>
      <c r="F72" s="492">
        <f t="shared" si="3"/>
        <v>1439.5</v>
      </c>
      <c r="G72" s="490">
        <v>42984</v>
      </c>
      <c r="H72" s="493">
        <v>50</v>
      </c>
      <c r="I72" s="492">
        <v>31.28</v>
      </c>
      <c r="J72" s="492">
        <v>0.04</v>
      </c>
      <c r="K72" s="492">
        <f t="shared" si="4"/>
        <v>1563.96</v>
      </c>
      <c r="L72" s="491"/>
      <c r="M72" s="491"/>
    </row>
    <row r="73" spans="1:23" x14ac:dyDescent="0.25">
      <c r="A73" s="491"/>
      <c r="B73" s="490"/>
      <c r="C73" s="491"/>
      <c r="D73" s="492"/>
      <c r="E73" s="492"/>
      <c r="F73" s="492"/>
      <c r="G73" s="491"/>
      <c r="H73" s="491"/>
      <c r="I73" s="492"/>
      <c r="J73" s="492"/>
      <c r="K73" s="492"/>
      <c r="L73" s="491"/>
      <c r="M73" s="491"/>
    </row>
    <row r="74" spans="1:23" x14ac:dyDescent="0.25">
      <c r="A74" s="491"/>
      <c r="B74" s="406">
        <v>42957</v>
      </c>
      <c r="C74" s="7">
        <v>50</v>
      </c>
      <c r="D74" s="43">
        <v>30.7</v>
      </c>
      <c r="E74" s="43">
        <v>0</v>
      </c>
      <c r="F74" s="43">
        <f>D74*C74+E74</f>
        <v>1535</v>
      </c>
      <c r="G74" s="406">
        <v>42989</v>
      </c>
      <c r="H74" s="7">
        <v>50</v>
      </c>
      <c r="I74" s="43">
        <v>32.69</v>
      </c>
      <c r="J74" s="43">
        <v>0.04</v>
      </c>
      <c r="K74" s="43">
        <f>I74*H74-J74</f>
        <v>1634.46</v>
      </c>
      <c r="L74" s="491"/>
      <c r="M74" s="491"/>
    </row>
    <row r="75" spans="1:23" x14ac:dyDescent="0.25">
      <c r="A75" s="491"/>
      <c r="B75" s="407">
        <v>42983</v>
      </c>
      <c r="C75" s="4">
        <v>100</v>
      </c>
      <c r="D75" s="3">
        <v>29.15</v>
      </c>
      <c r="E75" s="3">
        <v>0</v>
      </c>
      <c r="F75" s="3">
        <f>D75*C75+E75</f>
        <v>2915</v>
      </c>
      <c r="G75" s="407">
        <v>43021</v>
      </c>
      <c r="H75" s="4">
        <v>100</v>
      </c>
      <c r="I75" s="3">
        <v>36.68</v>
      </c>
      <c r="J75" s="3">
        <v>0.08</v>
      </c>
      <c r="K75" s="3">
        <f>I75*H75-J75</f>
        <v>3667.92</v>
      </c>
      <c r="L75" s="491"/>
      <c r="M75" s="491"/>
    </row>
    <row r="76" spans="1:23" x14ac:dyDescent="0.25">
      <c r="A76" s="491"/>
      <c r="B76" s="490"/>
      <c r="C76" s="491"/>
      <c r="D76" s="492"/>
      <c r="E76" s="492"/>
      <c r="F76" s="492"/>
      <c r="G76" s="490"/>
      <c r="H76" s="493"/>
      <c r="I76" s="492"/>
      <c r="J76" s="492"/>
      <c r="K76" s="492"/>
      <c r="L76" s="491"/>
      <c r="M76" s="491"/>
    </row>
    <row r="77" spans="1:23" x14ac:dyDescent="0.25">
      <c r="A77" s="491"/>
      <c r="B77" s="490"/>
      <c r="C77" s="491"/>
      <c r="D77" s="492"/>
      <c r="E77" s="492"/>
      <c r="F77" s="492"/>
      <c r="G77" s="490"/>
      <c r="H77" s="493"/>
      <c r="I77" s="492"/>
      <c r="J77" s="492"/>
      <c r="K77" s="492"/>
      <c r="L77" s="491"/>
      <c r="M77" s="491"/>
      <c r="S77" t="s">
        <v>221</v>
      </c>
    </row>
    <row r="78" spans="1:23" x14ac:dyDescent="0.25">
      <c r="A78" s="491"/>
      <c r="B78" s="490"/>
      <c r="C78" s="491"/>
      <c r="D78" s="492"/>
      <c r="E78" s="492"/>
      <c r="F78" s="492"/>
      <c r="G78" s="490"/>
      <c r="H78" s="493"/>
      <c r="I78" s="492"/>
      <c r="J78" s="492"/>
      <c r="K78" s="492"/>
      <c r="L78" s="491"/>
      <c r="M78" s="491"/>
    </row>
    <row r="79" spans="1:23" x14ac:dyDescent="0.25">
      <c r="A79" s="491"/>
      <c r="B79" s="490"/>
      <c r="C79" s="491"/>
      <c r="D79" s="492"/>
      <c r="E79" s="492"/>
      <c r="F79" s="492"/>
      <c r="G79" s="490"/>
      <c r="H79" s="491"/>
      <c r="I79" s="492"/>
      <c r="J79" s="492"/>
      <c r="K79" s="492"/>
      <c r="L79" s="491"/>
      <c r="M79" s="491"/>
    </row>
    <row r="80" spans="1:23" x14ac:dyDescent="0.25">
      <c r="A80" s="614" t="s">
        <v>81</v>
      </c>
      <c r="B80" s="630"/>
      <c r="C80" s="615">
        <f>SUM(C44:C79)</f>
        <v>2220</v>
      </c>
      <c r="D80" s="616"/>
      <c r="E80" s="616"/>
      <c r="F80" s="616">
        <f>SUM(F44:F79)</f>
        <v>59686.19</v>
      </c>
      <c r="G80" s="615"/>
      <c r="H80" s="617">
        <f>SUM(H44:H79)</f>
        <v>2220</v>
      </c>
      <c r="I80" s="616"/>
      <c r="J80" s="616"/>
      <c r="K80" s="616">
        <f>SUM(K44:K79)</f>
        <v>63691.15</v>
      </c>
      <c r="L80" s="615"/>
      <c r="M80" s="616">
        <f>SUM(M44:M79)</f>
        <v>372</v>
      </c>
    </row>
    <row r="81" spans="1:13" ht="15.75" thickBot="1" x14ac:dyDescent="0.3">
      <c r="A81" s="618" t="s">
        <v>191</v>
      </c>
      <c r="B81" s="631"/>
      <c r="C81" s="619">
        <f>SumByColor($A$19,C44:C79)</f>
        <v>50</v>
      </c>
      <c r="D81" s="619"/>
      <c r="E81" s="619"/>
      <c r="F81" s="620">
        <f>SumByColor($A$19,F44:F79)</f>
        <v>1535</v>
      </c>
      <c r="G81" s="619"/>
      <c r="H81" s="619">
        <f>SumByColor($A$19,H44:H79)</f>
        <v>50</v>
      </c>
      <c r="I81" s="619"/>
      <c r="J81" s="619"/>
      <c r="K81" s="620">
        <f>SumByColor($A$19,K44:K79)</f>
        <v>1634</v>
      </c>
      <c r="L81" s="619"/>
      <c r="M81" s="620">
        <f>SumByColor($A$19,M44:M79)</f>
        <v>0</v>
      </c>
    </row>
    <row r="88" spans="1:13" x14ac:dyDescent="0.25">
      <c r="B88" s="410" t="s">
        <v>113</v>
      </c>
      <c r="C88" s="162" t="s">
        <v>145</v>
      </c>
      <c r="D88" s="163" t="s">
        <v>144</v>
      </c>
      <c r="E88" s="165" t="s">
        <v>146</v>
      </c>
      <c r="F88" s="165" t="s">
        <v>65</v>
      </c>
      <c r="G88" s="177" t="s">
        <v>150</v>
      </c>
      <c r="H88" s="177" t="s">
        <v>88</v>
      </c>
      <c r="I88" s="177" t="s">
        <v>153</v>
      </c>
      <c r="J88" s="177" t="s">
        <v>493</v>
      </c>
    </row>
    <row r="89" spans="1:13" x14ac:dyDescent="0.25">
      <c r="B89" s="546"/>
      <c r="C89" s="298"/>
      <c r="D89" s="299"/>
      <c r="E89" s="299"/>
      <c r="F89" s="299"/>
      <c r="G89" s="298"/>
      <c r="H89" s="298"/>
      <c r="I89" s="299"/>
      <c r="J89" s="299"/>
    </row>
    <row r="90" spans="1:13" x14ac:dyDescent="0.25">
      <c r="B90" s="546">
        <v>42545</v>
      </c>
      <c r="C90" s="298">
        <v>100</v>
      </c>
      <c r="D90" s="299">
        <v>25.25</v>
      </c>
      <c r="E90" s="299">
        <v>25.43</v>
      </c>
      <c r="F90" s="299">
        <f t="shared" ref="F90:F151" si="5">C90*(E90-D90)</f>
        <v>17.999999999999972</v>
      </c>
      <c r="G90" s="299">
        <f t="shared" ref="G90:G151" si="6">D90*C90</f>
        <v>2525</v>
      </c>
      <c r="H90" s="300">
        <f t="shared" ref="H90:H151" si="7">(E90-D90)/D90</f>
        <v>7.1287128712871177E-3</v>
      </c>
      <c r="I90" s="299"/>
      <c r="J90" s="299"/>
    </row>
    <row r="91" spans="1:13" x14ac:dyDescent="0.25">
      <c r="B91" s="546">
        <v>42548</v>
      </c>
      <c r="C91" s="298">
        <v>100</v>
      </c>
      <c r="D91" s="299">
        <v>25.25</v>
      </c>
      <c r="E91" s="299">
        <v>23.48</v>
      </c>
      <c r="F91" s="299">
        <f t="shared" si="5"/>
        <v>-176.99999999999994</v>
      </c>
      <c r="G91" s="299">
        <f t="shared" si="6"/>
        <v>2525</v>
      </c>
      <c r="H91" s="300">
        <f t="shared" si="7"/>
        <v>-7.0099009900990078E-2</v>
      </c>
      <c r="I91" s="299"/>
      <c r="J91" s="299"/>
    </row>
    <row r="92" spans="1:13" x14ac:dyDescent="0.25">
      <c r="B92" s="546">
        <v>42549</v>
      </c>
      <c r="C92" s="298">
        <v>100</v>
      </c>
      <c r="D92" s="299">
        <v>25.25</v>
      </c>
      <c r="E92" s="299">
        <v>24.06</v>
      </c>
      <c r="F92" s="299">
        <f t="shared" si="5"/>
        <v>-119.00000000000013</v>
      </c>
      <c r="G92" s="299">
        <f t="shared" si="6"/>
        <v>2525</v>
      </c>
      <c r="H92" s="300">
        <f t="shared" si="7"/>
        <v>-4.7128712871287178E-2</v>
      </c>
      <c r="I92" s="299"/>
      <c r="J92" s="299"/>
    </row>
    <row r="93" spans="1:13" x14ac:dyDescent="0.25">
      <c r="B93" s="546">
        <v>42556</v>
      </c>
      <c r="C93" s="298">
        <v>100</v>
      </c>
      <c r="D93" s="299">
        <v>25.25</v>
      </c>
      <c r="E93" s="299">
        <v>23.54</v>
      </c>
      <c r="F93" s="299">
        <f t="shared" si="5"/>
        <v>-171.00000000000009</v>
      </c>
      <c r="G93" s="299">
        <f t="shared" si="6"/>
        <v>2525</v>
      </c>
      <c r="H93" s="300">
        <f t="shared" si="7"/>
        <v>-6.7722772277227755E-2</v>
      </c>
      <c r="I93" s="299"/>
      <c r="J93" s="299"/>
    </row>
    <row r="94" spans="1:13" x14ac:dyDescent="0.25">
      <c r="B94" s="546">
        <v>42557</v>
      </c>
      <c r="C94" s="298">
        <v>100</v>
      </c>
      <c r="D94" s="299">
        <v>25.25</v>
      </c>
      <c r="E94" s="299">
        <v>23.75</v>
      </c>
      <c r="F94" s="299">
        <f t="shared" si="5"/>
        <v>-150</v>
      </c>
      <c r="G94" s="299">
        <f t="shared" si="6"/>
        <v>2525</v>
      </c>
      <c r="H94" s="300">
        <f t="shared" si="7"/>
        <v>-5.9405940594059403E-2</v>
      </c>
      <c r="I94" s="299"/>
      <c r="J94" s="299"/>
    </row>
    <row r="95" spans="1:13" x14ac:dyDescent="0.25">
      <c r="B95" s="546">
        <v>42559</v>
      </c>
      <c r="C95" s="298">
        <v>100</v>
      </c>
      <c r="D95" s="299">
        <v>25.25</v>
      </c>
      <c r="E95" s="299">
        <v>24.86</v>
      </c>
      <c r="F95" s="299">
        <f t="shared" si="5"/>
        <v>-39.000000000000057</v>
      </c>
      <c r="G95" s="299">
        <f t="shared" si="6"/>
        <v>2525</v>
      </c>
      <c r="H95" s="300">
        <f t="shared" si="7"/>
        <v>-1.5445544554455468E-2</v>
      </c>
      <c r="I95" s="299"/>
      <c r="J95" s="299"/>
    </row>
    <row r="96" spans="1:13" x14ac:dyDescent="0.25">
      <c r="B96" s="546">
        <v>42562</v>
      </c>
      <c r="C96" s="298">
        <v>100</v>
      </c>
      <c r="D96" s="299">
        <v>25.25</v>
      </c>
      <c r="E96" s="299">
        <v>24.67</v>
      </c>
      <c r="F96" s="299">
        <f t="shared" si="5"/>
        <v>-57.999999999999829</v>
      </c>
      <c r="G96" s="299">
        <f t="shared" si="6"/>
        <v>2525</v>
      </c>
      <c r="H96" s="300">
        <f t="shared" si="7"/>
        <v>-2.2970297029702904E-2</v>
      </c>
      <c r="I96" s="299"/>
      <c r="J96" s="299"/>
    </row>
    <row r="97" spans="2:10" x14ac:dyDescent="0.25">
      <c r="B97" s="546">
        <v>42563</v>
      </c>
      <c r="C97" s="298">
        <v>100</v>
      </c>
      <c r="D97" s="299">
        <v>25.25</v>
      </c>
      <c r="E97" s="299">
        <v>26.03</v>
      </c>
      <c r="F97" s="299">
        <f t="shared" si="5"/>
        <v>78.000000000000114</v>
      </c>
      <c r="G97" s="299">
        <f t="shared" si="6"/>
        <v>2525</v>
      </c>
      <c r="H97" s="300">
        <f t="shared" si="7"/>
        <v>3.0891089108910936E-2</v>
      </c>
      <c r="I97" s="299"/>
      <c r="J97" s="299"/>
    </row>
    <row r="98" spans="2:10" x14ac:dyDescent="0.25">
      <c r="B98" s="546">
        <v>42569</v>
      </c>
      <c r="C98" s="298">
        <v>100</v>
      </c>
      <c r="D98" s="299">
        <v>25.25</v>
      </c>
      <c r="E98" s="299">
        <v>27.69</v>
      </c>
      <c r="F98" s="299">
        <f t="shared" si="5"/>
        <v>244.00000000000011</v>
      </c>
      <c r="G98" s="299">
        <f t="shared" si="6"/>
        <v>2525</v>
      </c>
      <c r="H98" s="300">
        <f t="shared" si="7"/>
        <v>9.6633663366336678E-2</v>
      </c>
      <c r="I98" s="377">
        <v>23</v>
      </c>
      <c r="J98" s="299"/>
    </row>
    <row r="99" spans="2:10" x14ac:dyDescent="0.25">
      <c r="B99" s="546">
        <v>42570</v>
      </c>
      <c r="C99" s="298">
        <v>100</v>
      </c>
      <c r="D99" s="299">
        <v>25.25</v>
      </c>
      <c r="E99" s="299">
        <v>26.55</v>
      </c>
      <c r="F99" s="299">
        <f t="shared" si="5"/>
        <v>130.00000000000006</v>
      </c>
      <c r="G99" s="299">
        <f t="shared" si="6"/>
        <v>2525</v>
      </c>
      <c r="H99" s="300">
        <f t="shared" si="7"/>
        <v>5.148514851485151E-2</v>
      </c>
      <c r="I99" s="299"/>
      <c r="J99" s="299"/>
    </row>
    <row r="100" spans="2:10" x14ac:dyDescent="0.25">
      <c r="B100" s="546">
        <v>42571</v>
      </c>
      <c r="C100" s="298">
        <v>100</v>
      </c>
      <c r="D100" s="299">
        <v>25.25</v>
      </c>
      <c r="E100" s="299">
        <v>26.61</v>
      </c>
      <c r="F100" s="299">
        <f t="shared" si="5"/>
        <v>135.99999999999994</v>
      </c>
      <c r="G100" s="299">
        <f t="shared" si="6"/>
        <v>2525</v>
      </c>
      <c r="H100" s="300">
        <f t="shared" si="7"/>
        <v>5.386138613861384E-2</v>
      </c>
      <c r="I100" s="299"/>
      <c r="J100" s="299"/>
    </row>
    <row r="101" spans="2:10" x14ac:dyDescent="0.25">
      <c r="B101" s="546">
        <v>42572</v>
      </c>
      <c r="C101" s="298">
        <v>100</v>
      </c>
      <c r="D101" s="299">
        <v>25.25</v>
      </c>
      <c r="E101" s="299">
        <v>26.29</v>
      </c>
      <c r="F101" s="299">
        <f t="shared" si="5"/>
        <v>103.99999999999991</v>
      </c>
      <c r="G101" s="299">
        <f t="shared" si="6"/>
        <v>2525</v>
      </c>
      <c r="H101" s="300">
        <f t="shared" si="7"/>
        <v>4.1188118811881155E-2</v>
      </c>
      <c r="I101" s="299"/>
      <c r="J101" s="299"/>
    </row>
    <row r="102" spans="2:10" x14ac:dyDescent="0.25">
      <c r="B102" s="546">
        <v>42575</v>
      </c>
      <c r="C102" s="298">
        <v>100</v>
      </c>
      <c r="D102" s="299">
        <v>25.25</v>
      </c>
      <c r="E102" s="299">
        <v>25.18</v>
      </c>
      <c r="F102" s="299">
        <f t="shared" si="5"/>
        <v>-7.0000000000000284</v>
      </c>
      <c r="G102" s="299">
        <f t="shared" si="6"/>
        <v>2525</v>
      </c>
      <c r="H102" s="300">
        <f t="shared" si="7"/>
        <v>-2.7722772277227834E-3</v>
      </c>
      <c r="I102" s="299"/>
      <c r="J102" s="299"/>
    </row>
    <row r="103" spans="2:10" x14ac:dyDescent="0.25">
      <c r="B103" s="546">
        <v>42576</v>
      </c>
      <c r="C103" s="298">
        <v>100</v>
      </c>
      <c r="D103" s="299">
        <v>25.25</v>
      </c>
      <c r="E103" s="299">
        <v>25.33</v>
      </c>
      <c r="F103" s="299">
        <f t="shared" si="5"/>
        <v>7.9999999999998295</v>
      </c>
      <c r="G103" s="299">
        <f t="shared" si="6"/>
        <v>2525</v>
      </c>
      <c r="H103" s="300">
        <f t="shared" si="7"/>
        <v>3.1683168316831009E-3</v>
      </c>
      <c r="I103" s="299"/>
      <c r="J103" s="299"/>
    </row>
    <row r="104" spans="2:10" x14ac:dyDescent="0.25">
      <c r="B104" s="546">
        <v>42577</v>
      </c>
      <c r="C104" s="298">
        <v>70</v>
      </c>
      <c r="D104" s="299">
        <v>25.010300000000001</v>
      </c>
      <c r="E104" s="299">
        <v>25.8</v>
      </c>
      <c r="F104" s="299">
        <f t="shared" si="5"/>
        <v>55.278999999999989</v>
      </c>
      <c r="G104" s="299">
        <f t="shared" si="6"/>
        <v>1750.721</v>
      </c>
      <c r="H104" s="300">
        <f t="shared" si="7"/>
        <v>3.1574991103665281E-2</v>
      </c>
      <c r="I104" s="299"/>
      <c r="J104" s="299"/>
    </row>
    <row r="105" spans="2:10" x14ac:dyDescent="0.25">
      <c r="B105" s="546">
        <v>42580</v>
      </c>
      <c r="C105" s="298">
        <v>100</v>
      </c>
      <c r="D105" s="299">
        <v>24.641200000000001</v>
      </c>
      <c r="E105" s="299">
        <v>24.68</v>
      </c>
      <c r="F105" s="299">
        <f t="shared" si="5"/>
        <v>3.8799999999998391</v>
      </c>
      <c r="G105" s="299">
        <f t="shared" si="6"/>
        <v>2464.1200000000003</v>
      </c>
      <c r="H105" s="300">
        <f t="shared" si="7"/>
        <v>1.5745986396765738E-3</v>
      </c>
      <c r="I105" s="299"/>
      <c r="J105" s="299"/>
    </row>
    <row r="106" spans="2:10" x14ac:dyDescent="0.25">
      <c r="B106" s="546">
        <v>42585</v>
      </c>
      <c r="C106" s="298">
        <v>100</v>
      </c>
      <c r="D106" s="299">
        <v>24.641200000000001</v>
      </c>
      <c r="E106" s="299">
        <v>24.49</v>
      </c>
      <c r="F106" s="299">
        <f t="shared" si="5"/>
        <v>-15.120000000000289</v>
      </c>
      <c r="G106" s="299">
        <f t="shared" si="6"/>
        <v>2464.1200000000003</v>
      </c>
      <c r="H106" s="300">
        <f t="shared" si="7"/>
        <v>-6.1360648020389787E-3</v>
      </c>
      <c r="I106" s="299"/>
      <c r="J106" s="299"/>
    </row>
    <row r="107" spans="2:10" x14ac:dyDescent="0.25">
      <c r="B107" s="546">
        <v>42586</v>
      </c>
      <c r="C107" s="298">
        <v>200</v>
      </c>
      <c r="D107" s="299">
        <v>23.6431</v>
      </c>
      <c r="E107" s="299">
        <v>21.43</v>
      </c>
      <c r="F107" s="299">
        <f t="shared" si="5"/>
        <v>-442.62000000000012</v>
      </c>
      <c r="G107" s="299">
        <f t="shared" si="6"/>
        <v>4728.62</v>
      </c>
      <c r="H107" s="300">
        <f t="shared" si="7"/>
        <v>-9.360447657033133E-2</v>
      </c>
      <c r="I107" s="299"/>
      <c r="J107" s="299"/>
    </row>
    <row r="108" spans="2:10" x14ac:dyDescent="0.25">
      <c r="B108" s="546">
        <v>42586</v>
      </c>
      <c r="C108" s="298">
        <v>300</v>
      </c>
      <c r="D108" s="299">
        <v>22.735399999999998</v>
      </c>
      <c r="E108" s="299">
        <v>21.43</v>
      </c>
      <c r="F108" s="299">
        <f t="shared" si="5"/>
        <v>-391.61999999999966</v>
      </c>
      <c r="G108" s="299">
        <f t="shared" si="6"/>
        <v>6820.62</v>
      </c>
      <c r="H108" s="300">
        <f t="shared" si="7"/>
        <v>-5.7417067656605945E-2</v>
      </c>
      <c r="I108" s="299"/>
      <c r="J108" s="299"/>
    </row>
    <row r="109" spans="2:10" x14ac:dyDescent="0.25">
      <c r="B109" s="546">
        <v>42591</v>
      </c>
      <c r="C109" s="298">
        <v>300</v>
      </c>
      <c r="D109" s="299">
        <v>22.735399999999998</v>
      </c>
      <c r="E109" s="299">
        <v>22.12</v>
      </c>
      <c r="F109" s="299">
        <f t="shared" si="5"/>
        <v>-184.61999999999927</v>
      </c>
      <c r="G109" s="299">
        <f t="shared" si="6"/>
        <v>6820.62</v>
      </c>
      <c r="H109" s="300">
        <f t="shared" si="7"/>
        <v>-2.7067920511624936E-2</v>
      </c>
      <c r="I109" s="299"/>
      <c r="J109" s="299"/>
    </row>
    <row r="110" spans="2:10" x14ac:dyDescent="0.25">
      <c r="B110" s="546">
        <v>42593</v>
      </c>
      <c r="C110" s="298">
        <v>300</v>
      </c>
      <c r="D110" s="299">
        <v>22.735399999999998</v>
      </c>
      <c r="E110" s="299">
        <v>21.57</v>
      </c>
      <c r="F110" s="299">
        <f t="shared" si="5"/>
        <v>-349.61999999999944</v>
      </c>
      <c r="G110" s="299">
        <f t="shared" si="6"/>
        <v>6820.62</v>
      </c>
      <c r="H110" s="300">
        <f t="shared" si="7"/>
        <v>-5.1259269685160515E-2</v>
      </c>
      <c r="I110" s="299"/>
      <c r="J110" s="299"/>
    </row>
    <row r="111" spans="2:10" x14ac:dyDescent="0.25">
      <c r="B111" s="546">
        <v>42597</v>
      </c>
      <c r="C111" s="298">
        <v>230</v>
      </c>
      <c r="D111" s="299">
        <v>22.674800000000001</v>
      </c>
      <c r="E111" s="299">
        <v>23.2</v>
      </c>
      <c r="F111" s="299">
        <f t="shared" si="5"/>
        <v>120.79599999999957</v>
      </c>
      <c r="G111" s="299">
        <f t="shared" si="6"/>
        <v>5215.2040000000006</v>
      </c>
      <c r="H111" s="300">
        <f t="shared" si="7"/>
        <v>2.3162277065288252E-2</v>
      </c>
      <c r="I111" s="299"/>
      <c r="J111" s="299"/>
    </row>
    <row r="112" spans="2:10" x14ac:dyDescent="0.25">
      <c r="B112" s="546">
        <v>42599</v>
      </c>
      <c r="C112" s="298">
        <v>200</v>
      </c>
      <c r="D112" s="299">
        <v>22.554099999999998</v>
      </c>
      <c r="E112" s="299">
        <v>23.31</v>
      </c>
      <c r="F112" s="299">
        <f t="shared" si="5"/>
        <v>151.18000000000009</v>
      </c>
      <c r="G112" s="299">
        <f t="shared" si="6"/>
        <v>4510.82</v>
      </c>
      <c r="H112" s="300">
        <f t="shared" si="7"/>
        <v>3.3514970670521123E-2</v>
      </c>
      <c r="I112" s="299">
        <v>22</v>
      </c>
      <c r="J112" s="299"/>
    </row>
    <row r="113" spans="2:10" x14ac:dyDescent="0.25">
      <c r="B113" s="546">
        <v>42600</v>
      </c>
      <c r="C113" s="298">
        <v>200</v>
      </c>
      <c r="D113" s="299">
        <v>22.554099999999998</v>
      </c>
      <c r="E113" s="299">
        <v>22.74</v>
      </c>
      <c r="F113" s="299">
        <f t="shared" si="5"/>
        <v>37.180000000000035</v>
      </c>
      <c r="G113" s="299">
        <f t="shared" si="6"/>
        <v>4510.82</v>
      </c>
      <c r="H113" s="300">
        <f t="shared" si="7"/>
        <v>8.2424038201480074E-3</v>
      </c>
      <c r="I113" s="299"/>
      <c r="J113" s="299"/>
    </row>
    <row r="114" spans="2:10" x14ac:dyDescent="0.25">
      <c r="B114" s="546">
        <v>42601</v>
      </c>
      <c r="C114" s="298">
        <v>200</v>
      </c>
      <c r="D114" s="299">
        <v>22.554099999999998</v>
      </c>
      <c r="E114" s="299">
        <v>23.02</v>
      </c>
      <c r="F114" s="299">
        <f t="shared" si="5"/>
        <v>93.180000000000263</v>
      </c>
      <c r="G114" s="299">
        <f t="shared" si="6"/>
        <v>4510.82</v>
      </c>
      <c r="H114" s="300">
        <f t="shared" si="7"/>
        <v>2.06569980624366E-2</v>
      </c>
      <c r="I114" s="299"/>
      <c r="J114" s="299"/>
    </row>
    <row r="115" spans="2:10" x14ac:dyDescent="0.25">
      <c r="B115" s="546">
        <v>42604</v>
      </c>
      <c r="C115" s="298">
        <v>200</v>
      </c>
      <c r="D115" s="299">
        <v>22.554099999999998</v>
      </c>
      <c r="E115" s="299">
        <v>23.69</v>
      </c>
      <c r="F115" s="299">
        <f t="shared" si="5"/>
        <v>227.1800000000006</v>
      </c>
      <c r="G115" s="299">
        <f t="shared" si="6"/>
        <v>4510.82</v>
      </c>
      <c r="H115" s="300">
        <f t="shared" si="7"/>
        <v>5.0363348570769975E-2</v>
      </c>
      <c r="I115" s="299"/>
      <c r="J115" s="299"/>
    </row>
    <row r="116" spans="2:10" x14ac:dyDescent="0.25">
      <c r="B116" s="546">
        <v>42605</v>
      </c>
      <c r="C116" s="298">
        <v>200</v>
      </c>
      <c r="D116" s="299">
        <v>22.554099999999998</v>
      </c>
      <c r="E116" s="299">
        <v>24.83</v>
      </c>
      <c r="F116" s="299">
        <f t="shared" si="5"/>
        <v>455.18</v>
      </c>
      <c r="G116" s="299">
        <f t="shared" si="6"/>
        <v>4510.82</v>
      </c>
      <c r="H116" s="300">
        <f t="shared" si="7"/>
        <v>0.10090848227151605</v>
      </c>
      <c r="I116" s="299"/>
      <c r="J116" s="299"/>
    </row>
    <row r="117" spans="2:10" x14ac:dyDescent="0.25">
      <c r="B117" s="546">
        <v>42606</v>
      </c>
      <c r="C117" s="298">
        <v>200</v>
      </c>
      <c r="D117" s="299">
        <v>22.554099999999998</v>
      </c>
      <c r="E117" s="299">
        <v>24.04</v>
      </c>
      <c r="F117" s="299">
        <f t="shared" si="5"/>
        <v>297.18000000000018</v>
      </c>
      <c r="G117" s="299">
        <f t="shared" si="6"/>
        <v>4510.82</v>
      </c>
      <c r="H117" s="300">
        <f t="shared" si="7"/>
        <v>6.588159137363056E-2</v>
      </c>
      <c r="I117" s="299"/>
      <c r="J117" s="299"/>
    </row>
    <row r="118" spans="2:10" x14ac:dyDescent="0.25">
      <c r="B118" s="546">
        <v>42607</v>
      </c>
      <c r="C118" s="298">
        <v>200</v>
      </c>
      <c r="D118" s="299">
        <v>22.554099999999998</v>
      </c>
      <c r="E118" s="299">
        <v>24.23</v>
      </c>
      <c r="F118" s="299">
        <f t="shared" si="5"/>
        <v>335.1800000000004</v>
      </c>
      <c r="G118" s="299">
        <f t="shared" si="6"/>
        <v>4510.82</v>
      </c>
      <c r="H118" s="300">
        <f t="shared" si="7"/>
        <v>7.4305780323754983E-2</v>
      </c>
      <c r="I118" s="299"/>
      <c r="J118" s="299"/>
    </row>
    <row r="119" spans="2:10" x14ac:dyDescent="0.25">
      <c r="B119" s="546">
        <v>42608</v>
      </c>
      <c r="C119" s="298">
        <v>200</v>
      </c>
      <c r="D119" s="299">
        <v>22.554099999999998</v>
      </c>
      <c r="E119" s="299">
        <v>23.98</v>
      </c>
      <c r="F119" s="299">
        <f t="shared" si="5"/>
        <v>285.1800000000004</v>
      </c>
      <c r="G119" s="299">
        <f t="shared" si="6"/>
        <v>4510.82</v>
      </c>
      <c r="H119" s="300">
        <f t="shared" si="7"/>
        <v>6.3221321178854498E-2</v>
      </c>
      <c r="I119" s="299"/>
      <c r="J119" s="299"/>
    </row>
    <row r="120" spans="2:10" x14ac:dyDescent="0.25">
      <c r="B120" s="546">
        <v>42611</v>
      </c>
      <c r="C120" s="298">
        <v>200</v>
      </c>
      <c r="D120" s="299">
        <v>22.554099999999998</v>
      </c>
      <c r="E120" s="299">
        <v>24.98</v>
      </c>
      <c r="F120" s="299">
        <f t="shared" si="5"/>
        <v>485.1800000000004</v>
      </c>
      <c r="G120" s="299">
        <f t="shared" si="6"/>
        <v>4510.82</v>
      </c>
      <c r="H120" s="300">
        <f t="shared" si="7"/>
        <v>0.10755915775845644</v>
      </c>
      <c r="I120" s="299"/>
      <c r="J120" s="299"/>
    </row>
    <row r="121" spans="2:10" x14ac:dyDescent="0.25">
      <c r="B121" s="546">
        <v>42612</v>
      </c>
      <c r="C121" s="298">
        <v>200</v>
      </c>
      <c r="D121" s="299">
        <v>22.554099999999998</v>
      </c>
      <c r="E121" s="299">
        <v>26.17</v>
      </c>
      <c r="F121" s="299">
        <f t="shared" si="5"/>
        <v>723.18000000000075</v>
      </c>
      <c r="G121" s="299">
        <f t="shared" si="6"/>
        <v>4510.82</v>
      </c>
      <c r="H121" s="300">
        <f t="shared" si="7"/>
        <v>0.16032118328818279</v>
      </c>
      <c r="I121" s="299"/>
      <c r="J121" s="299"/>
    </row>
    <row r="122" spans="2:10" x14ac:dyDescent="0.25">
      <c r="B122" s="546">
        <v>42614</v>
      </c>
      <c r="C122" s="298">
        <v>200</v>
      </c>
      <c r="D122" s="299">
        <v>22.104099999999999</v>
      </c>
      <c r="E122" s="299">
        <v>25.6</v>
      </c>
      <c r="F122" s="299">
        <f t="shared" si="5"/>
        <v>699.18000000000052</v>
      </c>
      <c r="G122" s="299">
        <f t="shared" si="6"/>
        <v>4420.82</v>
      </c>
      <c r="H122" s="300">
        <f t="shared" si="7"/>
        <v>0.15815617917038027</v>
      </c>
      <c r="I122" s="299" t="s">
        <v>184</v>
      </c>
      <c r="J122" s="299"/>
    </row>
    <row r="123" spans="2:10" x14ac:dyDescent="0.25">
      <c r="B123" s="546">
        <v>42615</v>
      </c>
      <c r="C123" s="298">
        <v>200</v>
      </c>
      <c r="D123" s="299">
        <v>22.104099999999999</v>
      </c>
      <c r="E123" s="299">
        <v>25.94</v>
      </c>
      <c r="F123" s="299">
        <f t="shared" si="5"/>
        <v>767.18000000000052</v>
      </c>
      <c r="G123" s="299">
        <f t="shared" si="6"/>
        <v>4420.82</v>
      </c>
      <c r="H123" s="300">
        <f t="shared" si="7"/>
        <v>0.17353794092498687</v>
      </c>
      <c r="I123" s="299"/>
      <c r="J123" s="299"/>
    </row>
    <row r="124" spans="2:10" x14ac:dyDescent="0.25">
      <c r="B124" s="546">
        <v>42619</v>
      </c>
      <c r="C124" s="298">
        <v>200</v>
      </c>
      <c r="D124" s="299">
        <v>22.104099999999999</v>
      </c>
      <c r="E124" s="299">
        <v>25.65</v>
      </c>
      <c r="F124" s="299">
        <f t="shared" si="5"/>
        <v>709.18</v>
      </c>
      <c r="G124" s="299">
        <f t="shared" si="6"/>
        <v>4420.82</v>
      </c>
      <c r="H124" s="300">
        <f t="shared" si="7"/>
        <v>0.1604182029578223</v>
      </c>
      <c r="I124" s="299"/>
      <c r="J124" s="299"/>
    </row>
    <row r="125" spans="2:10" x14ac:dyDescent="0.25">
      <c r="B125" s="546">
        <v>42620</v>
      </c>
      <c r="C125" s="298">
        <v>200</v>
      </c>
      <c r="D125" s="299">
        <v>22.1</v>
      </c>
      <c r="E125" s="299">
        <v>25.53</v>
      </c>
      <c r="F125" s="299">
        <f t="shared" si="5"/>
        <v>686</v>
      </c>
      <c r="G125" s="299">
        <f t="shared" si="6"/>
        <v>4420</v>
      </c>
      <c r="H125" s="300">
        <f t="shared" si="7"/>
        <v>0.15520361990950224</v>
      </c>
      <c r="I125" s="299"/>
      <c r="J125" s="299"/>
    </row>
    <row r="126" spans="2:10" x14ac:dyDescent="0.25">
      <c r="B126" s="546">
        <v>42621</v>
      </c>
      <c r="C126" s="298">
        <v>160</v>
      </c>
      <c r="D126" s="299">
        <v>21.060300000000002</v>
      </c>
      <c r="E126" s="299">
        <v>25.96</v>
      </c>
      <c r="F126" s="299">
        <f t="shared" si="5"/>
        <v>783.95199999999988</v>
      </c>
      <c r="G126" s="299">
        <f t="shared" si="6"/>
        <v>3369.6480000000001</v>
      </c>
      <c r="H126" s="300">
        <f t="shared" si="7"/>
        <v>0.23265100687074727</v>
      </c>
      <c r="I126" s="299"/>
      <c r="J126" s="299"/>
    </row>
    <row r="127" spans="2:10" x14ac:dyDescent="0.25">
      <c r="B127" s="546">
        <v>42622</v>
      </c>
      <c r="C127" s="298">
        <v>160</v>
      </c>
      <c r="D127" s="299">
        <v>21.060300000000002</v>
      </c>
      <c r="E127" s="299">
        <v>25</v>
      </c>
      <c r="F127" s="299">
        <f t="shared" si="5"/>
        <v>630.35199999999975</v>
      </c>
      <c r="G127" s="299">
        <f t="shared" si="6"/>
        <v>3369.6480000000001</v>
      </c>
      <c r="H127" s="300">
        <f t="shared" si="7"/>
        <v>0.18706761062283053</v>
      </c>
      <c r="I127" s="299"/>
      <c r="J127" s="299"/>
    </row>
    <row r="128" spans="2:10" x14ac:dyDescent="0.25">
      <c r="B128" s="546">
        <v>42625</v>
      </c>
      <c r="C128" s="298">
        <v>160</v>
      </c>
      <c r="D128" s="299">
        <v>21.060300000000002</v>
      </c>
      <c r="E128" s="299">
        <v>25.51</v>
      </c>
      <c r="F128" s="299">
        <f t="shared" si="5"/>
        <v>711.952</v>
      </c>
      <c r="G128" s="299">
        <f t="shared" si="6"/>
        <v>3369.6480000000001</v>
      </c>
      <c r="H128" s="300">
        <f t="shared" si="7"/>
        <v>0.21128378987953636</v>
      </c>
      <c r="I128" s="299"/>
      <c r="J128" s="299"/>
    </row>
    <row r="129" spans="2:10" x14ac:dyDescent="0.25">
      <c r="B129" s="546">
        <v>42626</v>
      </c>
      <c r="C129" s="298">
        <v>200</v>
      </c>
      <c r="D129" s="299">
        <v>21.764199999999999</v>
      </c>
      <c r="E129" s="299">
        <v>24.01</v>
      </c>
      <c r="F129" s="299">
        <f t="shared" si="5"/>
        <v>449.16000000000054</v>
      </c>
      <c r="G129" s="299">
        <f t="shared" si="6"/>
        <v>4352.84</v>
      </c>
      <c r="H129" s="300">
        <f t="shared" si="7"/>
        <v>0.10318780382462957</v>
      </c>
      <c r="I129" s="299" t="s">
        <v>276</v>
      </c>
      <c r="J129" s="299"/>
    </row>
    <row r="130" spans="2:10" x14ac:dyDescent="0.25">
      <c r="B130" s="546">
        <v>42632</v>
      </c>
      <c r="C130" s="298">
        <v>200</v>
      </c>
      <c r="D130" s="299">
        <v>21.764199999999999</v>
      </c>
      <c r="E130" s="299">
        <v>23.68</v>
      </c>
      <c r="F130" s="299">
        <f t="shared" si="5"/>
        <v>383.1600000000002</v>
      </c>
      <c r="G130" s="299">
        <f t="shared" si="6"/>
        <v>4352.84</v>
      </c>
      <c r="H130" s="300">
        <f t="shared" si="7"/>
        <v>8.8025289236452572E-2</v>
      </c>
      <c r="I130" s="299"/>
      <c r="J130" s="299"/>
    </row>
    <row r="131" spans="2:10" x14ac:dyDescent="0.25">
      <c r="B131" s="546">
        <v>42633</v>
      </c>
      <c r="C131" s="298">
        <v>200</v>
      </c>
      <c r="D131" s="299">
        <v>21.764199999999999</v>
      </c>
      <c r="E131" s="299">
        <v>23.3</v>
      </c>
      <c r="F131" s="299">
        <f t="shared" si="5"/>
        <v>307.16000000000037</v>
      </c>
      <c r="G131" s="299">
        <f t="shared" si="6"/>
        <v>4352.84</v>
      </c>
      <c r="H131" s="300">
        <f t="shared" si="7"/>
        <v>7.0565423953097381E-2</v>
      </c>
      <c r="I131" s="299"/>
      <c r="J131" s="299"/>
    </row>
    <row r="132" spans="2:10" x14ac:dyDescent="0.25">
      <c r="B132" s="546">
        <v>42634</v>
      </c>
      <c r="C132" s="298">
        <v>200</v>
      </c>
      <c r="D132" s="299">
        <v>21.764199999999999</v>
      </c>
      <c r="E132" s="299">
        <v>23.03</v>
      </c>
      <c r="F132" s="299">
        <f t="shared" si="5"/>
        <v>253.16000000000045</v>
      </c>
      <c r="G132" s="299">
        <f t="shared" si="6"/>
        <v>4352.84</v>
      </c>
      <c r="H132" s="300">
        <f t="shared" si="7"/>
        <v>5.8159730199134466E-2</v>
      </c>
      <c r="I132" s="299"/>
      <c r="J132" s="299"/>
    </row>
    <row r="133" spans="2:10" x14ac:dyDescent="0.25">
      <c r="B133" s="546">
        <v>42636</v>
      </c>
      <c r="C133" s="298">
        <v>200</v>
      </c>
      <c r="D133" s="299">
        <v>21.764199999999999</v>
      </c>
      <c r="E133" s="299">
        <v>22.63</v>
      </c>
      <c r="F133" s="299">
        <f t="shared" si="5"/>
        <v>173.16000000000003</v>
      </c>
      <c r="G133" s="299">
        <f t="shared" si="6"/>
        <v>4352.84</v>
      </c>
      <c r="H133" s="300">
        <f t="shared" si="7"/>
        <v>3.9780924637707805E-2</v>
      </c>
      <c r="I133" s="299"/>
      <c r="J133" s="299"/>
    </row>
    <row r="134" spans="2:10" x14ac:dyDescent="0.25">
      <c r="B134" s="546">
        <v>42639</v>
      </c>
      <c r="C134" s="298">
        <v>300</v>
      </c>
      <c r="D134" s="299">
        <v>21.936299999999999</v>
      </c>
      <c r="E134" s="299">
        <v>22.64</v>
      </c>
      <c r="F134" s="299">
        <f t="shared" si="5"/>
        <v>211.11000000000041</v>
      </c>
      <c r="G134" s="299">
        <f t="shared" si="6"/>
        <v>6580.8899999999994</v>
      </c>
      <c r="H134" s="300">
        <f t="shared" si="7"/>
        <v>3.2079247639756996E-2</v>
      </c>
      <c r="I134" s="299"/>
      <c r="J134" s="299"/>
    </row>
    <row r="135" spans="2:10" x14ac:dyDescent="0.25">
      <c r="B135" s="546">
        <v>42639</v>
      </c>
      <c r="C135" s="298">
        <v>200</v>
      </c>
      <c r="D135" s="299">
        <v>21.494499999999999</v>
      </c>
      <c r="E135" s="299">
        <v>22.64</v>
      </c>
      <c r="F135" s="299">
        <f t="shared" si="5"/>
        <v>229.10000000000039</v>
      </c>
      <c r="G135" s="299">
        <f t="shared" si="6"/>
        <v>4298.8999999999996</v>
      </c>
      <c r="H135" s="300">
        <f t="shared" si="7"/>
        <v>5.3292702784433321E-2</v>
      </c>
      <c r="I135" s="299" t="s">
        <v>277</v>
      </c>
      <c r="J135" s="299"/>
    </row>
    <row r="136" spans="2:10" x14ac:dyDescent="0.25">
      <c r="B136" s="546">
        <v>42640</v>
      </c>
      <c r="C136" s="298">
        <v>200</v>
      </c>
      <c r="D136" s="299">
        <v>21.494499999999999</v>
      </c>
      <c r="E136" s="299">
        <v>23.95</v>
      </c>
      <c r="F136" s="299">
        <f t="shared" si="5"/>
        <v>491.10000000000014</v>
      </c>
      <c r="G136" s="299">
        <f t="shared" si="6"/>
        <v>4298.8999999999996</v>
      </c>
      <c r="H136" s="300">
        <f t="shared" si="7"/>
        <v>0.11423852613459261</v>
      </c>
      <c r="I136" s="299"/>
      <c r="J136" s="299"/>
    </row>
    <row r="137" spans="2:10" x14ac:dyDescent="0.25">
      <c r="B137" s="546">
        <v>42643</v>
      </c>
      <c r="C137" s="298">
        <v>140</v>
      </c>
      <c r="D137" s="299">
        <v>20.112300000000001</v>
      </c>
      <c r="E137" s="299">
        <v>24.2</v>
      </c>
      <c r="F137" s="299">
        <f t="shared" si="5"/>
        <v>572.27799999999979</v>
      </c>
      <c r="G137" s="299">
        <f t="shared" si="6"/>
        <v>2815.7220000000002</v>
      </c>
      <c r="H137" s="300">
        <f t="shared" si="7"/>
        <v>0.2032437861408192</v>
      </c>
      <c r="I137" s="299"/>
      <c r="J137" s="299"/>
    </row>
    <row r="138" spans="2:10" x14ac:dyDescent="0.25">
      <c r="B138" s="546">
        <v>42643</v>
      </c>
      <c r="C138" s="298">
        <v>200</v>
      </c>
      <c r="D138" s="299">
        <v>21.368600000000001</v>
      </c>
      <c r="E138" s="299">
        <v>24.2</v>
      </c>
      <c r="F138" s="299">
        <f t="shared" si="5"/>
        <v>566.27999999999975</v>
      </c>
      <c r="G138" s="299">
        <f t="shared" si="6"/>
        <v>4273.72</v>
      </c>
      <c r="H138" s="300">
        <f t="shared" si="7"/>
        <v>0.13250283125707807</v>
      </c>
      <c r="I138" s="299" t="s">
        <v>277</v>
      </c>
      <c r="J138" s="299"/>
    </row>
    <row r="139" spans="2:10" x14ac:dyDescent="0.25">
      <c r="B139" s="546">
        <v>42648</v>
      </c>
      <c r="C139" s="298">
        <v>200</v>
      </c>
      <c r="D139" s="299">
        <v>21.368600000000001</v>
      </c>
      <c r="E139" s="299">
        <v>24.86</v>
      </c>
      <c r="F139" s="299">
        <f t="shared" si="5"/>
        <v>698.27999999999975</v>
      </c>
      <c r="G139" s="299">
        <f t="shared" si="6"/>
        <v>4273.72</v>
      </c>
      <c r="H139" s="300">
        <f t="shared" si="7"/>
        <v>0.16338927210954385</v>
      </c>
      <c r="I139" s="299"/>
      <c r="J139" s="299"/>
    </row>
    <row r="140" spans="2:10" x14ac:dyDescent="0.25">
      <c r="B140" s="546">
        <v>42649</v>
      </c>
      <c r="C140" s="298">
        <v>200</v>
      </c>
      <c r="D140" s="299">
        <v>21.368600000000001</v>
      </c>
      <c r="E140" s="299">
        <v>24.66</v>
      </c>
      <c r="F140" s="299">
        <f t="shared" si="5"/>
        <v>658.27999999999986</v>
      </c>
      <c r="G140" s="299">
        <f t="shared" si="6"/>
        <v>4273.72</v>
      </c>
      <c r="H140" s="300">
        <f t="shared" si="7"/>
        <v>0.15402974457849364</v>
      </c>
      <c r="I140" s="299"/>
      <c r="J140" s="299"/>
    </row>
    <row r="141" spans="2:10" x14ac:dyDescent="0.25">
      <c r="B141" s="546">
        <v>42650</v>
      </c>
      <c r="C141" s="298">
        <v>200</v>
      </c>
      <c r="D141" s="299">
        <v>21.368600000000001</v>
      </c>
      <c r="E141" s="299">
        <v>23.95</v>
      </c>
      <c r="F141" s="299">
        <f t="shared" si="5"/>
        <v>516.27999999999975</v>
      </c>
      <c r="G141" s="299">
        <f t="shared" si="6"/>
        <v>4273.72</v>
      </c>
      <c r="H141" s="300">
        <f t="shared" si="7"/>
        <v>0.12080342184326529</v>
      </c>
      <c r="I141" s="299"/>
      <c r="J141" s="299"/>
    </row>
    <row r="142" spans="2:10" x14ac:dyDescent="0.25">
      <c r="B142" s="546">
        <v>42661</v>
      </c>
      <c r="C142" s="298">
        <v>300</v>
      </c>
      <c r="D142" s="299">
        <v>21.765699999999999</v>
      </c>
      <c r="E142" s="299">
        <v>23.46</v>
      </c>
      <c r="F142" s="299">
        <f t="shared" si="5"/>
        <v>508.29000000000059</v>
      </c>
      <c r="G142" s="299">
        <f t="shared" si="6"/>
        <v>6529.71</v>
      </c>
      <c r="H142" s="300">
        <f t="shared" si="7"/>
        <v>7.7842660700092436E-2</v>
      </c>
      <c r="I142" s="299">
        <v>21.5</v>
      </c>
      <c r="J142" s="299"/>
    </row>
    <row r="143" spans="2:10" x14ac:dyDescent="0.25">
      <c r="B143" s="546">
        <v>42662</v>
      </c>
      <c r="C143" s="298">
        <v>300</v>
      </c>
      <c r="D143" s="299">
        <v>21.77</v>
      </c>
      <c r="E143" s="299">
        <v>24.15</v>
      </c>
      <c r="F143" s="299">
        <f t="shared" si="5"/>
        <v>713.99999999999966</v>
      </c>
      <c r="G143" s="299">
        <f t="shared" si="6"/>
        <v>6531</v>
      </c>
      <c r="H143" s="300">
        <f t="shared" si="7"/>
        <v>0.10932475884244369</v>
      </c>
      <c r="I143" s="299"/>
      <c r="J143" s="299"/>
    </row>
    <row r="144" spans="2:10" x14ac:dyDescent="0.25">
      <c r="B144" s="546">
        <v>42663</v>
      </c>
      <c r="C144" s="298">
        <v>260</v>
      </c>
      <c r="D144" s="299">
        <v>21.302099999999999</v>
      </c>
      <c r="E144" s="299">
        <v>24.98</v>
      </c>
      <c r="F144" s="299">
        <f t="shared" si="5"/>
        <v>956.25400000000025</v>
      </c>
      <c r="G144" s="299">
        <f t="shared" si="6"/>
        <v>5538.5460000000003</v>
      </c>
      <c r="H144" s="300">
        <f t="shared" si="7"/>
        <v>0.17265433924354881</v>
      </c>
      <c r="I144" s="299"/>
      <c r="J144" s="299"/>
    </row>
    <row r="145" spans="2:10" x14ac:dyDescent="0.25">
      <c r="B145" s="546">
        <v>42664</v>
      </c>
      <c r="C145" s="298">
        <v>260</v>
      </c>
      <c r="D145" s="299">
        <v>21.302099999999999</v>
      </c>
      <c r="E145" s="299">
        <v>25.92</v>
      </c>
      <c r="F145" s="299">
        <f t="shared" si="5"/>
        <v>1200.6540000000007</v>
      </c>
      <c r="G145" s="299">
        <f t="shared" si="6"/>
        <v>5538.5460000000003</v>
      </c>
      <c r="H145" s="300">
        <f t="shared" si="7"/>
        <v>0.21678144408297786</v>
      </c>
      <c r="I145" s="299"/>
      <c r="J145" s="299"/>
    </row>
    <row r="146" spans="2:10" x14ac:dyDescent="0.25">
      <c r="B146" s="546">
        <v>42667</v>
      </c>
      <c r="C146" s="298">
        <v>260</v>
      </c>
      <c r="D146" s="299">
        <v>21.302099999999999</v>
      </c>
      <c r="E146" s="299">
        <v>25.35</v>
      </c>
      <c r="F146" s="299">
        <f t="shared" si="5"/>
        <v>1052.4540000000006</v>
      </c>
      <c r="G146" s="299">
        <f t="shared" si="6"/>
        <v>5538.5460000000003</v>
      </c>
      <c r="H146" s="300">
        <f t="shared" si="7"/>
        <v>0.19002351880800494</v>
      </c>
      <c r="I146" s="299"/>
      <c r="J146" s="299"/>
    </row>
    <row r="147" spans="2:10" x14ac:dyDescent="0.25">
      <c r="B147" s="546">
        <v>42674</v>
      </c>
      <c r="C147" s="298">
        <v>300</v>
      </c>
      <c r="D147" s="299">
        <v>21.6828</v>
      </c>
      <c r="E147" s="299">
        <v>24.01</v>
      </c>
      <c r="F147" s="299">
        <f t="shared" si="5"/>
        <v>698.16000000000042</v>
      </c>
      <c r="G147" s="299">
        <f t="shared" si="6"/>
        <v>6504.84</v>
      </c>
      <c r="H147" s="300">
        <f t="shared" si="7"/>
        <v>0.10732931171250951</v>
      </c>
      <c r="I147" s="299">
        <v>21.5</v>
      </c>
      <c r="J147" s="299"/>
    </row>
    <row r="148" spans="2:10" x14ac:dyDescent="0.25">
      <c r="B148" s="546">
        <v>42675</v>
      </c>
      <c r="C148" s="298">
        <v>300</v>
      </c>
      <c r="D148" s="299">
        <v>21.6096</v>
      </c>
      <c r="E148" s="299">
        <v>24.89</v>
      </c>
      <c r="F148" s="299">
        <f t="shared" si="5"/>
        <v>984.12000000000012</v>
      </c>
      <c r="G148" s="299">
        <f t="shared" si="6"/>
        <v>6482.88</v>
      </c>
      <c r="H148" s="300">
        <f t="shared" si="7"/>
        <v>0.15180290241374206</v>
      </c>
      <c r="I148" s="299">
        <v>21.5</v>
      </c>
      <c r="J148" s="299"/>
    </row>
    <row r="149" spans="2:10" x14ac:dyDescent="0.25">
      <c r="B149" s="546">
        <v>42677</v>
      </c>
      <c r="C149" s="298">
        <v>340</v>
      </c>
      <c r="D149" s="299">
        <v>21.5627</v>
      </c>
      <c r="E149" s="299">
        <v>22.6</v>
      </c>
      <c r="F149" s="299">
        <f t="shared" si="5"/>
        <v>352.68200000000064</v>
      </c>
      <c r="G149" s="299">
        <f t="shared" si="6"/>
        <v>7331.3180000000002</v>
      </c>
      <c r="H149" s="300">
        <f t="shared" si="7"/>
        <v>4.8106220464042164E-2</v>
      </c>
      <c r="I149" s="299"/>
      <c r="J149" s="299"/>
    </row>
    <row r="150" spans="2:10" x14ac:dyDescent="0.25">
      <c r="B150" s="546">
        <v>42701</v>
      </c>
      <c r="C150" s="298">
        <v>240</v>
      </c>
      <c r="D150" s="299">
        <v>18.880800000000001</v>
      </c>
      <c r="E150" s="299">
        <v>28.55</v>
      </c>
      <c r="F150" s="299">
        <f t="shared" si="5"/>
        <v>2320.6080000000002</v>
      </c>
      <c r="G150" s="299">
        <f t="shared" si="6"/>
        <v>4531.3919999999998</v>
      </c>
      <c r="H150" s="300">
        <f t="shared" si="7"/>
        <v>0.51211813058768696</v>
      </c>
      <c r="I150" s="299"/>
      <c r="J150" s="299"/>
    </row>
    <row r="151" spans="2:10" x14ac:dyDescent="0.25">
      <c r="B151" s="546">
        <v>42705</v>
      </c>
      <c r="C151" s="298">
        <v>200</v>
      </c>
      <c r="D151" s="299">
        <v>16.231100000000001</v>
      </c>
      <c r="E151" s="299">
        <v>28.94</v>
      </c>
      <c r="F151" s="299">
        <f t="shared" si="5"/>
        <v>2541.7799999999997</v>
      </c>
      <c r="G151" s="299">
        <f t="shared" si="6"/>
        <v>3246.2200000000003</v>
      </c>
      <c r="H151" s="300">
        <f t="shared" si="7"/>
        <v>0.78299683940090314</v>
      </c>
      <c r="I151" s="299" t="s">
        <v>301</v>
      </c>
      <c r="J151" s="299"/>
    </row>
    <row r="152" spans="2:10" x14ac:dyDescent="0.25">
      <c r="B152" s="546">
        <v>42711</v>
      </c>
      <c r="C152" s="298">
        <v>0</v>
      </c>
      <c r="D152" s="299"/>
      <c r="E152" s="299"/>
      <c r="F152" s="299">
        <v>2733.66</v>
      </c>
      <c r="G152" s="299"/>
      <c r="H152" s="300"/>
      <c r="I152" s="299"/>
      <c r="J152" s="299"/>
    </row>
    <row r="153" spans="2:10" x14ac:dyDescent="0.25">
      <c r="B153" s="546"/>
      <c r="C153" s="298"/>
      <c r="D153" s="299"/>
      <c r="E153" s="299"/>
      <c r="F153" s="299"/>
      <c r="G153" s="299"/>
      <c r="H153" s="300"/>
      <c r="I153" s="299"/>
      <c r="J153" s="299"/>
    </row>
    <row r="154" spans="2:10" x14ac:dyDescent="0.25">
      <c r="B154" s="546">
        <v>42716</v>
      </c>
      <c r="C154" s="298">
        <v>200</v>
      </c>
      <c r="D154" s="299">
        <v>29.285</v>
      </c>
      <c r="E154" s="299">
        <v>29</v>
      </c>
      <c r="F154" s="299">
        <f t="shared" ref="F154:F161" si="8">C154*(E154-D154)</f>
        <v>-57.000000000000028</v>
      </c>
      <c r="G154" s="299">
        <f t="shared" ref="G154:G161" si="9">D154*C154</f>
        <v>5857</v>
      </c>
      <c r="H154" s="300">
        <f t="shared" ref="H154:H161" si="10">(E154-D154)/D154</f>
        <v>-9.7319446815776044E-3</v>
      </c>
      <c r="I154" s="299"/>
      <c r="J154" s="299"/>
    </row>
    <row r="155" spans="2:10" x14ac:dyDescent="0.25">
      <c r="B155" s="546">
        <v>42720</v>
      </c>
      <c r="C155" s="298">
        <v>100</v>
      </c>
      <c r="D155" s="299">
        <v>29.210599999999999</v>
      </c>
      <c r="E155" s="299">
        <v>29.48</v>
      </c>
      <c r="F155" s="299">
        <f t="shared" si="8"/>
        <v>26.940000000000097</v>
      </c>
      <c r="G155" s="299">
        <f t="shared" si="9"/>
        <v>2921.06</v>
      </c>
      <c r="H155" s="300">
        <f t="shared" si="10"/>
        <v>9.2226794382861358E-3</v>
      </c>
      <c r="I155" s="299"/>
      <c r="J155" s="299"/>
    </row>
    <row r="156" spans="2:10" x14ac:dyDescent="0.25">
      <c r="B156" s="546">
        <v>42723</v>
      </c>
      <c r="C156" s="298">
        <v>200</v>
      </c>
      <c r="D156" s="299">
        <v>28.7453</v>
      </c>
      <c r="E156" s="299">
        <v>28.29</v>
      </c>
      <c r="F156" s="299">
        <f t="shared" si="8"/>
        <v>-91.06000000000023</v>
      </c>
      <c r="G156" s="299">
        <f t="shared" si="9"/>
        <v>5749.06</v>
      </c>
      <c r="H156" s="300">
        <f t="shared" si="10"/>
        <v>-1.5839111089465101E-2</v>
      </c>
      <c r="I156" s="299"/>
      <c r="J156" s="299"/>
    </row>
    <row r="157" spans="2:10" x14ac:dyDescent="0.25">
      <c r="B157" s="546">
        <v>42724</v>
      </c>
      <c r="C157" s="298">
        <v>100</v>
      </c>
      <c r="D157" s="299">
        <v>28.511199999999999</v>
      </c>
      <c r="E157" s="299">
        <v>28.76</v>
      </c>
      <c r="F157" s="299">
        <f t="shared" si="8"/>
        <v>24.88000000000028</v>
      </c>
      <c r="G157" s="299">
        <f t="shared" si="9"/>
        <v>2851.12</v>
      </c>
      <c r="H157" s="300">
        <f t="shared" si="10"/>
        <v>8.7263952411684807E-3</v>
      </c>
      <c r="I157" s="299"/>
      <c r="J157" s="299"/>
    </row>
    <row r="158" spans="2:10" x14ac:dyDescent="0.25">
      <c r="B158" s="546">
        <v>42731</v>
      </c>
      <c r="C158" s="298">
        <v>100</v>
      </c>
      <c r="D158" s="299">
        <v>28.511199999999999</v>
      </c>
      <c r="E158" s="299">
        <v>31.95</v>
      </c>
      <c r="F158" s="299">
        <f t="shared" si="8"/>
        <v>343.88000000000005</v>
      </c>
      <c r="G158" s="299">
        <f t="shared" si="9"/>
        <v>2851.12</v>
      </c>
      <c r="H158" s="300">
        <f t="shared" si="10"/>
        <v>0.12061225062431608</v>
      </c>
      <c r="I158" s="299"/>
      <c r="J158" s="299"/>
    </row>
    <row r="159" spans="2:10" x14ac:dyDescent="0.25">
      <c r="B159" s="546">
        <v>42739</v>
      </c>
      <c r="C159" s="298">
        <v>100</v>
      </c>
      <c r="D159" s="299">
        <v>28.511199999999999</v>
      </c>
      <c r="E159" s="299">
        <v>33.04</v>
      </c>
      <c r="F159" s="299">
        <f t="shared" si="8"/>
        <v>452.88000000000005</v>
      </c>
      <c r="G159" s="299">
        <f t="shared" si="9"/>
        <v>2851.12</v>
      </c>
      <c r="H159" s="300">
        <f t="shared" si="10"/>
        <v>0.15884284070821295</v>
      </c>
      <c r="I159" s="299"/>
      <c r="J159" s="299"/>
    </row>
    <row r="160" spans="2:10" x14ac:dyDescent="0.25">
      <c r="B160" s="546">
        <v>42744</v>
      </c>
      <c r="C160" s="298">
        <v>100</v>
      </c>
      <c r="D160" s="299">
        <v>28.511199999999999</v>
      </c>
      <c r="E160" s="299">
        <v>33.770000000000003</v>
      </c>
      <c r="F160" s="299">
        <f t="shared" si="8"/>
        <v>525.88000000000045</v>
      </c>
      <c r="G160" s="299">
        <f t="shared" si="9"/>
        <v>2851.12</v>
      </c>
      <c r="H160" s="300">
        <f t="shared" si="10"/>
        <v>0.18444681388366693</v>
      </c>
      <c r="I160" s="299"/>
      <c r="J160" s="299"/>
    </row>
    <row r="161" spans="1:10" x14ac:dyDescent="0.25">
      <c r="B161" s="546">
        <v>42745</v>
      </c>
      <c r="C161" s="298">
        <v>100</v>
      </c>
      <c r="D161" s="299">
        <v>28.511199999999999</v>
      </c>
      <c r="E161" s="299">
        <v>32.729999999999997</v>
      </c>
      <c r="F161" s="299">
        <f t="shared" si="8"/>
        <v>421.87999999999982</v>
      </c>
      <c r="G161" s="299">
        <f t="shared" si="9"/>
        <v>2851.12</v>
      </c>
      <c r="H161" s="300">
        <f t="shared" si="10"/>
        <v>0.14796992059260916</v>
      </c>
      <c r="I161" s="299"/>
      <c r="J161" s="299"/>
    </row>
    <row r="162" spans="1:10" x14ac:dyDescent="0.25">
      <c r="B162" s="546"/>
      <c r="C162" s="298"/>
      <c r="D162" s="299"/>
      <c r="E162" s="299"/>
      <c r="F162" s="299"/>
      <c r="G162" s="298"/>
      <c r="H162" s="298"/>
      <c r="I162" s="299"/>
      <c r="J162" s="299"/>
    </row>
    <row r="163" spans="1:10" x14ac:dyDescent="0.25">
      <c r="B163" s="546"/>
      <c r="C163" s="298"/>
      <c r="D163" s="299"/>
      <c r="E163" s="299"/>
      <c r="F163" s="299"/>
      <c r="G163" s="298"/>
      <c r="H163" s="298"/>
      <c r="I163" s="299"/>
      <c r="J163" s="299"/>
    </row>
    <row r="164" spans="1:10" x14ac:dyDescent="0.25">
      <c r="B164" s="546"/>
      <c r="C164" s="298"/>
      <c r="D164" s="299"/>
      <c r="E164" s="299"/>
      <c r="F164" s="299"/>
      <c r="G164" s="298"/>
      <c r="H164" s="298"/>
      <c r="I164" s="299"/>
      <c r="J164" s="299"/>
    </row>
    <row r="165" spans="1:10" x14ac:dyDescent="0.25">
      <c r="B165" s="546"/>
      <c r="C165" s="298"/>
      <c r="D165" s="299"/>
      <c r="E165" s="299"/>
      <c r="F165" s="299"/>
      <c r="G165" s="298"/>
      <c r="H165" s="298"/>
      <c r="I165" s="299"/>
      <c r="J165" s="299"/>
    </row>
    <row r="166" spans="1:10" x14ac:dyDescent="0.25">
      <c r="B166" s="410" t="s">
        <v>113</v>
      </c>
      <c r="C166" s="162" t="s">
        <v>145</v>
      </c>
      <c r="D166" s="163" t="s">
        <v>144</v>
      </c>
      <c r="E166" s="165" t="s">
        <v>146</v>
      </c>
      <c r="F166" s="165" t="s">
        <v>65</v>
      </c>
      <c r="G166" s="177" t="s">
        <v>150</v>
      </c>
      <c r="H166" s="177" t="s">
        <v>88</v>
      </c>
      <c r="I166" s="177" t="s">
        <v>153</v>
      </c>
      <c r="J166" s="177" t="s">
        <v>493</v>
      </c>
    </row>
    <row r="167" spans="1:10" x14ac:dyDescent="0.25">
      <c r="A167" t="s">
        <v>330</v>
      </c>
      <c r="B167" s="150">
        <v>42755</v>
      </c>
      <c r="C167" s="10">
        <v>100</v>
      </c>
      <c r="D167" s="39">
        <v>33.58</v>
      </c>
      <c r="E167" s="39">
        <v>34.200000000000003</v>
      </c>
      <c r="F167" s="39">
        <f t="shared" ref="F167:F196" si="11">C167*(E167-D167)</f>
        <v>62.000000000000455</v>
      </c>
      <c r="G167" s="39">
        <f t="shared" ref="G167:G196" si="12">D167*C167</f>
        <v>3358</v>
      </c>
      <c r="H167" s="179">
        <f t="shared" ref="H167:H196" si="13">(E167-D167)/D167</f>
        <v>1.8463371054199065E-2</v>
      </c>
      <c r="I167" s="39"/>
      <c r="J167" s="39"/>
    </row>
    <row r="168" spans="1:10" x14ac:dyDescent="0.25">
      <c r="A168" t="s">
        <v>330</v>
      </c>
      <c r="B168" s="150">
        <v>42760</v>
      </c>
      <c r="C168" s="10">
        <v>100</v>
      </c>
      <c r="D168" s="39">
        <v>33.58</v>
      </c>
      <c r="E168" s="39">
        <v>36.54</v>
      </c>
      <c r="F168" s="39">
        <f t="shared" si="11"/>
        <v>296.00000000000011</v>
      </c>
      <c r="G168" s="39">
        <f t="shared" si="12"/>
        <v>3358</v>
      </c>
      <c r="H168" s="179">
        <f t="shared" si="13"/>
        <v>8.8147706968433617E-2</v>
      </c>
      <c r="I168" s="39"/>
      <c r="J168" s="39"/>
    </row>
    <row r="169" spans="1:10" x14ac:dyDescent="0.25">
      <c r="A169" t="s">
        <v>418</v>
      </c>
      <c r="B169" s="150">
        <v>42781</v>
      </c>
      <c r="C169" s="10">
        <v>150</v>
      </c>
      <c r="D169" s="39">
        <v>33.936700000000002</v>
      </c>
      <c r="E169" s="39">
        <v>34.659999999999997</v>
      </c>
      <c r="F169" s="39">
        <f t="shared" si="11"/>
        <v>108.49499999999921</v>
      </c>
      <c r="G169" s="39">
        <f t="shared" si="12"/>
        <v>5090.5050000000001</v>
      </c>
      <c r="H169" s="179">
        <f t="shared" si="13"/>
        <v>2.1313209593154157E-2</v>
      </c>
      <c r="I169" s="39"/>
      <c r="J169" s="39"/>
    </row>
    <row r="170" spans="1:10" x14ac:dyDescent="0.25">
      <c r="A170" t="s">
        <v>432</v>
      </c>
      <c r="B170" s="150">
        <v>42788</v>
      </c>
      <c r="C170" s="10">
        <v>200</v>
      </c>
      <c r="D170" s="39">
        <v>33.762500000000003</v>
      </c>
      <c r="E170" s="39">
        <v>33.22</v>
      </c>
      <c r="F170" s="39">
        <f t="shared" si="11"/>
        <v>-108.5000000000008</v>
      </c>
      <c r="G170" s="39">
        <f t="shared" si="12"/>
        <v>6752.5000000000009</v>
      </c>
      <c r="H170" s="179">
        <f t="shared" si="13"/>
        <v>-1.6068122917438102E-2</v>
      </c>
      <c r="I170" s="39"/>
      <c r="J170" s="39"/>
    </row>
    <row r="171" spans="1:10" x14ac:dyDescent="0.25">
      <c r="A171" t="s">
        <v>437</v>
      </c>
      <c r="B171" s="150">
        <v>42789</v>
      </c>
      <c r="C171" s="10">
        <v>250</v>
      </c>
      <c r="D171" s="39">
        <v>33.345999999999997</v>
      </c>
      <c r="E171" s="39">
        <v>31.82</v>
      </c>
      <c r="F171" s="39">
        <f t="shared" si="11"/>
        <v>-381.49999999999909</v>
      </c>
      <c r="G171" s="39">
        <f t="shared" si="12"/>
        <v>8336.5</v>
      </c>
      <c r="H171" s="179">
        <f t="shared" si="13"/>
        <v>-4.5762610208120807E-2</v>
      </c>
      <c r="I171" s="39"/>
      <c r="J171" s="39"/>
    </row>
    <row r="172" spans="1:10" x14ac:dyDescent="0.25">
      <c r="A172" t="s">
        <v>350</v>
      </c>
      <c r="B172" s="150">
        <v>42790</v>
      </c>
      <c r="C172" s="7">
        <v>250</v>
      </c>
      <c r="D172" s="43">
        <v>33.345999999999997</v>
      </c>
      <c r="E172" s="39">
        <v>31.15</v>
      </c>
      <c r="F172" s="39">
        <f t="shared" si="11"/>
        <v>-548.99999999999955</v>
      </c>
      <c r="G172" s="39">
        <f t="shared" si="12"/>
        <v>8336.5</v>
      </c>
      <c r="H172" s="179">
        <f t="shared" si="13"/>
        <v>-6.5854975109458355E-2</v>
      </c>
      <c r="I172" s="39"/>
      <c r="J172" s="39"/>
    </row>
    <row r="173" spans="1:10" x14ac:dyDescent="0.25">
      <c r="A173" t="s">
        <v>457</v>
      </c>
      <c r="B173" s="150">
        <v>42795</v>
      </c>
      <c r="C173" s="10">
        <v>250</v>
      </c>
      <c r="D173" s="39">
        <v>33.225999999999999</v>
      </c>
      <c r="E173" s="39">
        <v>32.15</v>
      </c>
      <c r="F173" s="39">
        <f t="shared" si="11"/>
        <v>-269.00000000000011</v>
      </c>
      <c r="G173" s="39">
        <f t="shared" si="12"/>
        <v>8306.5</v>
      </c>
      <c r="H173" s="179">
        <f t="shared" si="13"/>
        <v>-3.2384277373141535E-2</v>
      </c>
      <c r="I173" s="39"/>
      <c r="J173" s="39"/>
    </row>
    <row r="174" spans="1:10" x14ac:dyDescent="0.25">
      <c r="A174">
        <v>100</v>
      </c>
      <c r="B174" s="150">
        <v>42808</v>
      </c>
      <c r="C174" s="10">
        <v>250</v>
      </c>
      <c r="D174" s="39">
        <v>33.225999999999999</v>
      </c>
      <c r="E174" s="39">
        <v>28.68</v>
      </c>
      <c r="F174" s="39">
        <f t="shared" si="11"/>
        <v>-1136.4999999999998</v>
      </c>
      <c r="G174" s="39">
        <f t="shared" si="12"/>
        <v>8306.5</v>
      </c>
      <c r="H174" s="179">
        <f t="shared" si="13"/>
        <v>-0.13682056221031721</v>
      </c>
      <c r="I174" s="39"/>
      <c r="J174" s="39"/>
    </row>
    <row r="175" spans="1:10" x14ac:dyDescent="0.25">
      <c r="A175">
        <v>100</v>
      </c>
      <c r="B175" s="150">
        <v>42809</v>
      </c>
      <c r="C175" s="480">
        <v>350</v>
      </c>
      <c r="D175" s="549">
        <v>31.8414</v>
      </c>
      <c r="E175" s="39">
        <v>28.71</v>
      </c>
      <c r="F175" s="39">
        <f t="shared" si="11"/>
        <v>-1095.9899999999998</v>
      </c>
      <c r="G175" s="39">
        <f t="shared" si="12"/>
        <v>11144.49</v>
      </c>
      <c r="H175" s="179">
        <f t="shared" si="13"/>
        <v>-9.8343665793589455E-2</v>
      </c>
      <c r="I175" s="39"/>
      <c r="J175" s="39">
        <v>2214</v>
      </c>
    </row>
    <row r="176" spans="1:10" x14ac:dyDescent="0.25">
      <c r="A176">
        <v>0</v>
      </c>
      <c r="B176" s="150">
        <v>42801</v>
      </c>
      <c r="C176" s="7">
        <v>250</v>
      </c>
      <c r="D176" s="43">
        <v>32.8262</v>
      </c>
      <c r="E176" s="39">
        <v>29.29</v>
      </c>
      <c r="F176" s="39">
        <f t="shared" si="11"/>
        <v>-884.05000000000018</v>
      </c>
      <c r="G176" s="39">
        <f t="shared" si="12"/>
        <v>8206.5499999999993</v>
      </c>
      <c r="H176" s="179">
        <f t="shared" si="13"/>
        <v>-0.10772492703998637</v>
      </c>
      <c r="I176" s="39">
        <v>32.5</v>
      </c>
      <c r="J176" s="39">
        <v>2426</v>
      </c>
    </row>
    <row r="177" spans="1:10" x14ac:dyDescent="0.25">
      <c r="B177" s="150">
        <v>42828</v>
      </c>
      <c r="C177" s="10">
        <v>350</v>
      </c>
      <c r="D177" s="39">
        <v>31.55</v>
      </c>
      <c r="E177" s="39">
        <v>28.42</v>
      </c>
      <c r="F177" s="39">
        <f t="shared" si="11"/>
        <v>-1095.4999999999995</v>
      </c>
      <c r="G177" s="39">
        <f t="shared" si="12"/>
        <v>11042.5</v>
      </c>
      <c r="H177" s="179">
        <f t="shared" si="13"/>
        <v>-9.920760697305861E-2</v>
      </c>
      <c r="I177" s="39"/>
      <c r="J177" s="39">
        <v>2215</v>
      </c>
    </row>
    <row r="178" spans="1:10" x14ac:dyDescent="0.25">
      <c r="A178">
        <v>50</v>
      </c>
      <c r="B178" s="150">
        <v>42829</v>
      </c>
      <c r="C178" s="7">
        <v>250</v>
      </c>
      <c r="D178" s="43">
        <v>32.5625</v>
      </c>
      <c r="E178" s="39">
        <v>29.23</v>
      </c>
      <c r="F178" s="39">
        <f t="shared" si="11"/>
        <v>-833.12499999999989</v>
      </c>
      <c r="G178" s="39">
        <f t="shared" si="12"/>
        <v>8140.625</v>
      </c>
      <c r="H178" s="179">
        <f t="shared" si="13"/>
        <v>-0.10234165067178501</v>
      </c>
      <c r="I178" s="39"/>
      <c r="J178" s="39">
        <v>2477</v>
      </c>
    </row>
    <row r="179" spans="1:10" x14ac:dyDescent="0.25">
      <c r="A179">
        <v>50</v>
      </c>
      <c r="B179" s="150">
        <v>42836</v>
      </c>
      <c r="C179" s="10">
        <v>250</v>
      </c>
      <c r="D179" s="39">
        <v>32.5625</v>
      </c>
      <c r="E179" s="39">
        <v>29.65</v>
      </c>
      <c r="F179" s="39">
        <f t="shared" si="11"/>
        <v>-728.12500000000034</v>
      </c>
      <c r="G179" s="39">
        <f t="shared" si="12"/>
        <v>8140.625</v>
      </c>
      <c r="H179" s="179">
        <f t="shared" si="13"/>
        <v>-8.9443378119001965E-2</v>
      </c>
      <c r="I179" s="39">
        <v>32.5</v>
      </c>
      <c r="J179" s="39">
        <v>2582</v>
      </c>
    </row>
    <row r="180" spans="1:10" x14ac:dyDescent="0.25">
      <c r="A180">
        <v>150</v>
      </c>
      <c r="B180" s="150">
        <v>42843</v>
      </c>
      <c r="C180" s="10">
        <v>250</v>
      </c>
      <c r="D180" s="39">
        <v>32.5625</v>
      </c>
      <c r="E180" s="39">
        <v>27.08</v>
      </c>
      <c r="F180" s="39">
        <f t="shared" si="11"/>
        <v>-1370.6250000000005</v>
      </c>
      <c r="G180" s="39">
        <f t="shared" si="12"/>
        <v>8140.625</v>
      </c>
      <c r="H180" s="179">
        <f t="shared" si="13"/>
        <v>-0.1683685220729367</v>
      </c>
      <c r="I180" s="39"/>
      <c r="J180" s="39">
        <v>1940</v>
      </c>
    </row>
    <row r="181" spans="1:10" x14ac:dyDescent="0.25">
      <c r="A181">
        <v>150</v>
      </c>
      <c r="B181" s="150">
        <v>42846</v>
      </c>
      <c r="C181" s="480">
        <v>350</v>
      </c>
      <c r="D181" s="549">
        <v>30.687999999999999</v>
      </c>
      <c r="E181" s="39">
        <v>26</v>
      </c>
      <c r="F181" s="39">
        <f t="shared" si="11"/>
        <v>-1640.7999999999995</v>
      </c>
      <c r="G181" s="39">
        <f t="shared" si="12"/>
        <v>10740.8</v>
      </c>
      <c r="H181" s="179">
        <f t="shared" si="13"/>
        <v>-0.1527632950990615</v>
      </c>
      <c r="I181" s="39"/>
      <c r="J181" s="39">
        <v>1670</v>
      </c>
    </row>
    <row r="182" spans="1:10" x14ac:dyDescent="0.25">
      <c r="A182">
        <v>50</v>
      </c>
      <c r="B182" s="150">
        <v>42851</v>
      </c>
      <c r="C182" s="7">
        <v>250</v>
      </c>
      <c r="D182" s="43">
        <v>32.002699999999997</v>
      </c>
      <c r="E182" s="39">
        <v>27.26</v>
      </c>
      <c r="F182" s="39">
        <f t="shared" si="11"/>
        <v>-1185.6749999999988</v>
      </c>
      <c r="G182" s="39">
        <f t="shared" si="12"/>
        <v>8000.6749999999993</v>
      </c>
      <c r="H182" s="179">
        <f t="shared" si="13"/>
        <v>-0.14819687088901862</v>
      </c>
      <c r="I182" s="39" t="s">
        <v>650</v>
      </c>
      <c r="J182" s="39">
        <v>2125</v>
      </c>
    </row>
    <row r="183" spans="1:10" x14ac:dyDescent="0.25">
      <c r="A183">
        <v>50</v>
      </c>
      <c r="B183" s="150">
        <v>42853</v>
      </c>
      <c r="C183" s="480">
        <v>350</v>
      </c>
      <c r="D183" s="549">
        <v>30.501999999999999</v>
      </c>
      <c r="E183" s="39">
        <v>26.74</v>
      </c>
      <c r="F183" s="39">
        <f t="shared" si="11"/>
        <v>-1316.7000000000003</v>
      </c>
      <c r="G183" s="39">
        <f t="shared" si="12"/>
        <v>10675.699999999999</v>
      </c>
      <c r="H183" s="179">
        <f t="shared" si="13"/>
        <v>-0.12333617467707038</v>
      </c>
      <c r="I183" s="39"/>
      <c r="J183" s="39">
        <v>1994</v>
      </c>
    </row>
    <row r="184" spans="1:10" x14ac:dyDescent="0.25">
      <c r="A184">
        <v>50</v>
      </c>
      <c r="B184" s="150">
        <v>42860</v>
      </c>
      <c r="C184" s="7">
        <v>250</v>
      </c>
      <c r="D184" s="43">
        <v>31.67</v>
      </c>
      <c r="E184" s="39">
        <v>28.42</v>
      </c>
      <c r="F184" s="39">
        <f t="shared" si="11"/>
        <v>-812.5</v>
      </c>
      <c r="G184" s="39">
        <f t="shared" si="12"/>
        <v>7917.5</v>
      </c>
      <c r="H184" s="179">
        <f t="shared" si="13"/>
        <v>-0.10262077676034101</v>
      </c>
      <c r="I184" s="39" t="s">
        <v>651</v>
      </c>
      <c r="J184" s="39">
        <v>2498</v>
      </c>
    </row>
    <row r="185" spans="1:10" x14ac:dyDescent="0.25">
      <c r="A185">
        <v>250</v>
      </c>
      <c r="B185" s="150">
        <v>42887</v>
      </c>
      <c r="C185" s="10">
        <v>250</v>
      </c>
      <c r="D185" s="39">
        <v>31.37</v>
      </c>
      <c r="E185" s="39">
        <v>27.03</v>
      </c>
      <c r="F185" s="39">
        <f t="shared" si="11"/>
        <v>-1085</v>
      </c>
      <c r="G185" s="39">
        <f t="shared" si="12"/>
        <v>7842.5</v>
      </c>
      <c r="H185" s="179">
        <f t="shared" si="13"/>
        <v>-0.13834874083519286</v>
      </c>
      <c r="I185" s="39" t="s">
        <v>655</v>
      </c>
      <c r="J185" s="39">
        <v>2225</v>
      </c>
    </row>
    <row r="186" spans="1:10" x14ac:dyDescent="0.25">
      <c r="A186">
        <v>150</v>
      </c>
      <c r="B186" s="150">
        <v>42898</v>
      </c>
      <c r="C186" s="7">
        <v>250</v>
      </c>
      <c r="D186" s="43">
        <v>30.778400000000001</v>
      </c>
      <c r="E186" s="39">
        <v>27.36</v>
      </c>
      <c r="F186" s="39">
        <f t="shared" si="11"/>
        <v>-854.60000000000048</v>
      </c>
      <c r="G186" s="39">
        <f t="shared" si="12"/>
        <v>7694.6</v>
      </c>
      <c r="H186" s="179">
        <f t="shared" si="13"/>
        <v>-0.11106490265900767</v>
      </c>
      <c r="I186" s="39"/>
      <c r="J186" s="39">
        <v>2456</v>
      </c>
    </row>
    <row r="187" spans="1:10" x14ac:dyDescent="0.25">
      <c r="A187">
        <v>150</v>
      </c>
      <c r="B187" s="150">
        <v>42936</v>
      </c>
      <c r="C187" s="10">
        <v>150</v>
      </c>
      <c r="D187" s="39">
        <v>30.5411</v>
      </c>
      <c r="E187" s="39">
        <v>31.13</v>
      </c>
      <c r="F187" s="39">
        <f t="shared" si="11"/>
        <v>88.334999999999837</v>
      </c>
      <c r="G187" s="39">
        <f t="shared" si="12"/>
        <v>4581.165</v>
      </c>
      <c r="H187" s="179">
        <f t="shared" si="13"/>
        <v>1.9282213148838739E-2</v>
      </c>
      <c r="I187" s="39"/>
      <c r="J187" s="39">
        <v>3380</v>
      </c>
    </row>
    <row r="188" spans="1:10" x14ac:dyDescent="0.25">
      <c r="A188">
        <v>150</v>
      </c>
      <c r="B188" s="150">
        <v>42940</v>
      </c>
      <c r="C188" s="7">
        <v>250</v>
      </c>
      <c r="D188" s="43">
        <v>30.4406</v>
      </c>
      <c r="E188" s="39">
        <v>30.22</v>
      </c>
      <c r="F188" s="39">
        <f t="shared" si="11"/>
        <v>-55.150000000000254</v>
      </c>
      <c r="G188" s="39">
        <f t="shared" si="12"/>
        <v>7610.15</v>
      </c>
      <c r="H188" s="179">
        <f t="shared" si="13"/>
        <v>-7.2469005210147311E-3</v>
      </c>
      <c r="I188" s="39"/>
      <c r="J188" s="39">
        <v>3255</v>
      </c>
    </row>
    <row r="189" spans="1:10" x14ac:dyDescent="0.25">
      <c r="A189">
        <v>150</v>
      </c>
      <c r="B189" s="150">
        <v>42942</v>
      </c>
      <c r="C189" s="10">
        <v>300</v>
      </c>
      <c r="D189" s="39">
        <v>30.165500000000002</v>
      </c>
      <c r="E189" s="39">
        <v>28.88</v>
      </c>
      <c r="F189" s="39">
        <f t="shared" si="11"/>
        <v>-385.65000000000077</v>
      </c>
      <c r="G189" s="39">
        <f t="shared" si="12"/>
        <v>9049.65</v>
      </c>
      <c r="H189" s="179">
        <f t="shared" si="13"/>
        <v>-4.2614907758863681E-2</v>
      </c>
      <c r="I189" s="39"/>
      <c r="J189" s="39">
        <v>2925</v>
      </c>
    </row>
    <row r="190" spans="1:10" x14ac:dyDescent="0.25">
      <c r="A190">
        <v>100</v>
      </c>
      <c r="B190" s="150">
        <v>42950</v>
      </c>
      <c r="C190" s="7">
        <v>250</v>
      </c>
      <c r="D190" s="43">
        <v>30.122800000000002</v>
      </c>
      <c r="E190" s="39">
        <v>30.71</v>
      </c>
      <c r="F190" s="39">
        <f t="shared" si="11"/>
        <v>146.79999999999981</v>
      </c>
      <c r="G190" s="39">
        <f t="shared" si="12"/>
        <v>7530.7000000000007</v>
      </c>
      <c r="H190" s="179">
        <f t="shared" si="13"/>
        <v>1.9493539777178725E-2</v>
      </c>
      <c r="I190" s="39"/>
      <c r="J190" s="39">
        <v>3457</v>
      </c>
    </row>
    <row r="191" spans="1:10" x14ac:dyDescent="0.25">
      <c r="A191">
        <v>50</v>
      </c>
      <c r="B191" s="150">
        <v>42951</v>
      </c>
      <c r="C191" s="10">
        <v>200</v>
      </c>
      <c r="D191" s="39">
        <v>29.808700000000002</v>
      </c>
      <c r="E191" s="39">
        <v>32.21</v>
      </c>
      <c r="F191" s="39">
        <f t="shared" si="11"/>
        <v>480.25999999999982</v>
      </c>
      <c r="G191" s="39">
        <f t="shared" si="12"/>
        <v>5961.7400000000007</v>
      </c>
      <c r="H191" s="179">
        <f t="shared" si="13"/>
        <v>8.0557018588532842E-2</v>
      </c>
      <c r="I191" s="39"/>
      <c r="J191" s="39">
        <v>3791</v>
      </c>
    </row>
    <row r="192" spans="1:10" x14ac:dyDescent="0.25">
      <c r="A192">
        <v>50</v>
      </c>
      <c r="B192" s="150">
        <v>42957</v>
      </c>
      <c r="C192" s="7">
        <v>250</v>
      </c>
      <c r="D192" s="43">
        <v>29.986999999999998</v>
      </c>
      <c r="E192" s="39">
        <v>30.76</v>
      </c>
      <c r="F192" s="39">
        <f t="shared" si="11"/>
        <v>193.2500000000008</v>
      </c>
      <c r="G192" s="39">
        <f t="shared" si="12"/>
        <v>7496.75</v>
      </c>
      <c r="H192" s="179">
        <f t="shared" si="13"/>
        <v>2.577783706272729E-2</v>
      </c>
      <c r="I192" s="39"/>
      <c r="J192" s="39">
        <v>3504</v>
      </c>
    </row>
    <row r="193" spans="1:10" x14ac:dyDescent="0.25">
      <c r="B193" s="150">
        <v>42979</v>
      </c>
      <c r="C193" s="7">
        <v>250</v>
      </c>
      <c r="D193" s="43">
        <v>29.687000000000001</v>
      </c>
      <c r="E193" s="39">
        <v>29.98</v>
      </c>
      <c r="F193" s="39">
        <f t="shared" si="11"/>
        <v>73.249999999999815</v>
      </c>
      <c r="G193" s="39">
        <f t="shared" si="12"/>
        <v>7421.75</v>
      </c>
      <c r="H193" s="179">
        <f t="shared" si="13"/>
        <v>9.8696399097247707E-3</v>
      </c>
      <c r="I193" s="173" t="s">
        <v>684</v>
      </c>
      <c r="J193" s="39">
        <v>3384</v>
      </c>
    </row>
    <row r="194" spans="1:10" x14ac:dyDescent="0.25">
      <c r="A194">
        <v>200</v>
      </c>
      <c r="B194" s="150">
        <v>42983</v>
      </c>
      <c r="C194" s="480">
        <v>350</v>
      </c>
      <c r="D194" s="549">
        <v>29.5335</v>
      </c>
      <c r="E194" s="39">
        <v>29.08</v>
      </c>
      <c r="F194" s="39">
        <f t="shared" si="11"/>
        <v>-158.72500000000062</v>
      </c>
      <c r="G194" s="39">
        <f t="shared" si="12"/>
        <v>10336.725</v>
      </c>
      <c r="H194" s="179">
        <f t="shared" si="13"/>
        <v>-1.5355443818037206E-2</v>
      </c>
      <c r="I194" s="39">
        <v>29</v>
      </c>
      <c r="J194" s="39">
        <v>3152</v>
      </c>
    </row>
    <row r="195" spans="1:10" x14ac:dyDescent="0.25">
      <c r="A195">
        <v>100</v>
      </c>
      <c r="B195" s="150">
        <v>42984</v>
      </c>
      <c r="C195" s="7">
        <v>250</v>
      </c>
      <c r="D195" s="43">
        <v>29.3552</v>
      </c>
      <c r="E195" s="39">
        <v>29.98</v>
      </c>
      <c r="F195" s="39">
        <f t="shared" si="11"/>
        <v>156.2000000000001</v>
      </c>
      <c r="G195" s="39">
        <f t="shared" si="12"/>
        <v>7338.8</v>
      </c>
      <c r="H195" s="179">
        <f t="shared" si="13"/>
        <v>2.1284133645827673E-2</v>
      </c>
      <c r="I195" s="39">
        <v>29</v>
      </c>
      <c r="J195" s="39"/>
    </row>
    <row r="196" spans="1:10" x14ac:dyDescent="0.25">
      <c r="A196">
        <v>50</v>
      </c>
      <c r="B196" s="150">
        <v>42984</v>
      </c>
      <c r="C196" s="10">
        <v>200</v>
      </c>
      <c r="D196" s="39">
        <v>28.998999999999999</v>
      </c>
      <c r="E196" s="39">
        <v>30.78</v>
      </c>
      <c r="F196" s="39">
        <f t="shared" si="11"/>
        <v>356.2000000000005</v>
      </c>
      <c r="G196" s="39">
        <f t="shared" si="12"/>
        <v>5799.8</v>
      </c>
      <c r="H196" s="179">
        <f t="shared" si="13"/>
        <v>6.141591089347917E-2</v>
      </c>
      <c r="I196" s="39"/>
      <c r="J196" s="39">
        <v>3633</v>
      </c>
    </row>
    <row r="197" spans="1:10" x14ac:dyDescent="0.25">
      <c r="B197" s="150"/>
      <c r="C197" s="10"/>
      <c r="D197" s="39"/>
      <c r="E197" s="39"/>
      <c r="F197" s="39"/>
      <c r="G197" s="39"/>
      <c r="H197" s="179"/>
      <c r="I197" s="39"/>
      <c r="J197" s="39"/>
    </row>
    <row r="198" spans="1:10" x14ac:dyDescent="0.25">
      <c r="A198">
        <v>0</v>
      </c>
      <c r="B198" s="150">
        <v>42984</v>
      </c>
      <c r="C198" s="10">
        <v>150</v>
      </c>
      <c r="D198" s="39">
        <v>29.666699999999999</v>
      </c>
      <c r="E198" s="39">
        <v>31.2</v>
      </c>
      <c r="F198" s="39">
        <f>C198*(E198-D198)</f>
        <v>229.99500000000009</v>
      </c>
      <c r="G198" s="39">
        <f>D198*C198</f>
        <v>4450.0050000000001</v>
      </c>
      <c r="H198" s="179">
        <f>(E198-D198)/D198</f>
        <v>5.1684211590773514E-2</v>
      </c>
      <c r="I198" s="39">
        <v>29</v>
      </c>
      <c r="J198" s="39">
        <v>3519</v>
      </c>
    </row>
    <row r="199" spans="1:10" x14ac:dyDescent="0.25">
      <c r="A199">
        <v>0</v>
      </c>
      <c r="B199" s="150">
        <v>42989</v>
      </c>
      <c r="C199" s="10">
        <v>100</v>
      </c>
      <c r="D199" s="39">
        <v>28.1554</v>
      </c>
      <c r="E199" s="39">
        <v>32.31</v>
      </c>
      <c r="F199" s="39">
        <f>C199*(E199-D199)</f>
        <v>415.46000000000021</v>
      </c>
      <c r="G199" s="39">
        <f>D199*C199</f>
        <v>2815.54</v>
      </c>
      <c r="H199" s="179">
        <f>(E199-D199)/D199</f>
        <v>0.14755961556220129</v>
      </c>
      <c r="I199" s="39">
        <v>28</v>
      </c>
      <c r="J199" s="39">
        <v>3940</v>
      </c>
    </row>
    <row r="200" spans="1:10" x14ac:dyDescent="0.25">
      <c r="B200" s="150">
        <v>43002</v>
      </c>
      <c r="C200" s="10">
        <v>100</v>
      </c>
      <c r="D200" s="39">
        <v>28.16</v>
      </c>
      <c r="E200" s="39">
        <v>35.229999999999997</v>
      </c>
      <c r="F200" s="39">
        <f>C200*(E200-D200)</f>
        <v>706.99999999999966</v>
      </c>
      <c r="G200" s="39">
        <f>D200*C200</f>
        <v>2816</v>
      </c>
      <c r="H200" s="179">
        <f>(E200-D200)/D200</f>
        <v>0.25106534090909077</v>
      </c>
      <c r="I200" s="39">
        <v>28</v>
      </c>
      <c r="J200" s="39">
        <v>4232</v>
      </c>
    </row>
    <row r="201" spans="1:10" x14ac:dyDescent="0.25">
      <c r="B201" s="150"/>
      <c r="C201" s="10"/>
      <c r="D201" s="39"/>
      <c r="E201" s="39"/>
      <c r="F201" s="39"/>
      <c r="G201" s="39"/>
      <c r="H201" s="179"/>
      <c r="I201" s="39"/>
      <c r="J201" s="39"/>
    </row>
    <row r="202" spans="1:10" x14ac:dyDescent="0.25">
      <c r="B202" s="150">
        <v>43009</v>
      </c>
      <c r="C202" s="10">
        <v>100</v>
      </c>
      <c r="D202" s="39">
        <v>29.15</v>
      </c>
      <c r="E202" s="39">
        <v>35.159999999999997</v>
      </c>
      <c r="F202" s="39">
        <f>C202*(E202-D202)</f>
        <v>600.99999999999977</v>
      </c>
      <c r="G202" s="39">
        <f>D202*C202</f>
        <v>2915</v>
      </c>
      <c r="H202" s="179">
        <f>(E202-D202)/D202</f>
        <v>0.20617495711835329</v>
      </c>
      <c r="I202" s="39">
        <v>28.5</v>
      </c>
      <c r="J202" s="39">
        <v>4225</v>
      </c>
    </row>
    <row r="203" spans="1:10" x14ac:dyDescent="0.25">
      <c r="B203" s="150">
        <v>43021</v>
      </c>
      <c r="C203" s="10">
        <v>0</v>
      </c>
      <c r="D203" s="39"/>
      <c r="E203" s="39"/>
      <c r="F203" s="39">
        <v>752.92</v>
      </c>
      <c r="G203" s="39"/>
      <c r="H203" s="179"/>
      <c r="I203" s="39"/>
      <c r="J203" s="39">
        <v>4376.96</v>
      </c>
    </row>
    <row r="204" spans="1:10" x14ac:dyDescent="0.25">
      <c r="B204" s="150"/>
      <c r="C204" s="10"/>
      <c r="D204" s="39"/>
      <c r="E204" s="39"/>
      <c r="F204" s="39"/>
      <c r="G204" s="39"/>
      <c r="H204" s="179"/>
      <c r="I204" s="39"/>
      <c r="J204" s="39"/>
    </row>
    <row r="205" spans="1:10" x14ac:dyDescent="0.25">
      <c r="B205" s="150"/>
      <c r="C205" s="10"/>
      <c r="D205" s="39"/>
      <c r="E205" s="39"/>
      <c r="F205" s="39"/>
      <c r="G205" s="39"/>
      <c r="H205" s="179"/>
      <c r="I205" s="39"/>
      <c r="J205" s="39"/>
    </row>
    <row r="206" spans="1:10" x14ac:dyDescent="0.25">
      <c r="B206" s="150"/>
      <c r="C206" s="10"/>
      <c r="D206" s="39"/>
      <c r="E206" s="39"/>
      <c r="F206" s="39"/>
      <c r="G206" s="39"/>
      <c r="H206" s="179"/>
      <c r="I206" s="39"/>
      <c r="J206" s="39"/>
    </row>
    <row r="207" spans="1:10" x14ac:dyDescent="0.25">
      <c r="B207" s="150"/>
      <c r="C207" s="10"/>
      <c r="D207" s="39"/>
      <c r="E207" s="39"/>
      <c r="F207" s="39"/>
      <c r="G207" s="39"/>
      <c r="H207" s="179"/>
      <c r="I207" s="39"/>
      <c r="J207" s="39"/>
    </row>
    <row r="208" spans="1:10" x14ac:dyDescent="0.25">
      <c r="B208" s="150"/>
      <c r="C208" s="10"/>
      <c r="D208" s="39"/>
      <c r="E208" s="39"/>
      <c r="F208" s="39"/>
      <c r="G208" s="39"/>
      <c r="H208" s="179"/>
      <c r="I208" s="39"/>
      <c r="J208" s="39"/>
    </row>
    <row r="209" spans="2:10" x14ac:dyDescent="0.25">
      <c r="B209" s="150"/>
      <c r="C209" s="10"/>
      <c r="D209" s="39"/>
      <c r="E209" s="39"/>
      <c r="F209" s="39"/>
      <c r="G209" s="39"/>
      <c r="H209" s="179"/>
      <c r="I209" s="39"/>
      <c r="J209" s="39"/>
    </row>
    <row r="210" spans="2:10" x14ac:dyDescent="0.25">
      <c r="B210" s="150"/>
      <c r="C210" s="10"/>
      <c r="D210" s="39"/>
      <c r="E210" s="39"/>
      <c r="F210" s="39"/>
      <c r="G210" s="39"/>
      <c r="H210" s="179"/>
      <c r="I210" s="39"/>
      <c r="J210" s="39"/>
    </row>
    <row r="211" spans="2:10" x14ac:dyDescent="0.25">
      <c r="B211" s="150"/>
      <c r="C211" s="10"/>
      <c r="D211" s="39"/>
      <c r="E211" s="39"/>
      <c r="F211" s="39"/>
      <c r="G211" s="39"/>
      <c r="H211" s="179"/>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666" priority="84">
      <formula>F7&gt;0</formula>
    </cfRule>
    <cfRule type="expression" dxfId="665" priority="85">
      <formula>F7&lt;0</formula>
    </cfRule>
  </conditionalFormatting>
  <conditionalFormatting sqref="Q8">
    <cfRule type="expression" dxfId="664" priority="82">
      <formula>Q8&gt;0</formula>
    </cfRule>
    <cfRule type="expression" dxfId="663" priority="83">
      <formula>Q8&lt;0</formula>
    </cfRule>
  </conditionalFormatting>
  <conditionalFormatting sqref="F29:F36">
    <cfRule type="expression" dxfId="662" priority="62">
      <formula>F29&gt;0</formula>
    </cfRule>
    <cfRule type="expression" dxfId="661" priority="63">
      <formula>F29&lt;0</formula>
    </cfRule>
  </conditionalFormatting>
  <conditionalFormatting sqref="J32:J38">
    <cfRule type="expression" dxfId="660" priority="57">
      <formula>J32&gt;0</formula>
    </cfRule>
    <cfRule type="expression" dxfId="659" priority="58">
      <formula>J32&lt;0</formula>
    </cfRule>
  </conditionalFormatting>
  <conditionalFormatting sqref="M42">
    <cfRule type="expression" dxfId="658" priority="55">
      <formula>M42&gt;0</formula>
    </cfRule>
    <cfRule type="expression" dxfId="657" priority="56">
      <formula>M42&lt;0</formula>
    </cfRule>
  </conditionalFormatting>
  <conditionalFormatting sqref="F98:F134 H98:H134 H137:H142 F137:F142 F144:F153 H144:H153">
    <cfRule type="expression" dxfId="656" priority="53">
      <formula>F98&gt;0</formula>
    </cfRule>
    <cfRule type="expression" dxfId="655" priority="54">
      <formula>F98&lt;0</formula>
    </cfRule>
  </conditionalFormatting>
  <conditionalFormatting sqref="F90:F97">
    <cfRule type="expression" dxfId="654" priority="51">
      <formula>F90&gt;0</formula>
    </cfRule>
    <cfRule type="expression" dxfId="653" priority="52">
      <formula>F90&lt;0</formula>
    </cfRule>
  </conditionalFormatting>
  <conditionalFormatting sqref="H90:H97">
    <cfRule type="expression" dxfId="652" priority="49">
      <formula>H90&gt;0</formula>
    </cfRule>
    <cfRule type="expression" dxfId="651" priority="50">
      <formula>H90&lt;0</formula>
    </cfRule>
  </conditionalFormatting>
  <conditionalFormatting sqref="F135:F136 H135:H136">
    <cfRule type="expression" dxfId="650" priority="47">
      <formula>F135&gt;0</formula>
    </cfRule>
    <cfRule type="expression" dxfId="649" priority="48">
      <formula>F135&lt;0</formula>
    </cfRule>
  </conditionalFormatting>
  <conditionalFormatting sqref="H143 F143">
    <cfRule type="expression" dxfId="648" priority="45">
      <formula>F143&gt;0</formula>
    </cfRule>
    <cfRule type="expression" dxfId="647" priority="46">
      <formula>F143&lt;0</formula>
    </cfRule>
  </conditionalFormatting>
  <conditionalFormatting sqref="F154:F161">
    <cfRule type="expression" dxfId="646" priority="31">
      <formula>F154&gt;0</formula>
    </cfRule>
    <cfRule type="expression" dxfId="645" priority="32">
      <formula>F154&lt;0</formula>
    </cfRule>
  </conditionalFormatting>
  <conditionalFormatting sqref="H154:H161">
    <cfRule type="expression" dxfId="644" priority="29">
      <formula>H154&gt;0</formula>
    </cfRule>
    <cfRule type="expression" dxfId="643" priority="30">
      <formula>H154&lt;0</formula>
    </cfRule>
  </conditionalFormatting>
  <conditionalFormatting sqref="Q10">
    <cfRule type="expression" dxfId="642" priority="27">
      <formula>Q10&gt;0</formula>
    </cfRule>
    <cfRule type="expression" dxfId="641" priority="28">
      <formula>Q10&lt;0</formula>
    </cfRule>
  </conditionalFormatting>
  <conditionalFormatting sqref="F37:F38">
    <cfRule type="expression" dxfId="640" priority="25">
      <formula>F37&gt;0</formula>
    </cfRule>
    <cfRule type="expression" dxfId="639" priority="26">
      <formula>F37&lt;0</formula>
    </cfRule>
  </conditionalFormatting>
  <conditionalFormatting sqref="H37:H38">
    <cfRule type="expression" dxfId="638" priority="23">
      <formula>H37&gt;0</formula>
    </cfRule>
    <cfRule type="expression" dxfId="637" priority="24">
      <formula>H37&lt;0</formula>
    </cfRule>
  </conditionalFormatting>
  <conditionalFormatting sqref="F167">
    <cfRule type="expression" dxfId="636" priority="21">
      <formula>F167&gt;0</formula>
    </cfRule>
    <cfRule type="expression" dxfId="635" priority="22">
      <formula>F167&lt;0</formula>
    </cfRule>
  </conditionalFormatting>
  <conditionalFormatting sqref="F168:F179">
    <cfRule type="expression" dxfId="634" priority="19">
      <formula>F168&gt;0</formula>
    </cfRule>
    <cfRule type="expression" dxfId="633" priority="20">
      <formula>F168&lt;0</formula>
    </cfRule>
  </conditionalFormatting>
  <conditionalFormatting sqref="H167:H179">
    <cfRule type="expression" dxfId="632" priority="17">
      <formula>H167&gt;0</formula>
    </cfRule>
    <cfRule type="expression" dxfId="631" priority="18">
      <formula>H167&lt;0</formula>
    </cfRule>
  </conditionalFormatting>
  <conditionalFormatting sqref="J175:J197 J201">
    <cfRule type="expression" dxfId="630" priority="15">
      <formula>J175&gt;0</formula>
    </cfRule>
    <cfRule type="expression" dxfId="629" priority="16">
      <formula>J175&lt;0</formula>
    </cfRule>
  </conditionalFormatting>
  <conditionalFormatting sqref="F180:F197 F201">
    <cfRule type="expression" dxfId="628" priority="13">
      <formula>F180&gt;0</formula>
    </cfRule>
    <cfRule type="expression" dxfId="627" priority="14">
      <formula>F180&lt;0</formula>
    </cfRule>
  </conditionalFormatting>
  <conditionalFormatting sqref="H180:H197 H201">
    <cfRule type="expression" dxfId="626" priority="11">
      <formula>H180&gt;0</formula>
    </cfRule>
    <cfRule type="expression" dxfId="625" priority="12">
      <formula>H180&lt;0</formula>
    </cfRule>
  </conditionalFormatting>
  <conditionalFormatting sqref="I32:J35">
    <cfRule type="expression" dxfId="624" priority="9">
      <formula>I32&gt;0</formula>
    </cfRule>
    <cfRule type="expression" dxfId="623" priority="10">
      <formula>I32&lt;0</formula>
    </cfRule>
  </conditionalFormatting>
  <conditionalFormatting sqref="F198:F200">
    <cfRule type="expression" dxfId="622" priority="7">
      <formula>F198&gt;0</formula>
    </cfRule>
    <cfRule type="expression" dxfId="621" priority="8">
      <formula>F198&lt;0</formula>
    </cfRule>
  </conditionalFormatting>
  <conditionalFormatting sqref="H198:H200">
    <cfRule type="expression" dxfId="620" priority="5">
      <formula>H198&gt;0</formula>
    </cfRule>
    <cfRule type="expression" dxfId="619" priority="6">
      <formula>H198&lt;0</formula>
    </cfRule>
  </conditionalFormatting>
  <conditionalFormatting sqref="J198:J200">
    <cfRule type="expression" dxfId="618" priority="3">
      <formula>J198&gt;0</formula>
    </cfRule>
    <cfRule type="expression" dxfId="617" priority="4">
      <formula>J198&lt;0</formula>
    </cfRule>
  </conditionalFormatting>
  <conditionalFormatting sqref="F202:F211 H202:H211 J202:J211">
    <cfRule type="expression" dxfId="616" priority="1">
      <formula>F202&gt;0</formula>
    </cfRule>
    <cfRule type="expression" dxfId="615"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332</v>
      </c>
      <c r="B2" s="740">
        <v>43165</v>
      </c>
      <c r="C2" s="738">
        <v>50</v>
      </c>
      <c r="D2" s="739">
        <v>70.28</v>
      </c>
      <c r="E2" s="739">
        <v>0</v>
      </c>
      <c r="F2" s="739">
        <f>C2*D2+E2</f>
        <v>3514</v>
      </c>
      <c r="G2" s="740">
        <v>43217</v>
      </c>
      <c r="H2" s="738">
        <v>50</v>
      </c>
      <c r="I2" s="739">
        <v>72.88</v>
      </c>
      <c r="J2" s="739">
        <v>0.08</v>
      </c>
      <c r="K2" s="739">
        <f>H2*I2-J2</f>
        <v>3643.92</v>
      </c>
      <c r="L2" s="674"/>
      <c r="M2" s="673"/>
      <c r="O2" s="11" t="s">
        <v>57</v>
      </c>
      <c r="Q2">
        <f>C18-H18</f>
        <v>0</v>
      </c>
      <c r="T2" s="1"/>
    </row>
    <row r="3" spans="1:23" x14ac:dyDescent="0.25">
      <c r="A3" s="22" t="s">
        <v>71</v>
      </c>
      <c r="B3" s="407"/>
      <c r="C3" s="4"/>
      <c r="D3" s="3"/>
      <c r="E3" s="3"/>
      <c r="F3" s="3"/>
      <c r="G3" s="407"/>
      <c r="H3" s="161"/>
      <c r="I3" s="3"/>
      <c r="J3" s="3"/>
      <c r="K3" s="3"/>
      <c r="L3" s="72"/>
      <c r="M3" s="3"/>
      <c r="O3" s="11" t="s">
        <v>58</v>
      </c>
      <c r="Q3" s="178">
        <f>IF(Q2=0, Q4, (F18-K18-M18)/Q2)</f>
        <v>72.33</v>
      </c>
      <c r="T3" s="1"/>
    </row>
    <row r="4" spans="1:23" x14ac:dyDescent="0.25">
      <c r="B4" s="407"/>
      <c r="C4" s="4"/>
      <c r="D4" s="3"/>
      <c r="E4" s="3"/>
      <c r="F4" s="3"/>
      <c r="G4" s="407"/>
      <c r="H4" s="161"/>
      <c r="I4" s="3"/>
      <c r="J4" s="3"/>
      <c r="K4" s="3"/>
      <c r="L4" s="4"/>
      <c r="M4" s="4"/>
      <c r="O4" s="11" t="s">
        <v>66</v>
      </c>
      <c r="Q4" s="54">
        <v>72.33</v>
      </c>
      <c r="R4" s="423">
        <v>1.61E-2</v>
      </c>
      <c r="T4" s="156"/>
      <c r="U4" s="1"/>
    </row>
    <row r="5" spans="1:23" x14ac:dyDescent="0.25">
      <c r="B5" s="407"/>
      <c r="C5" s="4"/>
      <c r="D5" s="3"/>
      <c r="E5" s="3"/>
      <c r="F5" s="3"/>
      <c r="G5" s="407"/>
      <c r="H5" s="161"/>
      <c r="I5" s="3"/>
      <c r="J5" s="3"/>
      <c r="K5" s="3"/>
      <c r="L5" s="4"/>
      <c r="M5" s="4"/>
      <c r="O5" s="11" t="s">
        <v>67</v>
      </c>
      <c r="Q5" s="3">
        <f>Q4*Q2</f>
        <v>0</v>
      </c>
    </row>
    <row r="6" spans="1:23" x14ac:dyDescent="0.25">
      <c r="B6" s="407"/>
      <c r="C6" s="4"/>
      <c r="D6" s="3"/>
      <c r="E6" s="3"/>
      <c r="F6" s="3"/>
      <c r="G6" s="407"/>
      <c r="H6" s="161"/>
      <c r="I6" s="3"/>
      <c r="J6" s="3"/>
      <c r="K6" s="3"/>
      <c r="L6" s="4"/>
      <c r="M6" s="4"/>
      <c r="O6" s="11" t="s">
        <v>64</v>
      </c>
      <c r="Q6" s="2">
        <f>Q3*Q2</f>
        <v>0</v>
      </c>
    </row>
    <row r="7" spans="1:23" x14ac:dyDescent="0.25">
      <c r="B7" s="407"/>
      <c r="C7" s="4"/>
      <c r="D7" s="3"/>
      <c r="E7" s="3"/>
      <c r="F7" s="3"/>
      <c r="G7" s="407"/>
      <c r="H7" s="161"/>
      <c r="I7" s="3"/>
      <c r="J7" s="3"/>
      <c r="K7" s="3"/>
      <c r="L7" s="4"/>
      <c r="M7" s="4"/>
      <c r="O7" s="11" t="s">
        <v>177</v>
      </c>
      <c r="Q7" s="2">
        <f>Q10+Q8</f>
        <v>2190.3500000000004</v>
      </c>
      <c r="R7">
        <v>0</v>
      </c>
    </row>
    <row r="8" spans="1:23" x14ac:dyDescent="0.25">
      <c r="G8" s="407"/>
      <c r="H8" s="161"/>
      <c r="I8" s="3"/>
      <c r="J8" s="3"/>
      <c r="K8" s="3"/>
      <c r="L8" s="4"/>
      <c r="M8" s="4"/>
      <c r="O8" s="11" t="s">
        <v>179</v>
      </c>
      <c r="P8" s="33"/>
      <c r="Q8" s="2">
        <f>K18+M18-F18+Q2*Q4</f>
        <v>129.92000000000007</v>
      </c>
    </row>
    <row r="9" spans="1:23" x14ac:dyDescent="0.25">
      <c r="B9" s="407"/>
      <c r="C9" s="4"/>
      <c r="D9" s="3"/>
      <c r="E9" s="3"/>
      <c r="F9" s="3"/>
      <c r="G9" s="407"/>
      <c r="H9" s="161"/>
      <c r="I9" s="3"/>
      <c r="J9" s="3"/>
      <c r="K9" s="3"/>
      <c r="L9" s="4"/>
      <c r="M9" s="4"/>
      <c r="O9" s="11" t="s">
        <v>204</v>
      </c>
      <c r="Q9" s="155">
        <f>IF(Q2=0, 0, Q8/Q6)</f>
        <v>0</v>
      </c>
    </row>
    <row r="10" spans="1:23" x14ac:dyDescent="0.25">
      <c r="B10" s="407"/>
      <c r="C10" s="4"/>
      <c r="D10" s="3"/>
      <c r="E10" s="3"/>
      <c r="F10" s="3"/>
      <c r="G10" s="407"/>
      <c r="H10" s="161"/>
      <c r="I10" s="3"/>
      <c r="J10" s="3"/>
      <c r="K10" s="3"/>
      <c r="L10" s="407"/>
      <c r="M10" s="4"/>
      <c r="O10" s="11" t="s">
        <v>203</v>
      </c>
      <c r="P10" s="33"/>
      <c r="Q10" s="2">
        <f>M59</f>
        <v>2060.4300000000003</v>
      </c>
    </row>
    <row r="11" spans="1:23" x14ac:dyDescent="0.25">
      <c r="B11" s="407"/>
      <c r="C11" s="4"/>
      <c r="D11" s="3"/>
      <c r="E11" s="3"/>
      <c r="F11" s="3"/>
      <c r="G11" s="407"/>
      <c r="H11" s="161"/>
      <c r="I11" s="3"/>
      <c r="J11" s="3"/>
      <c r="K11" s="3"/>
      <c r="L11" s="4"/>
      <c r="M11" s="4"/>
      <c r="O11" s="11" t="s">
        <v>175</v>
      </c>
      <c r="P11" s="33"/>
      <c r="Q11" s="134">
        <f>IF(U58="N/A (N/A)", 0, VALUE(TRIM(CLEAN(MID(U58, FIND("(", U58)+1, 5)))))</f>
        <v>4.3499999999999997E-2</v>
      </c>
    </row>
    <row r="12" spans="1:23" x14ac:dyDescent="0.25">
      <c r="B12" s="407"/>
      <c r="C12" s="4"/>
      <c r="D12" s="3"/>
      <c r="E12" s="3"/>
      <c r="F12" s="3"/>
      <c r="G12" s="407"/>
      <c r="H12" s="161"/>
      <c r="I12" s="3"/>
      <c r="J12" s="3"/>
      <c r="K12" s="3"/>
      <c r="L12" s="4"/>
      <c r="M12" s="4"/>
      <c r="O12" s="11" t="s">
        <v>921</v>
      </c>
      <c r="Q12" s="1"/>
    </row>
    <row r="13" spans="1:23" x14ac:dyDescent="0.25">
      <c r="B13" s="407"/>
      <c r="C13" s="4"/>
      <c r="D13" s="3"/>
      <c r="E13" s="3"/>
      <c r="F13" s="3"/>
      <c r="G13" s="407"/>
      <c r="H13" s="161"/>
      <c r="I13" s="3"/>
      <c r="J13" s="3"/>
      <c r="K13" s="3"/>
      <c r="L13" s="4"/>
      <c r="M13" s="4"/>
      <c r="O13" s="11" t="s">
        <v>947</v>
      </c>
      <c r="Q13">
        <f>Q4/5.25</f>
        <v>13.777142857142858</v>
      </c>
    </row>
    <row r="14" spans="1:23" x14ac:dyDescent="0.25">
      <c r="B14" s="407"/>
      <c r="C14" s="4"/>
      <c r="D14" s="3"/>
      <c r="E14" s="3"/>
      <c r="F14" s="3"/>
      <c r="G14" s="407"/>
      <c r="H14" s="161"/>
      <c r="I14" s="3"/>
      <c r="J14" s="3"/>
      <c r="K14" s="3"/>
      <c r="L14" s="4"/>
      <c r="M14" s="4"/>
    </row>
    <row r="15" spans="1:23" x14ac:dyDescent="0.25">
      <c r="B15" s="407"/>
      <c r="C15" s="4"/>
      <c r="D15" s="3"/>
      <c r="E15" s="3"/>
      <c r="F15" s="3"/>
      <c r="G15" s="407"/>
      <c r="H15" s="161"/>
      <c r="I15" s="3"/>
      <c r="J15" s="3"/>
      <c r="K15" s="3"/>
      <c r="L15" s="4"/>
      <c r="M15" s="4"/>
      <c r="O15" s="604" t="s">
        <v>113</v>
      </c>
      <c r="P15" s="604" t="s">
        <v>665</v>
      </c>
      <c r="Q15" s="604" t="s">
        <v>666</v>
      </c>
      <c r="R15" s="602" t="s">
        <v>659</v>
      </c>
      <c r="S15" s="602" t="s">
        <v>660</v>
      </c>
      <c r="T15" s="604" t="s">
        <v>662</v>
      </c>
      <c r="U15" s="604" t="s">
        <v>663</v>
      </c>
      <c r="V15" s="602" t="s">
        <v>661</v>
      </c>
      <c r="W15" s="603" t="s">
        <v>664</v>
      </c>
    </row>
    <row r="16" spans="1:23" x14ac:dyDescent="0.25">
      <c r="G16" s="29"/>
      <c r="H16" s="70"/>
      <c r="O16" s="605">
        <v>42963</v>
      </c>
      <c r="P16" s="601" t="s">
        <v>667</v>
      </c>
      <c r="Q16" s="601"/>
      <c r="R16" s="600">
        <v>1.18</v>
      </c>
      <c r="S16" s="600">
        <v>1.23</v>
      </c>
      <c r="T16" s="601">
        <v>16.28</v>
      </c>
      <c r="U16" s="601">
        <v>16.399999999999999</v>
      </c>
      <c r="V16" s="598" t="s">
        <v>669</v>
      </c>
      <c r="W16" s="599"/>
    </row>
    <row r="17" spans="1:23" x14ac:dyDescent="0.25">
      <c r="G17" s="29"/>
      <c r="O17" s="607"/>
      <c r="P17" s="601"/>
      <c r="Q17" s="601"/>
      <c r="R17" s="600"/>
      <c r="S17" s="598"/>
      <c r="T17" s="601"/>
      <c r="U17" s="601"/>
      <c r="V17" s="598"/>
      <c r="W17" s="599"/>
    </row>
    <row r="18" spans="1:23" x14ac:dyDescent="0.25">
      <c r="A18" s="31" t="s">
        <v>81</v>
      </c>
      <c r="B18" s="408"/>
      <c r="C18" s="14">
        <f>SUM(C2:C14)</f>
        <v>50</v>
      </c>
      <c r="D18" s="18"/>
      <c r="E18" s="18"/>
      <c r="F18" s="18">
        <f>SUM(F2:F14)</f>
        <v>3514</v>
      </c>
      <c r="G18" s="14"/>
      <c r="H18" s="14">
        <f>SUM(H2:H13)</f>
        <v>50</v>
      </c>
      <c r="I18" s="18"/>
      <c r="J18" s="18"/>
      <c r="K18" s="18">
        <f>SUM(K2:K13)</f>
        <v>3643.92</v>
      </c>
      <c r="L18" s="14"/>
      <c r="M18" s="18">
        <f>SUM(M2:M10)</f>
        <v>0</v>
      </c>
      <c r="O18" s="606"/>
      <c r="P18" s="601"/>
      <c r="Q18" s="601"/>
      <c r="R18" s="598"/>
      <c r="S18" s="598"/>
      <c r="T18" s="601"/>
      <c r="U18" s="601"/>
      <c r="V18" s="598"/>
      <c r="W18" s="599"/>
    </row>
    <row r="19" spans="1:23" ht="15.75" thickBot="1" x14ac:dyDescent="0.3">
      <c r="A19" s="277" t="s">
        <v>191</v>
      </c>
      <c r="B19" s="409"/>
      <c r="C19" s="279">
        <f>SumByColor($A$19,C2:C17)</f>
        <v>50</v>
      </c>
      <c r="D19" s="279"/>
      <c r="E19" s="279"/>
      <c r="F19" s="280">
        <f>SumByColor($A$19,F2:F17)</f>
        <v>3514</v>
      </c>
      <c r="G19" s="279"/>
      <c r="H19" s="279">
        <f>SumByColor($A$19,H2:H17)</f>
        <v>50</v>
      </c>
      <c r="I19" s="279"/>
      <c r="J19" s="279"/>
      <c r="K19" s="280">
        <f>SumByColor($A$19,K2:K17)</f>
        <v>3644</v>
      </c>
      <c r="L19" s="279"/>
      <c r="M19" s="280">
        <f>SumByColor($A$19,M2:M17)</f>
        <v>0</v>
      </c>
      <c r="O19" s="606"/>
      <c r="P19" s="601"/>
      <c r="Q19" s="601"/>
      <c r="R19" s="598"/>
      <c r="S19" s="598"/>
      <c r="T19" s="601"/>
      <c r="U19" s="601"/>
      <c r="V19" s="598"/>
      <c r="W19" s="599"/>
    </row>
    <row r="20" spans="1:23" x14ac:dyDescent="0.25">
      <c r="O20" s="606"/>
      <c r="P20" s="601"/>
      <c r="Q20" s="601"/>
      <c r="R20" s="598"/>
      <c r="S20" s="598"/>
      <c r="T20" s="601"/>
      <c r="U20" s="601"/>
      <c r="V20" s="598"/>
      <c r="W20" s="599"/>
    </row>
    <row r="21" spans="1:23" x14ac:dyDescent="0.25">
      <c r="O21" s="606"/>
      <c r="P21" s="601"/>
      <c r="Q21" s="601"/>
      <c r="R21" s="598"/>
      <c r="S21" s="598"/>
      <c r="T21" s="601"/>
      <c r="U21" s="601"/>
      <c r="V21" s="598"/>
      <c r="W21" s="599"/>
    </row>
    <row r="22" spans="1:23" x14ac:dyDescent="0.25">
      <c r="O22" s="606"/>
      <c r="P22" s="601"/>
      <c r="Q22" s="601"/>
      <c r="R22" s="598"/>
      <c r="S22" s="598"/>
      <c r="T22" s="601"/>
      <c r="U22" s="601"/>
      <c r="V22" s="598"/>
      <c r="W22" s="599"/>
    </row>
    <row r="23" spans="1:23" x14ac:dyDescent="0.25">
      <c r="B23" s="410" t="s">
        <v>113</v>
      </c>
      <c r="C23" s="162" t="s">
        <v>145</v>
      </c>
      <c r="D23" s="163" t="s">
        <v>144</v>
      </c>
      <c r="E23" s="165" t="s">
        <v>146</v>
      </c>
      <c r="F23" s="165" t="s">
        <v>65</v>
      </c>
      <c r="G23" s="177" t="s">
        <v>150</v>
      </c>
      <c r="H23" s="177" t="s">
        <v>88</v>
      </c>
      <c r="I23" s="177" t="s">
        <v>153</v>
      </c>
      <c r="J23" s="177" t="s">
        <v>149</v>
      </c>
      <c r="O23" s="606"/>
      <c r="P23" s="601"/>
      <c r="Q23" s="601"/>
      <c r="R23" s="598"/>
      <c r="S23" s="598"/>
      <c r="T23" s="601"/>
      <c r="U23" s="601"/>
      <c r="V23" s="598"/>
      <c r="W23" s="599"/>
    </row>
    <row r="24" spans="1:23" x14ac:dyDescent="0.25">
      <c r="A24" s="1"/>
      <c r="B24" s="150">
        <v>43165</v>
      </c>
      <c r="C24" s="10">
        <v>50</v>
      </c>
      <c r="D24" s="39">
        <v>70.28</v>
      </c>
      <c r="E24" s="39">
        <v>71.790000000000006</v>
      </c>
      <c r="F24" s="39">
        <f>(E24-D24)*C24</f>
        <v>75.500000000000256</v>
      </c>
      <c r="G24" s="39">
        <f>C24*D24</f>
        <v>3514</v>
      </c>
      <c r="H24" s="155">
        <f>-(D24-E24)/D24</f>
        <v>2.148548662492893E-2</v>
      </c>
      <c r="I24" s="39"/>
      <c r="J24" s="39"/>
      <c r="K24" s="3"/>
      <c r="L24" s="4"/>
      <c r="M24" s="4"/>
      <c r="O24" s="606"/>
      <c r="P24" s="601"/>
      <c r="Q24" s="601"/>
      <c r="R24" s="598"/>
      <c r="S24" s="598"/>
      <c r="T24" s="601"/>
      <c r="U24" s="601"/>
      <c r="V24" s="598"/>
      <c r="W24" s="599"/>
    </row>
    <row r="25" spans="1:23" x14ac:dyDescent="0.25">
      <c r="B25" s="150">
        <v>43184</v>
      </c>
      <c r="C25" s="10">
        <v>50</v>
      </c>
      <c r="D25" s="39">
        <v>70.28</v>
      </c>
      <c r="E25" s="39">
        <v>67.88</v>
      </c>
      <c r="F25" s="39">
        <f>(E25-D25)*C25</f>
        <v>-120.00000000000028</v>
      </c>
      <c r="G25" s="39">
        <f>C25*D25</f>
        <v>3514</v>
      </c>
      <c r="H25" s="155">
        <f>-(D25-E25)/D25</f>
        <v>-3.4149117814456544E-2</v>
      </c>
      <c r="I25" s="39"/>
      <c r="J25" s="39"/>
      <c r="O25" s="606"/>
      <c r="P25" s="601"/>
      <c r="Q25" s="601"/>
      <c r="R25" s="598"/>
      <c r="S25" s="598"/>
      <c r="T25" s="601"/>
      <c r="U25" s="601"/>
      <c r="V25" s="598"/>
      <c r="W25" s="599"/>
    </row>
    <row r="26" spans="1:23" x14ac:dyDescent="0.25">
      <c r="B26" s="150">
        <v>43185</v>
      </c>
      <c r="C26" s="10">
        <v>50</v>
      </c>
      <c r="D26" s="39">
        <v>70.28</v>
      </c>
      <c r="E26" s="39">
        <v>70.28</v>
      </c>
      <c r="F26" s="39">
        <f>(E26-D26)*C26</f>
        <v>0</v>
      </c>
      <c r="G26" s="39">
        <f>C26*D26</f>
        <v>3514</v>
      </c>
      <c r="H26" s="155">
        <f>-(D26-E26)/D26</f>
        <v>0</v>
      </c>
      <c r="I26" s="39"/>
      <c r="J26" s="39"/>
      <c r="O26" s="606"/>
      <c r="P26" s="601"/>
      <c r="Q26" s="601"/>
      <c r="R26" s="598"/>
      <c r="S26" s="598"/>
      <c r="T26" s="601"/>
      <c r="U26" s="601"/>
      <c r="V26" s="598"/>
      <c r="W26" s="599"/>
    </row>
    <row r="27" spans="1:23" x14ac:dyDescent="0.25">
      <c r="B27" s="150">
        <v>43217</v>
      </c>
      <c r="C27" s="10">
        <v>0</v>
      </c>
      <c r="D27" s="39"/>
      <c r="E27" s="39">
        <v>72.88</v>
      </c>
      <c r="F27" s="39">
        <v>129.91999999999999</v>
      </c>
      <c r="G27" s="39"/>
      <c r="H27" s="155"/>
      <c r="I27" s="39"/>
      <c r="J27" s="39"/>
    </row>
    <row r="28" spans="1:23" x14ac:dyDescent="0.25">
      <c r="B28" s="150"/>
      <c r="C28" s="10"/>
      <c r="D28" s="39"/>
      <c r="E28" s="39"/>
      <c r="F28" s="39"/>
      <c r="G28" s="39"/>
      <c r="H28" s="155"/>
      <c r="I28" s="39"/>
      <c r="J28" s="39"/>
    </row>
    <row r="29" spans="1:23" x14ac:dyDescent="0.25">
      <c r="B29" s="150"/>
      <c r="C29" s="10"/>
      <c r="D29" s="39"/>
      <c r="E29" s="39"/>
      <c r="F29" s="39"/>
      <c r="G29" s="39"/>
      <c r="H29" s="155"/>
      <c r="I29" s="39"/>
      <c r="J29" s="39"/>
    </row>
    <row r="30" spans="1:23" x14ac:dyDescent="0.25">
      <c r="B30" s="150"/>
      <c r="C30" s="10"/>
      <c r="D30" s="39"/>
      <c r="E30" s="39"/>
      <c r="F30" s="39"/>
      <c r="G30" s="39"/>
      <c r="H30" s="155"/>
      <c r="I30" s="39"/>
      <c r="J30" s="39"/>
    </row>
    <row r="31" spans="1:23" x14ac:dyDescent="0.25">
      <c r="B31" s="150"/>
      <c r="C31" s="10"/>
      <c r="D31" s="39"/>
      <c r="E31" s="39"/>
      <c r="F31" s="39"/>
      <c r="G31" s="39"/>
      <c r="H31" s="155"/>
      <c r="I31" s="39"/>
      <c r="J31" s="39"/>
    </row>
    <row r="32" spans="1:23" x14ac:dyDescent="0.25">
      <c r="B32" s="150"/>
      <c r="C32" s="10"/>
      <c r="D32" s="39"/>
      <c r="E32" s="39"/>
      <c r="F32" s="39"/>
      <c r="G32" s="39"/>
      <c r="H32" s="155"/>
      <c r="I32" s="39"/>
      <c r="J32" s="39"/>
    </row>
    <row r="33" spans="1:21" x14ac:dyDescent="0.25">
      <c r="B33" s="150"/>
      <c r="C33" s="10"/>
      <c r="D33" s="39"/>
      <c r="E33" s="39"/>
      <c r="F33" s="39"/>
      <c r="G33" s="39"/>
      <c r="H33" s="155"/>
      <c r="I33" s="39"/>
      <c r="J33" s="39"/>
    </row>
    <row r="34" spans="1:21" x14ac:dyDescent="0.25">
      <c r="B34" s="150"/>
      <c r="C34" s="10"/>
      <c r="D34" s="39"/>
      <c r="E34" s="39"/>
      <c r="F34" s="39"/>
      <c r="G34" s="39"/>
      <c r="H34" s="155"/>
      <c r="I34" s="39"/>
      <c r="J34" s="39"/>
    </row>
    <row r="35" spans="1:21" x14ac:dyDescent="0.25">
      <c r="B35" s="150"/>
      <c r="C35" s="10"/>
      <c r="D35" s="39"/>
      <c r="E35" s="39"/>
      <c r="F35" s="39"/>
      <c r="G35" s="39"/>
      <c r="H35" s="155"/>
      <c r="I35" s="39"/>
      <c r="J35" s="39"/>
    </row>
    <row r="36" spans="1:21" x14ac:dyDescent="0.25">
      <c r="B36" s="150"/>
      <c r="C36" s="10"/>
      <c r="D36" s="39"/>
      <c r="E36" s="39"/>
      <c r="F36" s="39"/>
      <c r="G36" s="39"/>
      <c r="H36" s="155"/>
      <c r="I36" s="39"/>
      <c r="J36" s="39"/>
    </row>
    <row r="37" spans="1:21" x14ac:dyDescent="0.25">
      <c r="B37" s="150"/>
      <c r="C37" s="10"/>
      <c r="D37" s="39"/>
      <c r="E37" s="39"/>
      <c r="F37" s="39"/>
      <c r="G37" s="39"/>
      <c r="H37" s="155"/>
      <c r="I37" s="39"/>
      <c r="J37" s="39"/>
    </row>
    <row r="38" spans="1:21" x14ac:dyDescent="0.25">
      <c r="B38" s="150"/>
      <c r="C38" s="10"/>
      <c r="D38" s="39"/>
      <c r="E38" s="39"/>
      <c r="F38" s="39"/>
      <c r="G38" s="39"/>
      <c r="H38" s="155"/>
      <c r="I38" s="39"/>
      <c r="J38" s="39"/>
    </row>
    <row r="39" spans="1:21" x14ac:dyDescent="0.25">
      <c r="B39" s="150"/>
      <c r="C39" s="10"/>
      <c r="D39" s="39"/>
      <c r="E39" s="39"/>
      <c r="F39" s="39"/>
      <c r="G39" s="39"/>
      <c r="H39" s="155"/>
      <c r="I39" s="39"/>
      <c r="J39" s="39"/>
    </row>
    <row r="40" spans="1:21" ht="20.25" thickBot="1" x14ac:dyDescent="0.35">
      <c r="B40" s="150"/>
      <c r="C40" s="10"/>
      <c r="D40" s="39"/>
      <c r="E40" s="39"/>
      <c r="F40" s="39"/>
      <c r="G40" s="39"/>
      <c r="H40" s="155"/>
      <c r="I40" s="39"/>
      <c r="J40" s="39"/>
      <c r="O40" s="884" t="s">
        <v>78</v>
      </c>
      <c r="P40" s="884"/>
    </row>
    <row r="41" spans="1:21" ht="15.75" thickTop="1" x14ac:dyDescent="0.25">
      <c r="B41" s="150"/>
      <c r="C41" s="10"/>
      <c r="D41" s="39"/>
      <c r="E41" s="39"/>
      <c r="F41" s="39"/>
      <c r="G41" s="39"/>
      <c r="H41" s="155"/>
      <c r="I41" s="39"/>
      <c r="J41" s="39"/>
      <c r="O41" s="81">
        <v>1.1000000000000001</v>
      </c>
      <c r="P41" s="81">
        <f>O41*$Q$4</f>
        <v>79.563000000000002</v>
      </c>
      <c r="Q41" s="2"/>
    </row>
    <row r="42" spans="1:21" ht="20.25" thickBot="1" x14ac:dyDescent="0.35">
      <c r="B42" s="150"/>
      <c r="C42" s="10"/>
      <c r="D42" s="39"/>
      <c r="E42" s="10"/>
      <c r="F42" s="39"/>
      <c r="G42" s="39"/>
      <c r="H42" s="155"/>
      <c r="I42" s="39"/>
      <c r="J42" s="39"/>
      <c r="O42" s="81">
        <v>1.0900000000000001</v>
      </c>
      <c r="P42" s="81">
        <f t="shared" ref="P42:P61" si="0">O42*$Q$4</f>
        <v>78.839700000000008</v>
      </c>
      <c r="Q42" s="2"/>
      <c r="T42" s="89" t="s">
        <v>112</v>
      </c>
    </row>
    <row r="43" spans="1:21" ht="15.75" thickTop="1" x14ac:dyDescent="0.25">
      <c r="A43" s="1"/>
      <c r="B43" s="150"/>
      <c r="C43" s="10"/>
      <c r="D43" s="39"/>
      <c r="E43" s="10"/>
      <c r="F43" s="39"/>
      <c r="G43" s="39"/>
      <c r="H43" s="155"/>
      <c r="I43" s="39"/>
      <c r="J43" s="39"/>
      <c r="O43" s="81">
        <v>1.08</v>
      </c>
      <c r="P43" s="81">
        <f t="shared" si="0"/>
        <v>78.116399999999999</v>
      </c>
      <c r="Q43" s="2"/>
      <c r="T43" s="125" t="s">
        <v>97</v>
      </c>
      <c r="U43" s="126">
        <v>53.43</v>
      </c>
    </row>
    <row r="44" spans="1:21" x14ac:dyDescent="0.25">
      <c r="B44" s="150"/>
      <c r="C44" s="10"/>
      <c r="D44" s="39"/>
      <c r="E44" s="10"/>
      <c r="F44" s="39"/>
      <c r="G44" s="10"/>
      <c r="H44" s="10"/>
      <c r="I44" s="39"/>
      <c r="J44" s="39"/>
      <c r="O44" s="81">
        <v>1.07</v>
      </c>
      <c r="P44" s="81">
        <f t="shared" si="0"/>
        <v>77.393100000000004</v>
      </c>
      <c r="Q44" s="2"/>
      <c r="T44" s="91" t="s">
        <v>98</v>
      </c>
      <c r="U44" s="127">
        <v>53.55</v>
      </c>
    </row>
    <row r="45" spans="1:21" x14ac:dyDescent="0.25">
      <c r="B45" s="150"/>
      <c r="C45" s="10"/>
      <c r="D45" s="39"/>
      <c r="E45" s="10"/>
      <c r="F45" s="39"/>
      <c r="G45" s="10"/>
      <c r="H45" s="155"/>
      <c r="I45" s="39"/>
      <c r="J45" s="39"/>
      <c r="O45" s="81">
        <v>1.06</v>
      </c>
      <c r="P45" s="81">
        <f t="shared" si="0"/>
        <v>76.669799999999995</v>
      </c>
      <c r="Q45" s="2"/>
      <c r="T45" s="91" t="s">
        <v>99</v>
      </c>
      <c r="U45" s="127" t="s">
        <v>128</v>
      </c>
    </row>
    <row r="46" spans="1:21" x14ac:dyDescent="0.25">
      <c r="B46" s="150"/>
      <c r="C46" s="10"/>
      <c r="D46" s="39"/>
      <c r="E46" s="39"/>
      <c r="F46" s="39"/>
      <c r="G46" s="10"/>
      <c r="H46" s="10"/>
      <c r="I46" s="39"/>
      <c r="J46" s="39"/>
      <c r="O46" s="81">
        <v>1.05</v>
      </c>
      <c r="P46" s="81">
        <f t="shared" si="0"/>
        <v>75.9465</v>
      </c>
      <c r="Q46" s="2"/>
      <c r="T46" s="91" t="s">
        <v>100</v>
      </c>
      <c r="U46" s="127" t="s">
        <v>128</v>
      </c>
    </row>
    <row r="47" spans="1:21" x14ac:dyDescent="0.25">
      <c r="B47" s="150"/>
      <c r="C47" s="10"/>
      <c r="D47" s="39"/>
      <c r="E47" s="39"/>
      <c r="F47" s="39"/>
      <c r="G47" s="10"/>
      <c r="H47" s="155"/>
      <c r="I47" s="39"/>
      <c r="J47" s="39"/>
      <c r="O47" s="81">
        <v>1.04</v>
      </c>
      <c r="P47" s="81">
        <f t="shared" si="0"/>
        <v>75.223200000000006</v>
      </c>
      <c r="Q47" s="2"/>
      <c r="T47" s="91" t="s">
        <v>101</v>
      </c>
      <c r="U47" s="127">
        <v>61.81</v>
      </c>
    </row>
    <row r="48" spans="1:21" x14ac:dyDescent="0.25">
      <c r="B48" s="150"/>
      <c r="C48" s="10"/>
      <c r="D48" s="39"/>
      <c r="E48" s="39"/>
      <c r="F48" s="39"/>
      <c r="G48" s="10"/>
      <c r="H48" s="155"/>
      <c r="I48" s="39"/>
      <c r="J48" s="39"/>
      <c r="O48" s="81">
        <v>1.03</v>
      </c>
      <c r="P48" s="81">
        <f t="shared" si="0"/>
        <v>74.499899999999997</v>
      </c>
      <c r="Q48" s="2"/>
      <c r="T48" s="91" t="s">
        <v>102</v>
      </c>
      <c r="U48" s="127">
        <v>0.240561</v>
      </c>
    </row>
    <row r="49" spans="1:21" x14ac:dyDescent="0.25">
      <c r="B49" s="150"/>
      <c r="C49" s="10"/>
      <c r="D49" s="39"/>
      <c r="E49" s="39"/>
      <c r="F49" s="39"/>
      <c r="G49" s="10"/>
      <c r="H49" s="10"/>
      <c r="I49" s="39"/>
      <c r="J49" s="39"/>
      <c r="O49" s="81">
        <v>1.02</v>
      </c>
      <c r="P49" s="81">
        <f t="shared" si="0"/>
        <v>73.776600000000002</v>
      </c>
      <c r="Q49" s="2"/>
      <c r="T49" s="91" t="s">
        <v>103</v>
      </c>
      <c r="U49" s="127" t="s">
        <v>469</v>
      </c>
    </row>
    <row r="50" spans="1:21" x14ac:dyDescent="0.25">
      <c r="B50" s="150"/>
      <c r="C50" s="10"/>
      <c r="D50" s="39"/>
      <c r="E50" s="39"/>
      <c r="F50" s="39"/>
      <c r="G50" s="10"/>
      <c r="H50" s="155"/>
      <c r="I50" s="39"/>
      <c r="J50" s="39"/>
      <c r="O50" s="81">
        <v>1.01</v>
      </c>
      <c r="P50" s="81">
        <f t="shared" si="0"/>
        <v>73.053299999999993</v>
      </c>
      <c r="Q50" s="2"/>
      <c r="T50" s="91"/>
      <c r="U50" s="127"/>
    </row>
    <row r="51" spans="1:21" x14ac:dyDescent="0.25">
      <c r="B51" s="150"/>
      <c r="C51" s="10"/>
      <c r="D51" s="39"/>
      <c r="E51" s="39"/>
      <c r="F51" s="39"/>
      <c r="G51" s="10"/>
      <c r="H51" s="155"/>
      <c r="I51" s="39"/>
      <c r="J51" s="39"/>
      <c r="O51" s="81">
        <v>1</v>
      </c>
      <c r="P51" s="81">
        <f t="shared" si="0"/>
        <v>72.33</v>
      </c>
      <c r="Q51" s="2"/>
      <c r="T51" s="91" t="s">
        <v>104</v>
      </c>
      <c r="U51" s="127" t="s">
        <v>608</v>
      </c>
    </row>
    <row r="52" spans="1:21" x14ac:dyDescent="0.25">
      <c r="B52" s="150"/>
      <c r="C52" s="10"/>
      <c r="D52" s="39"/>
      <c r="E52" s="39"/>
      <c r="F52" s="39"/>
      <c r="G52" s="10"/>
      <c r="H52" s="10"/>
      <c r="I52" s="39"/>
      <c r="J52" s="39"/>
      <c r="O52" s="81">
        <v>0.99</v>
      </c>
      <c r="P52" s="81">
        <f t="shared" si="0"/>
        <v>71.606700000000004</v>
      </c>
      <c r="Q52" s="2"/>
      <c r="T52" s="91" t="s">
        <v>105</v>
      </c>
      <c r="U52" s="127" t="s">
        <v>609</v>
      </c>
    </row>
    <row r="53" spans="1:21" x14ac:dyDescent="0.25">
      <c r="B53" s="150"/>
      <c r="C53" s="10"/>
      <c r="D53" s="39"/>
      <c r="E53" s="39"/>
      <c r="F53" s="39"/>
      <c r="G53" s="10"/>
      <c r="H53" s="155"/>
      <c r="I53" s="39"/>
      <c r="J53" s="39"/>
      <c r="O53" s="81">
        <v>0.98</v>
      </c>
      <c r="P53" s="81">
        <f t="shared" si="0"/>
        <v>70.883399999999995</v>
      </c>
      <c r="Q53" s="2"/>
      <c r="T53" s="91" t="s">
        <v>106</v>
      </c>
      <c r="U53" s="128">
        <v>6810845</v>
      </c>
    </row>
    <row r="54" spans="1:21" x14ac:dyDescent="0.25">
      <c r="O54" s="81">
        <v>0.97</v>
      </c>
      <c r="P54" s="81">
        <f t="shared" si="0"/>
        <v>70.1601</v>
      </c>
      <c r="T54" s="91" t="s">
        <v>109</v>
      </c>
      <c r="U54" s="128">
        <v>7775990</v>
      </c>
    </row>
    <row r="55" spans="1:21" x14ac:dyDescent="0.25">
      <c r="O55" s="81">
        <v>0.96</v>
      </c>
      <c r="P55" s="81">
        <f t="shared" si="0"/>
        <v>69.436799999999991</v>
      </c>
      <c r="T55" s="91" t="s">
        <v>107</v>
      </c>
      <c r="U55" s="127" t="s">
        <v>610</v>
      </c>
    </row>
    <row r="56" spans="1:21" x14ac:dyDescent="0.25">
      <c r="O56" s="81">
        <v>0.95</v>
      </c>
      <c r="P56" s="81">
        <f t="shared" si="0"/>
        <v>68.713499999999996</v>
      </c>
      <c r="T56" s="91" t="s">
        <v>110</v>
      </c>
      <c r="U56" s="127">
        <v>11.23</v>
      </c>
    </row>
    <row r="57" spans="1:21" x14ac:dyDescent="0.25">
      <c r="O57" s="81">
        <v>0.94</v>
      </c>
      <c r="P57" s="81">
        <f t="shared" si="0"/>
        <v>67.990200000000002</v>
      </c>
      <c r="T57" s="91" t="s">
        <v>111</v>
      </c>
      <c r="U57" s="127">
        <v>4.7</v>
      </c>
    </row>
    <row r="58" spans="1:21" x14ac:dyDescent="0.25">
      <c r="O58" s="81">
        <v>0.93</v>
      </c>
      <c r="P58" s="81">
        <f t="shared" si="0"/>
        <v>67.266900000000007</v>
      </c>
      <c r="T58" s="91" t="s">
        <v>108</v>
      </c>
      <c r="U58" s="127" t="s">
        <v>534</v>
      </c>
    </row>
    <row r="59" spans="1:21" x14ac:dyDescent="0.25">
      <c r="L59" t="s">
        <v>65</v>
      </c>
      <c r="M59" s="39">
        <f>M77+K77-F77</f>
        <v>2060.4300000000003</v>
      </c>
      <c r="O59" s="81">
        <v>0.92</v>
      </c>
      <c r="P59" s="81">
        <f t="shared" si="0"/>
        <v>66.543599999999998</v>
      </c>
    </row>
    <row r="60" spans="1:21" x14ac:dyDescent="0.25">
      <c r="A60" s="304" t="s">
        <v>1</v>
      </c>
      <c r="B60" s="551" t="s">
        <v>2</v>
      </c>
      <c r="C60" s="304" t="s">
        <v>4</v>
      </c>
      <c r="D60" s="306" t="s">
        <v>5</v>
      </c>
      <c r="E60" s="306" t="s">
        <v>94</v>
      </c>
      <c r="F60" s="306" t="s">
        <v>60</v>
      </c>
      <c r="G60" s="304" t="s">
        <v>3</v>
      </c>
      <c r="H60" s="304" t="s">
        <v>6</v>
      </c>
      <c r="I60" s="306" t="s">
        <v>7</v>
      </c>
      <c r="J60" s="306" t="s">
        <v>95</v>
      </c>
      <c r="K60" s="306" t="s">
        <v>61</v>
      </c>
      <c r="L60" s="304" t="s">
        <v>37</v>
      </c>
      <c r="M60" s="304" t="s">
        <v>38</v>
      </c>
      <c r="O60" s="81">
        <v>0.91</v>
      </c>
      <c r="P60" s="81">
        <f t="shared" si="0"/>
        <v>65.820300000000003</v>
      </c>
    </row>
    <row r="61" spans="1:21" x14ac:dyDescent="0.25">
      <c r="A61" s="307" t="s">
        <v>332</v>
      </c>
      <c r="B61" s="546">
        <v>42755</v>
      </c>
      <c r="C61" s="298">
        <v>30</v>
      </c>
      <c r="D61" s="299">
        <v>64.680000000000007</v>
      </c>
      <c r="E61" s="299">
        <v>0</v>
      </c>
      <c r="F61" s="299">
        <f t="shared" ref="F61:F66" si="1">D61*C61+E61</f>
        <v>1940.4</v>
      </c>
      <c r="G61" s="546">
        <v>42864</v>
      </c>
      <c r="H61" s="302">
        <v>80</v>
      </c>
      <c r="I61" s="299">
        <v>57.98</v>
      </c>
      <c r="J61" s="299">
        <v>0.1</v>
      </c>
      <c r="K61" s="299">
        <f>H61*I61-J61</f>
        <v>4638.2999999999993</v>
      </c>
      <c r="L61" s="297">
        <v>42805</v>
      </c>
      <c r="M61" s="299">
        <v>18</v>
      </c>
      <c r="O61" s="81">
        <v>0.9</v>
      </c>
      <c r="P61" s="81">
        <f t="shared" si="0"/>
        <v>65.096999999999994</v>
      </c>
    </row>
    <row r="62" spans="1:21" x14ac:dyDescent="0.25">
      <c r="A62" s="308" t="s">
        <v>71</v>
      </c>
      <c r="B62" s="546">
        <v>42797</v>
      </c>
      <c r="C62" s="298">
        <v>50</v>
      </c>
      <c r="D62" s="299">
        <v>57.38</v>
      </c>
      <c r="E62" s="299">
        <v>0</v>
      </c>
      <c r="F62" s="299">
        <f t="shared" si="1"/>
        <v>2869</v>
      </c>
      <c r="G62" s="546">
        <v>42955</v>
      </c>
      <c r="H62" s="302">
        <v>100</v>
      </c>
      <c r="I62" s="299">
        <v>58.78</v>
      </c>
      <c r="J62" s="299">
        <v>0.14000000000000001</v>
      </c>
      <c r="K62" s="299">
        <f>H62*I62-J62</f>
        <v>5877.86</v>
      </c>
      <c r="L62" s="297">
        <v>42899</v>
      </c>
      <c r="M62" s="299">
        <v>48</v>
      </c>
    </row>
    <row r="63" spans="1:21" x14ac:dyDescent="0.25">
      <c r="A63" s="298"/>
      <c r="B63" s="546">
        <v>42809</v>
      </c>
      <c r="C63" s="298">
        <v>50</v>
      </c>
      <c r="D63" s="299">
        <v>54.38</v>
      </c>
      <c r="E63" s="299">
        <v>0</v>
      </c>
      <c r="F63" s="299">
        <f t="shared" si="1"/>
        <v>2719</v>
      </c>
      <c r="G63" s="546">
        <v>42984</v>
      </c>
      <c r="H63" s="302">
        <v>80</v>
      </c>
      <c r="I63" s="299">
        <v>58.38</v>
      </c>
      <c r="J63" s="299">
        <v>0.11</v>
      </c>
      <c r="K63" s="299">
        <f>H63*I63-J63</f>
        <v>4670.2900000000009</v>
      </c>
      <c r="L63" s="298"/>
      <c r="M63" s="298"/>
    </row>
    <row r="64" spans="1:21" x14ac:dyDescent="0.25">
      <c r="A64" s="298"/>
      <c r="B64" s="546">
        <v>42866</v>
      </c>
      <c r="C64" s="298">
        <v>30</v>
      </c>
      <c r="D64" s="299">
        <v>56.25</v>
      </c>
      <c r="E64" s="299">
        <v>0</v>
      </c>
      <c r="F64" s="299">
        <f t="shared" si="1"/>
        <v>1687.5</v>
      </c>
      <c r="G64" s="546"/>
      <c r="H64" s="302"/>
      <c r="I64" s="299"/>
      <c r="J64" s="299"/>
      <c r="K64" s="299"/>
      <c r="L64" s="298"/>
      <c r="M64" s="298"/>
    </row>
    <row r="65" spans="1:13" x14ac:dyDescent="0.25">
      <c r="A65" s="298"/>
      <c r="B65" s="546">
        <v>42871</v>
      </c>
      <c r="C65" s="298">
        <v>50</v>
      </c>
      <c r="D65" s="299">
        <v>54.45</v>
      </c>
      <c r="E65" s="299">
        <v>0</v>
      </c>
      <c r="F65" s="299">
        <f t="shared" si="1"/>
        <v>2722.5</v>
      </c>
      <c r="G65" s="546"/>
      <c r="H65" s="302"/>
      <c r="I65" s="299"/>
      <c r="J65" s="299"/>
      <c r="K65" s="299"/>
      <c r="L65" s="298"/>
      <c r="M65" s="298"/>
    </row>
    <row r="66" spans="1:13" x14ac:dyDescent="0.25">
      <c r="A66" s="298"/>
      <c r="B66" s="546">
        <v>42902</v>
      </c>
      <c r="C66" s="298">
        <v>50</v>
      </c>
      <c r="D66" s="299">
        <v>49</v>
      </c>
      <c r="E66" s="299">
        <v>0</v>
      </c>
      <c r="F66" s="299">
        <f t="shared" si="1"/>
        <v>2450</v>
      </c>
      <c r="G66" s="546"/>
      <c r="H66" s="302"/>
      <c r="I66" s="299"/>
      <c r="J66" s="299"/>
      <c r="K66" s="299"/>
      <c r="L66" s="298"/>
      <c r="M66" s="298"/>
    </row>
    <row r="67" spans="1:13" x14ac:dyDescent="0.25">
      <c r="A67" s="298"/>
      <c r="B67" s="546"/>
      <c r="C67" s="298"/>
      <c r="D67" s="299"/>
      <c r="E67" s="299"/>
      <c r="F67" s="299"/>
      <c r="G67" s="546"/>
      <c r="H67" s="302"/>
      <c r="I67" s="299"/>
      <c r="J67" s="299"/>
      <c r="K67" s="299"/>
      <c r="L67" s="298"/>
      <c r="M67" s="298"/>
    </row>
    <row r="68" spans="1:13" x14ac:dyDescent="0.25">
      <c r="A68" s="298"/>
      <c r="B68" s="406">
        <v>42956</v>
      </c>
      <c r="C68" s="7">
        <v>100</v>
      </c>
      <c r="D68" s="43">
        <v>57.5</v>
      </c>
      <c r="E68" s="43">
        <v>0</v>
      </c>
      <c r="F68" s="43">
        <f>D68*C68+E68</f>
        <v>5750</v>
      </c>
      <c r="G68" s="406">
        <v>42991</v>
      </c>
      <c r="H68" s="7">
        <v>100</v>
      </c>
      <c r="I68" s="43">
        <v>59.98</v>
      </c>
      <c r="J68" s="43">
        <v>0.14000000000000001</v>
      </c>
      <c r="K68" s="43">
        <f>I68*H68-J68</f>
        <v>5997.86</v>
      </c>
      <c r="L68" s="72">
        <v>42988</v>
      </c>
      <c r="M68" s="43">
        <v>111.6</v>
      </c>
    </row>
    <row r="69" spans="1:13" x14ac:dyDescent="0.25">
      <c r="A69" s="298"/>
      <c r="B69" s="546"/>
      <c r="C69" s="298"/>
      <c r="D69" s="299"/>
      <c r="E69" s="299"/>
      <c r="F69" s="299"/>
      <c r="G69" s="546"/>
      <c r="H69" s="302"/>
      <c r="I69" s="299"/>
      <c r="J69" s="299"/>
      <c r="K69" s="299"/>
      <c r="L69" s="546"/>
      <c r="M69" s="298"/>
    </row>
    <row r="70" spans="1:13" x14ac:dyDescent="0.25">
      <c r="A70" s="298"/>
      <c r="B70" s="407">
        <v>43014</v>
      </c>
      <c r="C70" s="4">
        <v>50</v>
      </c>
      <c r="D70" s="3">
        <v>56.88</v>
      </c>
      <c r="E70" s="3">
        <v>0</v>
      </c>
      <c r="F70" s="3">
        <f>C70*D70+E70</f>
        <v>2844</v>
      </c>
      <c r="G70" s="407">
        <v>43111</v>
      </c>
      <c r="H70" s="4">
        <v>50</v>
      </c>
      <c r="I70" s="3">
        <v>73</v>
      </c>
      <c r="J70" s="3">
        <v>0.08</v>
      </c>
      <c r="K70" s="3">
        <f>H70*I70-J70</f>
        <v>3649.92</v>
      </c>
      <c r="L70" s="72">
        <v>43081</v>
      </c>
      <c r="M70" s="43">
        <v>31</v>
      </c>
    </row>
    <row r="71" spans="1:13" x14ac:dyDescent="0.25">
      <c r="A71" s="298"/>
      <c r="B71" s="546"/>
      <c r="C71" s="298"/>
      <c r="D71" s="299"/>
      <c r="E71" s="299"/>
      <c r="F71" s="299"/>
      <c r="G71" s="546"/>
      <c r="H71" s="302"/>
      <c r="I71" s="299"/>
      <c r="J71" s="299"/>
      <c r="K71" s="299"/>
      <c r="L71" s="298"/>
      <c r="M71" s="298"/>
    </row>
    <row r="72" spans="1:13" x14ac:dyDescent="0.25">
      <c r="A72" s="298"/>
      <c r="B72" s="546"/>
      <c r="C72" s="298"/>
      <c r="D72" s="299"/>
      <c r="E72" s="299"/>
      <c r="F72" s="299"/>
      <c r="G72" s="546"/>
      <c r="H72" s="302"/>
      <c r="I72" s="299"/>
      <c r="J72" s="299"/>
      <c r="K72" s="299"/>
      <c r="L72" s="298"/>
      <c r="M72" s="298"/>
    </row>
    <row r="73" spans="1:13" x14ac:dyDescent="0.25">
      <c r="A73" s="298"/>
      <c r="B73" s="546"/>
      <c r="C73" s="298"/>
      <c r="D73" s="299"/>
      <c r="E73" s="299"/>
      <c r="F73" s="299"/>
      <c r="G73" s="546"/>
      <c r="H73" s="302"/>
      <c r="I73" s="299"/>
      <c r="J73" s="299"/>
      <c r="K73" s="299"/>
      <c r="L73" s="298"/>
      <c r="M73" s="298"/>
    </row>
    <row r="74" spans="1:13" x14ac:dyDescent="0.25">
      <c r="A74" s="298"/>
      <c r="B74" s="546"/>
      <c r="C74" s="298"/>
      <c r="D74" s="299"/>
      <c r="E74" s="299"/>
      <c r="F74" s="299"/>
      <c r="G74" s="546"/>
      <c r="H74" s="302"/>
      <c r="I74" s="299"/>
      <c r="J74" s="299"/>
      <c r="K74" s="299"/>
      <c r="L74" s="298"/>
      <c r="M74" s="298"/>
    </row>
    <row r="75" spans="1:13" x14ac:dyDescent="0.25">
      <c r="A75" s="298"/>
      <c r="B75" s="546"/>
      <c r="C75" s="298"/>
      <c r="D75" s="299"/>
      <c r="E75" s="299"/>
      <c r="F75" s="299"/>
      <c r="G75" s="546"/>
      <c r="H75" s="302"/>
      <c r="I75" s="299"/>
      <c r="J75" s="299"/>
      <c r="K75" s="299"/>
      <c r="L75" s="298"/>
      <c r="M75" s="298"/>
    </row>
    <row r="76" spans="1:13" x14ac:dyDescent="0.25">
      <c r="A76" s="298"/>
      <c r="B76" s="546"/>
      <c r="C76" s="298"/>
      <c r="D76" s="299"/>
      <c r="E76" s="299"/>
      <c r="F76" s="299"/>
      <c r="G76" s="546"/>
      <c r="H76" s="298"/>
      <c r="I76" s="299"/>
      <c r="J76" s="299"/>
      <c r="K76" s="299"/>
      <c r="L76" s="298"/>
      <c r="M76" s="298"/>
    </row>
    <row r="77" spans="1:13" x14ac:dyDescent="0.25">
      <c r="A77" s="21" t="s">
        <v>81</v>
      </c>
      <c r="B77" s="552"/>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8" t="s">
        <v>191</v>
      </c>
      <c r="B78" s="553"/>
      <c r="C78" s="380">
        <f>SumByColor($A$19,C61:C76)</f>
        <v>100</v>
      </c>
      <c r="D78" s="380"/>
      <c r="E78" s="380"/>
      <c r="F78" s="381">
        <f>SumByColor($A$19,F61:F76)</f>
        <v>5750</v>
      </c>
      <c r="G78" s="380"/>
      <c r="H78" s="380">
        <f>SumByColor($A$19,H61:H76)</f>
        <v>100</v>
      </c>
      <c r="I78" s="380"/>
      <c r="J78" s="380"/>
      <c r="K78" s="381">
        <f>SumByColor($A$19,K61:K76)</f>
        <v>5998</v>
      </c>
      <c r="L78" s="380"/>
      <c r="M78" s="381">
        <f>SumByColor($A$19,M61:M76)</f>
        <v>143</v>
      </c>
    </row>
    <row r="83" spans="1:13" x14ac:dyDescent="0.25">
      <c r="A83" s="298"/>
      <c r="B83" s="544" t="s">
        <v>113</v>
      </c>
      <c r="C83" s="414" t="s">
        <v>145</v>
      </c>
      <c r="D83" s="415" t="s">
        <v>144</v>
      </c>
      <c r="E83" s="416" t="s">
        <v>146</v>
      </c>
      <c r="F83" s="416" t="s">
        <v>65</v>
      </c>
      <c r="G83" s="418" t="s">
        <v>150</v>
      </c>
      <c r="H83" s="418" t="s">
        <v>88</v>
      </c>
      <c r="I83" s="418" t="s">
        <v>153</v>
      </c>
      <c r="J83" s="418" t="s">
        <v>149</v>
      </c>
      <c r="K83" s="299"/>
      <c r="L83" s="298"/>
      <c r="M83" s="298"/>
    </row>
    <row r="84" spans="1:13" x14ac:dyDescent="0.25">
      <c r="A84" s="298"/>
      <c r="B84" s="546">
        <v>42755</v>
      </c>
      <c r="C84" s="298">
        <v>30</v>
      </c>
      <c r="D84" s="299">
        <v>64.680000000000007</v>
      </c>
      <c r="E84" s="299">
        <v>64.099999999999994</v>
      </c>
      <c r="F84" s="299">
        <f t="shared" ref="F84:F103" si="2">C84*(E84-D84)</f>
        <v>-17.400000000000375</v>
      </c>
      <c r="G84" s="299">
        <f t="shared" ref="G84:G103" si="3">D84*C84</f>
        <v>1940.4</v>
      </c>
      <c r="H84" s="628">
        <f>(E84-D84)/D84</f>
        <v>-8.9672232529377314E-3</v>
      </c>
      <c r="I84" s="299"/>
      <c r="J84" s="299"/>
      <c r="K84" s="299"/>
      <c r="L84" s="298"/>
      <c r="M84" s="298"/>
    </row>
    <row r="85" spans="1:13" x14ac:dyDescent="0.25">
      <c r="A85" s="298"/>
      <c r="B85" s="546">
        <v>42760</v>
      </c>
      <c r="C85" s="298">
        <v>30</v>
      </c>
      <c r="D85" s="299">
        <v>64.680000000000007</v>
      </c>
      <c r="E85" s="299">
        <v>65</v>
      </c>
      <c r="F85" s="299">
        <f t="shared" si="2"/>
        <v>9.5999999999997954</v>
      </c>
      <c r="G85" s="299">
        <f t="shared" si="3"/>
        <v>1940.4</v>
      </c>
      <c r="H85" s="628">
        <f t="shared" ref="H85:H103" si="4">(E85-D85)/D85</f>
        <v>4.947433518861984E-3</v>
      </c>
      <c r="I85" s="299"/>
      <c r="J85" s="299"/>
      <c r="K85" s="299"/>
      <c r="L85" s="298"/>
      <c r="M85" s="298"/>
    </row>
    <row r="86" spans="1:13" x14ac:dyDescent="0.25">
      <c r="A86" s="298"/>
      <c r="B86" s="546">
        <v>42771</v>
      </c>
      <c r="C86" s="298">
        <v>30</v>
      </c>
      <c r="D86" s="299">
        <v>64.680000000000007</v>
      </c>
      <c r="E86" s="299">
        <v>63.75</v>
      </c>
      <c r="F86" s="299">
        <f t="shared" si="2"/>
        <v>-27.900000000000205</v>
      </c>
      <c r="G86" s="299">
        <f t="shared" si="3"/>
        <v>1940.4</v>
      </c>
      <c r="H86" s="628">
        <f t="shared" si="4"/>
        <v>-1.4378478664193053E-2</v>
      </c>
      <c r="I86" s="299"/>
      <c r="J86" s="299"/>
      <c r="K86" s="299"/>
      <c r="L86" s="298"/>
      <c r="M86" s="298"/>
    </row>
    <row r="87" spans="1:13" x14ac:dyDescent="0.25">
      <c r="A87" s="298" t="s">
        <v>440</v>
      </c>
      <c r="B87" s="546">
        <v>42790</v>
      </c>
      <c r="C87" s="298">
        <v>30</v>
      </c>
      <c r="D87" s="299">
        <v>64.680000000000007</v>
      </c>
      <c r="E87" s="299">
        <v>66.510000000000005</v>
      </c>
      <c r="F87" s="299">
        <f t="shared" si="2"/>
        <v>54.899999999999949</v>
      </c>
      <c r="G87" s="299">
        <f t="shared" si="3"/>
        <v>1940.4</v>
      </c>
      <c r="H87" s="628">
        <f t="shared" si="4"/>
        <v>2.8293135435992548E-2</v>
      </c>
      <c r="I87" s="299"/>
      <c r="J87" s="299"/>
      <c r="K87" s="299"/>
      <c r="L87" s="298"/>
      <c r="M87" s="298"/>
    </row>
    <row r="88" spans="1:13" x14ac:dyDescent="0.25">
      <c r="A88" s="298" t="s">
        <v>440</v>
      </c>
      <c r="B88" s="546">
        <v>42795</v>
      </c>
      <c r="C88" s="298">
        <v>30</v>
      </c>
      <c r="D88" s="299">
        <v>64.680000000000007</v>
      </c>
      <c r="E88" s="299">
        <v>57.83</v>
      </c>
      <c r="F88" s="299">
        <f t="shared" si="2"/>
        <v>-205.50000000000026</v>
      </c>
      <c r="G88" s="299">
        <f t="shared" si="3"/>
        <v>1940.4</v>
      </c>
      <c r="H88" s="628">
        <f t="shared" si="4"/>
        <v>-0.10590599876314175</v>
      </c>
      <c r="I88" s="299"/>
      <c r="J88" s="299"/>
      <c r="K88" s="299"/>
      <c r="L88" s="298"/>
      <c r="M88" s="298"/>
    </row>
    <row r="89" spans="1:13" x14ac:dyDescent="0.25">
      <c r="A89" s="298" t="s">
        <v>463</v>
      </c>
      <c r="B89" s="546">
        <v>42798</v>
      </c>
      <c r="C89" s="298">
        <v>80</v>
      </c>
      <c r="D89" s="299">
        <v>60.1175</v>
      </c>
      <c r="E89" s="299">
        <v>57.35</v>
      </c>
      <c r="F89" s="299">
        <f t="shared" si="2"/>
        <v>-221.39999999999986</v>
      </c>
      <c r="G89" s="299">
        <f t="shared" si="3"/>
        <v>4809.3999999999996</v>
      </c>
      <c r="H89" s="628">
        <f t="shared" si="4"/>
        <v>-4.6034848421840531E-2</v>
      </c>
      <c r="I89" s="299"/>
      <c r="J89" s="299"/>
      <c r="K89" s="299"/>
      <c r="L89" s="298"/>
      <c r="M89" s="298"/>
    </row>
    <row r="90" spans="1:13" x14ac:dyDescent="0.25">
      <c r="A90" s="298">
        <v>30</v>
      </c>
      <c r="B90" s="546">
        <v>42800</v>
      </c>
      <c r="C90" s="298">
        <v>80</v>
      </c>
      <c r="D90" s="299">
        <v>60.1175</v>
      </c>
      <c r="E90" s="299">
        <v>56.1</v>
      </c>
      <c r="F90" s="299">
        <f t="shared" si="2"/>
        <v>-321.39999999999986</v>
      </c>
      <c r="G90" s="299">
        <f t="shared" si="3"/>
        <v>4809.3999999999996</v>
      </c>
      <c r="H90" s="628">
        <f t="shared" si="4"/>
        <v>-6.6827462885183153E-2</v>
      </c>
      <c r="I90" s="299"/>
      <c r="J90" s="299"/>
      <c r="K90" s="299"/>
      <c r="L90" s="298"/>
      <c r="M90" s="298"/>
    </row>
    <row r="91" spans="1:13" x14ac:dyDescent="0.25">
      <c r="A91" s="298">
        <v>30</v>
      </c>
      <c r="B91" s="546">
        <v>42805</v>
      </c>
      <c r="C91" s="298">
        <v>80</v>
      </c>
      <c r="D91" s="299">
        <v>59.892499999999998</v>
      </c>
      <c r="E91" s="299">
        <v>55.36</v>
      </c>
      <c r="F91" s="299">
        <f t="shared" si="2"/>
        <v>-362.59999999999991</v>
      </c>
      <c r="G91" s="299">
        <f t="shared" si="3"/>
        <v>4791.3999999999996</v>
      </c>
      <c r="H91" s="628">
        <f t="shared" si="4"/>
        <v>-7.5677255082021944E-2</v>
      </c>
      <c r="I91" s="299"/>
      <c r="J91" s="299"/>
      <c r="K91" s="299"/>
      <c r="L91" s="298"/>
      <c r="M91" s="298"/>
    </row>
    <row r="92" spans="1:13" x14ac:dyDescent="0.25">
      <c r="A92" s="298">
        <v>30</v>
      </c>
      <c r="B92" s="546">
        <v>42808</v>
      </c>
      <c r="C92" s="298">
        <v>80</v>
      </c>
      <c r="D92" s="299">
        <v>59.892499999999998</v>
      </c>
      <c r="E92" s="299">
        <v>54.75</v>
      </c>
      <c r="F92" s="299">
        <f t="shared" si="2"/>
        <v>-411.39999999999986</v>
      </c>
      <c r="G92" s="299">
        <f t="shared" si="3"/>
        <v>4791.3999999999996</v>
      </c>
      <c r="H92" s="628">
        <f t="shared" si="4"/>
        <v>-8.5862169720749656E-2</v>
      </c>
      <c r="I92" s="299"/>
      <c r="J92" s="299"/>
      <c r="K92" s="299"/>
      <c r="L92" s="298"/>
      <c r="M92" s="298"/>
    </row>
    <row r="93" spans="1:13" x14ac:dyDescent="0.25">
      <c r="A93" s="298">
        <v>30</v>
      </c>
      <c r="B93" s="546">
        <v>42809</v>
      </c>
      <c r="C93" s="298">
        <v>130</v>
      </c>
      <c r="D93" s="299">
        <v>57.772300000000001</v>
      </c>
      <c r="E93" s="299">
        <v>54.57</v>
      </c>
      <c r="F93" s="299">
        <f t="shared" si="2"/>
        <v>-416.29900000000015</v>
      </c>
      <c r="G93" s="299">
        <f t="shared" si="3"/>
        <v>7510.3990000000003</v>
      </c>
      <c r="H93" s="628">
        <f t="shared" si="4"/>
        <v>-5.5429678236802081E-2</v>
      </c>
      <c r="I93" s="299"/>
      <c r="J93" s="299"/>
      <c r="K93" s="299"/>
      <c r="L93" s="298"/>
      <c r="M93" s="298"/>
    </row>
    <row r="94" spans="1:13" x14ac:dyDescent="0.25">
      <c r="A94" s="298">
        <v>130</v>
      </c>
      <c r="B94" s="546">
        <v>42862</v>
      </c>
      <c r="C94" s="298">
        <v>130</v>
      </c>
      <c r="D94" s="299">
        <v>57.77</v>
      </c>
      <c r="E94" s="299">
        <v>57.32</v>
      </c>
      <c r="F94" s="299">
        <f t="shared" si="2"/>
        <v>-58.500000000000369</v>
      </c>
      <c r="G94" s="299">
        <f t="shared" si="3"/>
        <v>7510.1</v>
      </c>
      <c r="H94" s="628">
        <f t="shared" si="4"/>
        <v>-7.7895101263632128E-3</v>
      </c>
      <c r="I94" s="299"/>
      <c r="J94" s="299"/>
      <c r="K94" s="299"/>
      <c r="L94" s="298"/>
      <c r="M94" s="298"/>
    </row>
    <row r="95" spans="1:13" x14ac:dyDescent="0.25">
      <c r="A95" s="298">
        <v>50</v>
      </c>
      <c r="B95" s="546">
        <v>42864</v>
      </c>
      <c r="C95" s="298">
        <v>50</v>
      </c>
      <c r="D95" s="299">
        <v>57.442</v>
      </c>
      <c r="E95" s="299">
        <v>58.01</v>
      </c>
      <c r="F95" s="299">
        <f t="shared" si="2"/>
        <v>28.399999999999892</v>
      </c>
      <c r="G95" s="299">
        <f t="shared" si="3"/>
        <v>2872.1</v>
      </c>
      <c r="H95" s="628">
        <f t="shared" si="4"/>
        <v>9.8882350893074369E-3</v>
      </c>
      <c r="I95" s="299"/>
      <c r="J95" s="299"/>
      <c r="K95" s="299"/>
      <c r="L95" s="298"/>
      <c r="M95" s="298"/>
    </row>
    <row r="96" spans="1:13" x14ac:dyDescent="0.25">
      <c r="A96" s="298">
        <v>50</v>
      </c>
      <c r="B96" s="546">
        <v>42866</v>
      </c>
      <c r="C96" s="298">
        <v>80</v>
      </c>
      <c r="D96" s="299">
        <v>56.994999999999997</v>
      </c>
      <c r="E96" s="299">
        <v>56.06</v>
      </c>
      <c r="F96" s="299">
        <f t="shared" si="2"/>
        <v>-74.799999999999613</v>
      </c>
      <c r="G96" s="299">
        <f t="shared" si="3"/>
        <v>4559.5999999999995</v>
      </c>
      <c r="H96" s="628">
        <f t="shared" si="4"/>
        <v>-1.6404947802438726E-2</v>
      </c>
      <c r="I96" s="299"/>
      <c r="J96" s="299"/>
      <c r="K96" s="299"/>
      <c r="L96" s="298"/>
      <c r="M96" s="298"/>
    </row>
    <row r="97" spans="1:13" x14ac:dyDescent="0.25">
      <c r="A97" s="298">
        <v>50</v>
      </c>
      <c r="B97" s="546">
        <v>42871</v>
      </c>
      <c r="C97" s="298">
        <v>130</v>
      </c>
      <c r="D97" s="299">
        <v>56.015999999999998</v>
      </c>
      <c r="E97" s="299">
        <v>54.53</v>
      </c>
      <c r="F97" s="299">
        <f t="shared" si="2"/>
        <v>-193.17999999999961</v>
      </c>
      <c r="G97" s="299">
        <f t="shared" si="3"/>
        <v>7282.08</v>
      </c>
      <c r="H97" s="628">
        <f t="shared" si="4"/>
        <v>-2.6528134818623199E-2</v>
      </c>
      <c r="I97" s="299"/>
      <c r="J97" s="299"/>
      <c r="K97" s="299"/>
      <c r="L97" s="298"/>
      <c r="M97" s="298"/>
    </row>
    <row r="98" spans="1:13" x14ac:dyDescent="0.25">
      <c r="A98" s="298">
        <v>80</v>
      </c>
      <c r="B98" s="546">
        <v>42899</v>
      </c>
      <c r="C98" s="298">
        <v>130</v>
      </c>
      <c r="D98" s="299">
        <v>55.646900000000002</v>
      </c>
      <c r="E98" s="299">
        <v>57.38</v>
      </c>
      <c r="F98" s="299">
        <f t="shared" si="2"/>
        <v>225.30300000000005</v>
      </c>
      <c r="G98" s="299">
        <f t="shared" si="3"/>
        <v>7234.0970000000007</v>
      </c>
      <c r="H98" s="628">
        <f t="shared" si="4"/>
        <v>3.1144592061732104E-2</v>
      </c>
      <c r="I98" s="299"/>
      <c r="J98" s="299"/>
      <c r="K98" s="299"/>
      <c r="L98" s="298"/>
      <c r="M98" s="298"/>
    </row>
    <row r="99" spans="1:13" x14ac:dyDescent="0.25">
      <c r="A99" s="298">
        <v>130</v>
      </c>
      <c r="B99" s="546">
        <v>42904</v>
      </c>
      <c r="C99" s="298">
        <v>180</v>
      </c>
      <c r="D99" s="299">
        <v>53.8</v>
      </c>
      <c r="E99" s="299">
        <v>52.61</v>
      </c>
      <c r="F99" s="299">
        <f t="shared" si="2"/>
        <v>-214.19999999999959</v>
      </c>
      <c r="G99" s="299">
        <f t="shared" si="3"/>
        <v>9684</v>
      </c>
      <c r="H99" s="628">
        <f t="shared" si="4"/>
        <v>-2.211895910780665E-2</v>
      </c>
      <c r="I99" s="299"/>
      <c r="J99" s="299"/>
      <c r="K99" s="299"/>
      <c r="L99" s="298"/>
      <c r="M99" s="298"/>
    </row>
    <row r="100" spans="1:13" x14ac:dyDescent="0.25">
      <c r="A100" s="298"/>
      <c r="B100" s="546">
        <v>42943</v>
      </c>
      <c r="C100" s="298">
        <v>180</v>
      </c>
      <c r="D100" s="299">
        <v>53.8</v>
      </c>
      <c r="E100" s="299">
        <v>56.05</v>
      </c>
      <c r="F100" s="299">
        <f t="shared" si="2"/>
        <v>405</v>
      </c>
      <c r="G100" s="299">
        <f t="shared" si="3"/>
        <v>9684</v>
      </c>
      <c r="H100" s="628">
        <f t="shared" si="4"/>
        <v>4.1821561338289966E-2</v>
      </c>
      <c r="I100" s="299"/>
      <c r="J100" s="299"/>
      <c r="K100" s="299"/>
      <c r="L100" s="298"/>
      <c r="M100" s="298"/>
    </row>
    <row r="101" spans="1:13" x14ac:dyDescent="0.25">
      <c r="A101" s="298">
        <v>80</v>
      </c>
      <c r="B101" s="546">
        <v>42955</v>
      </c>
      <c r="C101" s="298">
        <v>80</v>
      </c>
      <c r="D101" s="299">
        <v>47.578000000000003</v>
      </c>
      <c r="E101" s="299">
        <v>58.74</v>
      </c>
      <c r="F101" s="299">
        <f t="shared" si="2"/>
        <v>892.95999999999992</v>
      </c>
      <c r="G101" s="299">
        <f t="shared" si="3"/>
        <v>3806.2400000000002</v>
      </c>
      <c r="H101" s="628">
        <f t="shared" si="4"/>
        <v>0.23460422884526458</v>
      </c>
      <c r="I101" s="299"/>
      <c r="J101" s="299"/>
      <c r="K101" s="299"/>
      <c r="L101" s="298"/>
      <c r="M101" s="298"/>
    </row>
    <row r="102" spans="1:13" x14ac:dyDescent="0.25">
      <c r="A102" s="298">
        <v>80</v>
      </c>
      <c r="B102" s="546">
        <v>42956</v>
      </c>
      <c r="C102" s="298">
        <v>180</v>
      </c>
      <c r="D102" s="299">
        <v>53.09</v>
      </c>
      <c r="E102" s="299">
        <v>57.87</v>
      </c>
      <c r="F102" s="299">
        <f t="shared" si="2"/>
        <v>860.39999999999895</v>
      </c>
      <c r="G102" s="299">
        <f t="shared" si="3"/>
        <v>9556.2000000000007</v>
      </c>
      <c r="H102" s="628">
        <f t="shared" si="4"/>
        <v>9.0035788284045848E-2</v>
      </c>
      <c r="I102" s="299"/>
      <c r="J102" s="299"/>
      <c r="K102" s="299"/>
      <c r="L102" s="298"/>
      <c r="M102" s="298"/>
    </row>
    <row r="103" spans="1:13" x14ac:dyDescent="0.25">
      <c r="A103" s="297">
        <v>42989</v>
      </c>
      <c r="B103" s="546">
        <v>42984</v>
      </c>
      <c r="C103" s="298">
        <v>100</v>
      </c>
      <c r="D103" s="299">
        <v>48.859499999999997</v>
      </c>
      <c r="E103" s="299">
        <v>58.14</v>
      </c>
      <c r="F103" s="299">
        <f t="shared" si="2"/>
        <v>928.05000000000041</v>
      </c>
      <c r="G103" s="299">
        <f t="shared" si="3"/>
        <v>4885.95</v>
      </c>
      <c r="H103" s="628">
        <f t="shared" si="4"/>
        <v>0.18994259048905543</v>
      </c>
      <c r="I103" s="299"/>
      <c r="J103" s="299"/>
      <c r="K103" s="299"/>
      <c r="L103" s="298"/>
      <c r="M103" s="298"/>
    </row>
    <row r="104" spans="1:13" x14ac:dyDescent="0.25">
      <c r="A104" s="298"/>
      <c r="B104" s="546"/>
      <c r="C104" s="298"/>
      <c r="D104" s="299"/>
      <c r="E104" s="299"/>
      <c r="F104" s="299"/>
      <c r="G104" s="298"/>
      <c r="H104" s="298"/>
      <c r="I104" s="299"/>
      <c r="J104" s="299"/>
      <c r="K104" s="299"/>
      <c r="L104" s="298"/>
      <c r="M104" s="298"/>
    </row>
    <row r="105" spans="1:13" x14ac:dyDescent="0.25">
      <c r="A105" s="1">
        <v>42989</v>
      </c>
      <c r="B105" s="150">
        <v>42984</v>
      </c>
      <c r="C105" s="10">
        <v>100</v>
      </c>
      <c r="D105" s="39">
        <v>57.5</v>
      </c>
      <c r="E105" s="39">
        <v>58.05</v>
      </c>
      <c r="F105" s="39">
        <f>C105*(E105-D105)</f>
        <v>54.999999999999716</v>
      </c>
      <c r="G105" s="39">
        <f>D105*C105</f>
        <v>5750</v>
      </c>
      <c r="H105" s="155">
        <f>(E105-D105)/D105</f>
        <v>9.5652173913042988E-3</v>
      </c>
      <c r="I105" s="39"/>
      <c r="J105" s="39">
        <v>919</v>
      </c>
      <c r="K105" s="299"/>
      <c r="L105" s="298"/>
      <c r="M105" s="298"/>
    </row>
    <row r="106" spans="1:13" x14ac:dyDescent="0.25">
      <c r="B106" s="150">
        <v>42991</v>
      </c>
      <c r="C106" s="10">
        <v>0</v>
      </c>
      <c r="D106" s="39"/>
      <c r="E106" s="39">
        <v>59.53</v>
      </c>
      <c r="F106" s="39"/>
      <c r="G106" s="39"/>
      <c r="H106" s="155"/>
      <c r="I106" s="39"/>
      <c r="J106" s="39">
        <v>1224</v>
      </c>
      <c r="K106" s="299"/>
      <c r="L106" s="298"/>
      <c r="M106" s="298"/>
    </row>
    <row r="107" spans="1:13" x14ac:dyDescent="0.25">
      <c r="A107" s="298"/>
      <c r="B107" s="546"/>
      <c r="C107" s="298"/>
      <c r="D107" s="299"/>
      <c r="E107" s="299"/>
      <c r="F107" s="299"/>
      <c r="G107" s="298"/>
      <c r="H107" s="628"/>
      <c r="I107" s="299"/>
      <c r="J107" s="299"/>
      <c r="K107" s="299"/>
      <c r="L107" s="298"/>
      <c r="M107" s="298"/>
    </row>
    <row r="108" spans="1:13" x14ac:dyDescent="0.25">
      <c r="A108" s="1"/>
      <c r="B108" s="150">
        <v>43014</v>
      </c>
      <c r="C108" s="10">
        <v>50</v>
      </c>
      <c r="D108" s="39">
        <v>56.88</v>
      </c>
      <c r="E108" s="39">
        <v>56.88</v>
      </c>
      <c r="F108" s="39">
        <f>C108*(E108-D108)</f>
        <v>0</v>
      </c>
      <c r="G108" s="39">
        <f>D108*C108</f>
        <v>2844</v>
      </c>
      <c r="H108" s="155">
        <f>(E108-D108)/D108</f>
        <v>0</v>
      </c>
      <c r="I108" s="39"/>
      <c r="J108" s="39"/>
      <c r="K108" s="299"/>
      <c r="L108" s="298"/>
      <c r="M108" s="298"/>
    </row>
    <row r="109" spans="1:13" x14ac:dyDescent="0.25">
      <c r="B109" s="150">
        <v>43031</v>
      </c>
      <c r="C109" s="10">
        <v>50</v>
      </c>
      <c r="D109" s="39">
        <v>56.88</v>
      </c>
      <c r="E109" s="39">
        <v>62.58</v>
      </c>
      <c r="F109" s="39">
        <f>C109*(E109-D109)</f>
        <v>284.99999999999977</v>
      </c>
      <c r="G109" s="39">
        <f>D109*C109</f>
        <v>2844</v>
      </c>
      <c r="H109" s="155">
        <f>(E109-D109)/D109</f>
        <v>0.10021097046413494</v>
      </c>
      <c r="I109" s="39"/>
      <c r="J109" s="39"/>
      <c r="K109" s="299"/>
      <c r="L109" s="298"/>
      <c r="M109" s="298"/>
    </row>
    <row r="110" spans="1:13" x14ac:dyDescent="0.25">
      <c r="B110" s="150">
        <v>43081</v>
      </c>
      <c r="C110" s="10">
        <v>50</v>
      </c>
      <c r="D110" s="39">
        <v>56.28</v>
      </c>
      <c r="E110" s="39">
        <v>61.02</v>
      </c>
      <c r="F110" s="39">
        <f>C110*(E110-D110)</f>
        <v>237.00000000000011</v>
      </c>
      <c r="G110" s="39">
        <f>D110*C110</f>
        <v>2814</v>
      </c>
      <c r="H110" s="155">
        <f>(E110-D110)/D110</f>
        <v>8.4221748400852905E-2</v>
      </c>
      <c r="I110" s="39">
        <v>56</v>
      </c>
      <c r="J110" s="39">
        <v>1461</v>
      </c>
      <c r="K110" s="299"/>
      <c r="L110" s="298"/>
      <c r="M110" s="298"/>
    </row>
    <row r="111" spans="1:13" x14ac:dyDescent="0.25">
      <c r="B111" s="150">
        <v>43105</v>
      </c>
      <c r="C111" s="10">
        <v>50</v>
      </c>
      <c r="D111" s="39">
        <v>56.26</v>
      </c>
      <c r="E111" s="39">
        <v>66.55</v>
      </c>
      <c r="F111" s="39">
        <f>C111*(E111-D111)</f>
        <v>514.5</v>
      </c>
      <c r="G111" s="39">
        <f>D111*C111</f>
        <v>2813</v>
      </c>
      <c r="H111" s="155">
        <f>(E111-D111)/D111</f>
        <v>0.18290081763242089</v>
      </c>
      <c r="I111" s="39"/>
      <c r="J111" s="39">
        <v>1738.01</v>
      </c>
      <c r="K111" s="299"/>
      <c r="L111" s="298"/>
      <c r="M111" s="298"/>
    </row>
    <row r="112" spans="1:13" x14ac:dyDescent="0.25">
      <c r="B112" s="150">
        <v>43108</v>
      </c>
      <c r="C112" s="10">
        <v>50</v>
      </c>
      <c r="D112" s="39">
        <v>56.26</v>
      </c>
      <c r="E112" s="39">
        <v>67.180000000000007</v>
      </c>
      <c r="F112" s="39">
        <f>C112*(E112-D112)</f>
        <v>546.00000000000045</v>
      </c>
      <c r="G112" s="39">
        <f>D112*C112</f>
        <v>2813</v>
      </c>
      <c r="H112" s="155">
        <f>(E112-D112)/D112</f>
        <v>0.19409882687522234</v>
      </c>
      <c r="I112" s="39"/>
      <c r="J112" s="39">
        <v>1770</v>
      </c>
      <c r="K112" s="299"/>
      <c r="L112" s="298"/>
      <c r="M112" s="298"/>
    </row>
    <row r="113" spans="1:13" x14ac:dyDescent="0.25">
      <c r="B113" s="150">
        <v>43111</v>
      </c>
      <c r="C113" s="10">
        <v>0</v>
      </c>
      <c r="D113" s="39"/>
      <c r="E113" s="39">
        <v>74</v>
      </c>
      <c r="F113" s="39">
        <v>836.92</v>
      </c>
      <c r="G113" s="39"/>
      <c r="H113" s="155"/>
      <c r="I113" s="39"/>
      <c r="J113" s="39">
        <v>2060.4299999999998</v>
      </c>
      <c r="K113" s="299"/>
      <c r="L113" s="298"/>
      <c r="M113" s="298"/>
    </row>
    <row r="114" spans="1:13" x14ac:dyDescent="0.25">
      <c r="A114" s="298"/>
      <c r="B114" s="546"/>
      <c r="C114" s="298"/>
      <c r="D114" s="299"/>
      <c r="E114" s="299"/>
      <c r="F114" s="299"/>
      <c r="G114" s="298"/>
      <c r="H114" s="298"/>
      <c r="I114" s="299"/>
      <c r="J114" s="299"/>
      <c r="K114" s="299"/>
      <c r="L114" s="298"/>
      <c r="M114" s="298"/>
    </row>
    <row r="115" spans="1:13" x14ac:dyDescent="0.25">
      <c r="A115" s="298"/>
      <c r="B115" s="546"/>
      <c r="C115" s="298"/>
      <c r="D115" s="299"/>
      <c r="E115" s="299"/>
      <c r="F115" s="299"/>
      <c r="G115" s="298"/>
      <c r="H115" s="298"/>
      <c r="I115" s="299"/>
      <c r="J115" s="299"/>
      <c r="K115" s="299"/>
      <c r="L115" s="298"/>
      <c r="M115" s="298"/>
    </row>
    <row r="116" spans="1:13" x14ac:dyDescent="0.25">
      <c r="A116" s="298"/>
      <c r="B116" s="546"/>
      <c r="C116" s="298"/>
      <c r="D116" s="299"/>
      <c r="E116" s="299"/>
      <c r="F116" s="299"/>
      <c r="G116" s="298"/>
      <c r="H116" s="298"/>
      <c r="I116" s="299"/>
      <c r="J116" s="299"/>
      <c r="K116" s="299"/>
      <c r="L116" s="298"/>
      <c r="M116" s="298"/>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614" priority="80">
      <formula>Q7&gt;0</formula>
    </cfRule>
    <cfRule type="expression" dxfId="613" priority="81">
      <formula>Q7&lt;0</formula>
    </cfRule>
  </conditionalFormatting>
  <conditionalFormatting sqref="Q8">
    <cfRule type="expression" dxfId="612" priority="78">
      <formula>Q8&gt;0</formula>
    </cfRule>
    <cfRule type="expression" dxfId="611" priority="79">
      <formula>Q8&lt;0</formula>
    </cfRule>
  </conditionalFormatting>
  <conditionalFormatting sqref="F29:F43">
    <cfRule type="expression" dxfId="610" priority="62">
      <formula>F29&gt;0</formula>
    </cfRule>
    <cfRule type="expression" dxfId="609" priority="63">
      <formula>F29&lt;0</formula>
    </cfRule>
  </conditionalFormatting>
  <conditionalFormatting sqref="H45 H47:H48 H50:H51 H53 H29:H43">
    <cfRule type="expression" dxfId="608" priority="60">
      <formula>H29&gt;0</formula>
    </cfRule>
    <cfRule type="expression" dxfId="607" priority="61">
      <formula>H29&lt;0</formula>
    </cfRule>
  </conditionalFormatting>
  <conditionalFormatting sqref="J35">
    <cfRule type="expression" dxfId="606" priority="56">
      <formula>J35&gt;0</formula>
    </cfRule>
    <cfRule type="expression" dxfId="605" priority="57">
      <formula>J35&lt;0</formula>
    </cfRule>
  </conditionalFormatting>
  <conditionalFormatting sqref="J36:J37">
    <cfRule type="expression" dxfId="604" priority="54">
      <formula>J36&gt;0</formula>
    </cfRule>
    <cfRule type="expression" dxfId="603" priority="55">
      <formula>J36&lt;0</formula>
    </cfRule>
  </conditionalFormatting>
  <conditionalFormatting sqref="J38:J45 J48 J51">
    <cfRule type="expression" dxfId="602" priority="52">
      <formula>J38&gt;0</formula>
    </cfRule>
    <cfRule type="expression" dxfId="601"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600" priority="49">
      <formula>M59&gt;0</formula>
    </cfRule>
    <cfRule type="expression" dxfId="599" priority="50">
      <formula>M59&lt;0</formula>
    </cfRule>
  </conditionalFormatting>
  <conditionalFormatting sqref="Q10">
    <cfRule type="expression" dxfId="598" priority="47">
      <formula>Q10&gt;0</formula>
    </cfRule>
    <cfRule type="expression" dxfId="597" priority="48">
      <formula>Q10&lt;0</formula>
    </cfRule>
  </conditionalFormatting>
  <conditionalFormatting sqref="F84:F103">
    <cfRule type="expression" dxfId="596" priority="45">
      <formula>F84&gt;0</formula>
    </cfRule>
    <cfRule type="expression" dxfId="595" priority="46">
      <formula>F84&lt;0</formula>
    </cfRule>
  </conditionalFormatting>
  <conditionalFormatting sqref="H107 H84:H103">
    <cfRule type="expression" dxfId="594" priority="43">
      <formula>H84&gt;0</formula>
    </cfRule>
    <cfRule type="expression" dxfId="593" priority="44">
      <formula>H84&lt;0</formula>
    </cfRule>
  </conditionalFormatting>
  <conditionalFormatting sqref="J89">
    <cfRule type="expression" dxfId="592" priority="41">
      <formula>J89&gt;0</formula>
    </cfRule>
    <cfRule type="expression" dxfId="591" priority="42">
      <formula>J89&lt;0</formula>
    </cfRule>
  </conditionalFormatting>
  <conditionalFormatting sqref="J90:J95">
    <cfRule type="expression" dxfId="590" priority="39">
      <formula>J90&gt;0</formula>
    </cfRule>
    <cfRule type="expression" dxfId="589" priority="40">
      <formula>J90&lt;0</formula>
    </cfRule>
  </conditionalFormatting>
  <conditionalFormatting sqref="J96:J97">
    <cfRule type="expression" dxfId="588" priority="37">
      <formula>J96&gt;0</formula>
    </cfRule>
    <cfRule type="expression" dxfId="587" priority="38">
      <formula>J96&lt;0</formula>
    </cfRule>
  </conditionalFormatting>
  <conditionalFormatting sqref="J98:J104">
    <cfRule type="expression" dxfId="586" priority="35">
      <formula>J98&gt;0</formula>
    </cfRule>
    <cfRule type="expression" dxfId="585" priority="36">
      <formula>J98&lt;0</formula>
    </cfRule>
  </conditionalFormatting>
  <conditionalFormatting sqref="J25">
    <cfRule type="expression" dxfId="584" priority="31">
      <formula>J25&gt;0</formula>
    </cfRule>
    <cfRule type="expression" dxfId="583" priority="32">
      <formula>J25&lt;0</formula>
    </cfRule>
  </conditionalFormatting>
  <conditionalFormatting sqref="F105:F106">
    <cfRule type="expression" dxfId="582" priority="29">
      <formula>F105&gt;0</formula>
    </cfRule>
    <cfRule type="expression" dxfId="581" priority="30">
      <formula>F105&lt;0</formula>
    </cfRule>
  </conditionalFormatting>
  <conditionalFormatting sqref="H105:H106">
    <cfRule type="expression" dxfId="580" priority="27">
      <formula>H105&gt;0</formula>
    </cfRule>
    <cfRule type="expression" dxfId="579" priority="28">
      <formula>H105&lt;0</formula>
    </cfRule>
  </conditionalFormatting>
  <conditionalFormatting sqref="J105">
    <cfRule type="expression" dxfId="578" priority="25">
      <formula>J105&gt;0</formula>
    </cfRule>
    <cfRule type="expression" dxfId="577" priority="26">
      <formula>J105&lt;0</formula>
    </cfRule>
  </conditionalFormatting>
  <conditionalFormatting sqref="J106">
    <cfRule type="expression" dxfId="576" priority="23">
      <formula>J106&gt;0</formula>
    </cfRule>
    <cfRule type="expression" dxfId="575" priority="24">
      <formula>J106&lt;0</formula>
    </cfRule>
  </conditionalFormatting>
  <conditionalFormatting sqref="F24 F27:F28">
    <cfRule type="expression" dxfId="574" priority="21">
      <formula>F24&gt;0</formula>
    </cfRule>
    <cfRule type="expression" dxfId="573" priority="22">
      <formula>F24&lt;0</formula>
    </cfRule>
  </conditionalFormatting>
  <conditionalFormatting sqref="H24:H28">
    <cfRule type="expression" dxfId="572" priority="19">
      <formula>H24&gt;0</formula>
    </cfRule>
    <cfRule type="expression" dxfId="571" priority="20">
      <formula>H24&lt;0</formula>
    </cfRule>
  </conditionalFormatting>
  <conditionalFormatting sqref="J26:J34">
    <cfRule type="expression" dxfId="570" priority="17">
      <formula>J26&gt;0</formula>
    </cfRule>
    <cfRule type="expression" dxfId="569" priority="18">
      <formula>J26&lt;0</formula>
    </cfRule>
  </conditionalFormatting>
  <conditionalFormatting sqref="F113">
    <cfRule type="expression" dxfId="568" priority="15">
      <formula>F113&gt;0</formula>
    </cfRule>
    <cfRule type="expression" dxfId="567" priority="16">
      <formula>F113&lt;0</formula>
    </cfRule>
  </conditionalFormatting>
  <conditionalFormatting sqref="H113">
    <cfRule type="expression" dxfId="566" priority="13">
      <formula>H113&gt;0</formula>
    </cfRule>
    <cfRule type="expression" dxfId="565" priority="14">
      <formula>H113&lt;0</formula>
    </cfRule>
  </conditionalFormatting>
  <conditionalFormatting sqref="J109">
    <cfRule type="expression" dxfId="564" priority="11">
      <formula>J109&gt;0</formula>
    </cfRule>
    <cfRule type="expression" dxfId="563" priority="12">
      <formula>J109&lt;0</formula>
    </cfRule>
  </conditionalFormatting>
  <conditionalFormatting sqref="F108:F112">
    <cfRule type="expression" dxfId="562" priority="9">
      <formula>F108&gt;0</formula>
    </cfRule>
    <cfRule type="expression" dxfId="561" priority="10">
      <formula>F108&lt;0</formula>
    </cfRule>
  </conditionalFormatting>
  <conditionalFormatting sqref="H108:H112">
    <cfRule type="expression" dxfId="560" priority="7">
      <formula>H108&gt;0</formula>
    </cfRule>
    <cfRule type="expression" dxfId="559" priority="8">
      <formula>H108&lt;0</formula>
    </cfRule>
  </conditionalFormatting>
  <conditionalFormatting sqref="J110:J113">
    <cfRule type="expression" dxfId="558" priority="5">
      <formula>J110&gt;0</formula>
    </cfRule>
    <cfRule type="expression" dxfId="557" priority="6">
      <formula>J110&lt;0</formula>
    </cfRule>
  </conditionalFormatting>
  <conditionalFormatting sqref="F25:F26">
    <cfRule type="expression" dxfId="556" priority="3">
      <formula>F25&gt;0</formula>
    </cfRule>
    <cfRule type="expression" dxfId="555" priority="4">
      <formula>F25&lt;0</formula>
    </cfRule>
  </conditionalFormatting>
  <conditionalFormatting sqref="Q9">
    <cfRule type="expression" dxfId="554" priority="1">
      <formula>Q9&gt;0</formula>
    </cfRule>
    <cfRule type="expression" dxfId="553"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60"/>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173</v>
      </c>
      <c r="B2" s="368">
        <v>42985</v>
      </c>
      <c r="C2" s="4">
        <v>50</v>
      </c>
      <c r="D2" s="3">
        <v>44.98</v>
      </c>
      <c r="E2" s="3">
        <v>0</v>
      </c>
      <c r="F2" s="3">
        <f>C2*D2</f>
        <v>2249</v>
      </c>
      <c r="G2" s="368">
        <v>43047</v>
      </c>
      <c r="H2" s="80">
        <v>120</v>
      </c>
      <c r="I2" s="43">
        <v>31.31</v>
      </c>
      <c r="J2" s="43">
        <v>0.09</v>
      </c>
      <c r="K2" s="43">
        <f t="shared" ref="K2:K23" si="0">H2*I2-J2</f>
        <v>3757.1099999999997</v>
      </c>
      <c r="L2" s="72">
        <v>43087</v>
      </c>
      <c r="M2" s="43">
        <v>115</v>
      </c>
      <c r="O2" s="11" t="s">
        <v>57</v>
      </c>
      <c r="Q2" s="70">
        <f>C38-H38</f>
        <v>700</v>
      </c>
      <c r="T2" t="s">
        <v>83</v>
      </c>
      <c r="U2" t="s">
        <v>84</v>
      </c>
    </row>
    <row r="3" spans="1:29" x14ac:dyDescent="0.25">
      <c r="A3" s="22" t="s">
        <v>71</v>
      </c>
      <c r="B3" s="368">
        <v>42993</v>
      </c>
      <c r="C3" s="4">
        <v>60</v>
      </c>
      <c r="D3" s="3">
        <v>42.81</v>
      </c>
      <c r="E3" s="3">
        <v>0</v>
      </c>
      <c r="F3" s="3">
        <f>C3*D3</f>
        <v>2568.6000000000004</v>
      </c>
      <c r="G3" s="368">
        <v>43066</v>
      </c>
      <c r="H3" s="80">
        <v>100</v>
      </c>
      <c r="I3" s="43">
        <v>29.58</v>
      </c>
      <c r="J3" s="43">
        <v>7.0000000000000007E-2</v>
      </c>
      <c r="K3" s="43">
        <f t="shared" si="0"/>
        <v>2957.93</v>
      </c>
      <c r="L3" s="72">
        <v>43176</v>
      </c>
      <c r="M3" s="43">
        <v>64.400000000000006</v>
      </c>
      <c r="O3" s="11" t="s">
        <v>58</v>
      </c>
      <c r="Q3" s="178">
        <f>IF(Q2=0, Q4, (F38-K38-M38)/Q2)</f>
        <v>22.962099999999992</v>
      </c>
      <c r="T3" s="1">
        <v>42312</v>
      </c>
      <c r="U3" t="s">
        <v>147</v>
      </c>
      <c r="Z3" s="182"/>
      <c r="AC3" s="182"/>
    </row>
    <row r="4" spans="1:29" x14ac:dyDescent="0.25">
      <c r="B4" s="368">
        <v>43028</v>
      </c>
      <c r="C4" s="4">
        <v>10</v>
      </c>
      <c r="D4" s="3">
        <v>40.450000000000003</v>
      </c>
      <c r="E4" s="3">
        <v>0</v>
      </c>
      <c r="F4" s="3">
        <f>C4*D4</f>
        <v>404.5</v>
      </c>
      <c r="G4" s="368">
        <v>43069</v>
      </c>
      <c r="H4" s="80">
        <v>60</v>
      </c>
      <c r="I4" s="43">
        <v>30.9</v>
      </c>
      <c r="J4" s="43">
        <v>0.01</v>
      </c>
      <c r="K4" s="43">
        <f t="shared" si="0"/>
        <v>1853.99</v>
      </c>
      <c r="L4" s="72">
        <v>43266</v>
      </c>
      <c r="M4" s="43">
        <v>115</v>
      </c>
      <c r="O4" s="11" t="s">
        <v>66</v>
      </c>
      <c r="Q4" s="172">
        <v>15.85</v>
      </c>
      <c r="R4" s="180">
        <v>1.7999999999999999E-2</v>
      </c>
      <c r="T4" s="1">
        <v>43096</v>
      </c>
      <c r="U4" t="s">
        <v>760</v>
      </c>
    </row>
    <row r="5" spans="1:29" x14ac:dyDescent="0.25">
      <c r="B5" s="368">
        <v>43028</v>
      </c>
      <c r="C5" s="4">
        <v>60</v>
      </c>
      <c r="D5" s="2">
        <v>40.450000000000003</v>
      </c>
      <c r="E5" s="2">
        <v>0</v>
      </c>
      <c r="F5" s="3">
        <f>C5*D5</f>
        <v>2427</v>
      </c>
      <c r="G5" s="368">
        <v>43090</v>
      </c>
      <c r="H5" s="80">
        <v>120</v>
      </c>
      <c r="I5" s="43">
        <v>30.68</v>
      </c>
      <c r="J5" s="43">
        <v>0.09</v>
      </c>
      <c r="K5" s="43">
        <f t="shared" si="0"/>
        <v>3681.5099999999998</v>
      </c>
      <c r="L5" s="72">
        <v>43357</v>
      </c>
      <c r="M5" s="43">
        <v>230</v>
      </c>
      <c r="O5" s="11" t="s">
        <v>67</v>
      </c>
      <c r="Q5" s="3">
        <f>Q4*Q2</f>
        <v>11095</v>
      </c>
      <c r="U5" t="s">
        <v>761</v>
      </c>
    </row>
    <row r="6" spans="1:29" x14ac:dyDescent="0.25">
      <c r="B6" s="368">
        <v>43041</v>
      </c>
      <c r="C6" s="4">
        <v>40</v>
      </c>
      <c r="D6" s="3">
        <v>33.58</v>
      </c>
      <c r="E6" s="3">
        <v>0</v>
      </c>
      <c r="F6" s="3">
        <f t="shared" ref="F6:F11" si="1">C6*D6</f>
        <v>1343.1999999999998</v>
      </c>
      <c r="G6" s="368">
        <v>43097</v>
      </c>
      <c r="H6" s="80">
        <v>60</v>
      </c>
      <c r="I6" s="43">
        <v>30.9</v>
      </c>
      <c r="J6" s="43">
        <v>0.04</v>
      </c>
      <c r="K6" s="43">
        <f t="shared" si="0"/>
        <v>1853.96</v>
      </c>
      <c r="L6" s="72">
        <v>43448</v>
      </c>
      <c r="M6" s="43">
        <v>69</v>
      </c>
      <c r="O6" s="11" t="s">
        <v>64</v>
      </c>
      <c r="Q6" s="2">
        <f>Q3*Q2</f>
        <v>16073.469999999994</v>
      </c>
      <c r="U6" t="s">
        <v>762</v>
      </c>
    </row>
    <row r="7" spans="1:29" x14ac:dyDescent="0.25">
      <c r="B7" s="368">
        <v>43041</v>
      </c>
      <c r="C7" s="7">
        <v>60</v>
      </c>
      <c r="D7" s="43">
        <v>33.58</v>
      </c>
      <c r="E7" s="43">
        <v>0</v>
      </c>
      <c r="F7" s="43">
        <f t="shared" si="1"/>
        <v>2014.8</v>
      </c>
      <c r="G7" s="368">
        <v>43126</v>
      </c>
      <c r="H7" s="80">
        <v>180</v>
      </c>
      <c r="I7" s="43">
        <v>25.38</v>
      </c>
      <c r="J7" s="43">
        <v>0.11</v>
      </c>
      <c r="K7" s="43">
        <f t="shared" si="0"/>
        <v>4568.29</v>
      </c>
      <c r="L7" s="72">
        <v>43539</v>
      </c>
      <c r="M7" s="43">
        <v>115</v>
      </c>
      <c r="O7" s="11" t="s">
        <v>177</v>
      </c>
      <c r="Q7" s="2">
        <f>Q10+Q8</f>
        <v>-4903.4500000000007</v>
      </c>
      <c r="R7">
        <v>500</v>
      </c>
      <c r="U7" t="s">
        <v>763</v>
      </c>
    </row>
    <row r="8" spans="1:29" x14ac:dyDescent="0.25">
      <c r="B8" s="368">
        <v>43045</v>
      </c>
      <c r="C8" s="7">
        <v>120</v>
      </c>
      <c r="D8" s="43">
        <v>30.08</v>
      </c>
      <c r="E8" s="43">
        <v>0</v>
      </c>
      <c r="F8" s="43">
        <f t="shared" si="1"/>
        <v>3609.6</v>
      </c>
      <c r="G8" s="368">
        <v>43126</v>
      </c>
      <c r="H8" s="80">
        <v>40</v>
      </c>
      <c r="I8" s="43">
        <v>26.35</v>
      </c>
      <c r="J8" s="43">
        <v>0.02</v>
      </c>
      <c r="K8" s="43">
        <f t="shared" si="0"/>
        <v>1053.98</v>
      </c>
      <c r="O8" s="11" t="s">
        <v>179</v>
      </c>
      <c r="P8" s="33"/>
      <c r="Q8" s="2">
        <f>K38+M38-F38+Q2*Q4</f>
        <v>-4978.4700000000012</v>
      </c>
      <c r="U8" t="s">
        <v>764</v>
      </c>
    </row>
    <row r="9" spans="1:29" x14ac:dyDescent="0.25">
      <c r="B9" s="368">
        <v>43045</v>
      </c>
      <c r="C9" s="7">
        <v>100</v>
      </c>
      <c r="D9" s="43">
        <v>30.05</v>
      </c>
      <c r="E9" s="43">
        <v>0</v>
      </c>
      <c r="F9" s="43">
        <f t="shared" si="1"/>
        <v>3005</v>
      </c>
      <c r="G9" s="368">
        <v>43194</v>
      </c>
      <c r="H9" s="80">
        <v>120</v>
      </c>
      <c r="I9" s="43">
        <v>25.68</v>
      </c>
      <c r="J9" s="43">
        <v>7.0000000000000007E-2</v>
      </c>
      <c r="K9" s="43">
        <f t="shared" si="0"/>
        <v>3081.5299999999997</v>
      </c>
      <c r="O9" s="11" t="s">
        <v>204</v>
      </c>
      <c r="Q9" s="134">
        <f>IF(Q2=0, 0, Q8/Q6)</f>
        <v>-0.30973212380400766</v>
      </c>
    </row>
    <row r="10" spans="1:29" x14ac:dyDescent="0.25">
      <c r="B10" s="368">
        <v>43048</v>
      </c>
      <c r="C10" s="7">
        <v>120</v>
      </c>
      <c r="D10" s="43">
        <v>30.38</v>
      </c>
      <c r="E10" s="43">
        <v>0</v>
      </c>
      <c r="F10" s="43">
        <f t="shared" si="1"/>
        <v>3645.6</v>
      </c>
      <c r="G10" s="368">
        <v>43217</v>
      </c>
      <c r="H10" s="80">
        <v>100</v>
      </c>
      <c r="I10" s="43">
        <v>27.58</v>
      </c>
      <c r="J10" s="43">
        <v>0.06</v>
      </c>
      <c r="K10" s="43">
        <f t="shared" si="0"/>
        <v>2757.94</v>
      </c>
      <c r="O10" s="11" t="s">
        <v>203</v>
      </c>
      <c r="P10" s="33"/>
      <c r="Q10" s="2">
        <f>M124</f>
        <v>75.019999999999982</v>
      </c>
      <c r="T10" s="1">
        <v>43103</v>
      </c>
      <c r="U10" t="s">
        <v>811</v>
      </c>
    </row>
    <row r="11" spans="1:29" x14ac:dyDescent="0.25">
      <c r="B11" s="368">
        <v>43417</v>
      </c>
      <c r="C11" s="7">
        <v>20</v>
      </c>
      <c r="D11" s="43">
        <v>28.38</v>
      </c>
      <c r="E11" s="43">
        <v>0</v>
      </c>
      <c r="F11" s="43">
        <f t="shared" si="1"/>
        <v>567.6</v>
      </c>
      <c r="G11" s="368">
        <v>43222</v>
      </c>
      <c r="H11" s="80">
        <v>100</v>
      </c>
      <c r="I11" s="43">
        <v>27.68</v>
      </c>
      <c r="J11" s="43">
        <v>0.06</v>
      </c>
      <c r="K11" s="43">
        <f t="shared" si="0"/>
        <v>2767.94</v>
      </c>
      <c r="O11" s="11" t="s">
        <v>175</v>
      </c>
      <c r="P11" s="33"/>
      <c r="Q11" s="134">
        <f>R11*4/Q4</f>
        <v>5.8044164037854895E-2</v>
      </c>
      <c r="R11">
        <f>0.23</f>
        <v>0.23</v>
      </c>
      <c r="U11" t="s">
        <v>812</v>
      </c>
    </row>
    <row r="12" spans="1:29" x14ac:dyDescent="0.25">
      <c r="B12" s="368">
        <v>43052</v>
      </c>
      <c r="C12" s="7">
        <v>80</v>
      </c>
      <c r="D12" s="43">
        <v>28.38</v>
      </c>
      <c r="E12" s="43">
        <v>0</v>
      </c>
      <c r="F12" s="43">
        <f t="shared" ref="F12:F35" si="2">C12*D12</f>
        <v>2270.4</v>
      </c>
      <c r="G12" s="368">
        <v>43262</v>
      </c>
      <c r="H12" s="80">
        <v>120</v>
      </c>
      <c r="I12" s="43">
        <v>25.68</v>
      </c>
      <c r="J12" s="43">
        <v>0.04</v>
      </c>
      <c r="K12" s="43">
        <f t="shared" si="0"/>
        <v>3081.56</v>
      </c>
      <c r="O12" s="11" t="s">
        <v>921</v>
      </c>
      <c r="Q12" s="1" t="s">
        <v>1372</v>
      </c>
      <c r="T12" s="1">
        <v>43110</v>
      </c>
      <c r="U12" t="s">
        <v>840</v>
      </c>
    </row>
    <row r="13" spans="1:29" x14ac:dyDescent="0.25">
      <c r="B13" s="368">
        <v>43089</v>
      </c>
      <c r="C13" s="4">
        <v>60</v>
      </c>
      <c r="D13" s="3">
        <v>30.18</v>
      </c>
      <c r="E13" s="3">
        <v>0</v>
      </c>
      <c r="F13" s="3">
        <f t="shared" si="2"/>
        <v>1810.8</v>
      </c>
      <c r="G13" s="368">
        <v>43286</v>
      </c>
      <c r="H13" s="80">
        <v>100</v>
      </c>
      <c r="I13" s="43">
        <v>27.18</v>
      </c>
      <c r="J13" s="43">
        <v>0.04</v>
      </c>
      <c r="K13" s="43">
        <f t="shared" si="0"/>
        <v>2717.96</v>
      </c>
      <c r="O13" s="11" t="s">
        <v>947</v>
      </c>
      <c r="Q13" s="2">
        <f>Q4/1.55</f>
        <v>10.225806451612902</v>
      </c>
      <c r="T13" s="1">
        <v>43112</v>
      </c>
      <c r="U13" t="s">
        <v>836</v>
      </c>
    </row>
    <row r="14" spans="1:29" x14ac:dyDescent="0.25">
      <c r="B14" s="368">
        <v>43125</v>
      </c>
      <c r="C14" s="7">
        <v>180</v>
      </c>
      <c r="D14" s="43">
        <v>25</v>
      </c>
      <c r="E14" s="43">
        <v>0</v>
      </c>
      <c r="F14" s="43">
        <f t="shared" si="2"/>
        <v>4500</v>
      </c>
      <c r="G14" s="368">
        <v>43307</v>
      </c>
      <c r="H14" s="80">
        <v>120</v>
      </c>
      <c r="I14" s="43">
        <v>26.52</v>
      </c>
      <c r="J14" s="43">
        <v>0.04</v>
      </c>
      <c r="K14" s="43">
        <f t="shared" si="0"/>
        <v>3182.36</v>
      </c>
      <c r="O14" s="11" t="s">
        <v>1034</v>
      </c>
      <c r="Q14" s="1">
        <v>43417</v>
      </c>
      <c r="U14" t="s">
        <v>837</v>
      </c>
    </row>
    <row r="15" spans="1:29" x14ac:dyDescent="0.25">
      <c r="B15" s="368">
        <v>43178</v>
      </c>
      <c r="C15" s="7">
        <v>100</v>
      </c>
      <c r="D15" s="43">
        <v>26.88</v>
      </c>
      <c r="E15" s="43">
        <v>0</v>
      </c>
      <c r="F15" s="43">
        <f t="shared" si="2"/>
        <v>2688</v>
      </c>
      <c r="G15" s="368">
        <v>43329</v>
      </c>
      <c r="H15" s="80">
        <v>200</v>
      </c>
      <c r="I15" s="43">
        <v>21.6</v>
      </c>
      <c r="J15" s="43">
        <v>0.06</v>
      </c>
      <c r="K15" s="43">
        <f t="shared" si="0"/>
        <v>4319.9399999999996</v>
      </c>
      <c r="U15" s="405" t="s">
        <v>839</v>
      </c>
    </row>
    <row r="16" spans="1:29" x14ac:dyDescent="0.25">
      <c r="B16" s="368">
        <v>43186</v>
      </c>
      <c r="C16" s="7">
        <v>120</v>
      </c>
      <c r="D16" s="43">
        <v>24.68</v>
      </c>
      <c r="E16" s="43">
        <v>0</v>
      </c>
      <c r="F16" s="43">
        <f t="shared" si="2"/>
        <v>2961.6</v>
      </c>
      <c r="G16" s="368">
        <v>43332</v>
      </c>
      <c r="H16" s="80">
        <v>300</v>
      </c>
      <c r="I16" s="43">
        <v>21.75</v>
      </c>
      <c r="J16" s="43">
        <v>0.08</v>
      </c>
      <c r="K16" s="43">
        <f t="shared" si="0"/>
        <v>6524.92</v>
      </c>
    </row>
    <row r="17" spans="1:21" x14ac:dyDescent="0.25">
      <c r="B17" s="368">
        <v>43221</v>
      </c>
      <c r="C17" s="7">
        <v>100</v>
      </c>
      <c r="D17" s="43">
        <v>26.6</v>
      </c>
      <c r="E17" s="43">
        <v>0</v>
      </c>
      <c r="F17" s="43">
        <f t="shared" si="2"/>
        <v>2660</v>
      </c>
      <c r="G17" s="368">
        <v>43363</v>
      </c>
      <c r="H17" s="80">
        <v>200</v>
      </c>
      <c r="I17" s="43">
        <v>22.28</v>
      </c>
      <c r="J17" s="43">
        <v>0.06</v>
      </c>
      <c r="K17" s="43">
        <f t="shared" si="0"/>
        <v>4455.9399999999996</v>
      </c>
      <c r="T17" s="1">
        <v>43120</v>
      </c>
      <c r="U17" t="s">
        <v>875</v>
      </c>
    </row>
    <row r="18" spans="1:21" ht="20.25" thickBot="1" x14ac:dyDescent="0.35">
      <c r="B18" s="368">
        <v>43223</v>
      </c>
      <c r="C18" s="7">
        <v>100</v>
      </c>
      <c r="D18" s="43">
        <v>26.75</v>
      </c>
      <c r="E18" s="43">
        <v>0</v>
      </c>
      <c r="F18" s="43">
        <f t="shared" si="2"/>
        <v>2675</v>
      </c>
      <c r="G18" s="368">
        <v>43409</v>
      </c>
      <c r="H18" s="80">
        <v>200</v>
      </c>
      <c r="I18" s="43">
        <v>19.68</v>
      </c>
      <c r="J18" s="43">
        <v>0.05</v>
      </c>
      <c r="K18" s="43">
        <f t="shared" si="0"/>
        <v>3935.95</v>
      </c>
      <c r="O18" s="193" t="s">
        <v>78</v>
      </c>
      <c r="P18" s="193"/>
    </row>
    <row r="19" spans="1:21" ht="15.75" thickTop="1" x14ac:dyDescent="0.25">
      <c r="B19" s="368">
        <v>43249</v>
      </c>
      <c r="C19" s="7">
        <v>120</v>
      </c>
      <c r="D19" s="43">
        <v>24.65</v>
      </c>
      <c r="E19" s="43">
        <v>0</v>
      </c>
      <c r="F19" s="43">
        <f t="shared" si="2"/>
        <v>2958</v>
      </c>
      <c r="G19" s="368">
        <v>43419</v>
      </c>
      <c r="H19" s="80">
        <v>200</v>
      </c>
      <c r="I19" s="43">
        <v>21.28</v>
      </c>
      <c r="J19" s="43">
        <v>0.06</v>
      </c>
      <c r="K19" s="43">
        <f t="shared" si="0"/>
        <v>4255.9399999999996</v>
      </c>
      <c r="O19" s="81">
        <v>1.1000000000000001</v>
      </c>
      <c r="P19" s="81">
        <f>O19*$Q$4</f>
        <v>17.435000000000002</v>
      </c>
      <c r="T19" s="1">
        <v>43125</v>
      </c>
      <c r="U19" t="s">
        <v>889</v>
      </c>
    </row>
    <row r="20" spans="1:21" x14ac:dyDescent="0.25">
      <c r="B20" s="368">
        <v>43301</v>
      </c>
      <c r="C20" s="4">
        <v>40</v>
      </c>
      <c r="D20" s="3">
        <v>26.28</v>
      </c>
      <c r="E20" s="3">
        <v>0</v>
      </c>
      <c r="F20" s="3">
        <f>C20*D20</f>
        <v>1051.2</v>
      </c>
      <c r="G20" s="368">
        <v>43419</v>
      </c>
      <c r="H20" s="80">
        <v>300</v>
      </c>
      <c r="I20" s="43">
        <v>21.42</v>
      </c>
      <c r="J20" s="43">
        <v>0.08</v>
      </c>
      <c r="K20" s="43">
        <f t="shared" si="0"/>
        <v>6425.920000000001</v>
      </c>
      <c r="O20" s="81">
        <v>1.0900000000000001</v>
      </c>
      <c r="P20" s="81">
        <f t="shared" ref="P20:P39" si="3">O20*$Q$4</f>
        <v>17.276500000000002</v>
      </c>
      <c r="T20" s="1">
        <v>43126</v>
      </c>
      <c r="U20" t="s">
        <v>887</v>
      </c>
    </row>
    <row r="21" spans="1:21" x14ac:dyDescent="0.25">
      <c r="B21" s="368">
        <v>43301</v>
      </c>
      <c r="C21" s="4">
        <v>60</v>
      </c>
      <c r="D21" s="3">
        <v>26.28</v>
      </c>
      <c r="E21" s="3">
        <v>0</v>
      </c>
      <c r="F21" s="3">
        <f t="shared" si="2"/>
        <v>1576.8000000000002</v>
      </c>
      <c r="G21" s="368">
        <v>43420</v>
      </c>
      <c r="H21" s="80">
        <v>300</v>
      </c>
      <c r="I21" s="43">
        <v>21.79</v>
      </c>
      <c r="J21" s="43">
        <v>0.08</v>
      </c>
      <c r="K21" s="43">
        <f t="shared" si="0"/>
        <v>6536.92</v>
      </c>
      <c r="O21" s="81">
        <v>1.08</v>
      </c>
      <c r="P21" s="81">
        <f t="shared" si="3"/>
        <v>17.118000000000002</v>
      </c>
      <c r="U21" t="s">
        <v>888</v>
      </c>
    </row>
    <row r="22" spans="1:21" x14ac:dyDescent="0.25">
      <c r="A22" t="s">
        <v>758</v>
      </c>
      <c r="B22" s="368">
        <v>43306</v>
      </c>
      <c r="C22" s="7">
        <v>120</v>
      </c>
      <c r="D22" s="43">
        <v>25.67</v>
      </c>
      <c r="E22" s="43">
        <v>0</v>
      </c>
      <c r="F22" s="43">
        <f t="shared" si="2"/>
        <v>3080.4</v>
      </c>
      <c r="G22" s="368">
        <v>43430</v>
      </c>
      <c r="H22" s="80">
        <v>100</v>
      </c>
      <c r="I22" s="43">
        <v>22.58</v>
      </c>
      <c r="J22" s="43">
        <v>0.03</v>
      </c>
      <c r="K22" s="43">
        <f t="shared" si="0"/>
        <v>2257.9699999999998</v>
      </c>
      <c r="O22" s="81">
        <v>1.07</v>
      </c>
      <c r="P22" s="81">
        <f t="shared" si="3"/>
        <v>16.959500000000002</v>
      </c>
    </row>
    <row r="23" spans="1:21" x14ac:dyDescent="0.25">
      <c r="A23" s="888" t="s">
        <v>1218</v>
      </c>
      <c r="B23" s="368">
        <v>43318</v>
      </c>
      <c r="C23" s="4">
        <v>120</v>
      </c>
      <c r="D23" s="3">
        <v>25.2</v>
      </c>
      <c r="E23" s="3">
        <v>0</v>
      </c>
      <c r="F23" s="3">
        <f t="shared" si="2"/>
        <v>3024</v>
      </c>
      <c r="G23" s="368">
        <v>43430</v>
      </c>
      <c r="H23" s="80">
        <v>100</v>
      </c>
      <c r="I23" s="43">
        <v>22.98</v>
      </c>
      <c r="J23" s="43">
        <v>0.03</v>
      </c>
      <c r="K23" s="43">
        <f t="shared" si="0"/>
        <v>2297.9699999999998</v>
      </c>
      <c r="O23" s="81">
        <v>1.06</v>
      </c>
      <c r="P23" s="81">
        <f t="shared" si="3"/>
        <v>16.801000000000002</v>
      </c>
      <c r="T23" s="1">
        <v>43128</v>
      </c>
      <c r="U23" t="s">
        <v>890</v>
      </c>
    </row>
    <row r="24" spans="1:21" x14ac:dyDescent="0.25">
      <c r="A24" s="888"/>
      <c r="B24" s="368">
        <v>43318</v>
      </c>
      <c r="C24" s="738">
        <v>120</v>
      </c>
      <c r="D24" s="43">
        <v>23.52</v>
      </c>
      <c r="E24" s="43">
        <v>0</v>
      </c>
      <c r="F24" s="43">
        <f t="shared" si="2"/>
        <v>2822.4</v>
      </c>
      <c r="O24" s="81">
        <v>1.05</v>
      </c>
      <c r="P24" s="81">
        <f t="shared" si="3"/>
        <v>16.642500000000002</v>
      </c>
    </row>
    <row r="25" spans="1:21" x14ac:dyDescent="0.25">
      <c r="A25" s="888"/>
      <c r="B25" s="368">
        <v>43318</v>
      </c>
      <c r="C25" s="7">
        <v>80</v>
      </c>
      <c r="D25" s="43">
        <v>23.08</v>
      </c>
      <c r="E25" s="43">
        <v>0</v>
      </c>
      <c r="F25" s="43">
        <f t="shared" si="2"/>
        <v>1846.3999999999999</v>
      </c>
      <c r="O25" s="81">
        <v>1.04</v>
      </c>
      <c r="P25" s="81">
        <f t="shared" si="3"/>
        <v>16.484000000000002</v>
      </c>
    </row>
    <row r="26" spans="1:21" x14ac:dyDescent="0.25">
      <c r="A26" s="888"/>
      <c r="B26" s="368">
        <v>43319</v>
      </c>
      <c r="C26" s="7">
        <v>100</v>
      </c>
      <c r="D26" s="43">
        <v>21.72</v>
      </c>
      <c r="E26" s="43">
        <v>0</v>
      </c>
      <c r="F26" s="43">
        <f t="shared" si="2"/>
        <v>2172</v>
      </c>
      <c r="O26" s="81">
        <v>1.03</v>
      </c>
      <c r="P26" s="81">
        <f t="shared" si="3"/>
        <v>16.325500000000002</v>
      </c>
    </row>
    <row r="27" spans="1:21" x14ac:dyDescent="0.25">
      <c r="A27" s="888"/>
      <c r="B27" s="368">
        <v>43320</v>
      </c>
      <c r="C27" s="7">
        <v>200</v>
      </c>
      <c r="D27" s="43">
        <v>20.399999999999999</v>
      </c>
      <c r="E27" s="43">
        <v>0</v>
      </c>
      <c r="F27" s="43">
        <f t="shared" si="2"/>
        <v>4079.9999999999995</v>
      </c>
      <c r="O27" s="81">
        <v>1.02</v>
      </c>
      <c r="P27" s="81">
        <f t="shared" si="3"/>
        <v>16.167000000000002</v>
      </c>
    </row>
    <row r="28" spans="1:21" x14ac:dyDescent="0.25">
      <c r="B28" s="368">
        <v>43325</v>
      </c>
      <c r="C28" s="7">
        <v>500</v>
      </c>
      <c r="D28" s="43">
        <v>20.48</v>
      </c>
      <c r="E28" s="43">
        <v>0</v>
      </c>
      <c r="F28" s="43">
        <f t="shared" si="2"/>
        <v>10240</v>
      </c>
      <c r="O28" s="81">
        <v>1.01</v>
      </c>
      <c r="P28" s="81">
        <f t="shared" si="3"/>
        <v>16.008500000000002</v>
      </c>
      <c r="T28" s="693">
        <v>43136</v>
      </c>
      <c r="U28" t="s">
        <v>838</v>
      </c>
    </row>
    <row r="29" spans="1:21" x14ac:dyDescent="0.25">
      <c r="B29" s="368">
        <v>43347</v>
      </c>
      <c r="C29" s="7">
        <v>200</v>
      </c>
      <c r="D29" s="43">
        <v>21.28</v>
      </c>
      <c r="E29" s="43">
        <v>0</v>
      </c>
      <c r="F29" s="43">
        <f t="shared" si="2"/>
        <v>4256</v>
      </c>
      <c r="O29" s="81">
        <v>1</v>
      </c>
      <c r="P29" s="81">
        <f t="shared" si="3"/>
        <v>15.85</v>
      </c>
    </row>
    <row r="30" spans="1:21" ht="15" customHeight="1" x14ac:dyDescent="0.25">
      <c r="A30" s="889" t="s">
        <v>1275</v>
      </c>
      <c r="B30" s="368">
        <v>43367</v>
      </c>
      <c r="C30" s="7">
        <v>200</v>
      </c>
      <c r="D30" s="43">
        <v>20.98</v>
      </c>
      <c r="E30" s="43">
        <v>0</v>
      </c>
      <c r="F30" s="43">
        <f t="shared" si="2"/>
        <v>4196</v>
      </c>
      <c r="O30" s="81">
        <v>0.99</v>
      </c>
      <c r="P30" s="81">
        <f t="shared" si="3"/>
        <v>15.6915</v>
      </c>
      <c r="T30" s="1">
        <v>43175</v>
      </c>
      <c r="U30" t="s">
        <v>1088</v>
      </c>
    </row>
    <row r="31" spans="1:21" x14ac:dyDescent="0.25">
      <c r="A31" s="889"/>
      <c r="B31" s="72">
        <v>43367</v>
      </c>
      <c r="C31" s="7">
        <v>100</v>
      </c>
      <c r="D31" s="43">
        <v>20.315000000000001</v>
      </c>
      <c r="E31" s="43">
        <v>0</v>
      </c>
      <c r="F31" s="43">
        <f t="shared" si="2"/>
        <v>2031.5000000000002</v>
      </c>
      <c r="O31" s="81">
        <v>0.98</v>
      </c>
      <c r="P31" s="81">
        <f t="shared" si="3"/>
        <v>15.532999999999999</v>
      </c>
      <c r="T31" s="1">
        <v>43178</v>
      </c>
      <c r="U31" t="s">
        <v>935</v>
      </c>
    </row>
    <row r="32" spans="1:21" x14ac:dyDescent="0.25">
      <c r="A32" s="889"/>
      <c r="B32" s="72">
        <v>43378</v>
      </c>
      <c r="C32" s="7">
        <v>100</v>
      </c>
      <c r="D32" s="43">
        <v>19.39</v>
      </c>
      <c r="E32" s="43">
        <v>0</v>
      </c>
      <c r="F32" s="43">
        <f t="shared" si="2"/>
        <v>1939</v>
      </c>
      <c r="O32" s="81">
        <v>0.97</v>
      </c>
      <c r="P32" s="81">
        <f t="shared" si="3"/>
        <v>15.374499999999999</v>
      </c>
    </row>
    <row r="33" spans="1:21" x14ac:dyDescent="0.25">
      <c r="A33" s="889"/>
      <c r="B33" s="72">
        <v>43378</v>
      </c>
      <c r="C33" s="7">
        <v>100</v>
      </c>
      <c r="D33" s="43">
        <v>18.75</v>
      </c>
      <c r="E33" s="43">
        <v>0</v>
      </c>
      <c r="F33" s="43">
        <f t="shared" si="2"/>
        <v>1875</v>
      </c>
      <c r="O33" s="81">
        <v>0.96</v>
      </c>
      <c r="P33" s="81">
        <f t="shared" si="3"/>
        <v>15.215999999999999</v>
      </c>
      <c r="T33" s="1">
        <v>43217</v>
      </c>
      <c r="U33" t="s">
        <v>1007</v>
      </c>
    </row>
    <row r="34" spans="1:21" x14ac:dyDescent="0.25">
      <c r="B34" s="72">
        <v>43511</v>
      </c>
      <c r="C34" s="4">
        <v>200</v>
      </c>
      <c r="D34" s="3">
        <v>17.68</v>
      </c>
      <c r="E34" s="3">
        <v>0</v>
      </c>
      <c r="F34" s="3">
        <f t="shared" si="2"/>
        <v>3536</v>
      </c>
      <c r="O34" s="81">
        <v>0.95</v>
      </c>
      <c r="P34" s="81">
        <f t="shared" si="3"/>
        <v>15.057499999999999</v>
      </c>
    </row>
    <row r="35" spans="1:21" x14ac:dyDescent="0.25">
      <c r="B35" s="404">
        <v>43546</v>
      </c>
      <c r="C35" s="4">
        <v>200</v>
      </c>
      <c r="D35" s="3">
        <v>15.12</v>
      </c>
      <c r="E35" s="3">
        <v>0</v>
      </c>
      <c r="F35" s="3">
        <f t="shared" si="2"/>
        <v>3024</v>
      </c>
      <c r="O35" s="81">
        <v>0.94</v>
      </c>
      <c r="P35" s="81">
        <f t="shared" si="3"/>
        <v>14.898999999999999</v>
      </c>
      <c r="T35" s="1">
        <v>43224</v>
      </c>
      <c r="U35" t="s">
        <v>82</v>
      </c>
    </row>
    <row r="36" spans="1:21" x14ac:dyDescent="0.25">
      <c r="B36" s="4"/>
      <c r="C36" s="4"/>
      <c r="D36" s="3"/>
      <c r="E36" s="3"/>
      <c r="F36" s="3"/>
      <c r="O36" s="81">
        <v>0.93</v>
      </c>
      <c r="P36" s="81">
        <f t="shared" si="3"/>
        <v>14.740500000000001</v>
      </c>
    </row>
    <row r="37" spans="1:21" x14ac:dyDescent="0.25">
      <c r="O37" s="81">
        <v>0.92</v>
      </c>
      <c r="P37" s="81">
        <f t="shared" si="3"/>
        <v>14.582000000000001</v>
      </c>
    </row>
    <row r="38" spans="1:21" x14ac:dyDescent="0.25">
      <c r="A38" s="35" t="s">
        <v>81</v>
      </c>
      <c r="B38" s="36"/>
      <c r="C38" s="36">
        <f>SUM(C2:C37)</f>
        <v>3940</v>
      </c>
      <c r="D38" s="37"/>
      <c r="E38" s="37"/>
      <c r="F38" s="37">
        <f>SUM(F2:F37)</f>
        <v>95109.4</v>
      </c>
      <c r="G38" s="36"/>
      <c r="H38" s="160">
        <f>SUM(H2:H37)</f>
        <v>3240</v>
      </c>
      <c r="I38" s="37"/>
      <c r="J38" s="37"/>
      <c r="K38" s="37">
        <f>SUM(K2:K37)</f>
        <v>78327.53</v>
      </c>
      <c r="L38" s="37"/>
      <c r="M38" s="37">
        <f>SUM(M2:M37)</f>
        <v>708.4</v>
      </c>
      <c r="O38" s="81">
        <v>0.91</v>
      </c>
      <c r="P38" s="81">
        <f t="shared" si="3"/>
        <v>14.423500000000001</v>
      </c>
      <c r="T38" s="693">
        <v>43318</v>
      </c>
      <c r="U38" t="s">
        <v>82</v>
      </c>
    </row>
    <row r="39" spans="1:21" ht="15.75" thickBot="1" x14ac:dyDescent="0.3">
      <c r="A39" s="277" t="s">
        <v>191</v>
      </c>
      <c r="B39" s="278"/>
      <c r="C39" s="279">
        <f>SumByColor($A$39,C2:C37)</f>
        <v>3040</v>
      </c>
      <c r="D39" s="279"/>
      <c r="E39" s="279"/>
      <c r="F39" s="280">
        <f>SumByColor($A$39,F2:F38)</f>
        <v>72094</v>
      </c>
      <c r="G39" s="279"/>
      <c r="H39" s="279">
        <f>SumByColor($A$39,H2:H37)</f>
        <v>3240</v>
      </c>
      <c r="I39" s="279"/>
      <c r="J39" s="279"/>
      <c r="K39" s="280">
        <f>SumByColor($A$39,K2:K37)</f>
        <v>78329</v>
      </c>
      <c r="L39" s="279"/>
      <c r="M39" s="280">
        <f>SumByColor($A$39,M2:M37)</f>
        <v>708</v>
      </c>
      <c r="O39" s="81">
        <v>0.9</v>
      </c>
      <c r="P39" s="81">
        <f t="shared" si="3"/>
        <v>14.265000000000001</v>
      </c>
      <c r="U39" t="s">
        <v>1204</v>
      </c>
    </row>
    <row r="40" spans="1:21" x14ac:dyDescent="0.25">
      <c r="U40" t="s">
        <v>1215</v>
      </c>
    </row>
    <row r="41" spans="1:21" x14ac:dyDescent="0.25">
      <c r="B41" s="162" t="s">
        <v>113</v>
      </c>
      <c r="C41" s="162" t="s">
        <v>145</v>
      </c>
      <c r="D41" s="163" t="s">
        <v>144</v>
      </c>
      <c r="E41" s="165"/>
      <c r="F41" s="166" t="s">
        <v>65</v>
      </c>
      <c r="G41" s="177" t="s">
        <v>150</v>
      </c>
      <c r="H41" s="166" t="s">
        <v>88</v>
      </c>
      <c r="I41" s="166" t="s">
        <v>153</v>
      </c>
      <c r="J41" s="166" t="s">
        <v>487</v>
      </c>
      <c r="K41" s="166" t="s">
        <v>149</v>
      </c>
      <c r="L41" s="166" t="s">
        <v>947</v>
      </c>
      <c r="O41" s="33"/>
      <c r="R41" s="33"/>
    </row>
    <row r="42" spans="1:21" x14ac:dyDescent="0.25">
      <c r="B42" s="164">
        <v>42985</v>
      </c>
      <c r="C42" s="10">
        <v>50</v>
      </c>
      <c r="D42" s="39">
        <v>44.98</v>
      </c>
      <c r="E42" s="39">
        <v>44.76</v>
      </c>
      <c r="F42" s="39">
        <f t="shared" ref="F42:F56" si="4">C42*(E42-D42)</f>
        <v>-10.999999999999943</v>
      </c>
      <c r="G42" s="39">
        <f t="shared" ref="G42:G56" si="5">D42*C42</f>
        <v>2249</v>
      </c>
      <c r="H42" s="179">
        <f t="shared" ref="H42:H56" si="6">(E42-D42)/D42</f>
        <v>-4.891062694530878E-3</v>
      </c>
      <c r="I42" s="179"/>
      <c r="J42" s="179"/>
      <c r="K42" s="179"/>
      <c r="L42" s="179"/>
      <c r="Q42" s="33"/>
      <c r="R42" s="33"/>
      <c r="T42" s="1">
        <v>43319</v>
      </c>
      <c r="U42" t="s">
        <v>1214</v>
      </c>
    </row>
    <row r="43" spans="1:21" x14ac:dyDescent="0.25">
      <c r="B43" s="164">
        <v>42994</v>
      </c>
      <c r="C43" s="10">
        <v>110</v>
      </c>
      <c r="D43" s="39">
        <v>43.796399999999998</v>
      </c>
      <c r="E43" s="39">
        <v>43.2</v>
      </c>
      <c r="F43" s="39">
        <f t="shared" si="4"/>
        <v>-65.603999999999516</v>
      </c>
      <c r="G43" s="39">
        <f t="shared" si="5"/>
        <v>4817.6040000000003</v>
      </c>
      <c r="H43" s="179">
        <f t="shared" si="6"/>
        <v>-1.3617557607474486E-2</v>
      </c>
      <c r="I43" s="179"/>
      <c r="J43" s="179"/>
      <c r="K43" s="179"/>
      <c r="L43" s="179"/>
      <c r="Q43" s="33"/>
      <c r="R43" s="33"/>
    </row>
    <row r="44" spans="1:21" x14ac:dyDescent="0.25">
      <c r="B44" s="164">
        <v>42999</v>
      </c>
      <c r="C44" s="10">
        <v>110</v>
      </c>
      <c r="D44" s="39">
        <v>43.796399999999998</v>
      </c>
      <c r="E44" s="39">
        <v>41.48</v>
      </c>
      <c r="F44" s="39">
        <f t="shared" si="4"/>
        <v>-254.80400000000017</v>
      </c>
      <c r="G44" s="39">
        <f t="shared" si="5"/>
        <v>4817.6040000000003</v>
      </c>
      <c r="H44" s="179">
        <f t="shared" si="6"/>
        <v>-5.2890191887917763E-2</v>
      </c>
      <c r="I44" s="179"/>
      <c r="J44" s="179"/>
      <c r="K44" s="179"/>
      <c r="L44" s="179"/>
      <c r="Q44" s="33"/>
      <c r="R44" s="33"/>
      <c r="T44" s="1">
        <v>43320</v>
      </c>
      <c r="U44" t="s">
        <v>1219</v>
      </c>
    </row>
    <row r="45" spans="1:21" x14ac:dyDescent="0.25">
      <c r="B45" s="164">
        <v>43028</v>
      </c>
      <c r="C45" s="10">
        <v>180</v>
      </c>
      <c r="D45" s="39">
        <v>42.494999999999997</v>
      </c>
      <c r="E45" s="39">
        <v>40.369999999999997</v>
      </c>
      <c r="F45" s="39">
        <f t="shared" si="4"/>
        <v>-382.5</v>
      </c>
      <c r="G45" s="39">
        <f t="shared" si="5"/>
        <v>7649.0999999999995</v>
      </c>
      <c r="H45" s="179">
        <f t="shared" si="6"/>
        <v>-5.0005883045064127E-2</v>
      </c>
      <c r="I45" s="179"/>
      <c r="J45" s="179"/>
      <c r="K45" s="179"/>
      <c r="L45" s="179"/>
      <c r="Q45" s="33"/>
      <c r="R45" s="33"/>
      <c r="U45" t="s">
        <v>1220</v>
      </c>
    </row>
    <row r="46" spans="1:21" x14ac:dyDescent="0.25">
      <c r="B46" s="164">
        <v>43042</v>
      </c>
      <c r="C46" s="10">
        <v>280</v>
      </c>
      <c r="D46" s="39">
        <v>39.311100000000003</v>
      </c>
      <c r="E46" s="39">
        <v>30.77</v>
      </c>
      <c r="F46" s="39">
        <f t="shared" si="4"/>
        <v>-2391.5080000000012</v>
      </c>
      <c r="G46" s="39">
        <f t="shared" si="5"/>
        <v>11007.108</v>
      </c>
      <c r="H46" s="180">
        <f t="shared" si="6"/>
        <v>-0.21726942263126708</v>
      </c>
      <c r="I46" s="180"/>
      <c r="J46" s="180"/>
      <c r="K46" s="180"/>
      <c r="L46" s="180"/>
      <c r="Q46" s="81"/>
      <c r="R46" s="33"/>
    </row>
    <row r="47" spans="1:21" x14ac:dyDescent="0.25">
      <c r="B47" s="164">
        <v>43045</v>
      </c>
      <c r="C47" s="10">
        <v>500</v>
      </c>
      <c r="D47" s="39">
        <v>35.243400000000001</v>
      </c>
      <c r="E47" s="39">
        <v>30.82</v>
      </c>
      <c r="F47" s="39">
        <f t="shared" si="4"/>
        <v>-2211.7000000000003</v>
      </c>
      <c r="G47" s="39">
        <f t="shared" si="5"/>
        <v>17621.7</v>
      </c>
      <c r="H47" s="180">
        <f t="shared" si="6"/>
        <v>-0.12551002457197663</v>
      </c>
      <c r="I47" s="180"/>
      <c r="J47" s="180"/>
      <c r="K47" s="180"/>
      <c r="L47" s="180"/>
      <c r="Q47" s="81"/>
      <c r="R47" s="33"/>
      <c r="T47" s="1">
        <v>43322</v>
      </c>
      <c r="U47" t="s">
        <v>1224</v>
      </c>
    </row>
    <row r="48" spans="1:21" x14ac:dyDescent="0.25">
      <c r="B48" s="164">
        <v>43047</v>
      </c>
      <c r="C48" s="10">
        <v>380</v>
      </c>
      <c r="D48" s="39">
        <v>36.485799999999998</v>
      </c>
      <c r="E48" s="39">
        <v>31.31</v>
      </c>
      <c r="F48" s="39">
        <f t="shared" si="4"/>
        <v>-1966.8039999999996</v>
      </c>
      <c r="G48" s="39">
        <f t="shared" si="5"/>
        <v>13864.603999999999</v>
      </c>
      <c r="H48" s="180">
        <f t="shared" si="6"/>
        <v>-0.14185792828991003</v>
      </c>
      <c r="I48" s="180"/>
      <c r="J48" s="180"/>
      <c r="K48" s="180"/>
      <c r="L48" s="180"/>
      <c r="Q48" s="81"/>
      <c r="R48" s="33"/>
    </row>
    <row r="49" spans="1:21" x14ac:dyDescent="0.25">
      <c r="B49" s="164">
        <v>43048</v>
      </c>
      <c r="C49" s="7">
        <v>500</v>
      </c>
      <c r="D49" s="43">
        <v>35.020400000000002</v>
      </c>
      <c r="E49" s="39">
        <v>30.1</v>
      </c>
      <c r="F49" s="39">
        <f t="shared" si="4"/>
        <v>-2460.2000000000003</v>
      </c>
      <c r="G49" s="39">
        <f t="shared" si="5"/>
        <v>17510.2</v>
      </c>
      <c r="H49" s="180">
        <f t="shared" si="6"/>
        <v>-0.14050096515174015</v>
      </c>
      <c r="I49" s="39">
        <v>34.5</v>
      </c>
      <c r="J49" s="39"/>
      <c r="K49" s="39"/>
      <c r="L49" s="39"/>
      <c r="Q49" s="81"/>
      <c r="R49" s="33"/>
      <c r="T49" s="1">
        <v>43327</v>
      </c>
      <c r="U49" t="s">
        <v>1238</v>
      </c>
    </row>
    <row r="50" spans="1:21" x14ac:dyDescent="0.25">
      <c r="B50" s="164">
        <v>43052</v>
      </c>
      <c r="C50" s="10">
        <v>600</v>
      </c>
      <c r="D50" s="39">
        <v>33.913699999999999</v>
      </c>
      <c r="E50" s="39">
        <v>28.45</v>
      </c>
      <c r="F50" s="39">
        <f t="shared" si="4"/>
        <v>-3278.22</v>
      </c>
      <c r="G50" s="39">
        <f t="shared" si="5"/>
        <v>20348.219999999998</v>
      </c>
      <c r="H50" s="180">
        <f t="shared" si="6"/>
        <v>-0.16110598371749468</v>
      </c>
      <c r="I50" s="39">
        <v>33.5</v>
      </c>
      <c r="J50" s="39"/>
      <c r="K50" s="39"/>
      <c r="L50" s="39"/>
      <c r="Q50" s="81"/>
      <c r="R50" s="33"/>
    </row>
    <row r="51" spans="1:21" x14ac:dyDescent="0.25">
      <c r="A51">
        <v>0</v>
      </c>
      <c r="B51" s="164">
        <v>43066</v>
      </c>
      <c r="C51" s="10">
        <v>500</v>
      </c>
      <c r="D51" s="39">
        <v>34.780500000000004</v>
      </c>
      <c r="E51" s="39">
        <v>29.79</v>
      </c>
      <c r="F51" s="39">
        <f t="shared" si="4"/>
        <v>-2495.2500000000023</v>
      </c>
      <c r="G51" s="39">
        <f t="shared" si="5"/>
        <v>17390.25</v>
      </c>
      <c r="H51" s="180">
        <f t="shared" si="6"/>
        <v>-0.14348557381291252</v>
      </c>
      <c r="I51" s="39">
        <v>34.5</v>
      </c>
      <c r="J51" s="39"/>
      <c r="K51" s="39"/>
      <c r="L51" s="39"/>
      <c r="Q51" s="81"/>
      <c r="R51" s="33"/>
      <c r="T51" s="1">
        <v>43418</v>
      </c>
      <c r="U51" t="s">
        <v>1309</v>
      </c>
    </row>
    <row r="52" spans="1:21" x14ac:dyDescent="0.25">
      <c r="B52" s="164">
        <v>43074</v>
      </c>
      <c r="C52" s="10">
        <v>440</v>
      </c>
      <c r="D52" s="39">
        <v>35.309699999999999</v>
      </c>
      <c r="E52" s="39">
        <v>31.78</v>
      </c>
      <c r="F52" s="39">
        <f t="shared" si="4"/>
        <v>-1553.0679999999993</v>
      </c>
      <c r="G52" s="39">
        <f t="shared" si="5"/>
        <v>15536.268</v>
      </c>
      <c r="H52" s="180">
        <f t="shared" si="6"/>
        <v>-9.9964032546297432E-2</v>
      </c>
      <c r="I52" s="39"/>
      <c r="J52" s="39"/>
      <c r="K52" s="39"/>
      <c r="L52" s="39"/>
      <c r="Q52" s="81"/>
      <c r="R52" s="33"/>
    </row>
    <row r="53" spans="1:21" x14ac:dyDescent="0.25">
      <c r="A53">
        <v>440</v>
      </c>
      <c r="B53" s="164">
        <v>43087</v>
      </c>
      <c r="C53" s="10">
        <v>440</v>
      </c>
      <c r="D53" s="39">
        <v>35.049999999999997</v>
      </c>
      <c r="E53" s="39">
        <v>30.7</v>
      </c>
      <c r="F53" s="39">
        <f t="shared" si="4"/>
        <v>-1913.9999999999991</v>
      </c>
      <c r="G53" s="39">
        <f t="shared" si="5"/>
        <v>15421.999999999998</v>
      </c>
      <c r="H53" s="180">
        <f t="shared" si="6"/>
        <v>-0.12410841654778883</v>
      </c>
      <c r="I53" s="39"/>
      <c r="J53" s="39"/>
      <c r="K53" s="39"/>
      <c r="L53" s="39"/>
      <c r="Q53" s="81"/>
      <c r="R53" s="33"/>
      <c r="T53" s="1">
        <v>43421</v>
      </c>
      <c r="U53" t="s">
        <v>1310</v>
      </c>
    </row>
    <row r="54" spans="1:21" x14ac:dyDescent="0.25">
      <c r="A54">
        <v>440</v>
      </c>
      <c r="B54" s="164">
        <v>43089</v>
      </c>
      <c r="C54" s="10">
        <v>500</v>
      </c>
      <c r="D54" s="39">
        <v>34.463999999999999</v>
      </c>
      <c r="E54" s="39">
        <v>30.21</v>
      </c>
      <c r="F54" s="39">
        <f t="shared" si="4"/>
        <v>-2126.9999999999991</v>
      </c>
      <c r="G54" s="39">
        <f t="shared" si="5"/>
        <v>17232</v>
      </c>
      <c r="H54" s="180">
        <f t="shared" si="6"/>
        <v>-0.12343314763231192</v>
      </c>
      <c r="I54" s="39" t="s">
        <v>755</v>
      </c>
      <c r="J54" s="39"/>
      <c r="K54" s="39"/>
      <c r="L54" s="39"/>
      <c r="Q54" s="81"/>
      <c r="R54" s="33"/>
    </row>
    <row r="55" spans="1:21" x14ac:dyDescent="0.25">
      <c r="A55">
        <v>320</v>
      </c>
      <c r="B55" s="164">
        <v>43090</v>
      </c>
      <c r="C55" s="10">
        <v>380</v>
      </c>
      <c r="D55" s="39">
        <v>35.658999999999999</v>
      </c>
      <c r="E55" s="39">
        <v>30.68</v>
      </c>
      <c r="F55" s="39">
        <f t="shared" si="4"/>
        <v>-1892.0199999999998</v>
      </c>
      <c r="G55" s="39">
        <f t="shared" si="5"/>
        <v>13550.42</v>
      </c>
      <c r="H55" s="180">
        <f t="shared" si="6"/>
        <v>-0.13962814436748083</v>
      </c>
      <c r="I55" s="39"/>
      <c r="J55" s="39"/>
      <c r="K55" s="39"/>
      <c r="L55" s="39"/>
      <c r="Q55" s="81"/>
    </row>
    <row r="56" spans="1:21" x14ac:dyDescent="0.25">
      <c r="A56">
        <v>260</v>
      </c>
      <c r="B56" s="164">
        <v>43097</v>
      </c>
      <c r="C56" s="10">
        <v>320</v>
      </c>
      <c r="D56" s="39">
        <v>36.552</v>
      </c>
      <c r="E56" s="39">
        <v>30.9</v>
      </c>
      <c r="F56" s="39">
        <f t="shared" si="4"/>
        <v>-1808.6400000000003</v>
      </c>
      <c r="G56" s="39">
        <f t="shared" si="5"/>
        <v>11696.64</v>
      </c>
      <c r="H56" s="180">
        <f t="shared" si="6"/>
        <v>-0.15462902166776102</v>
      </c>
      <c r="I56" s="39"/>
      <c r="J56" s="39"/>
      <c r="K56" s="39"/>
      <c r="L56" s="39"/>
      <c r="Q56" s="81"/>
    </row>
    <row r="57" spans="1:21" x14ac:dyDescent="0.25">
      <c r="A57">
        <v>260</v>
      </c>
      <c r="B57" s="164">
        <v>43103</v>
      </c>
      <c r="C57" s="10">
        <v>320</v>
      </c>
      <c r="D57" s="39">
        <v>36.552</v>
      </c>
      <c r="E57" s="39">
        <v>31.83</v>
      </c>
      <c r="F57" s="39">
        <f t="shared" ref="F57:F91" si="7">C57*(E57-D57)</f>
        <v>-1511.0400000000004</v>
      </c>
      <c r="G57" s="39">
        <f t="shared" ref="G57:G91" si="8">D57*C57</f>
        <v>11696.64</v>
      </c>
      <c r="H57" s="180">
        <f t="shared" ref="H57:H91" si="9">(E57-D57)/D57</f>
        <v>-0.1291858174655286</v>
      </c>
      <c r="I57" s="39"/>
      <c r="J57" s="39">
        <v>55.37</v>
      </c>
      <c r="K57" s="39"/>
      <c r="L57" s="39"/>
      <c r="Q57" s="81"/>
    </row>
    <row r="58" spans="1:21" x14ac:dyDescent="0.25">
      <c r="A58">
        <v>260</v>
      </c>
      <c r="B58" s="164">
        <v>43110</v>
      </c>
      <c r="C58" s="10">
        <v>320</v>
      </c>
      <c r="D58" s="39">
        <v>36.552</v>
      </c>
      <c r="E58" s="39">
        <v>31.15</v>
      </c>
      <c r="F58" s="39">
        <f t="shared" si="7"/>
        <v>-1728.6400000000003</v>
      </c>
      <c r="G58" s="39">
        <f t="shared" si="8"/>
        <v>11696.64</v>
      </c>
      <c r="H58" s="180">
        <f t="shared" si="9"/>
        <v>-0.14778945064565555</v>
      </c>
      <c r="I58" s="39"/>
      <c r="J58" s="39">
        <v>57.27</v>
      </c>
      <c r="K58" s="39"/>
      <c r="L58" s="39"/>
      <c r="Q58" s="81"/>
    </row>
    <row r="59" spans="1:21" x14ac:dyDescent="0.25">
      <c r="A59">
        <v>320</v>
      </c>
      <c r="B59" s="164">
        <v>43125</v>
      </c>
      <c r="C59" s="7">
        <v>500</v>
      </c>
      <c r="D59" s="43">
        <v>32.3932</v>
      </c>
      <c r="E59" s="39">
        <v>24.81</v>
      </c>
      <c r="F59" s="39">
        <f t="shared" si="7"/>
        <v>-3791.6000000000008</v>
      </c>
      <c r="G59" s="39">
        <f t="shared" si="8"/>
        <v>16196.6</v>
      </c>
      <c r="H59" s="180">
        <f t="shared" si="9"/>
        <v>-0.23409851450304389</v>
      </c>
      <c r="I59" s="39"/>
      <c r="J59" s="39"/>
      <c r="K59" s="39"/>
      <c r="L59" s="39"/>
      <c r="Q59" s="81"/>
    </row>
    <row r="60" spans="1:21" x14ac:dyDescent="0.25">
      <c r="A60">
        <v>140</v>
      </c>
      <c r="B60" s="164">
        <v>43126</v>
      </c>
      <c r="C60" s="10">
        <v>320</v>
      </c>
      <c r="D60" s="39">
        <v>36.340000000000003</v>
      </c>
      <c r="E60" s="39">
        <v>25.38</v>
      </c>
      <c r="F60" s="39">
        <f t="shared" si="7"/>
        <v>-3507.2000000000016</v>
      </c>
      <c r="G60" s="39">
        <f t="shared" si="8"/>
        <v>11628.800000000001</v>
      </c>
      <c r="H60" s="180">
        <f t="shared" si="9"/>
        <v>-0.30159603742432589</v>
      </c>
      <c r="I60" s="39"/>
      <c r="J60" s="39"/>
      <c r="K60" s="39"/>
      <c r="L60" s="39"/>
      <c r="Q60" s="81"/>
    </row>
    <row r="61" spans="1:21" x14ac:dyDescent="0.25">
      <c r="A61">
        <v>100</v>
      </c>
      <c r="B61" s="164">
        <v>43126</v>
      </c>
      <c r="C61" s="10">
        <v>280</v>
      </c>
      <c r="D61" s="39">
        <v>37.770000000000003</v>
      </c>
      <c r="E61" s="39">
        <v>26.358000000000001</v>
      </c>
      <c r="F61" s="39">
        <f t="shared" si="7"/>
        <v>-3195.3600000000006</v>
      </c>
      <c r="G61" s="39">
        <f t="shared" si="8"/>
        <v>10575.6</v>
      </c>
      <c r="H61" s="180">
        <f t="shared" si="9"/>
        <v>-0.30214455917394761</v>
      </c>
      <c r="I61" s="39">
        <v>37</v>
      </c>
      <c r="J61" s="39"/>
      <c r="K61" s="39"/>
      <c r="L61" s="39"/>
      <c r="Q61" s="81"/>
    </row>
    <row r="62" spans="1:21" x14ac:dyDescent="0.25">
      <c r="A62">
        <v>100</v>
      </c>
      <c r="B62" s="164">
        <v>43142</v>
      </c>
      <c r="C62" s="10">
        <v>280</v>
      </c>
      <c r="D62" s="39">
        <v>37.770000000000003</v>
      </c>
      <c r="E62" s="39">
        <v>27.61</v>
      </c>
      <c r="F62" s="39">
        <f t="shared" si="7"/>
        <v>-2844.8000000000011</v>
      </c>
      <c r="G62" s="39">
        <f t="shared" si="8"/>
        <v>10575.6</v>
      </c>
      <c r="H62" s="180">
        <f t="shared" si="9"/>
        <v>-0.26899655811490608</v>
      </c>
      <c r="I62" s="39"/>
      <c r="J62" s="39"/>
      <c r="K62" s="39"/>
      <c r="L62" s="39"/>
      <c r="Q62" s="81"/>
    </row>
    <row r="63" spans="1:21" x14ac:dyDescent="0.25">
      <c r="A63">
        <v>280</v>
      </c>
      <c r="B63" s="164">
        <v>43143</v>
      </c>
      <c r="C63" s="10">
        <v>280</v>
      </c>
      <c r="D63" s="39">
        <v>37.770000000000003</v>
      </c>
      <c r="E63" s="39">
        <v>26.96</v>
      </c>
      <c r="F63" s="39">
        <f t="shared" si="7"/>
        <v>-3026.8000000000006</v>
      </c>
      <c r="G63" s="39">
        <f t="shared" si="8"/>
        <v>10575.6</v>
      </c>
      <c r="H63" s="180">
        <f t="shared" si="9"/>
        <v>-0.28620598358485572</v>
      </c>
      <c r="I63" s="39"/>
      <c r="J63" s="39"/>
      <c r="K63" s="39"/>
      <c r="L63" s="39"/>
      <c r="Q63" s="81"/>
    </row>
    <row r="64" spans="1:21" x14ac:dyDescent="0.25">
      <c r="B64" s="164">
        <v>43172</v>
      </c>
      <c r="C64" s="10">
        <v>280</v>
      </c>
      <c r="D64" s="39">
        <v>37.770000000000003</v>
      </c>
      <c r="E64" s="39">
        <v>28.6</v>
      </c>
      <c r="F64" s="39">
        <f t="shared" si="7"/>
        <v>-2567.6000000000004</v>
      </c>
      <c r="G64" s="39">
        <f t="shared" si="8"/>
        <v>10575.6</v>
      </c>
      <c r="H64" s="180">
        <f t="shared" si="9"/>
        <v>-0.24278527932221342</v>
      </c>
      <c r="I64" s="39"/>
      <c r="J64" s="39"/>
      <c r="K64" s="39">
        <v>-2491</v>
      </c>
      <c r="L64" s="39"/>
      <c r="O64" s="33"/>
    </row>
    <row r="65" spans="1:15" x14ac:dyDescent="0.25">
      <c r="B65" s="164">
        <v>43178</v>
      </c>
      <c r="C65" s="10">
        <v>380</v>
      </c>
      <c r="D65" s="39">
        <v>34.729999999999997</v>
      </c>
      <c r="E65" s="39">
        <v>26.79</v>
      </c>
      <c r="F65" s="39">
        <f t="shared" si="7"/>
        <v>-3017.1999999999989</v>
      </c>
      <c r="G65" s="39">
        <f t="shared" si="8"/>
        <v>13197.4</v>
      </c>
      <c r="H65" s="180">
        <f t="shared" si="9"/>
        <v>-0.22862078894327667</v>
      </c>
      <c r="I65" s="39"/>
      <c r="J65" s="39"/>
      <c r="K65" s="39"/>
      <c r="L65" s="39"/>
    </row>
    <row r="66" spans="1:15" x14ac:dyDescent="0.25">
      <c r="B66" s="164">
        <v>43185</v>
      </c>
      <c r="C66" s="10">
        <v>380</v>
      </c>
      <c r="D66" s="39">
        <v>34.729999999999997</v>
      </c>
      <c r="E66" s="39">
        <v>26.06</v>
      </c>
      <c r="F66" s="39">
        <f t="shared" si="7"/>
        <v>-3294.5999999999995</v>
      </c>
      <c r="G66" s="39">
        <f t="shared" si="8"/>
        <v>13197.4</v>
      </c>
      <c r="H66" s="180">
        <f t="shared" si="9"/>
        <v>-0.24964008062194065</v>
      </c>
      <c r="I66" s="39"/>
      <c r="J66" s="39"/>
      <c r="K66" s="39">
        <v>-3220</v>
      </c>
      <c r="L66" s="39"/>
    </row>
    <row r="67" spans="1:15" x14ac:dyDescent="0.25">
      <c r="A67">
        <v>280</v>
      </c>
      <c r="B67" s="164">
        <v>43186</v>
      </c>
      <c r="C67" s="7">
        <v>500</v>
      </c>
      <c r="D67" s="43">
        <v>32.32</v>
      </c>
      <c r="E67" s="39">
        <v>25.19</v>
      </c>
      <c r="F67" s="39">
        <f t="shared" si="7"/>
        <v>-3564.9999999999995</v>
      </c>
      <c r="G67" s="39">
        <f t="shared" si="8"/>
        <v>16160</v>
      </c>
      <c r="H67" s="180">
        <f t="shared" si="9"/>
        <v>-0.22060643564356433</v>
      </c>
      <c r="I67" s="39"/>
      <c r="J67" s="39"/>
      <c r="K67" s="39">
        <v>-3490</v>
      </c>
      <c r="L67" s="39"/>
    </row>
    <row r="68" spans="1:15" x14ac:dyDescent="0.25">
      <c r="A68">
        <v>160</v>
      </c>
      <c r="B68" s="164">
        <v>43194</v>
      </c>
      <c r="C68" s="10">
        <v>380</v>
      </c>
      <c r="D68" s="39">
        <v>34.42</v>
      </c>
      <c r="E68" s="39">
        <v>25.67</v>
      </c>
      <c r="F68" s="39">
        <f t="shared" si="7"/>
        <v>-3325</v>
      </c>
      <c r="G68" s="39">
        <f t="shared" si="8"/>
        <v>13079.6</v>
      </c>
      <c r="H68" s="180">
        <f t="shared" si="9"/>
        <v>-0.25421266705403833</v>
      </c>
      <c r="I68" s="39"/>
      <c r="J68" s="39"/>
      <c r="K68" s="39">
        <v>-3248</v>
      </c>
      <c r="L68" s="39"/>
    </row>
    <row r="69" spans="1:15" x14ac:dyDescent="0.25">
      <c r="A69">
        <v>260</v>
      </c>
      <c r="B69" s="164">
        <v>43216</v>
      </c>
      <c r="C69" s="10">
        <v>380</v>
      </c>
      <c r="D69" s="39">
        <v>34.42</v>
      </c>
      <c r="E69" s="39">
        <v>26.96</v>
      </c>
      <c r="F69" s="39">
        <f t="shared" si="7"/>
        <v>-2834.8</v>
      </c>
      <c r="G69" s="39">
        <f t="shared" si="8"/>
        <v>13079.6</v>
      </c>
      <c r="H69" s="180">
        <f t="shared" si="9"/>
        <v>-0.21673445671121441</v>
      </c>
      <c r="I69" s="39"/>
      <c r="J69" s="39"/>
      <c r="K69" s="39">
        <v>-2758</v>
      </c>
      <c r="L69" s="39"/>
      <c r="O69" s="33"/>
    </row>
    <row r="70" spans="1:15" x14ac:dyDescent="0.25">
      <c r="A70">
        <v>280</v>
      </c>
      <c r="B70" s="164">
        <v>43217</v>
      </c>
      <c r="C70" s="10">
        <v>280</v>
      </c>
      <c r="D70" s="39">
        <v>36.86</v>
      </c>
      <c r="E70" s="39">
        <v>27.58</v>
      </c>
      <c r="F70" s="39">
        <f t="shared" si="7"/>
        <v>-2598.4000000000005</v>
      </c>
      <c r="G70" s="39">
        <f t="shared" si="8"/>
        <v>10320.799999999999</v>
      </c>
      <c r="H70" s="180">
        <f t="shared" si="9"/>
        <v>-0.25176342919153555</v>
      </c>
      <c r="I70" s="173" t="s">
        <v>1018</v>
      </c>
      <c r="J70" s="39"/>
      <c r="K70" s="39">
        <v>-2523</v>
      </c>
      <c r="L70" s="39"/>
    </row>
    <row r="71" spans="1:15" x14ac:dyDescent="0.25">
      <c r="A71">
        <v>280</v>
      </c>
      <c r="B71" s="164">
        <v>43221</v>
      </c>
      <c r="C71" s="10">
        <v>380</v>
      </c>
      <c r="D71" s="39">
        <v>34.158099999999997</v>
      </c>
      <c r="E71" s="39">
        <v>27.05</v>
      </c>
      <c r="F71" s="39">
        <f t="shared" si="7"/>
        <v>-2701.0779999999986</v>
      </c>
      <c r="G71" s="39">
        <f t="shared" si="8"/>
        <v>12980.078</v>
      </c>
      <c r="H71" s="180">
        <f t="shared" si="9"/>
        <v>-0.20809412701526131</v>
      </c>
      <c r="I71" s="173">
        <v>34</v>
      </c>
      <c r="J71" s="39"/>
      <c r="K71" s="39">
        <v>-2626</v>
      </c>
      <c r="L71" s="173"/>
    </row>
    <row r="72" spans="1:15" x14ac:dyDescent="0.25">
      <c r="A72">
        <v>180</v>
      </c>
      <c r="B72" s="164">
        <v>43222</v>
      </c>
      <c r="C72" s="10">
        <v>280</v>
      </c>
      <c r="D72" s="39">
        <v>36.472000000000001</v>
      </c>
      <c r="E72" s="39">
        <v>26.85</v>
      </c>
      <c r="F72" s="39">
        <f t="shared" si="7"/>
        <v>-2694.16</v>
      </c>
      <c r="G72" s="39">
        <f t="shared" si="8"/>
        <v>10212.16</v>
      </c>
      <c r="H72" s="180">
        <f t="shared" si="9"/>
        <v>-0.26381881991664835</v>
      </c>
      <c r="I72" s="173">
        <v>36</v>
      </c>
      <c r="J72" s="39"/>
      <c r="K72" s="39">
        <v>-2619</v>
      </c>
      <c r="L72" s="173"/>
    </row>
    <row r="73" spans="1:15" x14ac:dyDescent="0.25">
      <c r="A73">
        <v>180</v>
      </c>
      <c r="B73" s="164">
        <v>43223</v>
      </c>
      <c r="C73" s="10">
        <v>380</v>
      </c>
      <c r="D73" s="39">
        <v>33.9133</v>
      </c>
      <c r="E73" s="39">
        <v>26.69</v>
      </c>
      <c r="F73" s="39">
        <f t="shared" si="7"/>
        <v>-2744.8539999999994</v>
      </c>
      <c r="G73" s="39">
        <f t="shared" si="8"/>
        <v>12887.054</v>
      </c>
      <c r="H73" s="180">
        <f t="shared" si="9"/>
        <v>-0.21299313248784396</v>
      </c>
      <c r="I73" s="39"/>
      <c r="J73" s="39"/>
      <c r="K73" s="39">
        <v>-2670</v>
      </c>
      <c r="L73" s="173"/>
    </row>
    <row r="74" spans="1:15" x14ac:dyDescent="0.25">
      <c r="A74">
        <v>180</v>
      </c>
      <c r="B74" s="164">
        <v>43241</v>
      </c>
      <c r="C74" s="10">
        <v>380</v>
      </c>
      <c r="D74" s="39">
        <v>33.9133</v>
      </c>
      <c r="E74" s="39">
        <v>26.39</v>
      </c>
      <c r="F74" s="39">
        <f t="shared" si="7"/>
        <v>-2858.8539999999998</v>
      </c>
      <c r="G74" s="39">
        <f t="shared" si="8"/>
        <v>12887.054</v>
      </c>
      <c r="H74" s="180">
        <f t="shared" si="9"/>
        <v>-0.22183921942128895</v>
      </c>
      <c r="I74" s="39"/>
      <c r="J74" s="39"/>
      <c r="K74" s="39">
        <v>-2669</v>
      </c>
      <c r="L74" s="173">
        <v>9.8800000000000008</v>
      </c>
    </row>
    <row r="75" spans="1:15" x14ac:dyDescent="0.25">
      <c r="A75">
        <v>180</v>
      </c>
      <c r="B75" s="164">
        <v>43249</v>
      </c>
      <c r="C75" s="7">
        <v>500</v>
      </c>
      <c r="D75" s="43">
        <v>31.690200000000001</v>
      </c>
      <c r="E75" s="39">
        <v>24.83</v>
      </c>
      <c r="F75" s="39">
        <f t="shared" si="7"/>
        <v>-3430.1000000000013</v>
      </c>
      <c r="G75" s="39">
        <f t="shared" si="8"/>
        <v>15845.1</v>
      </c>
      <c r="H75" s="180">
        <f t="shared" si="9"/>
        <v>-0.21647701813178846</v>
      </c>
      <c r="I75" s="39"/>
      <c r="J75" s="39"/>
      <c r="K75" s="39">
        <f t="shared" ref="K75:K91" si="10">F75+$Q$10</f>
        <v>-3355.0800000000013</v>
      </c>
      <c r="L75" s="173">
        <v>9.3000000000000007</v>
      </c>
    </row>
    <row r="76" spans="1:15" x14ac:dyDescent="0.25">
      <c r="A76">
        <v>380</v>
      </c>
      <c r="B76" s="164">
        <v>43254</v>
      </c>
      <c r="C76" s="10">
        <v>500</v>
      </c>
      <c r="D76" s="39">
        <v>31.690200000000001</v>
      </c>
      <c r="E76" s="39">
        <v>23.12</v>
      </c>
      <c r="F76" s="39">
        <f t="shared" si="7"/>
        <v>-4285.1000000000004</v>
      </c>
      <c r="G76" s="39">
        <f t="shared" si="8"/>
        <v>15845.1</v>
      </c>
      <c r="H76" s="180">
        <f t="shared" si="9"/>
        <v>-0.27043691740664305</v>
      </c>
      <c r="I76" s="39"/>
      <c r="J76" s="39"/>
      <c r="K76" s="39">
        <f t="shared" si="10"/>
        <v>-4210.08</v>
      </c>
      <c r="L76" s="173">
        <v>8.66</v>
      </c>
    </row>
    <row r="77" spans="1:15" x14ac:dyDescent="0.25">
      <c r="A77">
        <v>260</v>
      </c>
      <c r="B77" s="164">
        <v>43262</v>
      </c>
      <c r="C77" s="10">
        <v>380</v>
      </c>
      <c r="D77" s="39">
        <v>33.588299999999997</v>
      </c>
      <c r="E77" s="39">
        <v>25.59</v>
      </c>
      <c r="F77" s="39">
        <f t="shared" si="7"/>
        <v>-3039.3539999999989</v>
      </c>
      <c r="G77" s="39">
        <f t="shared" si="8"/>
        <v>12763.553999999998</v>
      </c>
      <c r="H77" s="180">
        <f t="shared" si="9"/>
        <v>-0.23812756227614967</v>
      </c>
      <c r="I77" s="39"/>
      <c r="J77" s="39"/>
      <c r="K77" s="39">
        <f t="shared" si="10"/>
        <v>-2964.3339999999989</v>
      </c>
      <c r="L77" s="173">
        <v>9.58</v>
      </c>
    </row>
    <row r="78" spans="1:15" x14ac:dyDescent="0.25">
      <c r="A78">
        <v>260</v>
      </c>
      <c r="B78" s="164">
        <v>43266</v>
      </c>
      <c r="C78" s="10">
        <v>380</v>
      </c>
      <c r="D78" s="39">
        <v>33.285699999999999</v>
      </c>
      <c r="E78" s="39">
        <v>26.05</v>
      </c>
      <c r="F78" s="39">
        <f t="shared" si="7"/>
        <v>-2749.5659999999993</v>
      </c>
      <c r="G78" s="39">
        <f t="shared" si="8"/>
        <v>12648.565999999999</v>
      </c>
      <c r="H78" s="180">
        <f t="shared" si="9"/>
        <v>-0.21738163836121813</v>
      </c>
      <c r="I78" s="39"/>
      <c r="J78" s="39"/>
      <c r="K78" s="39">
        <f t="shared" si="10"/>
        <v>-2674.5459999999994</v>
      </c>
      <c r="L78" s="173"/>
    </row>
    <row r="79" spans="1:15" x14ac:dyDescent="0.25">
      <c r="A79">
        <v>280</v>
      </c>
      <c r="B79" s="164">
        <v>43286</v>
      </c>
      <c r="C79" s="10">
        <v>280</v>
      </c>
      <c r="D79" s="39">
        <v>35.47</v>
      </c>
      <c r="E79" s="39">
        <v>27.15</v>
      </c>
      <c r="F79" s="39">
        <f t="shared" si="7"/>
        <v>-2329.6</v>
      </c>
      <c r="G79" s="39">
        <f t="shared" si="8"/>
        <v>9931.6</v>
      </c>
      <c r="H79" s="180">
        <f t="shared" si="9"/>
        <v>-0.23456442063715818</v>
      </c>
      <c r="I79" s="39" t="s">
        <v>1139</v>
      </c>
      <c r="J79" s="39"/>
      <c r="K79" s="39">
        <f t="shared" si="10"/>
        <v>-2254.58</v>
      </c>
      <c r="L79" s="173">
        <v>10.17</v>
      </c>
    </row>
    <row r="80" spans="1:15" x14ac:dyDescent="0.25">
      <c r="A80">
        <v>280</v>
      </c>
      <c r="B80" s="164">
        <v>43288</v>
      </c>
      <c r="C80" s="10">
        <v>280</v>
      </c>
      <c r="D80" s="39">
        <v>35.47</v>
      </c>
      <c r="E80" s="39">
        <v>27.42</v>
      </c>
      <c r="F80" s="39">
        <f t="shared" si="7"/>
        <v>-2253.9999999999991</v>
      </c>
      <c r="G80" s="39">
        <f t="shared" si="8"/>
        <v>9931.6</v>
      </c>
      <c r="H80" s="180">
        <f t="shared" si="9"/>
        <v>-0.226952354102058</v>
      </c>
      <c r="I80" s="39"/>
      <c r="J80" s="39"/>
      <c r="K80" s="39">
        <f t="shared" si="10"/>
        <v>-2178.9799999999991</v>
      </c>
      <c r="L80" s="173">
        <v>10.27</v>
      </c>
    </row>
    <row r="81" spans="1:12" x14ac:dyDescent="0.25">
      <c r="A81">
        <v>280</v>
      </c>
      <c r="B81" s="164">
        <v>43301</v>
      </c>
      <c r="C81" s="10">
        <v>380</v>
      </c>
      <c r="D81" s="39">
        <v>33.048900000000003</v>
      </c>
      <c r="E81" s="39">
        <v>26.28</v>
      </c>
      <c r="F81" s="39">
        <f t="shared" si="7"/>
        <v>-2572.1820000000007</v>
      </c>
      <c r="G81" s="39">
        <f t="shared" si="8"/>
        <v>12558.582000000002</v>
      </c>
      <c r="H81" s="180">
        <f t="shared" si="9"/>
        <v>-0.20481468369597783</v>
      </c>
      <c r="I81" s="173"/>
      <c r="J81" s="39"/>
      <c r="K81" s="39">
        <f t="shared" si="10"/>
        <v>-2497.1620000000007</v>
      </c>
      <c r="L81" s="173">
        <v>9.84</v>
      </c>
    </row>
    <row r="82" spans="1:12" x14ac:dyDescent="0.25">
      <c r="A82">
        <v>280</v>
      </c>
      <c r="B82" s="164">
        <v>43306</v>
      </c>
      <c r="C82" s="7">
        <v>500</v>
      </c>
      <c r="D82" s="43">
        <v>31.277999999999999</v>
      </c>
      <c r="E82" s="39">
        <v>25.67</v>
      </c>
      <c r="F82" s="39">
        <f t="shared" si="7"/>
        <v>-2803.9999999999986</v>
      </c>
      <c r="G82" s="39">
        <f t="shared" si="8"/>
        <v>15639</v>
      </c>
      <c r="H82" s="180">
        <f t="shared" si="9"/>
        <v>-0.17929535136517671</v>
      </c>
      <c r="I82" s="173">
        <v>30.5</v>
      </c>
      <c r="J82" s="39"/>
      <c r="K82" s="39">
        <f t="shared" si="10"/>
        <v>-2728.9799999999987</v>
      </c>
      <c r="L82" s="173"/>
    </row>
    <row r="83" spans="1:12" x14ac:dyDescent="0.25">
      <c r="A83">
        <v>160</v>
      </c>
      <c r="B83" s="164">
        <v>43307</v>
      </c>
      <c r="C83" s="10">
        <v>380</v>
      </c>
      <c r="D83" s="39">
        <v>32.78</v>
      </c>
      <c r="E83" s="39">
        <v>26.52</v>
      </c>
      <c r="F83" s="39">
        <f t="shared" si="7"/>
        <v>-2378.8000000000006</v>
      </c>
      <c r="G83" s="39">
        <f t="shared" si="8"/>
        <v>12456.4</v>
      </c>
      <c r="H83" s="180">
        <f t="shared" si="9"/>
        <v>-0.19097010372178161</v>
      </c>
      <c r="I83" s="173"/>
      <c r="J83" s="39"/>
      <c r="K83" s="39">
        <f t="shared" si="10"/>
        <v>-2303.7800000000007</v>
      </c>
      <c r="L83" s="173">
        <v>9.93</v>
      </c>
    </row>
    <row r="84" spans="1:12" x14ac:dyDescent="0.25">
      <c r="A84">
        <v>160</v>
      </c>
      <c r="B84" s="164">
        <v>43318</v>
      </c>
      <c r="C84" s="7">
        <v>500</v>
      </c>
      <c r="D84" s="43">
        <v>30.961300000000001</v>
      </c>
      <c r="E84" s="39">
        <v>25.2</v>
      </c>
      <c r="F84" s="39">
        <f t="shared" si="7"/>
        <v>-2880.650000000001</v>
      </c>
      <c r="G84" s="39">
        <f t="shared" si="8"/>
        <v>15480.650000000001</v>
      </c>
      <c r="H84" s="180">
        <f t="shared" si="9"/>
        <v>-0.18608068782641562</v>
      </c>
      <c r="I84" s="173"/>
      <c r="J84" s="39"/>
      <c r="K84" s="39">
        <f t="shared" si="10"/>
        <v>-2805.630000000001</v>
      </c>
      <c r="L84" s="173"/>
    </row>
    <row r="85" spans="1:12" x14ac:dyDescent="0.25">
      <c r="A85">
        <v>160</v>
      </c>
      <c r="B85" s="164">
        <v>43318</v>
      </c>
      <c r="C85" s="10">
        <v>700</v>
      </c>
      <c r="D85" s="39">
        <v>28.7849</v>
      </c>
      <c r="E85" s="39">
        <v>22.76</v>
      </c>
      <c r="F85" s="39">
        <f t="shared" si="7"/>
        <v>-4217.4299999999994</v>
      </c>
      <c r="G85" s="39">
        <f t="shared" si="8"/>
        <v>20149.43</v>
      </c>
      <c r="H85" s="180">
        <f t="shared" si="9"/>
        <v>-0.20930765783448957</v>
      </c>
      <c r="I85" s="173"/>
      <c r="J85" s="39"/>
      <c r="K85" s="39">
        <f t="shared" si="10"/>
        <v>-4142.41</v>
      </c>
      <c r="L85" s="173"/>
    </row>
    <row r="86" spans="1:12" x14ac:dyDescent="0.25">
      <c r="A86">
        <v>160</v>
      </c>
      <c r="B86" s="164">
        <v>43319</v>
      </c>
      <c r="C86" s="10">
        <v>800</v>
      </c>
      <c r="D86" s="39">
        <v>27.901800000000001</v>
      </c>
      <c r="E86" s="39">
        <v>21.68</v>
      </c>
      <c r="F86" s="39">
        <f t="shared" si="7"/>
        <v>-4977.4400000000014</v>
      </c>
      <c r="G86" s="39">
        <f t="shared" si="8"/>
        <v>22321.440000000002</v>
      </c>
      <c r="H86" s="180">
        <f t="shared" si="9"/>
        <v>-0.22298919782953075</v>
      </c>
      <c r="I86" s="173">
        <v>27</v>
      </c>
      <c r="J86" s="39"/>
      <c r="K86" s="39">
        <f t="shared" si="10"/>
        <v>-4902.4200000000019</v>
      </c>
      <c r="L86" s="173">
        <v>8.1199999999999992</v>
      </c>
    </row>
    <row r="87" spans="1:12" x14ac:dyDescent="0.25">
      <c r="A87">
        <v>160</v>
      </c>
      <c r="B87" s="164">
        <v>43320</v>
      </c>
      <c r="C87" s="359">
        <v>1000</v>
      </c>
      <c r="D87" s="360">
        <v>26.401399999999999</v>
      </c>
      <c r="E87" s="39">
        <v>20.79</v>
      </c>
      <c r="F87" s="39">
        <f t="shared" si="7"/>
        <v>-5611.4</v>
      </c>
      <c r="G87" s="39">
        <f t="shared" si="8"/>
        <v>26401.399999999998</v>
      </c>
      <c r="H87" s="180">
        <f t="shared" si="9"/>
        <v>-0.21254175914913603</v>
      </c>
      <c r="I87" s="39"/>
      <c r="J87" s="39"/>
      <c r="K87" s="39">
        <f t="shared" si="10"/>
        <v>-5536.3799999999992</v>
      </c>
      <c r="L87" s="173">
        <v>8.5</v>
      </c>
    </row>
    <row r="88" spans="1:12" x14ac:dyDescent="0.25">
      <c r="A88">
        <v>160</v>
      </c>
      <c r="B88" s="164">
        <v>43325</v>
      </c>
      <c r="C88" s="10">
        <v>1500</v>
      </c>
      <c r="D88" s="39">
        <v>24.43</v>
      </c>
      <c r="E88" s="39">
        <v>20.45</v>
      </c>
      <c r="F88" s="39">
        <f t="shared" si="7"/>
        <v>-5970.0000000000009</v>
      </c>
      <c r="G88" s="39">
        <f t="shared" si="8"/>
        <v>36645</v>
      </c>
      <c r="H88" s="180">
        <f t="shared" si="9"/>
        <v>-0.16291444944740074</v>
      </c>
      <c r="I88" s="39"/>
      <c r="J88" s="39"/>
      <c r="K88" s="39">
        <f t="shared" si="10"/>
        <v>-5894.9800000000014</v>
      </c>
      <c r="L88" s="173">
        <v>8.02</v>
      </c>
    </row>
    <row r="89" spans="1:12" x14ac:dyDescent="0.25">
      <c r="A89">
        <v>160</v>
      </c>
      <c r="B89" s="164">
        <v>43328</v>
      </c>
      <c r="C89" s="771">
        <v>1500</v>
      </c>
      <c r="D89" s="772">
        <v>24.43</v>
      </c>
      <c r="E89" s="39">
        <v>21.31</v>
      </c>
      <c r="F89" s="39">
        <f t="shared" si="7"/>
        <v>-4680.0000000000018</v>
      </c>
      <c r="G89" s="39">
        <f t="shared" si="8"/>
        <v>36645</v>
      </c>
      <c r="H89" s="180">
        <f t="shared" si="9"/>
        <v>-0.12771182971756043</v>
      </c>
      <c r="I89" s="39"/>
      <c r="J89" s="39"/>
      <c r="K89" s="39">
        <f t="shared" si="10"/>
        <v>-4604.9800000000014</v>
      </c>
      <c r="L89" s="173">
        <v>8.36</v>
      </c>
    </row>
    <row r="90" spans="1:12" x14ac:dyDescent="0.25">
      <c r="A90">
        <v>0</v>
      </c>
      <c r="B90" s="164">
        <v>43329</v>
      </c>
      <c r="C90" s="10">
        <v>1300</v>
      </c>
      <c r="D90" s="39">
        <v>24.8627</v>
      </c>
      <c r="E90" s="39">
        <v>21.5</v>
      </c>
      <c r="F90" s="39">
        <f t="shared" si="7"/>
        <v>-4371.51</v>
      </c>
      <c r="G90" s="39">
        <f t="shared" si="8"/>
        <v>32321.510000000002</v>
      </c>
      <c r="H90" s="180">
        <f t="shared" si="9"/>
        <v>-0.13525079737920662</v>
      </c>
      <c r="I90" s="39"/>
      <c r="J90" s="39"/>
      <c r="K90" s="39">
        <f t="shared" si="10"/>
        <v>-4296.49</v>
      </c>
      <c r="L90" s="173">
        <v>8.43</v>
      </c>
    </row>
    <row r="91" spans="1:12" x14ac:dyDescent="0.25">
      <c r="A91">
        <v>0</v>
      </c>
      <c r="B91" s="164">
        <v>43332</v>
      </c>
      <c r="C91" s="10">
        <v>1000</v>
      </c>
      <c r="D91" s="39">
        <v>25.796600000000002</v>
      </c>
      <c r="E91" s="39">
        <v>21.75</v>
      </c>
      <c r="F91" s="39">
        <f t="shared" si="7"/>
        <v>-4046.6000000000017</v>
      </c>
      <c r="G91" s="39">
        <f t="shared" si="8"/>
        <v>25796.600000000002</v>
      </c>
      <c r="H91" s="180">
        <f t="shared" si="9"/>
        <v>-0.15686563345557172</v>
      </c>
      <c r="I91" s="173">
        <v>25</v>
      </c>
      <c r="J91" s="39"/>
      <c r="K91" s="39">
        <f t="shared" si="10"/>
        <v>-3971.5800000000017</v>
      </c>
      <c r="L91" s="173">
        <v>8.5299999999999994</v>
      </c>
    </row>
    <row r="92" spans="1:12" x14ac:dyDescent="0.25">
      <c r="A92">
        <v>0</v>
      </c>
      <c r="B92" s="164">
        <v>43341</v>
      </c>
      <c r="C92" s="10">
        <v>1000</v>
      </c>
      <c r="D92" s="39">
        <v>25.796600000000002</v>
      </c>
      <c r="E92" s="39">
        <v>22.5</v>
      </c>
      <c r="F92" s="39">
        <f t="shared" ref="F92:F103" si="11">C92*(E92-D92)</f>
        <v>-3296.6000000000017</v>
      </c>
      <c r="G92" s="39">
        <f t="shared" ref="G92:G103" si="12">D92*C92</f>
        <v>25796.600000000002</v>
      </c>
      <c r="H92" s="180">
        <f t="shared" ref="H92:H103" si="13">(E92-D92)/D92</f>
        <v>-0.12779203460921212</v>
      </c>
      <c r="I92" s="173">
        <v>25</v>
      </c>
      <c r="J92" s="39"/>
      <c r="K92" s="39">
        <f t="shared" ref="K92:K97" si="14">F92+$Q$10</f>
        <v>-3221.5800000000017</v>
      </c>
      <c r="L92" s="173">
        <v>8.82</v>
      </c>
    </row>
    <row r="93" spans="1:12" x14ac:dyDescent="0.25">
      <c r="A93">
        <v>0</v>
      </c>
      <c r="B93" s="164">
        <v>43342</v>
      </c>
      <c r="C93" s="10">
        <v>1000</v>
      </c>
      <c r="D93" s="39">
        <v>25.796600000000002</v>
      </c>
      <c r="E93" s="39">
        <v>21.86</v>
      </c>
      <c r="F93" s="39">
        <f t="shared" si="11"/>
        <v>-3936.6000000000022</v>
      </c>
      <c r="G93" s="39">
        <f t="shared" si="12"/>
        <v>25796.600000000002</v>
      </c>
      <c r="H93" s="180">
        <f t="shared" si="13"/>
        <v>-0.15260150562477232</v>
      </c>
      <c r="I93" s="39"/>
      <c r="J93" s="39"/>
      <c r="K93" s="39">
        <f t="shared" si="14"/>
        <v>-3861.5800000000022</v>
      </c>
      <c r="L93" s="173">
        <v>8.57</v>
      </c>
    </row>
    <row r="94" spans="1:12" x14ac:dyDescent="0.25">
      <c r="A94">
        <v>0</v>
      </c>
      <c r="B94" s="164">
        <v>43347</v>
      </c>
      <c r="C94" s="10">
        <v>1200</v>
      </c>
      <c r="D94" s="39">
        <v>25.044</v>
      </c>
      <c r="E94" s="39">
        <v>21.37</v>
      </c>
      <c r="F94" s="39">
        <f t="shared" si="11"/>
        <v>-4408.7999999999993</v>
      </c>
      <c r="G94" s="39">
        <f t="shared" si="12"/>
        <v>30052.799999999999</v>
      </c>
      <c r="H94" s="180">
        <f t="shared" si="13"/>
        <v>-0.14670180482351058</v>
      </c>
      <c r="I94" s="39"/>
      <c r="J94" s="39"/>
      <c r="K94" s="39">
        <f t="shared" si="14"/>
        <v>-4333.7799999999988</v>
      </c>
      <c r="L94" s="173">
        <v>8.3800000000000008</v>
      </c>
    </row>
    <row r="95" spans="1:12" x14ac:dyDescent="0.25">
      <c r="A95">
        <v>0</v>
      </c>
      <c r="B95" s="164">
        <v>43348</v>
      </c>
      <c r="C95" s="10">
        <v>1200</v>
      </c>
      <c r="D95" s="39">
        <v>25.044</v>
      </c>
      <c r="E95" s="39">
        <v>21.87</v>
      </c>
      <c r="F95" s="39">
        <f t="shared" si="11"/>
        <v>-3808.7999999999993</v>
      </c>
      <c r="G95" s="39">
        <f t="shared" si="12"/>
        <v>30052.799999999999</v>
      </c>
      <c r="H95" s="180">
        <f t="shared" si="13"/>
        <v>-0.12673694298035457</v>
      </c>
      <c r="I95" s="39"/>
      <c r="J95" s="39"/>
      <c r="K95" s="39">
        <f t="shared" si="14"/>
        <v>-3733.7799999999993</v>
      </c>
      <c r="L95" s="173">
        <v>8.58</v>
      </c>
    </row>
    <row r="96" spans="1:12" x14ac:dyDescent="0.25">
      <c r="A96">
        <v>300</v>
      </c>
      <c r="B96" s="164">
        <v>43350</v>
      </c>
      <c r="C96" s="10">
        <v>1200</v>
      </c>
      <c r="D96" s="39">
        <v>25.044</v>
      </c>
      <c r="E96" s="39">
        <v>21.27</v>
      </c>
      <c r="F96" s="39">
        <f t="shared" si="11"/>
        <v>-4528.8000000000011</v>
      </c>
      <c r="G96" s="39">
        <f t="shared" si="12"/>
        <v>30052.799999999999</v>
      </c>
      <c r="H96" s="180">
        <f t="shared" si="13"/>
        <v>-0.15069477719214186</v>
      </c>
      <c r="I96" s="39"/>
      <c r="J96" s="39"/>
      <c r="K96" s="39">
        <f t="shared" si="14"/>
        <v>-4453.7800000000007</v>
      </c>
      <c r="L96" s="173">
        <v>8.34</v>
      </c>
    </row>
    <row r="97" spans="1:12" x14ac:dyDescent="0.25">
      <c r="A97">
        <v>1000</v>
      </c>
      <c r="B97" s="164">
        <v>43355</v>
      </c>
      <c r="C97" s="10">
        <v>1200</v>
      </c>
      <c r="D97" s="39">
        <v>25.044</v>
      </c>
      <c r="E97" s="39">
        <v>21.73</v>
      </c>
      <c r="F97" s="39">
        <f t="shared" si="11"/>
        <v>-3976.8</v>
      </c>
      <c r="G97" s="39">
        <f t="shared" si="12"/>
        <v>30052.799999999999</v>
      </c>
      <c r="H97" s="180">
        <f t="shared" si="13"/>
        <v>-0.13232710429643826</v>
      </c>
      <c r="I97" s="39"/>
      <c r="J97" s="39"/>
      <c r="K97" s="39">
        <f t="shared" si="14"/>
        <v>-3901.78</v>
      </c>
      <c r="L97" s="173">
        <v>8.52</v>
      </c>
    </row>
    <row r="98" spans="1:12" x14ac:dyDescent="0.25">
      <c r="A98">
        <v>1000</v>
      </c>
      <c r="B98" s="164">
        <v>43357</v>
      </c>
      <c r="C98" s="10">
        <v>1200</v>
      </c>
      <c r="D98" s="39">
        <v>24.8522</v>
      </c>
      <c r="E98" s="39">
        <v>21.7</v>
      </c>
      <c r="F98" s="39">
        <f t="shared" si="11"/>
        <v>-3782.6400000000008</v>
      </c>
      <c r="G98" s="39">
        <f t="shared" si="12"/>
        <v>29822.639999999999</v>
      </c>
      <c r="H98" s="180">
        <f t="shared" si="13"/>
        <v>-0.12683786546060311</v>
      </c>
      <c r="I98" s="39"/>
      <c r="J98" s="39" t="s">
        <v>184</v>
      </c>
      <c r="K98" s="39">
        <f t="shared" ref="K98:K103" si="15">F98+$Q$10</f>
        <v>-3707.6200000000008</v>
      </c>
      <c r="L98" s="173">
        <v>8.51</v>
      </c>
    </row>
    <row r="99" spans="1:12" x14ac:dyDescent="0.25">
      <c r="A99">
        <v>800</v>
      </c>
      <c r="B99" s="164">
        <v>43363</v>
      </c>
      <c r="C99" s="10">
        <v>1000</v>
      </c>
      <c r="D99" s="39">
        <v>25.366599999999998</v>
      </c>
      <c r="E99" s="39">
        <v>22</v>
      </c>
      <c r="F99" s="39">
        <f t="shared" si="11"/>
        <v>-3366.5999999999981</v>
      </c>
      <c r="G99" s="39">
        <f t="shared" si="12"/>
        <v>25366.6</v>
      </c>
      <c r="H99" s="180">
        <f t="shared" si="13"/>
        <v>-0.13271782580243305</v>
      </c>
      <c r="I99" s="173">
        <v>25</v>
      </c>
      <c r="J99" s="39"/>
      <c r="K99" s="39">
        <f t="shared" si="15"/>
        <v>-3291.5799999999981</v>
      </c>
      <c r="L99" s="173">
        <v>8.6300000000000008</v>
      </c>
    </row>
    <row r="100" spans="1:12" x14ac:dyDescent="0.25">
      <c r="A100">
        <v>800</v>
      </c>
      <c r="B100" s="164">
        <v>43364</v>
      </c>
      <c r="C100" s="359">
        <v>1000</v>
      </c>
      <c r="D100" s="360">
        <v>25.366599999999998</v>
      </c>
      <c r="E100" s="39">
        <v>21.84</v>
      </c>
      <c r="F100" s="39">
        <f t="shared" si="11"/>
        <v>-3526.5999999999985</v>
      </c>
      <c r="G100" s="39">
        <f t="shared" si="12"/>
        <v>25366.6</v>
      </c>
      <c r="H100" s="180">
        <f t="shared" si="13"/>
        <v>-0.13902533252386992</v>
      </c>
      <c r="I100" s="173">
        <v>26</v>
      </c>
      <c r="J100" s="39"/>
      <c r="K100" s="39">
        <f t="shared" si="15"/>
        <v>-3451.5799999999986</v>
      </c>
      <c r="L100" s="173">
        <v>10.65</v>
      </c>
    </row>
    <row r="101" spans="1:12" x14ac:dyDescent="0.25">
      <c r="B101" s="164">
        <v>43367</v>
      </c>
      <c r="C101" s="10">
        <v>1200</v>
      </c>
      <c r="D101" s="39">
        <v>24.6355</v>
      </c>
      <c r="E101" s="39">
        <v>20.45</v>
      </c>
      <c r="F101" s="39">
        <f t="shared" si="11"/>
        <v>-5022.6000000000013</v>
      </c>
      <c r="G101" s="39">
        <f t="shared" si="12"/>
        <v>29562.600000000002</v>
      </c>
      <c r="H101" s="180">
        <f t="shared" si="13"/>
        <v>-0.16989709971382766</v>
      </c>
      <c r="I101" s="39"/>
      <c r="J101" s="39"/>
      <c r="K101" s="39">
        <f t="shared" si="15"/>
        <v>-4947.5800000000017</v>
      </c>
      <c r="L101" s="173">
        <v>9.98</v>
      </c>
    </row>
    <row r="102" spans="1:12" x14ac:dyDescent="0.25">
      <c r="A102">
        <v>800</v>
      </c>
      <c r="B102" s="164">
        <v>43367</v>
      </c>
      <c r="C102" s="10">
        <v>1300</v>
      </c>
      <c r="D102" s="39">
        <v>24.3032</v>
      </c>
      <c r="E102" s="39">
        <v>20.45</v>
      </c>
      <c r="F102" s="39">
        <f t="shared" si="11"/>
        <v>-5009.1600000000017</v>
      </c>
      <c r="G102" s="39">
        <f t="shared" si="12"/>
        <v>31594.16</v>
      </c>
      <c r="H102" s="180">
        <f t="shared" si="13"/>
        <v>-0.15854702261430598</v>
      </c>
      <c r="I102" s="39"/>
      <c r="J102" s="39"/>
      <c r="K102" s="39">
        <f t="shared" si="15"/>
        <v>-4934.1400000000012</v>
      </c>
      <c r="L102" s="173">
        <v>9.98</v>
      </c>
    </row>
    <row r="103" spans="1:12" x14ac:dyDescent="0.25">
      <c r="A103">
        <v>1000</v>
      </c>
      <c r="B103" s="164">
        <v>43378</v>
      </c>
      <c r="C103" s="10">
        <v>1500</v>
      </c>
      <c r="D103" s="39">
        <v>23.605399999999999</v>
      </c>
      <c r="E103" s="39">
        <v>18.82</v>
      </c>
      <c r="F103" s="39">
        <f t="shared" si="11"/>
        <v>-7178.0999999999985</v>
      </c>
      <c r="G103" s="39">
        <f t="shared" si="12"/>
        <v>35408.1</v>
      </c>
      <c r="H103" s="180">
        <f t="shared" si="13"/>
        <v>-0.20272480025756814</v>
      </c>
      <c r="I103" s="39"/>
      <c r="J103" s="39"/>
      <c r="K103" s="39">
        <f t="shared" si="15"/>
        <v>-7103.0799999999981</v>
      </c>
      <c r="L103" s="173">
        <v>9.74</v>
      </c>
    </row>
    <row r="104" spans="1:12" x14ac:dyDescent="0.25">
      <c r="A104">
        <v>1000</v>
      </c>
      <c r="B104" s="164">
        <v>43381</v>
      </c>
      <c r="C104" s="10">
        <v>1500</v>
      </c>
      <c r="D104" s="39">
        <v>23.605399999999999</v>
      </c>
      <c r="E104" s="39">
        <v>19.309999999999999</v>
      </c>
      <c r="F104" s="39">
        <f t="shared" ref="F104:F109" si="16">C104*(E104-D104)</f>
        <v>-6443.1000000000013</v>
      </c>
      <c r="G104" s="39">
        <f t="shared" ref="G104:G109" si="17">D104*C104</f>
        <v>35408.1</v>
      </c>
      <c r="H104" s="180">
        <f t="shared" ref="H104:H109" si="18">(E104-D104)/D104</f>
        <v>-0.18196683809636782</v>
      </c>
      <c r="I104" s="39"/>
      <c r="J104" s="39"/>
      <c r="K104" s="39">
        <f t="shared" ref="K104:K109" si="19">F104+$Q$10</f>
        <v>-6368.0800000000017</v>
      </c>
      <c r="L104" s="173"/>
    </row>
    <row r="105" spans="1:12" x14ac:dyDescent="0.25">
      <c r="A105">
        <v>1000</v>
      </c>
      <c r="B105" s="164">
        <v>43383</v>
      </c>
      <c r="C105" s="10">
        <v>1500</v>
      </c>
      <c r="D105" s="39">
        <v>23.605399999999999</v>
      </c>
      <c r="E105" s="39">
        <v>18.07</v>
      </c>
      <c r="F105" s="39">
        <f t="shared" si="16"/>
        <v>-8303.0999999999985</v>
      </c>
      <c r="G105" s="39">
        <f t="shared" si="17"/>
        <v>35408.1</v>
      </c>
      <c r="H105" s="180">
        <f t="shared" si="18"/>
        <v>-0.23449719132062999</v>
      </c>
      <c r="I105" s="39"/>
      <c r="J105" s="39"/>
      <c r="K105" s="39">
        <f t="shared" si="19"/>
        <v>-8228.0799999999981</v>
      </c>
      <c r="L105" s="173">
        <v>8.81</v>
      </c>
    </row>
    <row r="106" spans="1:12" x14ac:dyDescent="0.25">
      <c r="A106">
        <v>1000</v>
      </c>
      <c r="B106" s="164">
        <v>43385</v>
      </c>
      <c r="C106" s="771">
        <v>1500</v>
      </c>
      <c r="D106" s="772">
        <v>23.605399999999999</v>
      </c>
      <c r="E106" s="39">
        <v>17.52</v>
      </c>
      <c r="F106" s="39">
        <f t="shared" si="16"/>
        <v>-9128.1</v>
      </c>
      <c r="G106" s="39">
        <f t="shared" si="17"/>
        <v>35408.1</v>
      </c>
      <c r="H106" s="180">
        <f t="shared" si="18"/>
        <v>-0.25779694476687537</v>
      </c>
      <c r="I106" s="39"/>
      <c r="J106" s="39"/>
      <c r="K106" s="39">
        <f t="shared" si="19"/>
        <v>-9053.08</v>
      </c>
      <c r="L106" s="173">
        <v>8.5500000000000007</v>
      </c>
    </row>
    <row r="107" spans="1:12" x14ac:dyDescent="0.25">
      <c r="A107">
        <v>1300</v>
      </c>
      <c r="B107" s="164">
        <v>43402</v>
      </c>
      <c r="C107" s="10">
        <v>1500</v>
      </c>
      <c r="D107" s="39">
        <v>23.61</v>
      </c>
      <c r="E107" s="39">
        <v>15.4</v>
      </c>
      <c r="F107" s="39">
        <f t="shared" si="16"/>
        <v>-12314.999999999998</v>
      </c>
      <c r="G107" s="39">
        <f t="shared" si="17"/>
        <v>35415</v>
      </c>
      <c r="H107" s="180">
        <f t="shared" si="18"/>
        <v>-0.34773401101228291</v>
      </c>
      <c r="I107" s="39"/>
      <c r="J107" s="39"/>
      <c r="K107" s="39">
        <f t="shared" si="19"/>
        <v>-12239.979999999998</v>
      </c>
      <c r="L107" s="173">
        <v>7.51</v>
      </c>
    </row>
    <row r="108" spans="1:12" x14ac:dyDescent="0.25">
      <c r="A108">
        <v>1300</v>
      </c>
      <c r="B108" s="164">
        <v>43407</v>
      </c>
      <c r="C108" s="10">
        <v>1500</v>
      </c>
      <c r="D108" s="39">
        <v>23.61</v>
      </c>
      <c r="E108" s="39">
        <v>18.989999999999998</v>
      </c>
      <c r="F108" s="39">
        <f t="shared" si="16"/>
        <v>-6930.0000000000018</v>
      </c>
      <c r="G108" s="39">
        <f t="shared" si="17"/>
        <v>35415</v>
      </c>
      <c r="H108" s="180">
        <f t="shared" si="18"/>
        <v>-0.19567979669631516</v>
      </c>
      <c r="I108" s="39"/>
      <c r="J108" s="39"/>
      <c r="K108" s="39">
        <f t="shared" si="19"/>
        <v>-6854.9800000000014</v>
      </c>
      <c r="L108" s="173">
        <v>9.5</v>
      </c>
    </row>
    <row r="109" spans="1:12" x14ac:dyDescent="0.25">
      <c r="A109">
        <v>1300</v>
      </c>
      <c r="B109" s="164">
        <v>43409</v>
      </c>
      <c r="C109" s="10">
        <v>1300</v>
      </c>
      <c r="D109" s="39">
        <v>24.209399999999999</v>
      </c>
      <c r="E109" s="39">
        <v>19.97</v>
      </c>
      <c r="F109" s="39">
        <f t="shared" si="16"/>
        <v>-5511.2199999999993</v>
      </c>
      <c r="G109" s="39">
        <f t="shared" si="17"/>
        <v>31472.219999999998</v>
      </c>
      <c r="H109" s="180">
        <f t="shared" si="18"/>
        <v>-0.17511379877237768</v>
      </c>
      <c r="I109" s="39"/>
      <c r="J109" s="39"/>
      <c r="K109" s="39">
        <f t="shared" si="19"/>
        <v>-5436.1999999999989</v>
      </c>
      <c r="L109" s="173">
        <v>9.99</v>
      </c>
    </row>
    <row r="110" spans="1:12" x14ac:dyDescent="0.25">
      <c r="A110">
        <v>1300</v>
      </c>
      <c r="B110" s="164">
        <v>43417</v>
      </c>
      <c r="C110" s="10">
        <v>1300</v>
      </c>
      <c r="D110" s="39">
        <v>24.21</v>
      </c>
      <c r="E110" s="39">
        <v>20.53</v>
      </c>
      <c r="F110" s="39">
        <f t="shared" ref="F110:F116" si="20">C110*(E110-D110)</f>
        <v>-4784</v>
      </c>
      <c r="G110" s="39">
        <f t="shared" ref="G110:G116" si="21">D110*C110</f>
        <v>31473</v>
      </c>
      <c r="H110" s="180">
        <f t="shared" ref="H110:H116" si="22">(E110-D110)/D110</f>
        <v>-0.15200330441966128</v>
      </c>
      <c r="I110" s="39"/>
      <c r="J110" s="39"/>
      <c r="K110" s="39">
        <f t="shared" ref="K110:K118" si="23">F110+$Q$10</f>
        <v>-4708.9799999999996</v>
      </c>
      <c r="L110" s="173">
        <v>10.26</v>
      </c>
    </row>
    <row r="111" spans="1:12" x14ac:dyDescent="0.25">
      <c r="A111">
        <v>800</v>
      </c>
      <c r="B111" s="164">
        <v>43419</v>
      </c>
      <c r="C111" s="10">
        <v>800</v>
      </c>
      <c r="D111" s="39">
        <v>25.9879</v>
      </c>
      <c r="E111" s="39">
        <v>21.38</v>
      </c>
      <c r="F111" s="39">
        <f t="shared" si="20"/>
        <v>-3686.3200000000006</v>
      </c>
      <c r="G111" s="39">
        <f t="shared" si="21"/>
        <v>20790.32</v>
      </c>
      <c r="H111" s="180">
        <f t="shared" si="22"/>
        <v>-0.17730944016253722</v>
      </c>
      <c r="I111" s="39"/>
      <c r="J111" s="39"/>
      <c r="K111" s="39">
        <f t="shared" si="23"/>
        <v>-3611.3000000000006</v>
      </c>
      <c r="L111" s="173">
        <v>10.69</v>
      </c>
    </row>
    <row r="112" spans="1:12" x14ac:dyDescent="0.25">
      <c r="A112">
        <v>500</v>
      </c>
      <c r="B112" s="164">
        <v>43420</v>
      </c>
      <c r="C112" s="7">
        <v>500</v>
      </c>
      <c r="D112" s="43">
        <v>28.506799999999998</v>
      </c>
      <c r="E112" s="39">
        <v>21.68</v>
      </c>
      <c r="F112" s="39">
        <f t="shared" si="20"/>
        <v>-3413.3999999999992</v>
      </c>
      <c r="G112" s="39">
        <f t="shared" si="21"/>
        <v>14253.4</v>
      </c>
      <c r="H112" s="180">
        <f t="shared" si="22"/>
        <v>-0.2394797030883859</v>
      </c>
      <c r="I112" s="39" t="s">
        <v>1304</v>
      </c>
      <c r="J112" s="39"/>
      <c r="K112" s="39">
        <f t="shared" si="23"/>
        <v>-3338.3799999999992</v>
      </c>
      <c r="L112" s="173">
        <v>10.84</v>
      </c>
    </row>
    <row r="113" spans="1:13" x14ac:dyDescent="0.25">
      <c r="A113">
        <v>300</v>
      </c>
      <c r="B113" s="164">
        <v>43430</v>
      </c>
      <c r="C113" s="10">
        <v>300</v>
      </c>
      <c r="D113" s="39">
        <v>32.3249</v>
      </c>
      <c r="E113" s="39">
        <v>23.52</v>
      </c>
      <c r="F113" s="39">
        <f t="shared" si="20"/>
        <v>-2641.47</v>
      </c>
      <c r="G113" s="39">
        <f t="shared" si="21"/>
        <v>9697.4699999999993</v>
      </c>
      <c r="H113" s="180">
        <f t="shared" si="22"/>
        <v>-0.27238754025534495</v>
      </c>
      <c r="I113" s="39"/>
      <c r="J113" s="39"/>
      <c r="K113" s="39">
        <f t="shared" si="23"/>
        <v>-2566.4499999999998</v>
      </c>
      <c r="L113" s="173">
        <v>11.76</v>
      </c>
    </row>
    <row r="114" spans="1:13" x14ac:dyDescent="0.25">
      <c r="A114">
        <v>300</v>
      </c>
      <c r="B114" s="164">
        <v>43448</v>
      </c>
      <c r="C114" s="10">
        <v>300</v>
      </c>
      <c r="D114" s="39">
        <v>32.094999999999999</v>
      </c>
      <c r="E114" s="39">
        <v>22.08</v>
      </c>
      <c r="F114" s="39">
        <f t="shared" si="20"/>
        <v>-3004.5</v>
      </c>
      <c r="G114" s="39">
        <f t="shared" si="21"/>
        <v>9628.5</v>
      </c>
      <c r="H114" s="180">
        <f t="shared" si="22"/>
        <v>-0.31204237420158903</v>
      </c>
      <c r="I114" s="39"/>
      <c r="J114" s="39"/>
      <c r="K114" s="39">
        <f t="shared" si="23"/>
        <v>-2929.48</v>
      </c>
      <c r="L114" s="173">
        <v>11.29</v>
      </c>
    </row>
    <row r="115" spans="1:13" x14ac:dyDescent="0.25">
      <c r="A115">
        <v>300</v>
      </c>
      <c r="B115" s="164">
        <v>43511</v>
      </c>
      <c r="C115" s="7">
        <v>500</v>
      </c>
      <c r="D115" s="43">
        <v>26.328900000000001</v>
      </c>
      <c r="E115" s="39">
        <v>17.16</v>
      </c>
      <c r="F115" s="39">
        <f t="shared" si="20"/>
        <v>-4584.4500000000007</v>
      </c>
      <c r="G115" s="39">
        <f t="shared" si="21"/>
        <v>13164.45</v>
      </c>
      <c r="H115" s="180">
        <f t="shared" si="22"/>
        <v>-0.34824470448822398</v>
      </c>
      <c r="I115" s="39"/>
      <c r="J115" s="39"/>
      <c r="K115" s="39">
        <f t="shared" si="23"/>
        <v>-4509.43</v>
      </c>
      <c r="L115" s="173">
        <v>11.07</v>
      </c>
    </row>
    <row r="116" spans="1:13" x14ac:dyDescent="0.25">
      <c r="A116">
        <v>300</v>
      </c>
      <c r="B116" s="164">
        <v>43535</v>
      </c>
      <c r="C116" s="10">
        <v>500</v>
      </c>
      <c r="D116" s="39">
        <v>26.33</v>
      </c>
      <c r="E116" s="39">
        <v>15.61</v>
      </c>
      <c r="F116" s="39">
        <f t="shared" si="20"/>
        <v>-5359.9999999999991</v>
      </c>
      <c r="G116" s="39">
        <f t="shared" si="21"/>
        <v>13165</v>
      </c>
      <c r="H116" s="180">
        <f t="shared" si="22"/>
        <v>-0.40714014432206608</v>
      </c>
      <c r="I116" s="39"/>
      <c r="J116" s="39"/>
      <c r="K116" s="39">
        <f t="shared" si="23"/>
        <v>-5284.98</v>
      </c>
      <c r="L116" s="173">
        <v>10.07</v>
      </c>
    </row>
    <row r="117" spans="1:13" x14ac:dyDescent="0.25">
      <c r="A117">
        <v>300</v>
      </c>
      <c r="B117" s="164">
        <v>43539</v>
      </c>
      <c r="C117" s="7">
        <v>500</v>
      </c>
      <c r="D117" s="43">
        <v>26.1</v>
      </c>
      <c r="E117" s="39">
        <v>15.4</v>
      </c>
      <c r="F117" s="39">
        <f t="shared" ref="F117:F118" si="24">C117*(E117-D117)</f>
        <v>-5350.0000000000009</v>
      </c>
      <c r="G117" s="39">
        <f t="shared" ref="G117:G118" si="25">D117*C117</f>
        <v>13050</v>
      </c>
      <c r="H117" s="180">
        <f t="shared" ref="H117:H118" si="26">(E117-D117)/D117</f>
        <v>-0.40996168582375481</v>
      </c>
      <c r="I117" s="39"/>
      <c r="J117" s="39"/>
      <c r="K117" s="39">
        <f t="shared" si="23"/>
        <v>-5274.9800000000014</v>
      </c>
      <c r="L117" s="173"/>
    </row>
    <row r="118" spans="1:13" x14ac:dyDescent="0.25">
      <c r="A118">
        <v>500</v>
      </c>
      <c r="B118" s="164">
        <v>43546</v>
      </c>
      <c r="C118" s="10">
        <v>700</v>
      </c>
      <c r="D118" s="39">
        <v>22.9621</v>
      </c>
      <c r="E118" s="39">
        <v>15</v>
      </c>
      <c r="F118" s="39">
        <f t="shared" si="24"/>
        <v>-5573.4699999999993</v>
      </c>
      <c r="G118" s="39">
        <f t="shared" si="25"/>
        <v>16073.47</v>
      </c>
      <c r="H118" s="180">
        <f t="shared" si="26"/>
        <v>-0.34674964397855595</v>
      </c>
      <c r="I118" s="39"/>
      <c r="J118" s="39"/>
      <c r="K118" s="39">
        <f t="shared" si="23"/>
        <v>-5498.4499999999989</v>
      </c>
      <c r="L118" s="173">
        <v>9.68</v>
      </c>
    </row>
    <row r="119" spans="1:13" x14ac:dyDescent="0.25">
      <c r="B119" s="164"/>
      <c r="C119" s="10"/>
      <c r="D119" s="39"/>
      <c r="E119" s="39"/>
      <c r="F119" s="39"/>
      <c r="G119" s="39"/>
      <c r="H119" s="180"/>
      <c r="I119" s="39"/>
      <c r="J119" s="39"/>
      <c r="K119" s="39"/>
      <c r="L119" s="173"/>
    </row>
    <row r="120" spans="1:13" x14ac:dyDescent="0.25">
      <c r="B120" s="164"/>
      <c r="C120" s="10"/>
      <c r="D120" s="39"/>
      <c r="E120" s="39"/>
      <c r="F120" s="39"/>
      <c r="G120" s="39"/>
      <c r="H120" s="180"/>
      <c r="I120" s="39"/>
      <c r="J120" s="39"/>
      <c r="K120" s="39"/>
      <c r="L120" s="173"/>
    </row>
    <row r="121" spans="1:13" x14ac:dyDescent="0.25">
      <c r="B121" s="164"/>
      <c r="C121" s="10"/>
      <c r="D121" s="39"/>
      <c r="E121" s="39"/>
      <c r="F121" s="39"/>
      <c r="G121" s="39"/>
      <c r="H121" s="180"/>
      <c r="I121" s="39"/>
      <c r="J121" s="39"/>
      <c r="K121" s="39"/>
      <c r="L121" s="173"/>
    </row>
    <row r="122" spans="1:13" x14ac:dyDescent="0.25">
      <c r="B122" s="164"/>
      <c r="C122" s="10"/>
      <c r="D122" s="39"/>
      <c r="E122" s="39"/>
      <c r="F122" s="39"/>
      <c r="G122" s="39"/>
      <c r="H122" s="180"/>
      <c r="I122" s="39"/>
      <c r="J122" s="39"/>
      <c r="K122" s="39"/>
      <c r="L122" s="173"/>
    </row>
    <row r="123" spans="1:13" x14ac:dyDescent="0.25">
      <c r="B123" s="4"/>
      <c r="C123" s="4"/>
      <c r="D123" s="3"/>
      <c r="E123" s="3"/>
      <c r="F123" s="3"/>
      <c r="G123" s="3"/>
      <c r="H123" s="181"/>
      <c r="I123" s="3"/>
      <c r="J123" s="3"/>
      <c r="K123" s="3"/>
    </row>
    <row r="124" spans="1:13" x14ac:dyDescent="0.25">
      <c r="L124" t="s">
        <v>205</v>
      </c>
      <c r="M124" s="2">
        <f>M138+K138-F138</f>
        <v>75.019999999999982</v>
      </c>
    </row>
    <row r="125" spans="1:13" x14ac:dyDescent="0.25">
      <c r="A125" s="304" t="s">
        <v>1</v>
      </c>
      <c r="B125" s="304" t="s">
        <v>2</v>
      </c>
      <c r="C125" s="304" t="s">
        <v>4</v>
      </c>
      <c r="D125" s="306" t="s">
        <v>5</v>
      </c>
      <c r="E125" s="306" t="s">
        <v>94</v>
      </c>
      <c r="F125" s="306" t="s">
        <v>60</v>
      </c>
      <c r="G125" s="304" t="s">
        <v>3</v>
      </c>
      <c r="H125" s="304" t="s">
        <v>6</v>
      </c>
      <c r="I125" s="306" t="s">
        <v>7</v>
      </c>
      <c r="J125" s="306" t="s">
        <v>95</v>
      </c>
      <c r="K125" s="306" t="s">
        <v>61</v>
      </c>
      <c r="L125" s="304" t="s">
        <v>77</v>
      </c>
      <c r="M125" s="304" t="s">
        <v>38</v>
      </c>
    </row>
    <row r="126" spans="1:13" x14ac:dyDescent="0.25">
      <c r="A126" s="307" t="s">
        <v>173</v>
      </c>
      <c r="B126" s="297">
        <v>42376</v>
      </c>
      <c r="C126" s="298">
        <v>60</v>
      </c>
      <c r="D126" s="299">
        <v>41.01</v>
      </c>
      <c r="E126" s="299">
        <v>0</v>
      </c>
      <c r="F126" s="299">
        <f>C126*D126</f>
        <v>2460.6</v>
      </c>
      <c r="G126" s="297">
        <v>42426</v>
      </c>
      <c r="H126" s="302">
        <v>20</v>
      </c>
      <c r="I126" s="299">
        <v>38.450000000000003</v>
      </c>
      <c r="J126" s="299">
        <v>0.02</v>
      </c>
      <c r="K126" s="299">
        <f>H126*I126-J126</f>
        <v>768.98</v>
      </c>
      <c r="L126" s="297">
        <v>42444</v>
      </c>
      <c r="M126" s="299">
        <v>15.2</v>
      </c>
    </row>
    <row r="127" spans="1:13" x14ac:dyDescent="0.25">
      <c r="A127" s="308" t="s">
        <v>71</v>
      </c>
      <c r="B127" s="297">
        <v>42403</v>
      </c>
      <c r="C127" s="298">
        <v>20</v>
      </c>
      <c r="D127" s="299">
        <v>35.5</v>
      </c>
      <c r="E127" s="299">
        <v>0</v>
      </c>
      <c r="F127" s="299">
        <f>C127*D127</f>
        <v>710</v>
      </c>
      <c r="G127" s="297">
        <v>42426</v>
      </c>
      <c r="H127" s="302">
        <v>30</v>
      </c>
      <c r="I127" s="299">
        <v>38.75</v>
      </c>
      <c r="J127" s="299">
        <v>0.03</v>
      </c>
      <c r="K127" s="299">
        <f>H127*I127-J127</f>
        <v>1162.47</v>
      </c>
      <c r="L127" s="298"/>
      <c r="M127" s="298"/>
    </row>
    <row r="128" spans="1:13" x14ac:dyDescent="0.25">
      <c r="A128" s="298"/>
      <c r="B128" s="298"/>
      <c r="C128" s="298"/>
      <c r="D128" s="299"/>
      <c r="E128" s="299"/>
      <c r="F128" s="299"/>
      <c r="G128" s="297">
        <v>42447</v>
      </c>
      <c r="H128" s="302">
        <v>30</v>
      </c>
      <c r="I128" s="299">
        <v>43.3</v>
      </c>
      <c r="J128" s="299">
        <v>0.03</v>
      </c>
      <c r="K128" s="299">
        <f>H128*I128-J128</f>
        <v>1298.97</v>
      </c>
      <c r="L128" s="298"/>
      <c r="M128" s="298"/>
    </row>
    <row r="129" spans="1:13" x14ac:dyDescent="0.25">
      <c r="A129" s="298"/>
      <c r="B129" s="298"/>
      <c r="C129" s="298"/>
      <c r="D129" s="299"/>
      <c r="E129" s="299"/>
      <c r="F129" s="299"/>
      <c r="G129" s="298"/>
      <c r="H129" s="298"/>
      <c r="I129" s="299"/>
      <c r="J129" s="299"/>
      <c r="K129" s="299"/>
      <c r="L129" s="298"/>
      <c r="M129" s="298"/>
    </row>
    <row r="130" spans="1:13" x14ac:dyDescent="0.25">
      <c r="A130" s="298"/>
      <c r="B130" s="298"/>
      <c r="C130" s="298"/>
      <c r="D130" s="299"/>
      <c r="E130" s="299"/>
      <c r="F130" s="299"/>
      <c r="G130" s="298"/>
      <c r="H130" s="298"/>
      <c r="I130" s="299"/>
      <c r="J130" s="299"/>
      <c r="K130" s="299"/>
      <c r="L130" s="298"/>
      <c r="M130" s="298"/>
    </row>
    <row r="131" spans="1:13" x14ac:dyDescent="0.25">
      <c r="A131" s="298"/>
      <c r="B131" s="298"/>
      <c r="C131" s="298"/>
      <c r="D131" s="299"/>
      <c r="E131" s="299"/>
      <c r="F131" s="299"/>
      <c r="G131" s="298"/>
      <c r="H131" s="298"/>
      <c r="I131" s="299"/>
      <c r="J131" s="299"/>
      <c r="K131" s="299"/>
      <c r="L131" s="298"/>
      <c r="M131" s="298"/>
    </row>
    <row r="132" spans="1:13" x14ac:dyDescent="0.25">
      <c r="A132" s="298"/>
      <c r="B132" s="298"/>
      <c r="C132" s="298"/>
      <c r="D132" s="299"/>
      <c r="E132" s="299"/>
      <c r="F132" s="299"/>
      <c r="G132" s="298"/>
      <c r="H132" s="298"/>
      <c r="I132" s="299"/>
      <c r="J132" s="299"/>
      <c r="K132" s="299"/>
      <c r="L132" s="298"/>
      <c r="M132" s="298"/>
    </row>
    <row r="133" spans="1:13" x14ac:dyDescent="0.25">
      <c r="A133" s="298"/>
      <c r="B133" s="298"/>
      <c r="C133" s="298"/>
      <c r="D133" s="299"/>
      <c r="E133" s="299"/>
      <c r="F133" s="299"/>
      <c r="G133" s="298"/>
      <c r="H133" s="298"/>
      <c r="I133" s="299"/>
      <c r="J133" s="299"/>
      <c r="K133" s="299"/>
      <c r="L133" s="298"/>
      <c r="M133" s="298"/>
    </row>
    <row r="134" spans="1:13" x14ac:dyDescent="0.25">
      <c r="A134" s="298"/>
      <c r="B134" s="298"/>
      <c r="C134" s="298"/>
      <c r="D134" s="299"/>
      <c r="E134" s="299"/>
      <c r="F134" s="299"/>
      <c r="G134" s="298"/>
      <c r="H134" s="298"/>
      <c r="I134" s="299"/>
      <c r="J134" s="299"/>
      <c r="K134" s="299"/>
      <c r="L134" s="298"/>
      <c r="M134" s="298"/>
    </row>
    <row r="135" spans="1:13" x14ac:dyDescent="0.25">
      <c r="A135" s="298"/>
      <c r="B135" s="298"/>
      <c r="C135" s="298"/>
      <c r="D135" s="299"/>
      <c r="E135" s="299"/>
      <c r="F135" s="299"/>
      <c r="G135" s="298"/>
      <c r="H135" s="298"/>
      <c r="I135" s="299"/>
      <c r="J135" s="299"/>
      <c r="K135" s="299"/>
      <c r="L135" s="298"/>
      <c r="M135" s="298"/>
    </row>
    <row r="136" spans="1:13" x14ac:dyDescent="0.25">
      <c r="A136" s="298"/>
      <c r="B136" s="298"/>
      <c r="C136" s="298"/>
      <c r="D136" s="299"/>
      <c r="E136" s="299"/>
      <c r="F136" s="299"/>
      <c r="G136" s="298"/>
      <c r="H136" s="298"/>
      <c r="I136" s="299"/>
      <c r="J136" s="299"/>
      <c r="K136" s="299"/>
      <c r="L136" s="298"/>
      <c r="M136" s="298"/>
    </row>
    <row r="137" spans="1:13" x14ac:dyDescent="0.25">
      <c r="A137" s="298"/>
      <c r="B137" s="298"/>
      <c r="C137" s="298"/>
      <c r="D137" s="299"/>
      <c r="E137" s="299"/>
      <c r="F137" s="299"/>
      <c r="G137" s="298"/>
      <c r="H137" s="298"/>
      <c r="I137" s="299"/>
      <c r="J137" s="299"/>
      <c r="K137" s="299"/>
      <c r="L137" s="298"/>
      <c r="M137" s="298"/>
    </row>
    <row r="138" spans="1:13" x14ac:dyDescent="0.25">
      <c r="A138" s="35" t="s">
        <v>81</v>
      </c>
      <c r="B138" s="36"/>
      <c r="C138" s="36">
        <f>SUM(C126:C137)</f>
        <v>80</v>
      </c>
      <c r="D138" s="37"/>
      <c r="E138" s="37"/>
      <c r="F138" s="37">
        <f>SUM(F126:F137)</f>
        <v>3170.6</v>
      </c>
      <c r="G138" s="36"/>
      <c r="H138" s="160">
        <f>SUM(H126:H137)</f>
        <v>80</v>
      </c>
      <c r="I138" s="37"/>
      <c r="J138" s="37"/>
      <c r="K138" s="37">
        <f>SUM(K126:K137)</f>
        <v>3230.42</v>
      </c>
      <c r="L138" s="37"/>
      <c r="M138" s="37">
        <f>SUM(M126:M127)</f>
        <v>15.2</v>
      </c>
    </row>
    <row r="139" spans="1:13" x14ac:dyDescent="0.25">
      <c r="G139" s="2"/>
    </row>
    <row r="141" spans="1:13" x14ac:dyDescent="0.25">
      <c r="B141" s="205" t="s">
        <v>113</v>
      </c>
      <c r="C141" s="205" t="s">
        <v>145</v>
      </c>
      <c r="D141" s="206" t="s">
        <v>144</v>
      </c>
      <c r="E141" s="207" t="s">
        <v>146</v>
      </c>
      <c r="F141" s="208" t="s">
        <v>65</v>
      </c>
      <c r="G141" s="209" t="s">
        <v>150</v>
      </c>
      <c r="H141" s="208" t="s">
        <v>88</v>
      </c>
      <c r="I141" s="208" t="s">
        <v>153</v>
      </c>
    </row>
    <row r="142" spans="1:13" x14ac:dyDescent="0.25">
      <c r="B142" s="202">
        <v>42376</v>
      </c>
      <c r="C142" s="197">
        <v>60</v>
      </c>
      <c r="D142" s="198">
        <v>41.01</v>
      </c>
      <c r="E142" s="198">
        <v>40.33</v>
      </c>
      <c r="F142" s="198">
        <f>C142*(E142-D142)</f>
        <v>-40.799999999999983</v>
      </c>
      <c r="G142" s="198">
        <f>D142*C142</f>
        <v>2460.6</v>
      </c>
      <c r="H142" s="212">
        <f>(E142-D142)/D142</f>
        <v>-1.6581321628871E-2</v>
      </c>
      <c r="I142" s="212"/>
    </row>
    <row r="143" spans="1:13" x14ac:dyDescent="0.25">
      <c r="B143" s="202">
        <v>42403</v>
      </c>
      <c r="C143" s="197">
        <v>80</v>
      </c>
      <c r="D143" s="198">
        <v>39.630000000000003</v>
      </c>
      <c r="E143" s="198">
        <v>36.229999999999997</v>
      </c>
      <c r="F143" s="198">
        <f>C143*(E143-D143)</f>
        <v>-272.00000000000045</v>
      </c>
      <c r="G143" s="198">
        <f>D143*C143</f>
        <v>3170.4</v>
      </c>
      <c r="H143" s="212">
        <f>(E143-D143)/D143</f>
        <v>-8.5793590714105611E-2</v>
      </c>
      <c r="I143" s="212"/>
    </row>
    <row r="144" spans="1:13" x14ac:dyDescent="0.25">
      <c r="B144" s="202">
        <v>42421</v>
      </c>
      <c r="C144" s="197">
        <v>80</v>
      </c>
      <c r="D144" s="198">
        <v>39.630000000000003</v>
      </c>
      <c r="E144" s="198">
        <v>37.46</v>
      </c>
      <c r="F144" s="198">
        <f>C144*(E144-D144)</f>
        <v>-173.60000000000014</v>
      </c>
      <c r="G144" s="198">
        <f>D144*C144</f>
        <v>3170.4</v>
      </c>
      <c r="H144" s="212">
        <f>(E144-D144)/D144</f>
        <v>-5.4756497602826179E-2</v>
      </c>
      <c r="I144" s="212"/>
    </row>
    <row r="145" spans="2:9" x14ac:dyDescent="0.25">
      <c r="B145" s="202">
        <v>42426</v>
      </c>
      <c r="C145" s="197">
        <v>60</v>
      </c>
      <c r="D145" s="198">
        <v>40.03</v>
      </c>
      <c r="E145" s="198">
        <v>38.450000000000003</v>
      </c>
      <c r="F145" s="198">
        <f t="shared" ref="F145:F151" si="27">C145*(E145-D145)</f>
        <v>-94.799999999999898</v>
      </c>
      <c r="G145" s="198">
        <f t="shared" ref="G145:G151" si="28">D145*C145</f>
        <v>2401.8000000000002</v>
      </c>
      <c r="H145" s="212">
        <f t="shared" ref="H145:H151" si="29">(E145-D145)/D145</f>
        <v>-3.9470397202098384E-2</v>
      </c>
      <c r="I145" s="212"/>
    </row>
    <row r="146" spans="2:9" x14ac:dyDescent="0.25">
      <c r="B146" s="202">
        <v>42426</v>
      </c>
      <c r="C146" s="197">
        <v>30</v>
      </c>
      <c r="D146" s="198">
        <v>41.31</v>
      </c>
      <c r="E146" s="198">
        <v>38.44</v>
      </c>
      <c r="F146" s="198">
        <f t="shared" si="27"/>
        <v>-86.100000000000136</v>
      </c>
      <c r="G146" s="198">
        <f t="shared" si="28"/>
        <v>1239.3000000000002</v>
      </c>
      <c r="H146" s="210">
        <f t="shared" si="29"/>
        <v>-6.9474703461631676E-2</v>
      </c>
      <c r="I146" s="210"/>
    </row>
    <row r="147" spans="2:9" x14ac:dyDescent="0.25">
      <c r="B147" s="202">
        <v>42430</v>
      </c>
      <c r="C147" s="197">
        <v>30</v>
      </c>
      <c r="D147" s="198">
        <v>41.31</v>
      </c>
      <c r="E147" s="198">
        <v>39.51</v>
      </c>
      <c r="F147" s="198">
        <f t="shared" si="27"/>
        <v>-54.000000000000128</v>
      </c>
      <c r="G147" s="198">
        <f t="shared" si="28"/>
        <v>1239.3000000000002</v>
      </c>
      <c r="H147" s="210">
        <f t="shared" si="29"/>
        <v>-4.3572984749455437E-2</v>
      </c>
      <c r="I147" s="210"/>
    </row>
    <row r="148" spans="2:9" x14ac:dyDescent="0.25">
      <c r="B148" s="202">
        <v>42431</v>
      </c>
      <c r="C148" s="197">
        <v>30</v>
      </c>
      <c r="D148" s="198">
        <v>41.305</v>
      </c>
      <c r="E148" s="198">
        <v>40.31</v>
      </c>
      <c r="F148" s="198">
        <f t="shared" si="27"/>
        <v>-29.849999999999923</v>
      </c>
      <c r="G148" s="198">
        <f t="shared" si="28"/>
        <v>1239.1500000000001</v>
      </c>
      <c r="H148" s="210">
        <f t="shared" si="29"/>
        <v>-2.4089093330105251E-2</v>
      </c>
      <c r="I148" s="210"/>
    </row>
    <row r="149" spans="2:9" x14ac:dyDescent="0.25">
      <c r="B149" s="202">
        <v>42435</v>
      </c>
      <c r="C149" s="197">
        <v>30</v>
      </c>
      <c r="D149" s="198">
        <v>41.305</v>
      </c>
      <c r="E149" s="198">
        <v>40.98</v>
      </c>
      <c r="F149" s="198">
        <f t="shared" si="27"/>
        <v>-9.7500000000000853</v>
      </c>
      <c r="G149" s="198">
        <f t="shared" si="28"/>
        <v>1239.1500000000001</v>
      </c>
      <c r="H149" s="210">
        <f t="shared" si="29"/>
        <v>-7.8682968163661261E-3</v>
      </c>
      <c r="I149" s="210"/>
    </row>
    <row r="150" spans="2:9" x14ac:dyDescent="0.25">
      <c r="B150" s="202">
        <v>42436</v>
      </c>
      <c r="C150" s="197">
        <v>30</v>
      </c>
      <c r="D150" s="198">
        <v>41.305</v>
      </c>
      <c r="E150" s="198">
        <v>39.590000000000003</v>
      </c>
      <c r="F150" s="198">
        <f t="shared" si="27"/>
        <v>-51.449999999999889</v>
      </c>
      <c r="G150" s="198">
        <f t="shared" si="28"/>
        <v>1239.1500000000001</v>
      </c>
      <c r="H150" s="210">
        <f t="shared" si="29"/>
        <v>-4.1520397046362338E-2</v>
      </c>
      <c r="I150" s="210"/>
    </row>
    <row r="151" spans="2:9" x14ac:dyDescent="0.25">
      <c r="B151" s="202">
        <v>42444</v>
      </c>
      <c r="C151" s="197">
        <v>30</v>
      </c>
      <c r="D151" s="198">
        <v>41.305</v>
      </c>
      <c r="E151" s="198">
        <v>41.37</v>
      </c>
      <c r="F151" s="198">
        <f t="shared" si="27"/>
        <v>1.9499999999999318</v>
      </c>
      <c r="G151" s="198">
        <f t="shared" si="28"/>
        <v>1239.1500000000001</v>
      </c>
      <c r="H151" s="210">
        <f t="shared" si="29"/>
        <v>1.5736593632731564E-3</v>
      </c>
      <c r="I151" s="210"/>
    </row>
    <row r="152" spans="2:9" x14ac:dyDescent="0.25">
      <c r="B152" s="202">
        <v>42444</v>
      </c>
      <c r="C152" s="197">
        <v>30</v>
      </c>
      <c r="D152" s="198">
        <v>40.47983</v>
      </c>
      <c r="E152" s="198">
        <v>41.37</v>
      </c>
      <c r="F152" s="198">
        <f>C152*(E152-D152)</f>
        <v>26.705099999999931</v>
      </c>
      <c r="G152" s="198">
        <f>D152*C152</f>
        <v>1214.3949</v>
      </c>
      <c r="H152" s="210">
        <f>(E152-D152)/D152</f>
        <v>2.1990457963879731E-2</v>
      </c>
      <c r="I152" s="210" t="s">
        <v>181</v>
      </c>
    </row>
    <row r="153" spans="2:9" x14ac:dyDescent="0.25">
      <c r="B153" s="202">
        <v>42447</v>
      </c>
      <c r="C153" s="197">
        <v>0</v>
      </c>
      <c r="D153" s="198"/>
      <c r="E153" s="198"/>
      <c r="F153" s="198">
        <v>75.02</v>
      </c>
      <c r="G153" s="198"/>
      <c r="H153" s="210"/>
      <c r="I153" s="210"/>
    </row>
    <row r="154" spans="2:9" x14ac:dyDescent="0.25">
      <c r="B154" s="197"/>
      <c r="C154" s="197"/>
      <c r="D154" s="198"/>
      <c r="E154" s="198"/>
      <c r="F154" s="198"/>
      <c r="G154" s="198"/>
      <c r="H154" s="210"/>
      <c r="I154" s="210"/>
    </row>
    <row r="155" spans="2:9" x14ac:dyDescent="0.25">
      <c r="B155" s="197"/>
      <c r="C155" s="197"/>
      <c r="D155" s="198"/>
      <c r="E155" s="198"/>
      <c r="F155" s="198"/>
      <c r="G155" s="198"/>
      <c r="H155" s="210"/>
      <c r="I155" s="210"/>
    </row>
    <row r="156" spans="2:9" x14ac:dyDescent="0.25">
      <c r="B156" s="197"/>
      <c r="C156" s="197"/>
      <c r="D156" s="198"/>
      <c r="E156" s="198"/>
      <c r="F156" s="198"/>
      <c r="G156" s="198"/>
      <c r="H156" s="210"/>
      <c r="I156" s="210"/>
    </row>
    <row r="157" spans="2:9" x14ac:dyDescent="0.25">
      <c r="B157" s="197"/>
      <c r="C157" s="197"/>
      <c r="D157" s="198"/>
      <c r="E157" s="198"/>
      <c r="F157" s="198"/>
      <c r="G157" s="198"/>
      <c r="H157" s="210"/>
      <c r="I157" s="210"/>
    </row>
    <row r="158" spans="2:9" x14ac:dyDescent="0.25">
      <c r="B158" s="197"/>
      <c r="C158" s="197"/>
      <c r="D158" s="198"/>
      <c r="E158" s="198"/>
      <c r="F158" s="198"/>
      <c r="G158" s="198"/>
      <c r="H158" s="210"/>
      <c r="I158" s="210"/>
    </row>
    <row r="159" spans="2:9" x14ac:dyDescent="0.25">
      <c r="B159" s="197"/>
      <c r="C159" s="197"/>
      <c r="D159" s="198"/>
      <c r="E159" s="198"/>
      <c r="F159" s="198"/>
      <c r="G159" s="198"/>
      <c r="H159" s="210"/>
      <c r="I159" s="210"/>
    </row>
    <row r="160" spans="2:9" x14ac:dyDescent="0.25">
      <c r="B160" s="197"/>
      <c r="C160" s="197"/>
      <c r="D160" s="198"/>
      <c r="E160" s="198"/>
      <c r="F160" s="198"/>
      <c r="G160" s="198"/>
      <c r="H160" s="210"/>
      <c r="I160" s="210"/>
    </row>
  </sheetData>
  <mergeCells count="2">
    <mergeCell ref="A23:A27"/>
    <mergeCell ref="A30:A33"/>
  </mergeCells>
  <conditionalFormatting sqref="O19:O39">
    <cfRule type="colorScale" priority="105">
      <colorScale>
        <cfvo type="min"/>
        <cfvo type="percentile" val="50"/>
        <cfvo type="max"/>
        <color rgb="FFF8696B"/>
        <color rgb="FFFFEB84"/>
        <color rgb="FF63BE7B"/>
      </colorScale>
    </cfRule>
  </conditionalFormatting>
  <conditionalFormatting sqref="P19:P39">
    <cfRule type="colorScale" priority="104">
      <colorScale>
        <cfvo type="min"/>
        <cfvo type="percentile" val="50"/>
        <cfvo type="max"/>
        <color rgb="FFF8696B"/>
        <color rgb="FFFFEB84"/>
        <color rgb="FF63BE7B"/>
      </colorScale>
    </cfRule>
  </conditionalFormatting>
  <conditionalFormatting sqref="Q46:Q63">
    <cfRule type="colorScale" priority="103">
      <colorScale>
        <cfvo type="min"/>
        <cfvo type="percentile" val="50"/>
        <cfvo type="max"/>
        <color rgb="FFF8696B"/>
        <color rgb="FFFFEB84"/>
        <color rgb="FF63BE7B"/>
      </colorScale>
    </cfRule>
  </conditionalFormatting>
  <conditionalFormatting sqref="F46:F50 H51:H66 F65:F66 I68:K69 F70:F72 H70:H72 J70:K72 I62:L66 L68:L70 F77:F79 H77:J79 H114:K114 F114 F121:F122 H121:K123">
    <cfRule type="expression" dxfId="541" priority="99">
      <formula>F46&gt;0</formula>
    </cfRule>
    <cfRule type="expression" dxfId="540" priority="100">
      <formula>F46&lt;0</formula>
    </cfRule>
  </conditionalFormatting>
  <conditionalFormatting sqref="H46:H48">
    <cfRule type="expression" dxfId="539" priority="97">
      <formula>H46&gt;0</formula>
    </cfRule>
    <cfRule type="expression" dxfId="538" priority="98">
      <formula>H46&lt;0</formula>
    </cfRule>
  </conditionalFormatting>
  <conditionalFormatting sqref="H49">
    <cfRule type="expression" dxfId="537" priority="95">
      <formula>H49&gt;0</formula>
    </cfRule>
    <cfRule type="expression" dxfId="536" priority="96">
      <formula>H49&lt;0</formula>
    </cfRule>
  </conditionalFormatting>
  <conditionalFormatting sqref="H50">
    <cfRule type="expression" dxfId="535" priority="93">
      <formula>H50&gt;0</formula>
    </cfRule>
    <cfRule type="expression" dxfId="534" priority="94">
      <formula>H50&lt;0</formula>
    </cfRule>
  </conditionalFormatting>
  <conditionalFormatting sqref="F42:F45">
    <cfRule type="expression" dxfId="533" priority="89">
      <formula>F42&gt;0</formula>
    </cfRule>
    <cfRule type="expression" dxfId="532" priority="90">
      <formula>F42&lt;0</formula>
    </cfRule>
  </conditionalFormatting>
  <conditionalFormatting sqref="H42:H45">
    <cfRule type="expression" dxfId="531" priority="87">
      <formula>H42&gt;0</formula>
    </cfRule>
    <cfRule type="expression" dxfId="530" priority="88">
      <formula>H42&lt;0</formula>
    </cfRule>
  </conditionalFormatting>
  <conditionalFormatting sqref="F51:F52">
    <cfRule type="expression" dxfId="529" priority="83">
      <formula>F51&gt;0</formula>
    </cfRule>
    <cfRule type="expression" dxfId="528" priority="84">
      <formula>F51&lt;0</formula>
    </cfRule>
  </conditionalFormatting>
  <conditionalFormatting sqref="I46:L48">
    <cfRule type="expression" dxfId="527" priority="81">
      <formula>I46&gt;0</formula>
    </cfRule>
    <cfRule type="expression" dxfId="526" priority="82">
      <formula>I46&lt;0</formula>
    </cfRule>
  </conditionalFormatting>
  <conditionalFormatting sqref="I55:I60 I52:L53">
    <cfRule type="expression" dxfId="525" priority="75">
      <formula>I52&gt;0</formula>
    </cfRule>
    <cfRule type="expression" dxfId="524" priority="76">
      <formula>I52&lt;0</formula>
    </cfRule>
  </conditionalFormatting>
  <conditionalFormatting sqref="I42:L45">
    <cfRule type="expression" dxfId="523" priority="73">
      <formula>I42&gt;0</formula>
    </cfRule>
    <cfRule type="expression" dxfId="522" priority="74">
      <formula>I42&lt;0</formula>
    </cfRule>
  </conditionalFormatting>
  <conditionalFormatting sqref="F53:F64">
    <cfRule type="expression" dxfId="521" priority="71">
      <formula>F53&gt;0</formula>
    </cfRule>
    <cfRule type="expression" dxfId="520" priority="72">
      <formula>F53&lt;0</formula>
    </cfRule>
  </conditionalFormatting>
  <conditionalFormatting sqref="Q8">
    <cfRule type="expression" dxfId="519" priority="67">
      <formula>Q8&gt;0</formula>
    </cfRule>
    <cfRule type="expression" dxfId="518" priority="68">
      <formula>Q8&lt;0</formula>
    </cfRule>
  </conditionalFormatting>
  <conditionalFormatting sqref="Q7">
    <cfRule type="expression" dxfId="517" priority="69">
      <formula>Q7&gt;0</formula>
    </cfRule>
    <cfRule type="expression" dxfId="516" priority="70">
      <formula>Q7&lt;0</formula>
    </cfRule>
  </conditionalFormatting>
  <conditionalFormatting sqref="F146:F150">
    <cfRule type="expression" dxfId="515" priority="65">
      <formula>F146&gt;0</formula>
    </cfRule>
    <cfRule type="expression" dxfId="514" priority="66">
      <formula>F146&lt;0</formula>
    </cfRule>
  </conditionalFormatting>
  <conditionalFormatting sqref="H146:H148">
    <cfRule type="expression" dxfId="513" priority="63">
      <formula>H146&gt;0</formula>
    </cfRule>
    <cfRule type="expression" dxfId="512" priority="64">
      <formula>H146&lt;0</formula>
    </cfRule>
  </conditionalFormatting>
  <conditionalFormatting sqref="H149">
    <cfRule type="expression" dxfId="511" priority="61">
      <formula>H149&gt;0</formula>
    </cfRule>
    <cfRule type="expression" dxfId="510" priority="62">
      <formula>H149&lt;0</formula>
    </cfRule>
  </conditionalFormatting>
  <conditionalFormatting sqref="H150">
    <cfRule type="expression" dxfId="509" priority="59">
      <formula>H150&gt;0</formula>
    </cfRule>
    <cfRule type="expression" dxfId="508" priority="60">
      <formula>H150&lt;0</formula>
    </cfRule>
  </conditionalFormatting>
  <conditionalFormatting sqref="H151:H160">
    <cfRule type="expression" dxfId="507" priority="57">
      <formula>H151&gt;0</formula>
    </cfRule>
    <cfRule type="expression" dxfId="506" priority="58">
      <formula>H151&lt;0</formula>
    </cfRule>
  </conditionalFormatting>
  <conditionalFormatting sqref="F142:F145">
    <cfRule type="expression" dxfId="505" priority="55">
      <formula>F142&gt;0</formula>
    </cfRule>
    <cfRule type="expression" dxfId="504" priority="56">
      <formula>F142&lt;0</formula>
    </cfRule>
  </conditionalFormatting>
  <conditionalFormatting sqref="H142:H145">
    <cfRule type="expression" dxfId="503" priority="53">
      <formula>H142&gt;0</formula>
    </cfRule>
    <cfRule type="expression" dxfId="502" priority="54">
      <formula>H142&lt;0</formula>
    </cfRule>
  </conditionalFormatting>
  <conditionalFormatting sqref="F151:F152">
    <cfRule type="expression" dxfId="501" priority="51">
      <formula>F151&gt;0</formula>
    </cfRule>
    <cfRule type="expression" dxfId="500" priority="52">
      <formula>F151&lt;0</formula>
    </cfRule>
  </conditionalFormatting>
  <conditionalFormatting sqref="I146:I148">
    <cfRule type="expression" dxfId="499" priority="49">
      <formula>I146&gt;0</formula>
    </cfRule>
    <cfRule type="expression" dxfId="498" priority="50">
      <formula>I146&lt;0</formula>
    </cfRule>
  </conditionalFormatting>
  <conditionalFormatting sqref="I149">
    <cfRule type="expression" dxfId="497" priority="47">
      <formula>I149&gt;0</formula>
    </cfRule>
    <cfRule type="expression" dxfId="496" priority="48">
      <formula>I149&lt;0</formula>
    </cfRule>
  </conditionalFormatting>
  <conditionalFormatting sqref="I150">
    <cfRule type="expression" dxfId="495" priority="45">
      <formula>I150&gt;0</formula>
    </cfRule>
    <cfRule type="expression" dxfId="494" priority="46">
      <formula>I150&lt;0</formula>
    </cfRule>
  </conditionalFormatting>
  <conditionalFormatting sqref="I151:I160">
    <cfRule type="expression" dxfId="493" priority="43">
      <formula>I151&gt;0</formula>
    </cfRule>
    <cfRule type="expression" dxfId="492" priority="44">
      <formula>I151&lt;0</formula>
    </cfRule>
  </conditionalFormatting>
  <conditionalFormatting sqref="I142:I145">
    <cfRule type="expression" dxfId="491" priority="41">
      <formula>I142&gt;0</formula>
    </cfRule>
    <cfRule type="expression" dxfId="490" priority="42">
      <formula>I142&lt;0</formula>
    </cfRule>
  </conditionalFormatting>
  <conditionalFormatting sqref="F153">
    <cfRule type="expression" dxfId="489" priority="39">
      <formula>F153&gt;0</formula>
    </cfRule>
    <cfRule type="expression" dxfId="488" priority="40">
      <formula>F153&lt;0</formula>
    </cfRule>
  </conditionalFormatting>
  <conditionalFormatting sqref="F67:F69 H68:H69 H67:L67">
    <cfRule type="expression" dxfId="487" priority="37">
      <formula>F67&gt;0</formula>
    </cfRule>
    <cfRule type="expression" dxfId="486" priority="38">
      <formula>F67&lt;0</formula>
    </cfRule>
  </conditionalFormatting>
  <conditionalFormatting sqref="R4">
    <cfRule type="expression" dxfId="485" priority="35">
      <formula>R4&gt;0</formula>
    </cfRule>
    <cfRule type="expression" dxfId="484" priority="36">
      <formula>R4&lt;0</formula>
    </cfRule>
  </conditionalFormatting>
  <conditionalFormatting sqref="F73:F76 H73:K74 H75:J76">
    <cfRule type="expression" dxfId="483" priority="33">
      <formula>F73&gt;0</formula>
    </cfRule>
    <cfRule type="expression" dxfId="482" priority="34">
      <formula>F73&lt;0</formula>
    </cfRule>
  </conditionalFormatting>
  <conditionalFormatting sqref="H81:H85 F80:F85 H80:J80 J81:J85">
    <cfRule type="expression" dxfId="481" priority="29">
      <formula>F80&gt;0</formula>
    </cfRule>
    <cfRule type="expression" dxfId="480" priority="30">
      <formula>F80&lt;0</formula>
    </cfRule>
  </conditionalFormatting>
  <conditionalFormatting sqref="I93:J93">
    <cfRule type="expression" dxfId="479" priority="27">
      <formula>I93&gt;0</formula>
    </cfRule>
    <cfRule type="expression" dxfId="478" priority="28">
      <formula>I93&lt;0</formula>
    </cfRule>
  </conditionalFormatting>
  <conditionalFormatting sqref="H89:J90 J92:K92 J91 K75:K91 F89:F93 H91:H93 K93">
    <cfRule type="expression" dxfId="477" priority="25">
      <formula>F75&gt;0</formula>
    </cfRule>
    <cfRule type="expression" dxfId="476" priority="26">
      <formula>F75&lt;0</formula>
    </cfRule>
  </conditionalFormatting>
  <conditionalFormatting sqref="H87:J88 F86:F88 H86 J86">
    <cfRule type="expression" dxfId="475" priority="23">
      <formula>F86&gt;0</formula>
    </cfRule>
    <cfRule type="expression" dxfId="474" priority="24">
      <formula>F86&lt;0</formula>
    </cfRule>
  </conditionalFormatting>
  <conditionalFormatting sqref="H94:K98 F94:F98">
    <cfRule type="expression" dxfId="473" priority="19">
      <formula>F94&gt;0</formula>
    </cfRule>
    <cfRule type="expression" dxfId="472" priority="20">
      <formula>F94&lt;0</formula>
    </cfRule>
  </conditionalFormatting>
  <conditionalFormatting sqref="H107:K107 F107">
    <cfRule type="expression" dxfId="471" priority="17">
      <formula>F107&gt;0</formula>
    </cfRule>
    <cfRule type="expression" dxfId="470" priority="18">
      <formula>F107&lt;0</formula>
    </cfRule>
  </conditionalFormatting>
  <conditionalFormatting sqref="H102:K106 F102:F106">
    <cfRule type="expression" dxfId="469" priority="15">
      <formula>F102&gt;0</formula>
    </cfRule>
    <cfRule type="expression" dxfId="468" priority="16">
      <formula>F102&lt;0</formula>
    </cfRule>
  </conditionalFormatting>
  <conditionalFormatting sqref="H101:K101 F99:F101 H99:H100 J99:K100">
    <cfRule type="expression" dxfId="467" priority="13">
      <formula>F99&gt;0</formula>
    </cfRule>
    <cfRule type="expression" dxfId="466" priority="14">
      <formula>F99&lt;0</formula>
    </cfRule>
  </conditionalFormatting>
  <conditionalFormatting sqref="H108:K110 F108:F110">
    <cfRule type="expression" dxfId="465" priority="11">
      <formula>F108&gt;0</formula>
    </cfRule>
    <cfRule type="expression" dxfId="464" priority="12">
      <formula>F108&lt;0</formula>
    </cfRule>
  </conditionalFormatting>
  <conditionalFormatting sqref="H111:K113 F111:F113">
    <cfRule type="expression" dxfId="463" priority="9">
      <formula>F111&gt;0</formula>
    </cfRule>
    <cfRule type="expression" dxfId="462" priority="10">
      <formula>F111&lt;0</formula>
    </cfRule>
  </conditionalFormatting>
  <conditionalFormatting sqref="Q10">
    <cfRule type="expression" dxfId="461" priority="7">
      <formula>Q10&gt;0</formula>
    </cfRule>
    <cfRule type="expression" dxfId="460" priority="8">
      <formula>Q10&lt;0</formula>
    </cfRule>
  </conditionalFormatting>
  <conditionalFormatting sqref="H115:K116 F115:F117 H117:I117 K117">
    <cfRule type="expression" dxfId="459" priority="5">
      <formula>F115&gt;0</formula>
    </cfRule>
    <cfRule type="expression" dxfId="458" priority="6">
      <formula>F115&lt;0</formula>
    </cfRule>
  </conditionalFormatting>
  <conditionalFormatting sqref="F118 H118:K118 J117">
    <cfRule type="expression" dxfId="457" priority="3">
      <formula>F117&gt;0</formula>
    </cfRule>
    <cfRule type="expression" dxfId="456" priority="4">
      <formula>F117&lt;0</formula>
    </cfRule>
  </conditionalFormatting>
  <conditionalFormatting sqref="F119:F120 H119:K120">
    <cfRule type="expression" dxfId="455" priority="1">
      <formula>F119&gt;0</formula>
    </cfRule>
    <cfRule type="expression" dxfId="454" priority="2">
      <formula>F119&lt;0</formula>
    </cfRule>
  </conditionalFormatting>
  <hyperlinks>
    <hyperlink ref="A3" location="ACTIVE!A1" display="Back"/>
    <hyperlink ref="A127" location="ACTIVE!A1" display="Back"/>
  </hyperlinks>
  <pageMargins left="0.7" right="0.7" top="0.75" bottom="0.75" header="0.3" footer="0.3"/>
  <pageSetup orientation="portrait" horizontalDpi="4294967293" r:id="rId1"/>
  <drawing r:id="rId2"/>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1379</v>
      </c>
      <c r="B2" s="72"/>
      <c r="C2" s="4"/>
      <c r="D2" s="3"/>
      <c r="E2" s="3"/>
      <c r="F2" s="3"/>
      <c r="G2" s="72"/>
      <c r="H2" s="4"/>
      <c r="I2" s="3"/>
      <c r="J2" s="3"/>
      <c r="K2" s="3"/>
      <c r="L2" s="4"/>
      <c r="M2" s="4"/>
      <c r="O2" s="11" t="s">
        <v>57</v>
      </c>
      <c r="Q2">
        <f>C18-H18</f>
        <v>0</v>
      </c>
      <c r="T2" t="s">
        <v>83</v>
      </c>
      <c r="U2" t="s">
        <v>84</v>
      </c>
      <c r="W2" s="130">
        <v>42830</v>
      </c>
      <c r="X2" s="10">
        <v>36.89</v>
      </c>
      <c r="Y2" s="10">
        <v>37.479999999999997</v>
      </c>
      <c r="Z2" s="10">
        <v>36.74</v>
      </c>
      <c r="AA2" s="10">
        <v>36.840000000000003</v>
      </c>
      <c r="AB2" s="93">
        <v>1661300</v>
      </c>
      <c r="AC2" s="10">
        <v>36.840000000000003</v>
      </c>
      <c r="AD2" s="2">
        <f>Y2-Z2</f>
        <v>0.73999999999999488</v>
      </c>
      <c r="AE2" s="134">
        <f>AC2/AC3-1</f>
        <v>5.4318305268874489E-4</v>
      </c>
      <c r="AP2" t="s">
        <v>159</v>
      </c>
    </row>
    <row r="3" spans="1:43" x14ac:dyDescent="0.25">
      <c r="A3" s="22" t="s">
        <v>71</v>
      </c>
      <c r="B3" s="72"/>
      <c r="C3" s="4"/>
      <c r="D3" s="3"/>
      <c r="E3" s="3"/>
      <c r="F3" s="3"/>
      <c r="G3" s="72"/>
      <c r="H3" s="4"/>
      <c r="I3" s="3"/>
      <c r="J3" s="3"/>
      <c r="K3" s="3"/>
      <c r="L3" s="4"/>
      <c r="M3" s="4"/>
      <c r="O3" s="11" t="s">
        <v>58</v>
      </c>
      <c r="Q3" s="78">
        <f>IF(Q2=0, Q4, (F18-K18)/Q2)</f>
        <v>0</v>
      </c>
      <c r="T3" s="1">
        <v>42312</v>
      </c>
      <c r="U3" t="s">
        <v>147</v>
      </c>
      <c r="W3" s="130">
        <v>42829</v>
      </c>
      <c r="X3" s="10">
        <v>37.65</v>
      </c>
      <c r="Y3" s="10">
        <v>37.82</v>
      </c>
      <c r="Z3" s="10">
        <v>36.61</v>
      </c>
      <c r="AA3" s="10">
        <v>36.82</v>
      </c>
      <c r="AB3" s="93">
        <v>2429700</v>
      </c>
      <c r="AC3" s="10">
        <v>36.82</v>
      </c>
      <c r="AD3" s="2">
        <f t="shared" ref="AD3:AD66" si="0">Y3-Z3</f>
        <v>1.2100000000000009</v>
      </c>
      <c r="AE3" s="134">
        <f t="shared" ref="AE3:AE66" si="1">AC3/AC4-1</f>
        <v>-3.2071503680336511E-2</v>
      </c>
      <c r="AI3" t="s">
        <v>161</v>
      </c>
      <c r="AJ3">
        <v>50</v>
      </c>
      <c r="AK3">
        <v>41.2</v>
      </c>
      <c r="AL3" s="182">
        <v>2060</v>
      </c>
      <c r="AO3" s="182">
        <v>2126</v>
      </c>
      <c r="AP3">
        <v>66</v>
      </c>
      <c r="AQ3">
        <v>3.2</v>
      </c>
    </row>
    <row r="4" spans="1:43" x14ac:dyDescent="0.25">
      <c r="B4" s="72"/>
      <c r="C4" s="4"/>
      <c r="D4" s="3"/>
      <c r="E4" s="3"/>
      <c r="F4" s="3"/>
      <c r="G4" s="72"/>
      <c r="H4" s="161"/>
      <c r="I4" s="3"/>
      <c r="J4" s="3"/>
      <c r="K4" s="3"/>
      <c r="L4" s="4"/>
      <c r="M4" s="4"/>
      <c r="O4" s="11" t="s">
        <v>66</v>
      </c>
      <c r="Q4" s="54">
        <v>0</v>
      </c>
      <c r="R4" s="405">
        <v>1.9099999999999999E-2</v>
      </c>
      <c r="W4" s="130">
        <v>42828</v>
      </c>
      <c r="X4" s="10">
        <v>38.159999999999997</v>
      </c>
      <c r="Y4" s="10">
        <v>38.25</v>
      </c>
      <c r="Z4" s="10">
        <v>37.74</v>
      </c>
      <c r="AA4" s="10">
        <v>38.04</v>
      </c>
      <c r="AB4" s="93">
        <v>1437300</v>
      </c>
      <c r="AC4" s="10">
        <v>38.04</v>
      </c>
      <c r="AD4" s="2">
        <f t="shared" si="0"/>
        <v>0.50999999999999801</v>
      </c>
      <c r="AE4" s="134">
        <f t="shared" si="1"/>
        <v>-1.836788244555243E-3</v>
      </c>
    </row>
    <row r="5" spans="1:43" x14ac:dyDescent="0.25">
      <c r="B5" s="72"/>
      <c r="C5" s="4"/>
      <c r="D5" s="3"/>
      <c r="E5" s="3"/>
      <c r="F5" s="3"/>
      <c r="G5" s="72"/>
      <c r="H5" s="161"/>
      <c r="I5" s="3"/>
      <c r="J5" s="3"/>
      <c r="K5" s="3"/>
      <c r="L5" s="4"/>
      <c r="M5" s="4"/>
      <c r="O5" s="11" t="s">
        <v>67</v>
      </c>
      <c r="Q5" s="3">
        <f>Q4*Q2</f>
        <v>0</v>
      </c>
      <c r="W5" s="130">
        <v>42825</v>
      </c>
      <c r="X5" s="10">
        <v>38.24</v>
      </c>
      <c r="Y5" s="10">
        <v>38.35</v>
      </c>
      <c r="Z5" s="10">
        <v>38.049999999999997</v>
      </c>
      <c r="AA5" s="10">
        <v>38.11</v>
      </c>
      <c r="AB5" s="93">
        <v>1365000</v>
      </c>
      <c r="AC5" s="10">
        <v>38.11</v>
      </c>
      <c r="AD5" s="2">
        <f t="shared" si="0"/>
        <v>0.30000000000000426</v>
      </c>
      <c r="AE5" s="134">
        <f t="shared" si="1"/>
        <v>-5.2452137424607859E-4</v>
      </c>
    </row>
    <row r="6" spans="1:43" x14ac:dyDescent="0.25">
      <c r="B6" s="72"/>
      <c r="C6" s="4"/>
      <c r="D6" s="3"/>
      <c r="E6" s="3"/>
      <c r="F6" s="3"/>
      <c r="G6" s="72"/>
      <c r="H6" s="161"/>
      <c r="I6" s="3"/>
      <c r="J6" s="3"/>
      <c r="K6" s="3"/>
      <c r="L6" s="4"/>
      <c r="M6" s="4"/>
      <c r="O6" s="11" t="s">
        <v>64</v>
      </c>
      <c r="Q6" s="2">
        <f>Q3*Q2</f>
        <v>0</v>
      </c>
      <c r="W6" s="130">
        <v>42824</v>
      </c>
      <c r="X6" s="10">
        <v>37.979999999999997</v>
      </c>
      <c r="Y6" s="10">
        <v>38.46</v>
      </c>
      <c r="Z6" s="10">
        <v>37.979999999999997</v>
      </c>
      <c r="AA6" s="10">
        <v>38.130000000000003</v>
      </c>
      <c r="AB6" s="93">
        <v>1683600</v>
      </c>
      <c r="AC6" s="10">
        <v>38.130000000000003</v>
      </c>
      <c r="AD6" s="2">
        <f t="shared" si="0"/>
        <v>0.48000000000000398</v>
      </c>
      <c r="AE6" s="134">
        <f t="shared" si="1"/>
        <v>-3.9184952978056353E-3</v>
      </c>
    </row>
    <row r="7" spans="1:43" x14ac:dyDescent="0.25">
      <c r="B7" s="72"/>
      <c r="C7" s="4"/>
      <c r="D7" s="3"/>
      <c r="E7" s="3"/>
      <c r="F7" s="3"/>
      <c r="G7" s="72"/>
      <c r="H7" s="161"/>
      <c r="I7" s="3"/>
      <c r="J7" s="3"/>
      <c r="K7" s="3"/>
      <c r="L7" s="4"/>
      <c r="M7" s="4"/>
      <c r="O7" s="11" t="s">
        <v>177</v>
      </c>
      <c r="Q7" s="2">
        <f>Q10+Q8</f>
        <v>937.36999999999534</v>
      </c>
      <c r="R7">
        <v>0</v>
      </c>
      <c r="W7" s="130">
        <v>42823</v>
      </c>
      <c r="X7" s="10">
        <v>38.14</v>
      </c>
      <c r="Y7" s="10">
        <v>38.590000000000003</v>
      </c>
      <c r="Z7" s="10">
        <v>38.049999999999997</v>
      </c>
      <c r="AA7" s="10">
        <v>38.28</v>
      </c>
      <c r="AB7" s="93">
        <v>1742400</v>
      </c>
      <c r="AC7" s="10">
        <v>38.28</v>
      </c>
      <c r="AD7" s="2">
        <f t="shared" si="0"/>
        <v>0.54000000000000625</v>
      </c>
      <c r="AE7" s="134">
        <f t="shared" si="1"/>
        <v>-1.8252933507171276E-3</v>
      </c>
    </row>
    <row r="8" spans="1:43" x14ac:dyDescent="0.25">
      <c r="B8" s="72"/>
      <c r="C8" s="4"/>
      <c r="D8" s="3"/>
      <c r="E8" s="3"/>
      <c r="F8" s="3"/>
      <c r="G8" s="72"/>
      <c r="H8" s="161"/>
      <c r="I8" s="3"/>
      <c r="J8" s="3"/>
      <c r="K8" s="3"/>
      <c r="L8" s="4"/>
      <c r="M8" s="4"/>
      <c r="O8" s="11" t="s">
        <v>179</v>
      </c>
      <c r="P8" s="33"/>
      <c r="Q8" s="2">
        <f>K18+M18-F18+Q2*Q4</f>
        <v>0</v>
      </c>
      <c r="W8" s="130">
        <v>42822</v>
      </c>
      <c r="X8" s="10">
        <v>37.79</v>
      </c>
      <c r="Y8" s="10">
        <v>38.49</v>
      </c>
      <c r="Z8" s="10">
        <v>37.68</v>
      </c>
      <c r="AA8" s="10">
        <v>38.35</v>
      </c>
      <c r="AB8" s="93">
        <v>1736300</v>
      </c>
      <c r="AC8" s="10">
        <v>38.35</v>
      </c>
      <c r="AD8" s="2">
        <f t="shared" si="0"/>
        <v>0.81000000000000227</v>
      </c>
      <c r="AE8" s="134">
        <f t="shared" si="1"/>
        <v>1.4550264550264647E-2</v>
      </c>
    </row>
    <row r="9" spans="1:43" x14ac:dyDescent="0.25">
      <c r="B9" s="72"/>
      <c r="C9" s="4"/>
      <c r="D9" s="3"/>
      <c r="E9" s="3"/>
      <c r="F9" s="3"/>
      <c r="G9" s="72"/>
      <c r="H9" s="161"/>
      <c r="I9" s="3"/>
      <c r="J9" s="3"/>
      <c r="K9" s="3"/>
      <c r="L9" s="4"/>
      <c r="M9" s="4"/>
      <c r="O9" s="11" t="s">
        <v>204</v>
      </c>
      <c r="Q9" s="134">
        <f>IF(Q2=0, 0, Q8/Q6)</f>
        <v>0</v>
      </c>
      <c r="W9" s="130">
        <v>42821</v>
      </c>
      <c r="X9" s="10">
        <v>37.299999999999997</v>
      </c>
      <c r="Y9" s="10">
        <v>38.17</v>
      </c>
      <c r="Z9" s="10">
        <v>37.270000000000003</v>
      </c>
      <c r="AA9" s="10">
        <v>37.799999999999997</v>
      </c>
      <c r="AB9" s="93">
        <v>1756900</v>
      </c>
      <c r="AC9" s="10">
        <v>37.799999999999997</v>
      </c>
      <c r="AD9" s="2">
        <f t="shared" si="0"/>
        <v>0.89999999999999858</v>
      </c>
      <c r="AE9" s="134">
        <f t="shared" si="1"/>
        <v>6.389776357827337E-3</v>
      </c>
    </row>
    <row r="10" spans="1:43" x14ac:dyDescent="0.25">
      <c r="B10" s="72"/>
      <c r="C10" s="4"/>
      <c r="D10" s="3"/>
      <c r="E10" s="3"/>
      <c r="F10" s="3"/>
      <c r="G10" s="72"/>
      <c r="H10" s="161"/>
      <c r="I10" s="3"/>
      <c r="J10" s="3"/>
      <c r="K10" s="3"/>
      <c r="L10" s="4"/>
      <c r="M10" s="4"/>
      <c r="O10" s="11" t="s">
        <v>203</v>
      </c>
      <c r="P10" s="33"/>
      <c r="Q10" s="2">
        <f>M30</f>
        <v>937.36999999999534</v>
      </c>
      <c r="W10" s="130">
        <v>42818</v>
      </c>
      <c r="X10" s="10">
        <v>37.229999999999997</v>
      </c>
      <c r="Y10" s="10">
        <v>37.67</v>
      </c>
      <c r="Z10" s="10">
        <v>37.020000000000003</v>
      </c>
      <c r="AA10" s="10">
        <v>37.56</v>
      </c>
      <c r="AB10" s="93">
        <v>1157900</v>
      </c>
      <c r="AC10" s="10">
        <v>37.56</v>
      </c>
      <c r="AD10" s="2">
        <f t="shared" si="0"/>
        <v>0.64999999999999858</v>
      </c>
      <c r="AE10" s="134">
        <f t="shared" si="1"/>
        <v>8.8638195004029363E-3</v>
      </c>
    </row>
    <row r="11" spans="1:43" x14ac:dyDescent="0.25">
      <c r="B11" s="72"/>
      <c r="C11" s="4"/>
      <c r="D11" s="3"/>
      <c r="E11" s="3"/>
      <c r="F11" s="3"/>
      <c r="G11" s="72"/>
      <c r="H11" s="161"/>
      <c r="I11" s="3"/>
      <c r="J11" s="3"/>
      <c r="K11" s="3"/>
      <c r="L11" s="4"/>
      <c r="M11" s="4"/>
      <c r="O11" s="11" t="s">
        <v>175</v>
      </c>
      <c r="P11" s="33"/>
      <c r="Q11" s="134">
        <f>IF(U58="N/A (N/A)", 0, VALUE(TRIM(CLEAN(MID(U58, FIND("(", U58)+1, 5)))))</f>
        <v>0</v>
      </c>
      <c r="W11" s="130">
        <v>42817</v>
      </c>
      <c r="X11" s="10">
        <v>36.97</v>
      </c>
      <c r="Y11" s="10">
        <v>37.61</v>
      </c>
      <c r="Z11" s="10">
        <v>36.94</v>
      </c>
      <c r="AA11" s="10">
        <v>37.229999999999997</v>
      </c>
      <c r="AB11" s="93">
        <v>1537800</v>
      </c>
      <c r="AC11" s="10">
        <v>37.229999999999997</v>
      </c>
      <c r="AD11" s="2">
        <f t="shared" si="0"/>
        <v>0.67000000000000171</v>
      </c>
      <c r="AE11" s="134">
        <f t="shared" si="1"/>
        <v>1.7769272826681171E-2</v>
      </c>
    </row>
    <row r="12" spans="1:43" x14ac:dyDescent="0.25">
      <c r="B12" s="72"/>
      <c r="C12" s="4"/>
      <c r="D12" s="3"/>
      <c r="E12" s="3"/>
      <c r="F12" s="3"/>
      <c r="G12" s="72"/>
      <c r="H12" s="161"/>
      <c r="I12" s="3"/>
      <c r="J12" s="3"/>
      <c r="K12" s="3"/>
      <c r="L12" s="4"/>
      <c r="M12" s="4"/>
      <c r="W12" s="130">
        <v>42816</v>
      </c>
      <c r="X12" s="10">
        <v>36.54</v>
      </c>
      <c r="Y12" s="10">
        <v>36.630000000000003</v>
      </c>
      <c r="Z12" s="10">
        <v>36.1</v>
      </c>
      <c r="AA12" s="10">
        <v>36.58</v>
      </c>
      <c r="AB12" s="93">
        <v>1480900</v>
      </c>
      <c r="AC12" s="10">
        <v>36.58</v>
      </c>
      <c r="AD12" s="2">
        <f t="shared" si="0"/>
        <v>0.53000000000000114</v>
      </c>
      <c r="AE12" s="134">
        <f t="shared" si="1"/>
        <v>-4.354926510615198E-3</v>
      </c>
    </row>
    <row r="13" spans="1:43" x14ac:dyDescent="0.25">
      <c r="B13" s="72"/>
      <c r="C13" s="4"/>
      <c r="D13" s="3"/>
      <c r="E13" s="3"/>
      <c r="F13" s="3"/>
      <c r="G13" s="4"/>
      <c r="H13" s="4"/>
      <c r="I13" s="3"/>
      <c r="J13" s="3"/>
      <c r="K13" s="3"/>
      <c r="L13" s="4"/>
      <c r="M13" s="4"/>
      <c r="W13" s="130">
        <v>42815</v>
      </c>
      <c r="X13" s="10">
        <v>37.4</v>
      </c>
      <c r="Y13" s="10">
        <v>37.549999999999997</v>
      </c>
      <c r="Z13" s="10">
        <v>36.36</v>
      </c>
      <c r="AA13" s="10">
        <v>36.74</v>
      </c>
      <c r="AB13" s="93">
        <v>2442600</v>
      </c>
      <c r="AC13" s="10">
        <v>36.74</v>
      </c>
      <c r="AD13" s="2">
        <f t="shared" si="0"/>
        <v>1.1899999999999977</v>
      </c>
      <c r="AE13" s="134">
        <f t="shared" si="1"/>
        <v>-1.7384327360256746E-2</v>
      </c>
    </row>
    <row r="14" spans="1:43" x14ac:dyDescent="0.25">
      <c r="B14" s="72"/>
      <c r="C14" s="4"/>
      <c r="D14" s="3"/>
      <c r="E14" s="3"/>
      <c r="F14" s="3"/>
      <c r="G14" s="4"/>
      <c r="H14" s="4"/>
      <c r="I14" s="3"/>
      <c r="J14" s="3"/>
      <c r="K14" s="3"/>
      <c r="L14" s="4"/>
      <c r="M14" s="4"/>
      <c r="W14" s="130">
        <v>42814</v>
      </c>
      <c r="X14" s="10">
        <v>37.82</v>
      </c>
      <c r="Y14" s="10">
        <v>37.94</v>
      </c>
      <c r="Z14" s="10">
        <v>37.130000000000003</v>
      </c>
      <c r="AA14" s="10">
        <v>37.39</v>
      </c>
      <c r="AB14" s="93">
        <v>1575500</v>
      </c>
      <c r="AC14" s="10">
        <v>37.39</v>
      </c>
      <c r="AD14" s="2">
        <f t="shared" si="0"/>
        <v>0.80999999999999517</v>
      </c>
      <c r="AE14" s="134">
        <f t="shared" si="1"/>
        <v>-1.163098070314561E-2</v>
      </c>
    </row>
    <row r="15" spans="1:43" x14ac:dyDescent="0.25">
      <c r="W15" s="130">
        <v>42811</v>
      </c>
      <c r="X15" s="10">
        <v>37.72</v>
      </c>
      <c r="Y15" s="10">
        <v>37.99</v>
      </c>
      <c r="Z15" s="10">
        <v>37.39</v>
      </c>
      <c r="AA15" s="10">
        <v>37.83</v>
      </c>
      <c r="AB15" s="93">
        <v>2640700</v>
      </c>
      <c r="AC15" s="10">
        <v>37.83</v>
      </c>
      <c r="AD15" s="2">
        <f t="shared" si="0"/>
        <v>0.60000000000000142</v>
      </c>
      <c r="AE15" s="134">
        <f t="shared" si="1"/>
        <v>2.3847376788552754E-3</v>
      </c>
    </row>
    <row r="16" spans="1:43" x14ac:dyDescent="0.25">
      <c r="W16" s="130">
        <v>42810</v>
      </c>
      <c r="X16" s="10">
        <v>37.54</v>
      </c>
      <c r="Y16" s="10">
        <v>38.159999999999997</v>
      </c>
      <c r="Z16" s="10">
        <v>37.42</v>
      </c>
      <c r="AA16" s="10">
        <v>37.74</v>
      </c>
      <c r="AB16" s="93">
        <v>2637900</v>
      </c>
      <c r="AC16" s="10">
        <v>37.74</v>
      </c>
      <c r="AD16" s="2">
        <f t="shared" si="0"/>
        <v>0.73999999999999488</v>
      </c>
      <c r="AE16" s="134">
        <f t="shared" si="1"/>
        <v>3.4565275192768308E-3</v>
      </c>
    </row>
    <row r="17" spans="1:31" x14ac:dyDescent="0.25">
      <c r="B17" s="1"/>
      <c r="C17" s="4"/>
      <c r="W17" s="130">
        <v>42809</v>
      </c>
      <c r="X17" s="10">
        <v>37.17</v>
      </c>
      <c r="Y17" s="10">
        <v>37.83</v>
      </c>
      <c r="Z17" s="10">
        <v>37.03</v>
      </c>
      <c r="AA17" s="10">
        <v>37.61</v>
      </c>
      <c r="AB17" s="93">
        <v>2194500</v>
      </c>
      <c r="AC17" s="10">
        <v>37.61</v>
      </c>
      <c r="AD17" s="2">
        <f t="shared" si="0"/>
        <v>0.79999999999999716</v>
      </c>
      <c r="AE17" s="134">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30">
        <v>42808</v>
      </c>
      <c r="X18" s="10">
        <v>36.72</v>
      </c>
      <c r="Y18" s="10">
        <v>37.81</v>
      </c>
      <c r="Z18" s="10">
        <v>36.72</v>
      </c>
      <c r="AA18" s="10">
        <v>37.21</v>
      </c>
      <c r="AB18" s="93">
        <v>2608700</v>
      </c>
      <c r="AC18" s="10">
        <v>37.21</v>
      </c>
      <c r="AD18" s="2">
        <f t="shared" si="0"/>
        <v>1.0900000000000034</v>
      </c>
      <c r="AE18" s="134">
        <f t="shared" si="1"/>
        <v>7.8548212351028379E-3</v>
      </c>
    </row>
    <row r="19" spans="1:31" x14ac:dyDescent="0.25">
      <c r="W19" s="130">
        <v>42807</v>
      </c>
      <c r="X19" s="10">
        <v>36.93</v>
      </c>
      <c r="Y19" s="10">
        <v>37.29</v>
      </c>
      <c r="Z19" s="10">
        <v>36.799999999999997</v>
      </c>
      <c r="AA19" s="10">
        <v>36.92</v>
      </c>
      <c r="AB19" s="93">
        <v>2801700</v>
      </c>
      <c r="AC19" s="10">
        <v>36.92</v>
      </c>
      <c r="AD19" s="2">
        <f t="shared" si="0"/>
        <v>0.49000000000000199</v>
      </c>
      <c r="AE19" s="134">
        <f t="shared" si="1"/>
        <v>1.8995929443690329E-3</v>
      </c>
    </row>
    <row r="20" spans="1:31" x14ac:dyDescent="0.25">
      <c r="W20" s="130">
        <v>42804</v>
      </c>
      <c r="X20" s="10">
        <v>36.65</v>
      </c>
      <c r="Y20" s="10">
        <v>37.090000000000003</v>
      </c>
      <c r="Z20" s="10">
        <v>36.58</v>
      </c>
      <c r="AA20" s="10">
        <v>36.85</v>
      </c>
      <c r="AB20" s="93">
        <v>2944800</v>
      </c>
      <c r="AC20" s="10">
        <v>36.85</v>
      </c>
      <c r="AD20" s="2">
        <f t="shared" si="0"/>
        <v>0.51000000000000512</v>
      </c>
      <c r="AE20" s="134">
        <f t="shared" si="1"/>
        <v>1.0696653867251715E-2</v>
      </c>
    </row>
    <row r="21" spans="1:31" x14ac:dyDescent="0.25">
      <c r="B21" s="162" t="s">
        <v>113</v>
      </c>
      <c r="C21" s="162" t="s">
        <v>145</v>
      </c>
      <c r="D21" s="163" t="s">
        <v>144</v>
      </c>
      <c r="E21" s="165" t="s">
        <v>146</v>
      </c>
      <c r="F21" s="166" t="s">
        <v>65</v>
      </c>
      <c r="G21" s="177" t="s">
        <v>150</v>
      </c>
      <c r="H21" s="166" t="s">
        <v>88</v>
      </c>
      <c r="W21" s="130">
        <v>42803</v>
      </c>
      <c r="X21" s="10">
        <v>36.5</v>
      </c>
      <c r="Y21" s="10">
        <v>36.65</v>
      </c>
      <c r="Z21" s="10">
        <v>36.03</v>
      </c>
      <c r="AA21" s="10">
        <v>36.46</v>
      </c>
      <c r="AB21" s="93">
        <v>3547400</v>
      </c>
      <c r="AC21" s="10">
        <v>36.46</v>
      </c>
      <c r="AD21" s="2">
        <f t="shared" si="0"/>
        <v>0.61999999999999744</v>
      </c>
      <c r="AE21" s="134">
        <f t="shared" si="1"/>
        <v>1.6483516483516425E-3</v>
      </c>
    </row>
    <row r="22" spans="1:31" x14ac:dyDescent="0.25">
      <c r="B22" s="164"/>
      <c r="C22" s="10"/>
      <c r="D22" s="39"/>
      <c r="E22" s="39"/>
      <c r="F22" s="39"/>
      <c r="G22" s="39"/>
      <c r="H22" s="179"/>
      <c r="W22" s="130">
        <v>42802</v>
      </c>
      <c r="X22" s="10">
        <v>36.229999999999997</v>
      </c>
      <c r="Y22" s="10">
        <v>36.590000000000003</v>
      </c>
      <c r="Z22" s="10">
        <v>36.04</v>
      </c>
      <c r="AA22" s="10">
        <v>36.4</v>
      </c>
      <c r="AB22" s="93">
        <v>2508200</v>
      </c>
      <c r="AC22" s="10">
        <v>36.4</v>
      </c>
      <c r="AD22" s="2">
        <f t="shared" si="0"/>
        <v>0.55000000000000426</v>
      </c>
      <c r="AE22" s="134">
        <f t="shared" si="1"/>
        <v>1.0549694614103045E-2</v>
      </c>
    </row>
    <row r="23" spans="1:31" x14ac:dyDescent="0.25">
      <c r="B23" s="164"/>
      <c r="C23" s="10"/>
      <c r="D23" s="39"/>
      <c r="E23" s="39"/>
      <c r="F23" s="39"/>
      <c r="G23" s="10"/>
      <c r="H23" s="10"/>
      <c r="W23" s="130">
        <v>42801</v>
      </c>
      <c r="X23" s="10">
        <v>36.39</v>
      </c>
      <c r="Y23" s="10">
        <v>36.58</v>
      </c>
      <c r="Z23" s="10">
        <v>35.909999999999997</v>
      </c>
      <c r="AA23" s="10">
        <v>36.020000000000003</v>
      </c>
      <c r="AB23" s="93">
        <v>2144600</v>
      </c>
      <c r="AC23" s="10">
        <v>36.020000000000003</v>
      </c>
      <c r="AD23" s="2">
        <f t="shared" si="0"/>
        <v>0.67000000000000171</v>
      </c>
      <c r="AE23" s="134">
        <f t="shared" si="1"/>
        <v>-1.3420980553272899E-2</v>
      </c>
    </row>
    <row r="24" spans="1:31" x14ac:dyDescent="0.25">
      <c r="B24" s="10"/>
      <c r="C24" s="10"/>
      <c r="D24" s="39"/>
      <c r="E24" s="39"/>
      <c r="F24" s="39"/>
      <c r="G24" s="10"/>
      <c r="H24" s="10"/>
      <c r="W24" s="130">
        <v>42800</v>
      </c>
      <c r="X24" s="10">
        <v>36.43</v>
      </c>
      <c r="Y24" s="10">
        <v>36.799999999999997</v>
      </c>
      <c r="Z24" s="10">
        <v>36.26</v>
      </c>
      <c r="AA24" s="10">
        <v>36.51</v>
      </c>
      <c r="AB24" s="93">
        <v>2019500</v>
      </c>
      <c r="AC24" s="10">
        <v>36.51</v>
      </c>
      <c r="AD24" s="2">
        <f t="shared" si="0"/>
        <v>0.53999999999999915</v>
      </c>
      <c r="AE24" s="134">
        <f t="shared" si="1"/>
        <v>2.7464982147762385E-3</v>
      </c>
    </row>
    <row r="25" spans="1:31" x14ac:dyDescent="0.25">
      <c r="B25" s="10"/>
      <c r="C25" s="10"/>
      <c r="D25" s="39"/>
      <c r="E25" s="39"/>
      <c r="F25" s="39"/>
      <c r="G25" s="10"/>
      <c r="H25" s="10"/>
      <c r="W25" s="130">
        <v>42797</v>
      </c>
      <c r="X25" s="10">
        <v>37.25</v>
      </c>
      <c r="Y25" s="10">
        <v>37.44</v>
      </c>
      <c r="Z25" s="10">
        <v>36.17</v>
      </c>
      <c r="AA25" s="10">
        <v>36.409999999999997</v>
      </c>
      <c r="AB25" s="93">
        <v>1729700</v>
      </c>
      <c r="AC25" s="10">
        <v>36.409999999999997</v>
      </c>
      <c r="AD25" s="2">
        <f t="shared" si="0"/>
        <v>1.269999999999996</v>
      </c>
      <c r="AE25" s="134">
        <f t="shared" si="1"/>
        <v>-1.674318120442897E-2</v>
      </c>
    </row>
    <row r="26" spans="1:31" x14ac:dyDescent="0.25">
      <c r="B26" s="10"/>
      <c r="C26" s="10"/>
      <c r="D26" s="39"/>
      <c r="E26" s="39"/>
      <c r="F26" s="39"/>
      <c r="G26" s="10"/>
      <c r="H26" s="10"/>
      <c r="W26" s="130">
        <v>42796</v>
      </c>
      <c r="X26" s="10">
        <v>36.93</v>
      </c>
      <c r="Y26" s="10">
        <v>37.119999999999997</v>
      </c>
      <c r="Z26" s="10">
        <v>36.71</v>
      </c>
      <c r="AA26" s="10">
        <v>37.03</v>
      </c>
      <c r="AB26" s="93">
        <v>3020300</v>
      </c>
      <c r="AC26" s="10">
        <v>37.03</v>
      </c>
      <c r="AD26" s="2">
        <f t="shared" si="0"/>
        <v>0.40999999999999659</v>
      </c>
      <c r="AE26" s="134">
        <f t="shared" si="1"/>
        <v>3.523035230352356E-3</v>
      </c>
    </row>
    <row r="27" spans="1:31" x14ac:dyDescent="0.25">
      <c r="B27" s="10"/>
      <c r="C27" s="10"/>
      <c r="D27" s="39"/>
      <c r="E27" s="39"/>
      <c r="F27" s="39"/>
      <c r="G27" s="10"/>
      <c r="H27" s="10"/>
      <c r="W27" s="130">
        <v>42795</v>
      </c>
      <c r="X27" s="10">
        <v>36.869999999999997</v>
      </c>
      <c r="Y27" s="10">
        <v>37.06</v>
      </c>
      <c r="Z27" s="10">
        <v>36.44</v>
      </c>
      <c r="AA27" s="10">
        <v>36.9</v>
      </c>
      <c r="AB27" s="93">
        <v>6996800</v>
      </c>
      <c r="AC27" s="10">
        <v>36.9</v>
      </c>
      <c r="AD27" s="2">
        <f t="shared" si="0"/>
        <v>0.62000000000000455</v>
      </c>
      <c r="AE27" s="134">
        <f t="shared" si="1"/>
        <v>1.0958904109588996E-2</v>
      </c>
    </row>
    <row r="28" spans="1:31" x14ac:dyDescent="0.25">
      <c r="B28" s="10"/>
      <c r="C28" s="10"/>
      <c r="D28" s="39"/>
      <c r="E28" s="39"/>
      <c r="F28" s="39"/>
      <c r="G28" s="10"/>
      <c r="H28" s="10"/>
      <c r="W28" s="130">
        <v>42794</v>
      </c>
      <c r="X28" s="10">
        <v>37.5</v>
      </c>
      <c r="Y28" s="10">
        <v>37.57</v>
      </c>
      <c r="Z28" s="10">
        <v>36.369999999999997</v>
      </c>
      <c r="AA28" s="10">
        <v>36.5</v>
      </c>
      <c r="AB28" s="93">
        <v>3556400</v>
      </c>
      <c r="AC28" s="10">
        <v>36.5</v>
      </c>
      <c r="AD28" s="2">
        <f t="shared" si="0"/>
        <v>1.2000000000000028</v>
      </c>
      <c r="AE28" s="134">
        <f t="shared" si="1"/>
        <v>-2.9255319148936199E-2</v>
      </c>
    </row>
    <row r="29" spans="1:31" x14ac:dyDescent="0.25">
      <c r="W29" s="130">
        <v>42793</v>
      </c>
      <c r="X29" s="10">
        <v>37.450000000000003</v>
      </c>
      <c r="Y29" s="10">
        <v>37.99</v>
      </c>
      <c r="Z29" s="10">
        <v>37.35</v>
      </c>
      <c r="AA29" s="10">
        <v>37.6</v>
      </c>
      <c r="AB29" s="93">
        <v>4209300</v>
      </c>
      <c r="AC29" s="10">
        <v>37.6</v>
      </c>
      <c r="AD29" s="2">
        <f t="shared" si="0"/>
        <v>0.64000000000000057</v>
      </c>
      <c r="AE29" s="134">
        <f t="shared" si="1"/>
        <v>8.0428954423592547E-3</v>
      </c>
    </row>
    <row r="30" spans="1:31" x14ac:dyDescent="0.25">
      <c r="L30" t="s">
        <v>203</v>
      </c>
      <c r="M30" s="2">
        <f>M52+K52-F52</f>
        <v>937.36999999999534</v>
      </c>
      <c r="W30" s="130">
        <v>42790</v>
      </c>
      <c r="X30" s="10">
        <v>37.369999999999997</v>
      </c>
      <c r="Y30" s="10">
        <v>37.78</v>
      </c>
      <c r="Z30" s="10">
        <v>37.020000000000003</v>
      </c>
      <c r="AA30" s="10">
        <v>37.299999999999997</v>
      </c>
      <c r="AB30" s="93">
        <v>2631700</v>
      </c>
      <c r="AC30" s="10">
        <v>37.299999999999997</v>
      </c>
      <c r="AD30" s="2">
        <f t="shared" si="0"/>
        <v>0.75999999999999801</v>
      </c>
      <c r="AE30" s="134">
        <f t="shared" si="1"/>
        <v>5.3648068669520654E-4</v>
      </c>
    </row>
    <row r="31" spans="1:31" x14ac:dyDescent="0.25">
      <c r="A31" s="304" t="s">
        <v>1</v>
      </c>
      <c r="B31" s="304" t="s">
        <v>2</v>
      </c>
      <c r="C31" s="304" t="s">
        <v>4</v>
      </c>
      <c r="D31" s="306" t="s">
        <v>5</v>
      </c>
      <c r="E31" s="306" t="s">
        <v>94</v>
      </c>
      <c r="F31" s="306" t="s">
        <v>60</v>
      </c>
      <c r="G31" s="304" t="s">
        <v>3</v>
      </c>
      <c r="H31" s="304" t="s">
        <v>6</v>
      </c>
      <c r="I31" s="306" t="s">
        <v>7</v>
      </c>
      <c r="J31" s="306" t="s">
        <v>95</v>
      </c>
      <c r="K31" s="306" t="s">
        <v>61</v>
      </c>
      <c r="L31" s="304" t="s">
        <v>77</v>
      </c>
      <c r="M31" s="304" t="s">
        <v>38</v>
      </c>
      <c r="W31" s="130">
        <v>42789</v>
      </c>
      <c r="X31" s="10">
        <v>38.159999999999997</v>
      </c>
      <c r="Y31" s="10">
        <v>38.44</v>
      </c>
      <c r="Z31" s="10">
        <v>37.21</v>
      </c>
      <c r="AA31" s="10">
        <v>37.28</v>
      </c>
      <c r="AB31" s="93">
        <v>3655400</v>
      </c>
      <c r="AC31" s="10">
        <v>37.28</v>
      </c>
      <c r="AD31" s="2">
        <f t="shared" si="0"/>
        <v>1.2299999999999969</v>
      </c>
      <c r="AE31" s="134">
        <f t="shared" si="1"/>
        <v>-1.6877637130801704E-2</v>
      </c>
    </row>
    <row r="32" spans="1:31" x14ac:dyDescent="0.25">
      <c r="A32" s="307" t="s">
        <v>24</v>
      </c>
      <c r="B32" s="297">
        <v>42156</v>
      </c>
      <c r="C32" s="298">
        <v>5</v>
      </c>
      <c r="D32" s="299">
        <v>48.55</v>
      </c>
      <c r="E32" s="299">
        <v>0</v>
      </c>
      <c r="F32" s="299">
        <f>C32*D32</f>
        <v>242.75</v>
      </c>
      <c r="G32" s="297">
        <v>42186</v>
      </c>
      <c r="H32" s="298">
        <v>100</v>
      </c>
      <c r="I32" s="299">
        <v>44.99</v>
      </c>
      <c r="J32" s="299">
        <v>0.08</v>
      </c>
      <c r="K32" s="299">
        <f>H32*I32-J32</f>
        <v>4498.92</v>
      </c>
      <c r="L32" s="298" t="s">
        <v>80</v>
      </c>
      <c r="M32" s="298"/>
      <c r="W32" s="130">
        <v>42788</v>
      </c>
      <c r="X32" s="10">
        <v>38.29</v>
      </c>
      <c r="Y32" s="10">
        <v>38.42</v>
      </c>
      <c r="Z32" s="10">
        <v>37.71</v>
      </c>
      <c r="AA32" s="10">
        <v>37.92</v>
      </c>
      <c r="AB32" s="93">
        <v>1929300</v>
      </c>
      <c r="AC32" s="10">
        <v>37.92</v>
      </c>
      <c r="AD32" s="2">
        <f t="shared" si="0"/>
        <v>0.71000000000000085</v>
      </c>
      <c r="AE32" s="134">
        <f t="shared" si="1"/>
        <v>-1.018010963194993E-2</v>
      </c>
    </row>
    <row r="33" spans="1:31" x14ac:dyDescent="0.25">
      <c r="A33" s="308" t="s">
        <v>71</v>
      </c>
      <c r="B33" s="297">
        <v>42156</v>
      </c>
      <c r="C33" s="298">
        <v>5</v>
      </c>
      <c r="D33" s="299">
        <v>47.01</v>
      </c>
      <c r="E33" s="299">
        <v>0</v>
      </c>
      <c r="F33" s="299">
        <f t="shared" ref="F33:F44" si="2">C33*D33</f>
        <v>235.04999999999998</v>
      </c>
      <c r="G33" s="297">
        <v>42227</v>
      </c>
      <c r="H33" s="298">
        <v>100</v>
      </c>
      <c r="I33" s="299">
        <v>43</v>
      </c>
      <c r="J33" s="299">
        <v>0.08</v>
      </c>
      <c r="K33" s="299">
        <f>H33*I33-J33</f>
        <v>4299.92</v>
      </c>
      <c r="L33" s="298"/>
      <c r="M33" s="298"/>
      <c r="W33" s="130">
        <v>42787</v>
      </c>
      <c r="X33" s="10">
        <v>38.299999999999997</v>
      </c>
      <c r="Y33" s="10">
        <v>39.64</v>
      </c>
      <c r="Z33" s="10">
        <v>38.049999999999997</v>
      </c>
      <c r="AA33" s="10">
        <v>38.31</v>
      </c>
      <c r="AB33" s="93">
        <v>2676100</v>
      </c>
      <c r="AC33" s="10">
        <v>38.31</v>
      </c>
      <c r="AD33" s="2">
        <f t="shared" si="0"/>
        <v>1.5900000000000034</v>
      </c>
      <c r="AE33" s="134">
        <f t="shared" si="1"/>
        <v>2.6109660574435978E-4</v>
      </c>
    </row>
    <row r="34" spans="1:31" x14ac:dyDescent="0.25">
      <c r="A34" s="298"/>
      <c r="B34" s="297">
        <v>42156</v>
      </c>
      <c r="C34" s="298">
        <v>10</v>
      </c>
      <c r="D34" s="299">
        <v>46.5</v>
      </c>
      <c r="E34" s="299">
        <v>0</v>
      </c>
      <c r="F34" s="299">
        <f t="shared" si="2"/>
        <v>465</v>
      </c>
      <c r="G34" s="297">
        <v>42312</v>
      </c>
      <c r="H34" s="302">
        <v>40</v>
      </c>
      <c r="I34" s="299">
        <v>42.5</v>
      </c>
      <c r="J34" s="299">
        <v>0.03</v>
      </c>
      <c r="K34" s="299">
        <f>H34*I34-J34</f>
        <v>1699.97</v>
      </c>
      <c r="L34" s="298"/>
      <c r="M34" s="298"/>
      <c r="W34" s="130">
        <v>42783</v>
      </c>
      <c r="X34" s="10">
        <v>37.950000000000003</v>
      </c>
      <c r="Y34" s="10">
        <v>38.44</v>
      </c>
      <c r="Z34" s="10">
        <v>37.81</v>
      </c>
      <c r="AA34" s="10">
        <v>38.299999999999997</v>
      </c>
      <c r="AB34" s="93">
        <v>2464400</v>
      </c>
      <c r="AC34" s="10">
        <v>38.299999999999997</v>
      </c>
      <c r="AD34" s="2">
        <f t="shared" si="0"/>
        <v>0.62999999999999545</v>
      </c>
      <c r="AE34" s="134">
        <f t="shared" si="1"/>
        <v>2.3554043444122819E-3</v>
      </c>
    </row>
    <row r="35" spans="1:31" x14ac:dyDescent="0.25">
      <c r="A35" s="298"/>
      <c r="B35" s="297">
        <v>42156</v>
      </c>
      <c r="C35" s="298">
        <v>50</v>
      </c>
      <c r="D35" s="299">
        <v>45.95</v>
      </c>
      <c r="E35" s="299">
        <v>0</v>
      </c>
      <c r="F35" s="299">
        <f t="shared" si="2"/>
        <v>2297.5</v>
      </c>
      <c r="G35" s="297">
        <v>42318</v>
      </c>
      <c r="H35" s="302">
        <v>14</v>
      </c>
      <c r="I35" s="299">
        <v>43.5</v>
      </c>
      <c r="J35" s="299">
        <v>0.01</v>
      </c>
      <c r="K35" s="299">
        <f t="shared" ref="K35:K42" si="3">H35*I35-J35</f>
        <v>608.99</v>
      </c>
      <c r="L35" s="298"/>
      <c r="M35" s="298"/>
      <c r="W35" s="130">
        <v>42782</v>
      </c>
      <c r="X35" s="10">
        <v>38.6</v>
      </c>
      <c r="Y35" s="10">
        <v>39.22</v>
      </c>
      <c r="Z35" s="10">
        <v>37.799999999999997</v>
      </c>
      <c r="AA35" s="10">
        <v>38.21</v>
      </c>
      <c r="AB35" s="93">
        <v>2931600</v>
      </c>
      <c r="AC35" s="10">
        <v>38.21</v>
      </c>
      <c r="AD35" s="2">
        <f t="shared" si="0"/>
        <v>1.4200000000000017</v>
      </c>
      <c r="AE35" s="134">
        <f t="shared" si="1"/>
        <v>4.2049934296979341E-3</v>
      </c>
    </row>
    <row r="36" spans="1:31" x14ac:dyDescent="0.25">
      <c r="A36" s="298"/>
      <c r="B36" s="297">
        <v>42156</v>
      </c>
      <c r="C36" s="298">
        <v>30</v>
      </c>
      <c r="D36" s="299">
        <v>45.95</v>
      </c>
      <c r="E36" s="299">
        <v>0</v>
      </c>
      <c r="F36" s="299">
        <f t="shared" si="2"/>
        <v>1378.5</v>
      </c>
      <c r="G36" s="297">
        <v>42318</v>
      </c>
      <c r="H36" s="302">
        <v>26</v>
      </c>
      <c r="I36" s="299">
        <v>43.78</v>
      </c>
      <c r="J36" s="299">
        <v>0.02</v>
      </c>
      <c r="K36" s="299">
        <f t="shared" si="3"/>
        <v>1138.26</v>
      </c>
      <c r="L36" s="298"/>
      <c r="M36" s="298"/>
      <c r="W36" s="130">
        <v>42781</v>
      </c>
      <c r="X36" s="10">
        <v>37.83</v>
      </c>
      <c r="Y36" s="10">
        <v>38.32</v>
      </c>
      <c r="Z36" s="10">
        <v>37.83</v>
      </c>
      <c r="AA36" s="10">
        <v>38.049999999999997</v>
      </c>
      <c r="AB36" s="93">
        <v>2608100</v>
      </c>
      <c r="AC36" s="10">
        <v>38.049999999999997</v>
      </c>
      <c r="AD36" s="2">
        <f t="shared" si="0"/>
        <v>0.49000000000000199</v>
      </c>
      <c r="AE36" s="134">
        <f t="shared" si="1"/>
        <v>-1.312335958005395E-3</v>
      </c>
    </row>
    <row r="37" spans="1:31" x14ac:dyDescent="0.25">
      <c r="A37" s="298"/>
      <c r="B37" s="297">
        <v>42186</v>
      </c>
      <c r="C37" s="298">
        <v>100</v>
      </c>
      <c r="D37" s="299">
        <v>44.9</v>
      </c>
      <c r="E37" s="299">
        <v>0</v>
      </c>
      <c r="F37" s="299">
        <f t="shared" si="2"/>
        <v>4490</v>
      </c>
      <c r="G37" s="297">
        <v>42320</v>
      </c>
      <c r="H37" s="302">
        <v>10</v>
      </c>
      <c r="I37" s="299">
        <v>43.9</v>
      </c>
      <c r="J37" s="299">
        <v>0.01</v>
      </c>
      <c r="K37" s="299">
        <f t="shared" si="3"/>
        <v>438.99</v>
      </c>
      <c r="L37" s="298"/>
      <c r="M37" s="298"/>
      <c r="W37" s="130">
        <v>42780</v>
      </c>
      <c r="X37" s="10">
        <v>37.64</v>
      </c>
      <c r="Y37" s="10">
        <v>38.299999999999997</v>
      </c>
      <c r="Z37" s="10">
        <v>37.630000000000003</v>
      </c>
      <c r="AA37" s="10">
        <v>38.1</v>
      </c>
      <c r="AB37" s="93">
        <v>3072000</v>
      </c>
      <c r="AC37" s="10">
        <v>38.1</v>
      </c>
      <c r="AD37" s="2">
        <f t="shared" si="0"/>
        <v>0.6699999999999946</v>
      </c>
      <c r="AE37" s="134">
        <f t="shared" si="1"/>
        <v>1.3297872340425565E-2</v>
      </c>
    </row>
    <row r="38" spans="1:31" x14ac:dyDescent="0.25">
      <c r="A38" s="298"/>
      <c r="B38" s="297">
        <v>42206</v>
      </c>
      <c r="C38" s="298">
        <v>20</v>
      </c>
      <c r="D38" s="299">
        <v>41.2</v>
      </c>
      <c r="E38" s="299">
        <v>0</v>
      </c>
      <c r="F38" s="299">
        <f t="shared" si="2"/>
        <v>824</v>
      </c>
      <c r="G38" s="297">
        <v>42333</v>
      </c>
      <c r="H38" s="302">
        <v>50</v>
      </c>
      <c r="I38" s="299">
        <v>41.67</v>
      </c>
      <c r="J38" s="299">
        <v>0.04</v>
      </c>
      <c r="K38" s="299">
        <f t="shared" si="3"/>
        <v>2083.46</v>
      </c>
      <c r="L38" s="298"/>
      <c r="M38" s="298"/>
      <c r="W38" s="130">
        <v>42779</v>
      </c>
      <c r="X38" s="10">
        <v>38.29</v>
      </c>
      <c r="Y38" s="10">
        <v>38.450000000000003</v>
      </c>
      <c r="Z38" s="10">
        <v>37.57</v>
      </c>
      <c r="AA38" s="10">
        <v>37.6</v>
      </c>
      <c r="AB38" s="93">
        <v>3579800</v>
      </c>
      <c r="AC38" s="10">
        <v>37.6</v>
      </c>
      <c r="AD38" s="2">
        <f t="shared" si="0"/>
        <v>0.88000000000000256</v>
      </c>
      <c r="AE38" s="134">
        <f t="shared" si="1"/>
        <v>-2.0323084940072955E-2</v>
      </c>
    </row>
    <row r="39" spans="1:31" x14ac:dyDescent="0.25">
      <c r="A39" s="298"/>
      <c r="B39" s="297">
        <v>42207</v>
      </c>
      <c r="C39" s="298">
        <v>20</v>
      </c>
      <c r="D39" s="299">
        <v>40.68</v>
      </c>
      <c r="E39" s="299">
        <v>0</v>
      </c>
      <c r="F39" s="299">
        <f t="shared" si="2"/>
        <v>813.6</v>
      </c>
      <c r="G39" s="297">
        <v>42335</v>
      </c>
      <c r="H39" s="302">
        <v>50</v>
      </c>
      <c r="I39" s="299">
        <v>41.85</v>
      </c>
      <c r="J39" s="299">
        <v>0.04</v>
      </c>
      <c r="K39" s="299">
        <f t="shared" si="3"/>
        <v>2092.46</v>
      </c>
      <c r="L39" s="298"/>
      <c r="M39" s="298"/>
      <c r="W39" s="130">
        <v>42776</v>
      </c>
      <c r="X39" s="10">
        <v>38.479999999999997</v>
      </c>
      <c r="Y39" s="10">
        <v>38.909999999999997</v>
      </c>
      <c r="Z39" s="10">
        <v>37.96</v>
      </c>
      <c r="AA39" s="10">
        <v>38.380000000000003</v>
      </c>
      <c r="AB39" s="93">
        <v>3836100</v>
      </c>
      <c r="AC39" s="10">
        <v>38.380000000000003</v>
      </c>
      <c r="AD39" s="2">
        <f t="shared" si="0"/>
        <v>0.94999999999999574</v>
      </c>
      <c r="AE39" s="134">
        <f t="shared" si="1"/>
        <v>2.8743140841389625E-3</v>
      </c>
    </row>
    <row r="40" spans="1:31" x14ac:dyDescent="0.25">
      <c r="A40" s="298"/>
      <c r="B40" s="297">
        <v>42292</v>
      </c>
      <c r="C40" s="298">
        <v>40</v>
      </c>
      <c r="D40" s="299">
        <v>41.65</v>
      </c>
      <c r="E40" s="299">
        <v>0</v>
      </c>
      <c r="F40" s="299">
        <f t="shared" si="2"/>
        <v>1666</v>
      </c>
      <c r="G40" s="297">
        <v>42335</v>
      </c>
      <c r="H40" s="302">
        <v>50</v>
      </c>
      <c r="I40" s="299">
        <v>42.4</v>
      </c>
      <c r="J40" s="299">
        <v>0.04</v>
      </c>
      <c r="K40" s="299">
        <f t="shared" si="3"/>
        <v>2119.96</v>
      </c>
      <c r="L40" s="298"/>
      <c r="M40" s="298"/>
      <c r="W40" s="130">
        <v>42775</v>
      </c>
      <c r="X40" s="10">
        <v>37.869999999999997</v>
      </c>
      <c r="Y40" s="10">
        <v>38.869999999999997</v>
      </c>
      <c r="Z40" s="10">
        <v>37.869999999999997</v>
      </c>
      <c r="AA40" s="10">
        <v>38.270000000000003</v>
      </c>
      <c r="AB40" s="93">
        <v>3724200</v>
      </c>
      <c r="AC40" s="10">
        <v>38.270000000000003</v>
      </c>
      <c r="AD40" s="2">
        <f t="shared" si="0"/>
        <v>1</v>
      </c>
      <c r="AE40" s="134">
        <f t="shared" si="1"/>
        <v>1.0562450488513564E-2</v>
      </c>
    </row>
    <row r="41" spans="1:31" x14ac:dyDescent="0.25">
      <c r="A41" s="298"/>
      <c r="B41" s="297">
        <v>42298</v>
      </c>
      <c r="C41" s="298">
        <v>80</v>
      </c>
      <c r="D41" s="299">
        <v>40.450000000000003</v>
      </c>
      <c r="E41" s="299">
        <v>0</v>
      </c>
      <c r="F41" s="299">
        <f t="shared" si="2"/>
        <v>3236</v>
      </c>
      <c r="G41" s="297">
        <v>42398</v>
      </c>
      <c r="H41" s="302">
        <v>50</v>
      </c>
      <c r="I41" s="299">
        <v>39.65</v>
      </c>
      <c r="J41" s="299">
        <v>0.04</v>
      </c>
      <c r="K41" s="299">
        <f t="shared" si="3"/>
        <v>1982.46</v>
      </c>
      <c r="L41" s="298"/>
      <c r="M41" s="298"/>
      <c r="W41" s="130">
        <v>42774</v>
      </c>
      <c r="X41" s="10">
        <v>36.76</v>
      </c>
      <c r="Y41" s="10">
        <v>38.659999999999997</v>
      </c>
      <c r="Z41" s="10">
        <v>36.42</v>
      </c>
      <c r="AA41" s="10">
        <v>37.869999999999997</v>
      </c>
      <c r="AB41" s="93">
        <v>9795800</v>
      </c>
      <c r="AC41" s="10">
        <v>37.869999999999997</v>
      </c>
      <c r="AD41" s="2">
        <f t="shared" si="0"/>
        <v>2.2399999999999949</v>
      </c>
      <c r="AE41" s="134">
        <f t="shared" si="1"/>
        <v>2.8517110266159662E-2</v>
      </c>
    </row>
    <row r="42" spans="1:31" ht="20.25" thickBot="1" x14ac:dyDescent="0.35">
      <c r="A42" s="298"/>
      <c r="B42" s="297">
        <v>42298</v>
      </c>
      <c r="C42" s="298">
        <v>80</v>
      </c>
      <c r="D42" s="299">
        <v>39.9</v>
      </c>
      <c r="E42" s="299">
        <v>0</v>
      </c>
      <c r="F42" s="299">
        <f t="shared" si="2"/>
        <v>3192</v>
      </c>
      <c r="G42" s="297">
        <v>42408</v>
      </c>
      <c r="H42" s="302">
        <v>50</v>
      </c>
      <c r="I42" s="299">
        <v>51.5</v>
      </c>
      <c r="J42" s="299">
        <v>0.05</v>
      </c>
      <c r="K42" s="299">
        <f t="shared" si="3"/>
        <v>2574.9499999999998</v>
      </c>
      <c r="L42" s="298"/>
      <c r="M42" s="298"/>
      <c r="O42" s="153" t="s">
        <v>78</v>
      </c>
      <c r="P42" s="153"/>
      <c r="T42" s="89" t="s">
        <v>112</v>
      </c>
      <c r="W42" s="130">
        <v>42773</v>
      </c>
      <c r="X42" s="10">
        <v>36.090000000000003</v>
      </c>
      <c r="Y42" s="10">
        <v>36.82</v>
      </c>
      <c r="Z42" s="10">
        <v>34.92</v>
      </c>
      <c r="AA42" s="10">
        <v>36.82</v>
      </c>
      <c r="AB42" s="93">
        <v>21436400</v>
      </c>
      <c r="AC42" s="10">
        <v>36.82</v>
      </c>
      <c r="AD42" s="2">
        <f t="shared" si="0"/>
        <v>1.8999999999999986</v>
      </c>
      <c r="AE42" s="134">
        <f t="shared" si="1"/>
        <v>-0.1080426356589147</v>
      </c>
    </row>
    <row r="43" spans="1:31" ht="15.75" thickTop="1" x14ac:dyDescent="0.25">
      <c r="A43" s="298"/>
      <c r="B43" s="297">
        <v>42333</v>
      </c>
      <c r="C43" s="298">
        <v>50</v>
      </c>
      <c r="D43" s="299">
        <v>41.2</v>
      </c>
      <c r="E43" s="299">
        <v>0</v>
      </c>
      <c r="F43" s="299">
        <f t="shared" si="2"/>
        <v>2060</v>
      </c>
      <c r="G43" s="298"/>
      <c r="H43" s="298"/>
      <c r="I43" s="299"/>
      <c r="J43" s="299"/>
      <c r="K43" s="299"/>
      <c r="L43" s="298"/>
      <c r="M43" s="298"/>
      <c r="O43" s="81">
        <v>1.1000000000000001</v>
      </c>
      <c r="P43" s="81">
        <f>O43*$Q$4</f>
        <v>0</v>
      </c>
      <c r="T43" s="125" t="s">
        <v>97</v>
      </c>
      <c r="U43" s="96">
        <v>36.82</v>
      </c>
      <c r="W43" s="130">
        <v>42772</v>
      </c>
      <c r="X43" s="10">
        <v>41.05</v>
      </c>
      <c r="Y43" s="10">
        <v>41.36</v>
      </c>
      <c r="Z43" s="10">
        <v>40.75</v>
      </c>
      <c r="AA43" s="10">
        <v>41.28</v>
      </c>
      <c r="AB43" s="93">
        <v>2858900</v>
      </c>
      <c r="AC43" s="10">
        <v>41.28</v>
      </c>
      <c r="AD43" s="2">
        <f t="shared" si="0"/>
        <v>0.60999999999999943</v>
      </c>
      <c r="AE43" s="134">
        <f t="shared" si="1"/>
        <v>6.3383715260847406E-3</v>
      </c>
    </row>
    <row r="44" spans="1:31" x14ac:dyDescent="0.25">
      <c r="A44" s="298"/>
      <c r="B44" s="297">
        <v>42377</v>
      </c>
      <c r="C44" s="298">
        <v>50</v>
      </c>
      <c r="D44" s="299">
        <v>37.85</v>
      </c>
      <c r="E44" s="299">
        <v>0</v>
      </c>
      <c r="F44" s="299">
        <f t="shared" si="2"/>
        <v>1892.5</v>
      </c>
      <c r="G44" s="298"/>
      <c r="H44" s="298"/>
      <c r="I44" s="299"/>
      <c r="J44" s="299"/>
      <c r="K44" s="299"/>
      <c r="L44" s="298"/>
      <c r="M44" s="298"/>
      <c r="O44" s="81">
        <v>1.0900000000000001</v>
      </c>
      <c r="P44" s="81">
        <f t="shared" ref="P44:P63" si="4">O44*$Q$4</f>
        <v>0</v>
      </c>
      <c r="T44" s="91" t="s">
        <v>98</v>
      </c>
      <c r="U44" s="86">
        <v>36.89</v>
      </c>
      <c r="W44" s="130">
        <v>42769</v>
      </c>
      <c r="X44" s="10">
        <v>40.85</v>
      </c>
      <c r="Y44" s="10">
        <v>41.55</v>
      </c>
      <c r="Z44" s="10">
        <v>40.43</v>
      </c>
      <c r="AA44" s="10">
        <v>41.02</v>
      </c>
      <c r="AB44" s="93">
        <v>1714600</v>
      </c>
      <c r="AC44" s="10">
        <v>41.02</v>
      </c>
      <c r="AD44" s="2">
        <f t="shared" si="0"/>
        <v>1.1199999999999974</v>
      </c>
      <c r="AE44" s="134">
        <f t="shared" si="1"/>
        <v>3.1792614331132008E-3</v>
      </c>
    </row>
    <row r="45" spans="1:31" x14ac:dyDescent="0.25">
      <c r="A45" s="298"/>
      <c r="B45" s="72">
        <v>42773</v>
      </c>
      <c r="C45" s="4">
        <v>100</v>
      </c>
      <c r="D45" s="3">
        <v>35</v>
      </c>
      <c r="E45" s="3">
        <v>-0.01</v>
      </c>
      <c r="F45" s="3">
        <f>C45*D45+E45</f>
        <v>3499.99</v>
      </c>
      <c r="G45" s="72">
        <v>42804</v>
      </c>
      <c r="H45" s="4">
        <v>100</v>
      </c>
      <c r="I45" s="3">
        <v>36.92</v>
      </c>
      <c r="J45" s="3">
        <v>0.08</v>
      </c>
      <c r="K45" s="3">
        <f>H45*I45-J45</f>
        <v>3691.92</v>
      </c>
      <c r="L45" s="298"/>
      <c r="M45" s="298"/>
      <c r="O45" s="81">
        <v>1.08</v>
      </c>
      <c r="P45" s="81">
        <f t="shared" si="4"/>
        <v>0</v>
      </c>
      <c r="R45" s="33"/>
      <c r="T45" s="91" t="s">
        <v>99</v>
      </c>
      <c r="U45" s="86" t="s">
        <v>128</v>
      </c>
      <c r="W45" s="130">
        <v>42768</v>
      </c>
      <c r="X45" s="10">
        <v>41.12</v>
      </c>
      <c r="Y45" s="10">
        <v>41.56</v>
      </c>
      <c r="Z45" s="10">
        <v>40.880000000000003</v>
      </c>
      <c r="AA45" s="10">
        <v>40.89</v>
      </c>
      <c r="AB45" s="93">
        <v>2177400</v>
      </c>
      <c r="AC45" s="10">
        <v>40.89</v>
      </c>
      <c r="AD45" s="2">
        <f t="shared" si="0"/>
        <v>0.67999999999999972</v>
      </c>
      <c r="AE45" s="134">
        <f t="shared" si="1"/>
        <v>-1.0885341074020394E-2</v>
      </c>
    </row>
    <row r="46" spans="1:31" x14ac:dyDescent="0.25">
      <c r="A46" s="298"/>
      <c r="B46" s="297"/>
      <c r="C46" s="298"/>
      <c r="D46" s="299"/>
      <c r="E46" s="299"/>
      <c r="F46" s="299"/>
      <c r="G46" s="298"/>
      <c r="H46" s="298"/>
      <c r="I46" s="299"/>
      <c r="J46" s="299"/>
      <c r="K46" s="299"/>
      <c r="L46" s="298"/>
      <c r="M46" s="298"/>
      <c r="O46" s="81">
        <v>1.07</v>
      </c>
      <c r="P46" s="81">
        <f t="shared" si="4"/>
        <v>0</v>
      </c>
      <c r="Q46" s="33"/>
      <c r="R46" s="33"/>
      <c r="T46" s="91" t="s">
        <v>100</v>
      </c>
      <c r="U46" s="86" t="s">
        <v>128</v>
      </c>
      <c r="W46" s="130">
        <v>42767</v>
      </c>
      <c r="X46" s="10">
        <v>42.18</v>
      </c>
      <c r="Y46" s="10">
        <v>42.32</v>
      </c>
      <c r="Z46" s="10">
        <v>41.2</v>
      </c>
      <c r="AA46" s="10">
        <v>41.34</v>
      </c>
      <c r="AB46" s="93">
        <v>2425900</v>
      </c>
      <c r="AC46" s="10">
        <v>41.34</v>
      </c>
      <c r="AD46" s="2">
        <f t="shared" si="0"/>
        <v>1.1199999999999974</v>
      </c>
      <c r="AE46" s="134">
        <f t="shared" si="1"/>
        <v>-3.4337771548703544E-2</v>
      </c>
    </row>
    <row r="47" spans="1:31" x14ac:dyDescent="0.25">
      <c r="A47" s="298"/>
      <c r="B47" s="297"/>
      <c r="C47" s="298"/>
      <c r="D47" s="299"/>
      <c r="E47" s="299"/>
      <c r="F47" s="299"/>
      <c r="G47" s="298"/>
      <c r="H47" s="298"/>
      <c r="I47" s="299"/>
      <c r="J47" s="299"/>
      <c r="K47" s="299"/>
      <c r="L47" s="298"/>
      <c r="M47" s="298"/>
      <c r="O47" s="81">
        <v>1.06</v>
      </c>
      <c r="P47" s="81">
        <f t="shared" si="4"/>
        <v>0</v>
      </c>
      <c r="Q47" s="33"/>
      <c r="R47" s="33"/>
      <c r="T47" s="91" t="s">
        <v>101</v>
      </c>
      <c r="U47" s="86">
        <v>41.67</v>
      </c>
      <c r="W47" s="130">
        <v>42766</v>
      </c>
      <c r="X47" s="10">
        <v>41.55</v>
      </c>
      <c r="Y47" s="10">
        <v>42.82</v>
      </c>
      <c r="Z47" s="10">
        <v>41.21</v>
      </c>
      <c r="AA47" s="10">
        <v>42.81</v>
      </c>
      <c r="AB47" s="93">
        <v>2580300</v>
      </c>
      <c r="AC47" s="10">
        <v>42.81</v>
      </c>
      <c r="AD47" s="2">
        <f t="shared" si="0"/>
        <v>1.6099999999999994</v>
      </c>
      <c r="AE47" s="134">
        <f t="shared" si="1"/>
        <v>2.4407753050969205E-2</v>
      </c>
    </row>
    <row r="48" spans="1:31" x14ac:dyDescent="0.25">
      <c r="A48" s="298"/>
      <c r="B48" s="297"/>
      <c r="C48" s="298"/>
      <c r="D48" s="299"/>
      <c r="E48" s="299"/>
      <c r="F48" s="299"/>
      <c r="G48" s="298"/>
      <c r="H48" s="298"/>
      <c r="I48" s="299"/>
      <c r="J48" s="299"/>
      <c r="K48" s="299"/>
      <c r="L48" s="298"/>
      <c r="M48" s="298"/>
      <c r="O48" s="81">
        <v>1.05</v>
      </c>
      <c r="P48" s="81">
        <f t="shared" si="4"/>
        <v>0</v>
      </c>
      <c r="Q48" s="33"/>
      <c r="R48" s="33"/>
      <c r="T48" s="91" t="s">
        <v>102</v>
      </c>
      <c r="U48" s="86">
        <v>-0.45367400000000002</v>
      </c>
      <c r="W48" s="130">
        <v>42765</v>
      </c>
      <c r="X48" s="10">
        <v>41.58</v>
      </c>
      <c r="Y48" s="10">
        <v>41.88</v>
      </c>
      <c r="Z48" s="10">
        <v>41.19</v>
      </c>
      <c r="AA48" s="10">
        <v>41.79</v>
      </c>
      <c r="AB48" s="93">
        <v>1240200</v>
      </c>
      <c r="AC48" s="10">
        <v>41.79</v>
      </c>
      <c r="AD48" s="2">
        <f t="shared" si="0"/>
        <v>0.69000000000000483</v>
      </c>
      <c r="AE48" s="134">
        <f t="shared" si="1"/>
        <v>6.2605345533348622E-3</v>
      </c>
    </row>
    <row r="49" spans="1:31" x14ac:dyDescent="0.25">
      <c r="A49" s="298"/>
      <c r="B49" s="297"/>
      <c r="C49" s="298"/>
      <c r="D49" s="299"/>
      <c r="E49" s="299"/>
      <c r="F49" s="299"/>
      <c r="G49" s="298"/>
      <c r="H49" s="298"/>
      <c r="I49" s="299"/>
      <c r="J49" s="299"/>
      <c r="K49" s="299"/>
      <c r="L49" s="298"/>
      <c r="M49" s="298"/>
      <c r="O49" s="81">
        <v>1.04</v>
      </c>
      <c r="P49" s="81">
        <f t="shared" si="4"/>
        <v>0</v>
      </c>
      <c r="Q49" s="33"/>
      <c r="R49" s="33"/>
      <c r="T49" s="91" t="s">
        <v>121</v>
      </c>
      <c r="U49" s="86" t="s">
        <v>462</v>
      </c>
      <c r="W49" s="130">
        <v>42762</v>
      </c>
      <c r="X49" s="10">
        <v>42.12</v>
      </c>
      <c r="Y49" s="10">
        <v>42.31</v>
      </c>
      <c r="Z49" s="10">
        <v>41.4</v>
      </c>
      <c r="AA49" s="10">
        <v>41.53</v>
      </c>
      <c r="AB49" s="93">
        <v>1220500</v>
      </c>
      <c r="AC49" s="10">
        <v>41.53</v>
      </c>
      <c r="AD49" s="2">
        <f t="shared" si="0"/>
        <v>0.91000000000000369</v>
      </c>
      <c r="AE49" s="134">
        <f t="shared" si="1"/>
        <v>-1.2601046124583903E-2</v>
      </c>
    </row>
    <row r="50" spans="1:31" x14ac:dyDescent="0.25">
      <c r="A50" s="298"/>
      <c r="B50" s="297"/>
      <c r="C50" s="298"/>
      <c r="D50" s="299"/>
      <c r="E50" s="299"/>
      <c r="F50" s="299"/>
      <c r="G50" s="298"/>
      <c r="H50" s="298"/>
      <c r="I50" s="299"/>
      <c r="J50" s="299"/>
      <c r="K50" s="299"/>
      <c r="L50" s="298"/>
      <c r="M50" s="298"/>
      <c r="O50" s="81">
        <v>1.03</v>
      </c>
      <c r="P50" s="81">
        <f t="shared" si="4"/>
        <v>0</v>
      </c>
      <c r="Q50" s="81"/>
      <c r="R50" s="33"/>
      <c r="T50" s="91"/>
      <c r="U50" s="86"/>
      <c r="W50" s="130">
        <v>42761</v>
      </c>
      <c r="X50" s="10">
        <v>42.98</v>
      </c>
      <c r="Y50" s="10">
        <v>43.07</v>
      </c>
      <c r="Z50" s="10">
        <v>41.91</v>
      </c>
      <c r="AA50" s="10">
        <v>42.06</v>
      </c>
      <c r="AB50" s="93">
        <v>1899900</v>
      </c>
      <c r="AC50" s="10">
        <v>42.06</v>
      </c>
      <c r="AD50" s="2">
        <f t="shared" si="0"/>
        <v>1.1600000000000037</v>
      </c>
      <c r="AE50" s="134">
        <f t="shared" si="1"/>
        <v>-1.7289719626168099E-2</v>
      </c>
    </row>
    <row r="51" spans="1:31" x14ac:dyDescent="0.25">
      <c r="A51" s="298"/>
      <c r="B51" s="297"/>
      <c r="C51" s="298"/>
      <c r="D51" s="299"/>
      <c r="E51" s="299"/>
      <c r="F51" s="299"/>
      <c r="G51" s="298"/>
      <c r="H51" s="298"/>
      <c r="I51" s="299"/>
      <c r="J51" s="299"/>
      <c r="K51" s="299"/>
      <c r="L51" s="298"/>
      <c r="M51" s="298"/>
      <c r="O51" s="81">
        <v>1.02</v>
      </c>
      <c r="P51" s="81">
        <f t="shared" si="4"/>
        <v>0</v>
      </c>
      <c r="Q51" s="81"/>
      <c r="R51" s="33"/>
      <c r="T51" s="91" t="s">
        <v>104</v>
      </c>
      <c r="U51" s="86" t="s">
        <v>611</v>
      </c>
      <c r="W51" s="130">
        <v>42760</v>
      </c>
      <c r="X51" s="10">
        <v>43.68</v>
      </c>
      <c r="Y51" s="10">
        <v>43.73</v>
      </c>
      <c r="Z51" s="10">
        <v>42.77</v>
      </c>
      <c r="AA51" s="10">
        <v>42.8</v>
      </c>
      <c r="AB51" s="93">
        <v>1670400</v>
      </c>
      <c r="AC51" s="10">
        <v>42.8</v>
      </c>
      <c r="AD51" s="2">
        <f t="shared" si="0"/>
        <v>0.95999999999999375</v>
      </c>
      <c r="AE51" s="134">
        <f t="shared" si="1"/>
        <v>-1.3824884792626779E-2</v>
      </c>
    </row>
    <row r="52" spans="1:31" x14ac:dyDescent="0.25">
      <c r="A52" s="35" t="s">
        <v>81</v>
      </c>
      <c r="B52" s="36"/>
      <c r="C52" s="36">
        <f>SUM(C32:C51)</f>
        <v>640</v>
      </c>
      <c r="D52" s="37"/>
      <c r="E52" s="37"/>
      <c r="F52" s="37">
        <f>SUM(F32:F51)</f>
        <v>26292.89</v>
      </c>
      <c r="G52" s="37"/>
      <c r="H52" s="160">
        <f>SUM(H32:H51)</f>
        <v>640</v>
      </c>
      <c r="I52" s="37"/>
      <c r="J52" s="37"/>
      <c r="K52" s="37">
        <f>SUM(K32:K51)</f>
        <v>27230.259999999995</v>
      </c>
      <c r="L52" s="36"/>
      <c r="M52" s="36"/>
      <c r="O52" s="81">
        <v>1.01</v>
      </c>
      <c r="P52" s="81">
        <f t="shared" si="4"/>
        <v>0</v>
      </c>
      <c r="Q52" s="81"/>
      <c r="R52" s="33"/>
      <c r="T52" s="91" t="s">
        <v>105</v>
      </c>
      <c r="U52" s="86" t="s">
        <v>490</v>
      </c>
      <c r="W52" s="130">
        <v>42759</v>
      </c>
      <c r="X52" s="10">
        <v>42.7</v>
      </c>
      <c r="Y52" s="10">
        <v>43.43</v>
      </c>
      <c r="Z52" s="10">
        <v>42.36</v>
      </c>
      <c r="AA52" s="10">
        <v>43.4</v>
      </c>
      <c r="AB52" s="93">
        <v>2404600</v>
      </c>
      <c r="AC52" s="10">
        <v>43.4</v>
      </c>
      <c r="AD52" s="2">
        <f t="shared" si="0"/>
        <v>1.0700000000000003</v>
      </c>
      <c r="AE52" s="134">
        <f t="shared" si="1"/>
        <v>1.9736842105263053E-2</v>
      </c>
    </row>
    <row r="53" spans="1:31" x14ac:dyDescent="0.25">
      <c r="A53" s="298"/>
      <c r="B53" s="298"/>
      <c r="C53" s="298"/>
      <c r="D53" s="299"/>
      <c r="E53" s="299"/>
      <c r="F53" s="299"/>
      <c r="G53" s="299"/>
      <c r="H53" s="298"/>
      <c r="I53" s="299"/>
      <c r="J53" s="299"/>
      <c r="K53" s="299"/>
      <c r="L53" s="298"/>
      <c r="M53" s="298"/>
      <c r="O53" s="81">
        <v>1</v>
      </c>
      <c r="P53" s="81">
        <f t="shared" si="4"/>
        <v>0</v>
      </c>
      <c r="Q53" s="81"/>
      <c r="R53" s="33"/>
      <c r="T53" s="91" t="s">
        <v>106</v>
      </c>
      <c r="U53" s="88">
        <v>1668821</v>
      </c>
      <c r="W53" s="130">
        <v>42758</v>
      </c>
      <c r="X53" s="10">
        <v>42.21</v>
      </c>
      <c r="Y53" s="10">
        <v>42.96</v>
      </c>
      <c r="Z53" s="10">
        <v>42.01</v>
      </c>
      <c r="AA53" s="10">
        <v>42.56</v>
      </c>
      <c r="AB53" s="93">
        <v>1412700</v>
      </c>
      <c r="AC53" s="10">
        <v>42.56</v>
      </c>
      <c r="AD53" s="2">
        <f t="shared" si="0"/>
        <v>0.95000000000000284</v>
      </c>
      <c r="AE53" s="134">
        <f t="shared" si="1"/>
        <v>2.3551577955722713E-3</v>
      </c>
    </row>
    <row r="54" spans="1:31" x14ac:dyDescent="0.25">
      <c r="O54" s="81">
        <v>0.99</v>
      </c>
      <c r="P54" s="81">
        <f t="shared" si="4"/>
        <v>0</v>
      </c>
      <c r="Q54" s="81"/>
      <c r="R54" s="33"/>
      <c r="T54" s="91" t="s">
        <v>109</v>
      </c>
      <c r="U54" s="88">
        <v>2832800</v>
      </c>
      <c r="W54" s="130">
        <v>42755</v>
      </c>
      <c r="X54" s="10">
        <v>42.23</v>
      </c>
      <c r="Y54" s="10">
        <v>42.61</v>
      </c>
      <c r="Z54" s="10">
        <v>41.65</v>
      </c>
      <c r="AA54" s="10">
        <v>42.46</v>
      </c>
      <c r="AB54" s="93">
        <v>2363100</v>
      </c>
      <c r="AC54" s="10">
        <v>42.46</v>
      </c>
      <c r="AD54" s="2">
        <f t="shared" si="0"/>
        <v>0.96000000000000085</v>
      </c>
      <c r="AE54" s="134">
        <f t="shared" si="1"/>
        <v>1.023078753271478E-2</v>
      </c>
    </row>
    <row r="55" spans="1:31" x14ac:dyDescent="0.25">
      <c r="O55" s="81">
        <v>0.98</v>
      </c>
      <c r="P55" s="81">
        <f t="shared" si="4"/>
        <v>0</v>
      </c>
      <c r="Q55" s="81"/>
      <c r="R55" s="33"/>
      <c r="T55" s="91" t="s">
        <v>107</v>
      </c>
      <c r="U55" s="86" t="s">
        <v>612</v>
      </c>
      <c r="W55" s="130">
        <v>42754</v>
      </c>
      <c r="X55" s="10">
        <v>43.15</v>
      </c>
      <c r="Y55" s="10">
        <v>43.47</v>
      </c>
      <c r="Z55" s="10">
        <v>42.02</v>
      </c>
      <c r="AA55" s="10">
        <v>42.03</v>
      </c>
      <c r="AB55" s="93">
        <v>1935200</v>
      </c>
      <c r="AC55" s="10">
        <v>42.03</v>
      </c>
      <c r="AD55" s="2">
        <f t="shared" si="0"/>
        <v>1.4499999999999957</v>
      </c>
      <c r="AE55" s="134">
        <f t="shared" si="1"/>
        <v>-2.7758501040943684E-2</v>
      </c>
    </row>
    <row r="56" spans="1:31" x14ac:dyDescent="0.25">
      <c r="O56" s="81">
        <v>0.97</v>
      </c>
      <c r="P56" s="81">
        <f t="shared" si="4"/>
        <v>0</v>
      </c>
      <c r="Q56" s="81"/>
      <c r="R56" s="33"/>
      <c r="T56" s="91" t="s">
        <v>110</v>
      </c>
      <c r="U56" s="86">
        <v>8.42</v>
      </c>
      <c r="W56" s="130">
        <v>42753</v>
      </c>
      <c r="X56" s="10">
        <v>43.85</v>
      </c>
      <c r="Y56" s="10">
        <v>43.85</v>
      </c>
      <c r="Z56" s="10">
        <v>42.31</v>
      </c>
      <c r="AA56" s="10">
        <v>43.23</v>
      </c>
      <c r="AB56" s="93">
        <v>2159000</v>
      </c>
      <c r="AC56" s="10">
        <v>43.23</v>
      </c>
      <c r="AD56" s="2">
        <f t="shared" si="0"/>
        <v>1.5399999999999991</v>
      </c>
      <c r="AE56" s="134">
        <f t="shared" si="1"/>
        <v>-7.5757575757576801E-3</v>
      </c>
    </row>
    <row r="57" spans="1:31" x14ac:dyDescent="0.25">
      <c r="O57" s="81">
        <v>0.96</v>
      </c>
      <c r="P57" s="81">
        <f t="shared" si="4"/>
        <v>0</v>
      </c>
      <c r="Q57" s="81"/>
      <c r="R57" s="33"/>
      <c r="T57" s="91" t="s">
        <v>111</v>
      </c>
      <c r="U57" s="86">
        <v>4.38</v>
      </c>
      <c r="W57" s="130">
        <v>42752</v>
      </c>
      <c r="X57" s="10">
        <v>42.33</v>
      </c>
      <c r="Y57" s="10">
        <v>44.25</v>
      </c>
      <c r="Z57" s="10">
        <v>42.26</v>
      </c>
      <c r="AA57" s="10">
        <v>43.56</v>
      </c>
      <c r="AB57" s="93">
        <v>2291800</v>
      </c>
      <c r="AC57" s="10">
        <v>43.56</v>
      </c>
      <c r="AD57" s="2">
        <f t="shared" si="0"/>
        <v>1.990000000000002</v>
      </c>
      <c r="AE57" s="134">
        <f t="shared" si="1"/>
        <v>2.7600849256900206E-2</v>
      </c>
    </row>
    <row r="58" spans="1:31" x14ac:dyDescent="0.25">
      <c r="B58" s="162" t="s">
        <v>113</v>
      </c>
      <c r="C58" s="162" t="s">
        <v>145</v>
      </c>
      <c r="D58" s="163" t="s">
        <v>144</v>
      </c>
      <c r="E58" s="165" t="s">
        <v>146</v>
      </c>
      <c r="F58" s="166" t="s">
        <v>65</v>
      </c>
      <c r="G58" s="177" t="s">
        <v>150</v>
      </c>
      <c r="H58" s="166" t="s">
        <v>88</v>
      </c>
      <c r="O58" s="81">
        <v>0.95</v>
      </c>
      <c r="P58" s="81">
        <f t="shared" si="4"/>
        <v>0</v>
      </c>
      <c r="Q58" s="81"/>
      <c r="R58" s="33"/>
      <c r="T58" s="91" t="s">
        <v>108</v>
      </c>
      <c r="U58" s="86" t="s">
        <v>122</v>
      </c>
      <c r="W58" s="130">
        <v>42748</v>
      </c>
      <c r="X58" s="10">
        <v>42.69</v>
      </c>
      <c r="Y58" s="10">
        <v>43.18</v>
      </c>
      <c r="Z58" s="10">
        <v>42.29</v>
      </c>
      <c r="AA58" s="10">
        <v>42.39</v>
      </c>
      <c r="AB58" s="93">
        <v>1359100</v>
      </c>
      <c r="AC58" s="10">
        <v>42.39</v>
      </c>
      <c r="AD58" s="2">
        <f t="shared" si="0"/>
        <v>0.89000000000000057</v>
      </c>
      <c r="AE58" s="134">
        <f t="shared" si="1"/>
        <v>-6.096131301289498E-3</v>
      </c>
    </row>
    <row r="59" spans="1:31" x14ac:dyDescent="0.25">
      <c r="A59" t="s">
        <v>330</v>
      </c>
      <c r="B59" s="164">
        <v>42773</v>
      </c>
      <c r="C59" s="10">
        <v>100</v>
      </c>
      <c r="D59" s="39">
        <v>35</v>
      </c>
      <c r="E59" s="39">
        <v>36.82</v>
      </c>
      <c r="F59" s="39">
        <f>C59*(E59-D59)</f>
        <v>182.00000000000003</v>
      </c>
      <c r="G59" s="39">
        <f>D59*C59</f>
        <v>3500</v>
      </c>
      <c r="H59" s="179">
        <f>(E59-D59)/D59</f>
        <v>5.2000000000000011E-2</v>
      </c>
      <c r="O59" s="81">
        <v>0.94</v>
      </c>
      <c r="P59" s="81">
        <f t="shared" si="4"/>
        <v>0</v>
      </c>
      <c r="Q59" s="81"/>
      <c r="W59" s="130">
        <v>42747</v>
      </c>
      <c r="X59" s="10">
        <v>42.67</v>
      </c>
      <c r="Y59" s="10">
        <v>43.2</v>
      </c>
      <c r="Z59" s="10">
        <v>42.51</v>
      </c>
      <c r="AA59" s="10">
        <v>42.65</v>
      </c>
      <c r="AB59" s="93">
        <v>1332900</v>
      </c>
      <c r="AC59" s="10">
        <v>42.65</v>
      </c>
      <c r="AD59" s="2">
        <f t="shared" si="0"/>
        <v>0.69000000000000483</v>
      </c>
      <c r="AE59" s="134">
        <f t="shared" si="1"/>
        <v>-5.1317937951947945E-3</v>
      </c>
    </row>
    <row r="60" spans="1:31" x14ac:dyDescent="0.25">
      <c r="B60" s="164">
        <v>42804</v>
      </c>
      <c r="C60" s="10">
        <v>0</v>
      </c>
      <c r="D60" s="39"/>
      <c r="E60" s="39"/>
      <c r="F60" s="39">
        <v>191.93</v>
      </c>
      <c r="G60" s="10"/>
      <c r="H60" s="10"/>
      <c r="O60" s="81">
        <v>0.93</v>
      </c>
      <c r="P60" s="81">
        <f t="shared" si="4"/>
        <v>0</v>
      </c>
      <c r="Q60" s="81"/>
      <c r="W60" s="130">
        <v>42746</v>
      </c>
      <c r="X60" s="10">
        <v>43.72</v>
      </c>
      <c r="Y60" s="10">
        <v>43.72</v>
      </c>
      <c r="Z60" s="10">
        <v>42.75</v>
      </c>
      <c r="AA60" s="10">
        <v>42.87</v>
      </c>
      <c r="AB60" s="93">
        <v>2081700</v>
      </c>
      <c r="AC60" s="10">
        <v>42.87</v>
      </c>
      <c r="AD60" s="2">
        <f t="shared" si="0"/>
        <v>0.96999999999999886</v>
      </c>
      <c r="AE60" s="134">
        <f t="shared" si="1"/>
        <v>-1.1756569847856224E-2</v>
      </c>
    </row>
    <row r="61" spans="1:31" x14ac:dyDescent="0.25">
      <c r="B61" s="10"/>
      <c r="C61" s="10"/>
      <c r="D61" s="39"/>
      <c r="E61" s="39"/>
      <c r="F61" s="39"/>
      <c r="G61" s="10"/>
      <c r="H61" s="10"/>
      <c r="O61" s="81">
        <v>0.92</v>
      </c>
      <c r="P61" s="81">
        <f t="shared" si="4"/>
        <v>0</v>
      </c>
      <c r="Q61" s="81"/>
      <c r="W61" s="130">
        <v>42745</v>
      </c>
      <c r="X61" s="10">
        <v>42.04</v>
      </c>
      <c r="Y61" s="10">
        <v>43.88</v>
      </c>
      <c r="Z61" s="10">
        <v>42.04</v>
      </c>
      <c r="AA61" s="10">
        <v>43.38</v>
      </c>
      <c r="AB61" s="93">
        <v>2952300</v>
      </c>
      <c r="AC61" s="10">
        <v>43.38</v>
      </c>
      <c r="AD61" s="2">
        <f t="shared" si="0"/>
        <v>1.8400000000000034</v>
      </c>
      <c r="AE61" s="134">
        <f t="shared" si="1"/>
        <v>3.1874405328258915E-2</v>
      </c>
    </row>
    <row r="62" spans="1:31" x14ac:dyDescent="0.25">
      <c r="B62" s="10"/>
      <c r="C62" s="10"/>
      <c r="D62" s="39"/>
      <c r="E62" s="39"/>
      <c r="F62" s="39"/>
      <c r="G62" s="10"/>
      <c r="H62" s="10"/>
      <c r="O62" s="81">
        <v>0.91</v>
      </c>
      <c r="P62" s="81">
        <f t="shared" si="4"/>
        <v>0</v>
      </c>
      <c r="Q62" s="81"/>
      <c r="W62" s="130">
        <v>42744</v>
      </c>
      <c r="X62" s="10">
        <v>42.44</v>
      </c>
      <c r="Y62" s="10">
        <v>42.56</v>
      </c>
      <c r="Z62" s="10">
        <v>41.85</v>
      </c>
      <c r="AA62" s="10">
        <v>42.04</v>
      </c>
      <c r="AB62" s="93">
        <v>2137700</v>
      </c>
      <c r="AC62" s="10">
        <v>42.04</v>
      </c>
      <c r="AD62" s="2">
        <f t="shared" si="0"/>
        <v>0.71000000000000085</v>
      </c>
      <c r="AE62" s="134">
        <f t="shared" si="1"/>
        <v>-1.0124793972215662E-2</v>
      </c>
    </row>
    <row r="63" spans="1:31" x14ac:dyDescent="0.25">
      <c r="B63" s="10"/>
      <c r="C63" s="10"/>
      <c r="D63" s="39"/>
      <c r="E63" s="39"/>
      <c r="F63" s="39"/>
      <c r="G63" s="10"/>
      <c r="H63" s="10"/>
      <c r="O63" s="81">
        <v>0.9</v>
      </c>
      <c r="P63" s="81">
        <f t="shared" si="4"/>
        <v>0</v>
      </c>
      <c r="Q63" s="81"/>
      <c r="W63" s="130">
        <v>42741</v>
      </c>
      <c r="X63" s="10">
        <v>42.18</v>
      </c>
      <c r="Y63" s="10">
        <v>42.76</v>
      </c>
      <c r="Z63" s="10">
        <v>42.12</v>
      </c>
      <c r="AA63" s="10">
        <v>42.47</v>
      </c>
      <c r="AB63" s="93">
        <v>2562300</v>
      </c>
      <c r="AC63" s="10">
        <v>42.47</v>
      </c>
      <c r="AD63" s="2">
        <f t="shared" si="0"/>
        <v>0.64000000000000057</v>
      </c>
      <c r="AE63" s="134">
        <f t="shared" si="1"/>
        <v>8.7885985748217266E-3</v>
      </c>
    </row>
    <row r="64" spans="1:31" x14ac:dyDescent="0.25">
      <c r="B64" s="10"/>
      <c r="C64" s="10"/>
      <c r="D64" s="39"/>
      <c r="E64" s="39"/>
      <c r="F64" s="39"/>
      <c r="G64" s="10"/>
      <c r="H64" s="10"/>
      <c r="Q64" s="81"/>
      <c r="W64" s="130">
        <v>42740</v>
      </c>
      <c r="X64" s="10">
        <v>42.65</v>
      </c>
      <c r="Y64" s="10">
        <v>42.71</v>
      </c>
      <c r="Z64" s="10">
        <v>40.81</v>
      </c>
      <c r="AA64" s="10">
        <v>42.1</v>
      </c>
      <c r="AB64" s="93">
        <v>3695900</v>
      </c>
      <c r="AC64" s="10">
        <v>42.1</v>
      </c>
      <c r="AD64" s="2">
        <f t="shared" si="0"/>
        <v>1.8999999999999986</v>
      </c>
      <c r="AE64" s="134">
        <f t="shared" si="1"/>
        <v>-3.2183908045976928E-2</v>
      </c>
    </row>
    <row r="65" spans="2:31" x14ac:dyDescent="0.25">
      <c r="B65" s="10"/>
      <c r="C65" s="10"/>
      <c r="D65" s="39"/>
      <c r="E65" s="39"/>
      <c r="F65" s="39"/>
      <c r="G65" s="10"/>
      <c r="H65" s="10"/>
      <c r="Q65" s="81"/>
      <c r="W65" s="130">
        <v>42739</v>
      </c>
      <c r="X65" s="10">
        <v>43.2</v>
      </c>
      <c r="Y65" s="10">
        <v>43.93</v>
      </c>
      <c r="Z65" s="10">
        <v>43.2</v>
      </c>
      <c r="AA65" s="10">
        <v>43.5</v>
      </c>
      <c r="AB65" s="93">
        <v>2141200</v>
      </c>
      <c r="AC65" s="10">
        <v>43.5</v>
      </c>
      <c r="AD65" s="2">
        <f t="shared" si="0"/>
        <v>0.72999999999999687</v>
      </c>
      <c r="AE65" s="134">
        <f t="shared" si="1"/>
        <v>9.7493036211699913E-3</v>
      </c>
    </row>
    <row r="66" spans="2:31" x14ac:dyDescent="0.25">
      <c r="B66" s="10"/>
      <c r="C66" s="10"/>
      <c r="D66" s="39"/>
      <c r="E66" s="39"/>
      <c r="F66" s="39"/>
      <c r="G66" s="10"/>
      <c r="H66" s="10"/>
      <c r="Q66" s="81"/>
      <c r="W66" s="130">
        <v>42738</v>
      </c>
      <c r="X66" s="10">
        <v>42.78</v>
      </c>
      <c r="Y66" s="10">
        <v>43.45</v>
      </c>
      <c r="Z66" s="10">
        <v>42.1</v>
      </c>
      <c r="AA66" s="10">
        <v>43.08</v>
      </c>
      <c r="AB66" s="93">
        <v>1929500</v>
      </c>
      <c r="AC66" s="10">
        <v>43.08</v>
      </c>
      <c r="AD66" s="2">
        <f t="shared" si="0"/>
        <v>1.3500000000000014</v>
      </c>
      <c r="AE66" s="134">
        <f t="shared" si="1"/>
        <v>2.32666356444855E-3</v>
      </c>
    </row>
    <row r="67" spans="2:31" x14ac:dyDescent="0.25">
      <c r="B67" s="10"/>
      <c r="C67" s="10"/>
      <c r="D67" s="39"/>
      <c r="E67" s="39"/>
      <c r="F67" s="39"/>
      <c r="G67" s="10"/>
      <c r="H67" s="10"/>
      <c r="Q67" s="81"/>
      <c r="W67" s="130">
        <v>42734</v>
      </c>
      <c r="X67" s="10">
        <v>42.78</v>
      </c>
      <c r="Y67" s="10">
        <v>43.2</v>
      </c>
      <c r="Z67" s="10">
        <v>42.67</v>
      </c>
      <c r="AA67" s="10">
        <v>42.98</v>
      </c>
      <c r="AB67" s="93">
        <v>1454800</v>
      </c>
      <c r="AC67" s="10">
        <v>42.98</v>
      </c>
      <c r="AD67" s="2">
        <f>Y67-Z67</f>
        <v>0.53000000000000114</v>
      </c>
      <c r="AE67" s="134"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4"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453" priority="11">
      <formula>Q8&gt;0</formula>
    </cfRule>
    <cfRule type="expression" dxfId="452" priority="12">
      <formula>Q8&lt;0</formula>
    </cfRule>
  </conditionalFormatting>
  <conditionalFormatting sqref="Q7">
    <cfRule type="expression" dxfId="451" priority="13">
      <formula>Q7&gt;0</formula>
    </cfRule>
    <cfRule type="expression" dxfId="450" priority="14">
      <formula>Q7&lt;0</formula>
    </cfRule>
  </conditionalFormatting>
  <conditionalFormatting sqref="F22">
    <cfRule type="expression" dxfId="449" priority="9">
      <formula>F22&gt;0</formula>
    </cfRule>
    <cfRule type="expression" dxfId="448" priority="10">
      <formula>F22&lt;0</formula>
    </cfRule>
  </conditionalFormatting>
  <conditionalFormatting sqref="H22">
    <cfRule type="expression" dxfId="447" priority="7">
      <formula>H22&gt;0</formula>
    </cfRule>
    <cfRule type="expression" dxfId="446" priority="8">
      <formula>H22&lt;0</formula>
    </cfRule>
  </conditionalFormatting>
  <conditionalFormatting sqref="F59">
    <cfRule type="expression" dxfId="445" priority="5">
      <formula>F59&gt;0</formula>
    </cfRule>
    <cfRule type="expression" dxfId="444" priority="6">
      <formula>F59&lt;0</formula>
    </cfRule>
  </conditionalFormatting>
  <conditionalFormatting sqref="H59">
    <cfRule type="expression" dxfId="443" priority="3">
      <formula>H59&gt;0</formula>
    </cfRule>
    <cfRule type="expression" dxfId="442" priority="4">
      <formula>H59&lt;0</formula>
    </cfRule>
  </conditionalFormatting>
  <conditionalFormatting sqref="M30">
    <cfRule type="expression" dxfId="441" priority="1">
      <formula>M30&gt;0</formula>
    </cfRule>
    <cfRule type="expression" dxfId="440"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9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4"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82" t="s">
        <v>93</v>
      </c>
      <c r="X1" s="106" t="s">
        <v>113</v>
      </c>
      <c r="Y1" s="106" t="s">
        <v>114</v>
      </c>
      <c r="Z1" s="106" t="s">
        <v>115</v>
      </c>
      <c r="AA1" s="106" t="s">
        <v>116</v>
      </c>
      <c r="AB1" s="106" t="s">
        <v>117</v>
      </c>
      <c r="AC1" s="106" t="s">
        <v>118</v>
      </c>
      <c r="AD1" s="106" t="s">
        <v>119</v>
      </c>
      <c r="AE1" s="11" t="s">
        <v>125</v>
      </c>
      <c r="AF1" s="11" t="s">
        <v>127</v>
      </c>
    </row>
    <row r="2" spans="1:32" x14ac:dyDescent="0.25">
      <c r="A2" s="6" t="s">
        <v>45</v>
      </c>
      <c r="B2" s="72"/>
      <c r="C2" s="4"/>
      <c r="D2" s="3"/>
      <c r="E2" s="3"/>
      <c r="F2" s="3"/>
      <c r="G2" s="72"/>
      <c r="H2" s="4"/>
      <c r="I2" s="3"/>
      <c r="J2" s="3"/>
      <c r="K2" s="3"/>
      <c r="L2" s="72"/>
      <c r="M2" s="3"/>
      <c r="O2" s="11" t="s">
        <v>57</v>
      </c>
      <c r="Q2">
        <f>C18-H18</f>
        <v>0</v>
      </c>
      <c r="T2" s="83"/>
      <c r="X2" s="108">
        <v>42830</v>
      </c>
      <c r="Y2" s="9">
        <v>81.81</v>
      </c>
      <c r="Z2" s="9">
        <v>82.17</v>
      </c>
      <c r="AA2" s="9">
        <v>81.290000000000006</v>
      </c>
      <c r="AB2" s="9">
        <v>81.42</v>
      </c>
      <c r="AC2" s="102">
        <v>1561200</v>
      </c>
      <c r="AD2" s="9">
        <v>81.42</v>
      </c>
      <c r="AE2" s="2">
        <f>Z2-AA2</f>
        <v>0.87999999999999545</v>
      </c>
      <c r="AF2" s="134">
        <f>AD2/AD3-1</f>
        <v>-2.5725836089671716E-3</v>
      </c>
    </row>
    <row r="3" spans="1:32" x14ac:dyDescent="0.25">
      <c r="A3" s="22" t="s">
        <v>71</v>
      </c>
      <c r="B3" s="72"/>
      <c r="C3" s="4"/>
      <c r="D3" s="3"/>
      <c r="E3" s="3"/>
      <c r="F3" s="3"/>
      <c r="G3" s="72"/>
      <c r="H3" s="4"/>
      <c r="I3" s="3"/>
      <c r="J3" s="3"/>
      <c r="K3" s="3"/>
      <c r="L3" s="72"/>
      <c r="M3" s="3"/>
      <c r="O3" s="11" t="s">
        <v>58</v>
      </c>
      <c r="Q3" s="2">
        <f>IF(Q2=0, Q4, (F18-K18-M18)/Q2)</f>
        <v>87.34</v>
      </c>
      <c r="T3" s="83"/>
      <c r="X3" s="108">
        <v>42829</v>
      </c>
      <c r="Y3" s="9">
        <v>81.47</v>
      </c>
      <c r="Z3" s="9">
        <v>81.8</v>
      </c>
      <c r="AA3" s="9">
        <v>81.400000000000006</v>
      </c>
      <c r="AB3" s="9">
        <v>81.63</v>
      </c>
      <c r="AC3" s="102">
        <v>1672300</v>
      </c>
      <c r="AD3" s="9">
        <v>81.63</v>
      </c>
      <c r="AE3" s="2">
        <f t="shared" ref="AE3:AE66" si="0">Z3-AA3</f>
        <v>0.39999999999999147</v>
      </c>
      <c r="AF3" s="134">
        <f t="shared" ref="AF3:AF66" si="1">AD3/AD4-1</f>
        <v>3.8121003443187806E-3</v>
      </c>
    </row>
    <row r="4" spans="1:32" x14ac:dyDescent="0.25">
      <c r="B4" s="72"/>
      <c r="C4" s="4"/>
      <c r="D4" s="3"/>
      <c r="E4" s="3"/>
      <c r="F4" s="3"/>
      <c r="G4" s="72"/>
      <c r="H4" s="161"/>
      <c r="I4" s="3"/>
      <c r="J4" s="3"/>
      <c r="K4" s="3"/>
      <c r="L4" s="4"/>
      <c r="M4" s="3"/>
      <c r="O4" s="11" t="s">
        <v>66</v>
      </c>
      <c r="Q4" s="54">
        <v>87.34</v>
      </c>
      <c r="R4" s="405">
        <v>7.4000000000000003E-3</v>
      </c>
      <c r="X4" s="108">
        <v>42828</v>
      </c>
      <c r="Y4" s="9">
        <v>81.540000000000006</v>
      </c>
      <c r="Z4" s="9">
        <v>81.75</v>
      </c>
      <c r="AA4" s="9">
        <v>81.08</v>
      </c>
      <c r="AB4" s="9">
        <v>81.319999999999993</v>
      </c>
      <c r="AC4" s="102">
        <v>1790100</v>
      </c>
      <c r="AD4" s="9">
        <v>81.319999999999993</v>
      </c>
      <c r="AE4" s="2">
        <f t="shared" si="0"/>
        <v>0.67000000000000171</v>
      </c>
      <c r="AF4" s="134">
        <f t="shared" si="1"/>
        <v>-2.0861455393299533E-3</v>
      </c>
    </row>
    <row r="5" spans="1:32" x14ac:dyDescent="0.25">
      <c r="B5" s="72"/>
      <c r="C5" s="4"/>
      <c r="D5" s="3"/>
      <c r="E5" s="3"/>
      <c r="F5" s="3"/>
      <c r="G5" s="72"/>
      <c r="H5" s="161"/>
      <c r="I5" s="3"/>
      <c r="J5" s="3"/>
      <c r="K5" s="3"/>
      <c r="L5" s="4"/>
      <c r="M5" s="3"/>
      <c r="O5" s="11" t="s">
        <v>67</v>
      </c>
      <c r="Q5" s="3">
        <f>Q4*Q2</f>
        <v>0</v>
      </c>
      <c r="T5" s="83"/>
      <c r="U5" s="67"/>
      <c r="X5" s="108">
        <v>42825</v>
      </c>
      <c r="Y5" s="9">
        <v>81.45</v>
      </c>
      <c r="Z5" s="9">
        <v>81.790000000000006</v>
      </c>
      <c r="AA5" s="9">
        <v>81.2</v>
      </c>
      <c r="AB5" s="9">
        <v>81.489999999999995</v>
      </c>
      <c r="AC5" s="102">
        <v>1547600</v>
      </c>
      <c r="AD5" s="9">
        <v>81.489999999999995</v>
      </c>
      <c r="AE5" s="2">
        <f t="shared" si="0"/>
        <v>0.59000000000000341</v>
      </c>
      <c r="AF5" s="134">
        <f t="shared" si="1"/>
        <v>-1.8373346398824486E-3</v>
      </c>
    </row>
    <row r="6" spans="1:32" x14ac:dyDescent="0.25">
      <c r="B6" s="72"/>
      <c r="C6" s="4"/>
      <c r="D6" s="3"/>
      <c r="E6" s="3"/>
      <c r="F6" s="3"/>
      <c r="G6" s="72"/>
      <c r="H6" s="161"/>
      <c r="I6" s="3"/>
      <c r="J6" s="3"/>
      <c r="K6" s="3"/>
      <c r="L6" s="4"/>
      <c r="M6" s="3"/>
      <c r="O6" s="11" t="s">
        <v>64</v>
      </c>
      <c r="Q6" s="2">
        <f>Q3*Q2</f>
        <v>0</v>
      </c>
      <c r="X6" s="108">
        <v>42824</v>
      </c>
      <c r="Y6" s="9">
        <v>81.3</v>
      </c>
      <c r="Z6" s="9">
        <v>81.83</v>
      </c>
      <c r="AA6" s="9">
        <v>81.16</v>
      </c>
      <c r="AB6" s="9">
        <v>81.64</v>
      </c>
      <c r="AC6" s="102">
        <v>1159100</v>
      </c>
      <c r="AD6" s="9">
        <v>81.64</v>
      </c>
      <c r="AE6" s="2">
        <f t="shared" si="0"/>
        <v>0.67000000000000171</v>
      </c>
      <c r="AF6" s="134">
        <f t="shared" si="1"/>
        <v>3.0716304214277734E-3</v>
      </c>
    </row>
    <row r="7" spans="1:32" x14ac:dyDescent="0.25">
      <c r="B7" s="72"/>
      <c r="C7" s="4"/>
      <c r="D7" s="3"/>
      <c r="E7" s="3"/>
      <c r="F7" s="3"/>
      <c r="G7" s="72"/>
      <c r="H7" s="161"/>
      <c r="I7" s="3"/>
      <c r="J7" s="3"/>
      <c r="K7" s="3"/>
      <c r="L7" s="4"/>
      <c r="M7" s="3"/>
      <c r="O7" s="11" t="s">
        <v>177</v>
      </c>
      <c r="Q7" s="2">
        <f>Q10+Q8</f>
        <v>523.61999999999898</v>
      </c>
      <c r="R7">
        <v>0</v>
      </c>
      <c r="T7" s="83"/>
      <c r="X7" s="108">
        <v>42823</v>
      </c>
      <c r="Y7" s="9">
        <v>81.94</v>
      </c>
      <c r="Z7" s="9">
        <v>82.08</v>
      </c>
      <c r="AA7" s="9">
        <v>81.290000000000006</v>
      </c>
      <c r="AB7" s="9">
        <v>81.39</v>
      </c>
      <c r="AC7" s="102">
        <v>1018400</v>
      </c>
      <c r="AD7" s="9">
        <v>81.39</v>
      </c>
      <c r="AE7" s="2">
        <f t="shared" si="0"/>
        <v>0.78999999999999204</v>
      </c>
      <c r="AF7" s="134">
        <f t="shared" si="1"/>
        <v>-6.10575161802418E-3</v>
      </c>
    </row>
    <row r="8" spans="1:32" x14ac:dyDescent="0.25">
      <c r="O8" s="11" t="s">
        <v>179</v>
      </c>
      <c r="P8" s="33"/>
      <c r="Q8" s="2">
        <f>K18+M18-F18+Q2*Q4</f>
        <v>0</v>
      </c>
      <c r="R8" s="158"/>
      <c r="T8" s="83"/>
      <c r="X8" s="108">
        <v>42822</v>
      </c>
      <c r="Y8" s="9">
        <v>80.81</v>
      </c>
      <c r="Z8" s="9">
        <v>82.1</v>
      </c>
      <c r="AA8" s="9">
        <v>80.73</v>
      </c>
      <c r="AB8" s="9">
        <v>81.89</v>
      </c>
      <c r="AC8" s="102">
        <v>1211400</v>
      </c>
      <c r="AD8" s="9">
        <v>81.89</v>
      </c>
      <c r="AE8" s="2">
        <f t="shared" si="0"/>
        <v>1.3699999999999903</v>
      </c>
      <c r="AF8" s="134">
        <f t="shared" si="1"/>
        <v>9.8655814527068841E-3</v>
      </c>
    </row>
    <row r="9" spans="1:32" x14ac:dyDescent="0.25">
      <c r="O9" s="11" t="s">
        <v>204</v>
      </c>
      <c r="Q9" s="134">
        <f>IF(Q2=0, 0, Q8/Q6)</f>
        <v>0</v>
      </c>
      <c r="X9" s="108">
        <v>42821</v>
      </c>
      <c r="Y9" s="9">
        <v>80.37</v>
      </c>
      <c r="Z9" s="9">
        <v>81.319999999999993</v>
      </c>
      <c r="AA9" s="9">
        <v>80.069999999999993</v>
      </c>
      <c r="AB9" s="9">
        <v>81.09</v>
      </c>
      <c r="AC9" s="102">
        <v>1428200</v>
      </c>
      <c r="AD9" s="9">
        <v>81.09</v>
      </c>
      <c r="AE9" s="2">
        <f t="shared" si="0"/>
        <v>1.25</v>
      </c>
      <c r="AF9" s="134">
        <f t="shared" si="1"/>
        <v>1.2347203358440417E-3</v>
      </c>
    </row>
    <row r="10" spans="1:32" x14ac:dyDescent="0.25">
      <c r="O10" s="11" t="s">
        <v>203</v>
      </c>
      <c r="P10" s="33"/>
      <c r="Q10" s="2">
        <f>M40</f>
        <v>523.61999999999898</v>
      </c>
      <c r="T10" s="118"/>
      <c r="U10" s="67"/>
      <c r="X10" s="108">
        <v>42818</v>
      </c>
      <c r="Y10" s="9">
        <v>81.27</v>
      </c>
      <c r="Z10" s="9">
        <v>81.510000000000005</v>
      </c>
      <c r="AA10" s="9">
        <v>80.63</v>
      </c>
      <c r="AB10" s="9">
        <v>80.989999999999995</v>
      </c>
      <c r="AC10" s="102">
        <v>1368900</v>
      </c>
      <c r="AD10" s="9">
        <v>80.989999999999995</v>
      </c>
      <c r="AE10" s="2">
        <f t="shared" si="0"/>
        <v>0.88000000000000966</v>
      </c>
      <c r="AF10" s="134">
        <f t="shared" si="1"/>
        <v>-3.3226679793257885E-3</v>
      </c>
    </row>
    <row r="11" spans="1:32" x14ac:dyDescent="0.25">
      <c r="O11" s="11" t="s">
        <v>175</v>
      </c>
      <c r="P11" s="33"/>
      <c r="Q11" s="134">
        <f>VALUE(TRIM(CLEAN(MID(U55, FIND("(", U55)+1, 5))))</f>
        <v>1.67E-2</v>
      </c>
      <c r="T11" s="118"/>
      <c r="U11" s="67"/>
      <c r="X11" s="108">
        <v>42817</v>
      </c>
      <c r="Y11" s="9">
        <v>81.5</v>
      </c>
      <c r="Z11" s="9">
        <v>81.92</v>
      </c>
      <c r="AA11" s="9">
        <v>81.16</v>
      </c>
      <c r="AB11" s="9">
        <v>81.260000000000005</v>
      </c>
      <c r="AC11" s="102">
        <v>1480700</v>
      </c>
      <c r="AD11" s="9">
        <v>81.260000000000005</v>
      </c>
      <c r="AE11" s="2">
        <f t="shared" si="0"/>
        <v>0.76000000000000512</v>
      </c>
      <c r="AF11" s="134">
        <f t="shared" si="1"/>
        <v>-1.4745637748831975E-3</v>
      </c>
    </row>
    <row r="12" spans="1:32" x14ac:dyDescent="0.25">
      <c r="X12" s="108">
        <v>42816</v>
      </c>
      <c r="Y12" s="9">
        <v>81.59</v>
      </c>
      <c r="Z12" s="9">
        <v>81.819999999999993</v>
      </c>
      <c r="AA12" s="9">
        <v>81.33</v>
      </c>
      <c r="AB12" s="9">
        <v>81.38</v>
      </c>
      <c r="AC12" s="102">
        <v>1669800</v>
      </c>
      <c r="AD12" s="9">
        <v>81.38</v>
      </c>
      <c r="AE12" s="2">
        <f t="shared" si="0"/>
        <v>0.48999999999999488</v>
      </c>
      <c r="AF12" s="134">
        <f t="shared" si="1"/>
        <v>-3.7948341290243714E-3</v>
      </c>
    </row>
    <row r="13" spans="1:32" x14ac:dyDescent="0.25">
      <c r="Q13" s="2"/>
      <c r="X13" s="108">
        <v>42815</v>
      </c>
      <c r="Y13" s="9">
        <v>82.46</v>
      </c>
      <c r="Z13" s="9">
        <v>82.7</v>
      </c>
      <c r="AA13" s="9">
        <v>81.59</v>
      </c>
      <c r="AB13" s="9">
        <v>81.69</v>
      </c>
      <c r="AC13" s="102">
        <v>2179300</v>
      </c>
      <c r="AD13" s="9">
        <v>81.69</v>
      </c>
      <c r="AE13" s="2">
        <f t="shared" si="0"/>
        <v>1.1099999999999994</v>
      </c>
      <c r="AF13" s="134">
        <f t="shared" si="1"/>
        <v>-8.255432803205176E-3</v>
      </c>
    </row>
    <row r="14" spans="1:32" x14ac:dyDescent="0.25">
      <c r="X14" s="108">
        <v>42814</v>
      </c>
      <c r="Y14" s="9">
        <v>82.85</v>
      </c>
      <c r="Z14" s="9">
        <v>83.06</v>
      </c>
      <c r="AA14" s="9">
        <v>82.3</v>
      </c>
      <c r="AB14" s="9">
        <v>82.37</v>
      </c>
      <c r="AC14" s="102">
        <v>1325000</v>
      </c>
      <c r="AD14" s="9">
        <v>82.37</v>
      </c>
      <c r="AE14" s="2">
        <f t="shared" si="0"/>
        <v>0.76000000000000512</v>
      </c>
      <c r="AF14" s="134">
        <f t="shared" si="1"/>
        <v>-5.7936028968013087E-3</v>
      </c>
    </row>
    <row r="15" spans="1:32" x14ac:dyDescent="0.25">
      <c r="X15" s="108">
        <v>42811</v>
      </c>
      <c r="Y15" s="9">
        <v>82.9</v>
      </c>
      <c r="Z15" s="9">
        <v>83.09</v>
      </c>
      <c r="AA15" s="9">
        <v>82.6</v>
      </c>
      <c r="AB15" s="9">
        <v>82.85</v>
      </c>
      <c r="AC15" s="102">
        <v>2316300</v>
      </c>
      <c r="AD15" s="9">
        <v>82.85</v>
      </c>
      <c r="AE15" s="2">
        <f t="shared" si="0"/>
        <v>0.49000000000000909</v>
      </c>
      <c r="AF15" s="134">
        <f t="shared" si="1"/>
        <v>-4.8256725781159471E-4</v>
      </c>
    </row>
    <row r="16" spans="1:32" x14ac:dyDescent="0.25">
      <c r="B16" s="72"/>
      <c r="C16" s="4"/>
      <c r="D16" s="3"/>
      <c r="E16" s="3"/>
      <c r="F16" s="3"/>
      <c r="G16" s="72"/>
      <c r="H16" s="161"/>
      <c r="I16" s="3"/>
      <c r="J16" s="3"/>
      <c r="K16" s="3"/>
      <c r="L16" s="4"/>
      <c r="M16" s="3"/>
      <c r="X16" s="108">
        <v>42810</v>
      </c>
      <c r="Y16" s="9">
        <v>82.56</v>
      </c>
      <c r="Z16" s="9">
        <v>83</v>
      </c>
      <c r="AA16" s="9">
        <v>82.46</v>
      </c>
      <c r="AB16" s="9">
        <v>82.89</v>
      </c>
      <c r="AC16" s="102">
        <v>1783600</v>
      </c>
      <c r="AD16" s="9">
        <v>82.89</v>
      </c>
      <c r="AE16" s="2">
        <f t="shared" si="0"/>
        <v>0.54000000000000625</v>
      </c>
      <c r="AF16" s="134">
        <f t="shared" si="1"/>
        <v>3.2679738562091387E-3</v>
      </c>
    </row>
    <row r="17" spans="1:32" x14ac:dyDescent="0.25">
      <c r="B17" s="72"/>
      <c r="C17" s="4"/>
      <c r="D17" s="3"/>
      <c r="E17" s="3"/>
      <c r="F17" s="3"/>
      <c r="G17" s="3"/>
      <c r="H17" s="161"/>
      <c r="I17" s="3"/>
      <c r="J17" s="3"/>
      <c r="K17" s="3"/>
      <c r="L17" s="4"/>
      <c r="M17" s="3"/>
      <c r="X17" s="108">
        <v>42809</v>
      </c>
      <c r="Y17" s="9">
        <v>82.04</v>
      </c>
      <c r="Z17" s="9">
        <v>82.75</v>
      </c>
      <c r="AA17" s="9">
        <v>82.04</v>
      </c>
      <c r="AB17" s="9">
        <v>82.62</v>
      </c>
      <c r="AC17" s="102">
        <v>1418800</v>
      </c>
      <c r="AD17" s="9">
        <v>82.62</v>
      </c>
      <c r="AE17" s="2">
        <f t="shared" si="0"/>
        <v>0.70999999999999375</v>
      </c>
      <c r="AF17" s="134">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8">
        <v>42808</v>
      </c>
      <c r="Y18" s="9">
        <v>82.05</v>
      </c>
      <c r="Z18" s="9">
        <v>82.31</v>
      </c>
      <c r="AA18" s="9">
        <v>81.83</v>
      </c>
      <c r="AB18" s="9">
        <v>82.18</v>
      </c>
      <c r="AC18" s="102">
        <v>1437100</v>
      </c>
      <c r="AD18" s="9">
        <v>82.18</v>
      </c>
      <c r="AE18" s="2">
        <f t="shared" si="0"/>
        <v>0.48000000000000398</v>
      </c>
      <c r="AF18" s="134">
        <f t="shared" si="1"/>
        <v>9.7442143727177744E-4</v>
      </c>
    </row>
    <row r="19" spans="1:32" x14ac:dyDescent="0.25">
      <c r="B19" s="72"/>
      <c r="C19" s="4"/>
      <c r="D19" s="3"/>
      <c r="E19" s="3"/>
      <c r="F19" s="3"/>
      <c r="G19" s="4"/>
      <c r="H19" s="4"/>
      <c r="I19" s="3"/>
      <c r="J19" s="3"/>
      <c r="K19" s="3"/>
      <c r="L19" s="4"/>
      <c r="M19" s="3"/>
      <c r="X19" s="108">
        <v>42807</v>
      </c>
      <c r="Y19" s="9">
        <v>81.87</v>
      </c>
      <c r="Z19" s="9">
        <v>82.13</v>
      </c>
      <c r="AA19" s="9">
        <v>81.72</v>
      </c>
      <c r="AB19" s="9">
        <v>82.1</v>
      </c>
      <c r="AC19" s="102">
        <v>1256700</v>
      </c>
      <c r="AD19" s="9">
        <v>82.1</v>
      </c>
      <c r="AE19" s="2">
        <f t="shared" si="0"/>
        <v>0.40999999999999659</v>
      </c>
      <c r="AF19" s="134">
        <f t="shared" si="1"/>
        <v>6.0938452163306067E-4</v>
      </c>
    </row>
    <row r="20" spans="1:32" x14ac:dyDescent="0.25">
      <c r="X20" s="108">
        <v>42804</v>
      </c>
      <c r="Y20" s="9">
        <v>81.819999999999993</v>
      </c>
      <c r="Z20" s="9">
        <v>82.11</v>
      </c>
      <c r="AA20" s="9">
        <v>81.569999999999993</v>
      </c>
      <c r="AB20" s="9">
        <v>82.05</v>
      </c>
      <c r="AC20" s="102">
        <v>1560600</v>
      </c>
      <c r="AD20" s="9">
        <v>82.05</v>
      </c>
      <c r="AE20" s="2">
        <f t="shared" si="0"/>
        <v>0.54000000000000625</v>
      </c>
      <c r="AF20" s="134">
        <f t="shared" si="1"/>
        <v>5.8845163663112654E-3</v>
      </c>
    </row>
    <row r="21" spans="1:32" x14ac:dyDescent="0.25">
      <c r="X21" s="108">
        <v>42803</v>
      </c>
      <c r="Y21" s="9">
        <v>81.319999999999993</v>
      </c>
      <c r="Z21" s="9">
        <v>81.63</v>
      </c>
      <c r="AA21" s="9">
        <v>81.069999999999993</v>
      </c>
      <c r="AB21" s="9">
        <v>81.569999999999993</v>
      </c>
      <c r="AC21" s="102">
        <v>1708500</v>
      </c>
      <c r="AD21" s="9">
        <v>81.569999999999993</v>
      </c>
      <c r="AE21" s="2">
        <f t="shared" si="0"/>
        <v>0.56000000000000227</v>
      </c>
      <c r="AF21" s="134">
        <f t="shared" si="1"/>
        <v>5.4233945519537308E-3</v>
      </c>
    </row>
    <row r="22" spans="1:32" x14ac:dyDescent="0.25">
      <c r="X22" s="108">
        <v>42802</v>
      </c>
      <c r="Y22" s="9">
        <v>81.87</v>
      </c>
      <c r="Z22" s="9">
        <v>81.97</v>
      </c>
      <c r="AA22" s="9">
        <v>80.94</v>
      </c>
      <c r="AB22" s="9">
        <v>81.13</v>
      </c>
      <c r="AC22" s="102">
        <v>1661400</v>
      </c>
      <c r="AD22" s="9">
        <v>81.13</v>
      </c>
      <c r="AE22" s="2">
        <f t="shared" si="0"/>
        <v>1.0300000000000011</v>
      </c>
      <c r="AF22" s="134">
        <f t="shared" si="1"/>
        <v>-4.0510680088386986E-3</v>
      </c>
    </row>
    <row r="23" spans="1:32" x14ac:dyDescent="0.25">
      <c r="X23" s="108">
        <v>42801</v>
      </c>
      <c r="Y23" s="9">
        <v>81.319999999999993</v>
      </c>
      <c r="Z23" s="9">
        <v>81.7</v>
      </c>
      <c r="AA23" s="9">
        <v>81.14</v>
      </c>
      <c r="AB23" s="9">
        <v>81.459999999999994</v>
      </c>
      <c r="AC23" s="102">
        <v>1621800</v>
      </c>
      <c r="AD23" s="9">
        <v>81.459999999999994</v>
      </c>
      <c r="AE23" s="2">
        <f t="shared" si="0"/>
        <v>0.56000000000000227</v>
      </c>
      <c r="AF23" s="134">
        <f t="shared" si="1"/>
        <v>1.4752889107449985E-3</v>
      </c>
    </row>
    <row r="24" spans="1:32" x14ac:dyDescent="0.25">
      <c r="X24" s="108">
        <v>42800</v>
      </c>
      <c r="Y24" s="9">
        <v>81.489999999999995</v>
      </c>
      <c r="Z24" s="9">
        <v>81.75</v>
      </c>
      <c r="AA24" s="9">
        <v>81.14</v>
      </c>
      <c r="AB24" s="9">
        <v>81.34</v>
      </c>
      <c r="AC24" s="102">
        <v>1657000</v>
      </c>
      <c r="AD24" s="9">
        <v>81.34</v>
      </c>
      <c r="AE24" s="2">
        <f t="shared" si="0"/>
        <v>0.60999999999999943</v>
      </c>
      <c r="AF24" s="134">
        <f t="shared" si="1"/>
        <v>-6.3523088199364253E-3</v>
      </c>
    </row>
    <row r="25" spans="1:32" x14ac:dyDescent="0.25">
      <c r="X25" s="108">
        <v>42797</v>
      </c>
      <c r="Y25" s="9">
        <v>81.83</v>
      </c>
      <c r="Z25" s="9">
        <v>82</v>
      </c>
      <c r="AA25" s="9">
        <v>81.400000000000006</v>
      </c>
      <c r="AB25" s="9">
        <v>81.86</v>
      </c>
      <c r="AC25" s="102">
        <v>2331400</v>
      </c>
      <c r="AD25" s="9">
        <v>81.86</v>
      </c>
      <c r="AE25" s="2">
        <f t="shared" si="0"/>
        <v>0.59999999999999432</v>
      </c>
      <c r="AF25" s="134">
        <f t="shared" si="1"/>
        <v>1.345565749235389E-3</v>
      </c>
    </row>
    <row r="26" spans="1:32" x14ac:dyDescent="0.25">
      <c r="B26" s="162" t="s">
        <v>113</v>
      </c>
      <c r="C26" s="162" t="s">
        <v>145</v>
      </c>
      <c r="D26" s="163" t="s">
        <v>144</v>
      </c>
      <c r="E26" s="165" t="s">
        <v>146</v>
      </c>
      <c r="F26" s="166" t="s">
        <v>65</v>
      </c>
      <c r="G26" s="177" t="s">
        <v>150</v>
      </c>
      <c r="H26" s="177" t="s">
        <v>88</v>
      </c>
      <c r="X26" s="108">
        <v>42796</v>
      </c>
      <c r="Y26" s="9">
        <v>82.89</v>
      </c>
      <c r="Z26" s="9">
        <v>83.05</v>
      </c>
      <c r="AA26" s="9">
        <v>81.739999999999995</v>
      </c>
      <c r="AB26" s="9">
        <v>81.75</v>
      </c>
      <c r="AC26" s="102">
        <v>2625100</v>
      </c>
      <c r="AD26" s="9">
        <v>81.75</v>
      </c>
      <c r="AE26" s="2">
        <f t="shared" si="0"/>
        <v>1.3100000000000023</v>
      </c>
      <c r="AF26" s="134">
        <f t="shared" si="1"/>
        <v>-1.1367759100253894E-2</v>
      </c>
    </row>
    <row r="27" spans="1:32" x14ac:dyDescent="0.25">
      <c r="B27" s="164">
        <v>42304</v>
      </c>
      <c r="C27" s="10">
        <v>120</v>
      </c>
      <c r="D27" s="39">
        <v>60.82</v>
      </c>
      <c r="E27" s="39">
        <v>60.29</v>
      </c>
      <c r="F27" s="39">
        <v>-63.92</v>
      </c>
      <c r="G27" s="39">
        <f>D27*C27</f>
        <v>7298.4</v>
      </c>
      <c r="H27" s="179">
        <f>IF(C27=0, 0, (E27-D27)/D27)</f>
        <v>-8.714238737257499E-3</v>
      </c>
      <c r="X27" s="108">
        <v>42795</v>
      </c>
      <c r="Y27" s="9">
        <v>82.52</v>
      </c>
      <c r="Z27" s="9">
        <v>82.83</v>
      </c>
      <c r="AA27" s="9">
        <v>82.1</v>
      </c>
      <c r="AB27" s="9">
        <v>82.69</v>
      </c>
      <c r="AC27" s="102">
        <v>2721300</v>
      </c>
      <c r="AD27" s="9">
        <v>82.69</v>
      </c>
      <c r="AE27" s="2">
        <f t="shared" si="0"/>
        <v>0.73000000000000398</v>
      </c>
      <c r="AF27" s="134">
        <f t="shared" si="1"/>
        <v>6.4508276533592479E-3</v>
      </c>
    </row>
    <row r="28" spans="1:32" x14ac:dyDescent="0.25">
      <c r="A28" s="30"/>
      <c r="B28" s="164">
        <v>42310</v>
      </c>
      <c r="C28" s="10">
        <v>170</v>
      </c>
      <c r="D28" s="39">
        <v>61.17</v>
      </c>
      <c r="E28" s="39">
        <v>61.8</v>
      </c>
      <c r="F28" s="39">
        <v>107.28</v>
      </c>
      <c r="G28" s="39">
        <f t="shared" ref="G28:G33" si="2">D28*C28</f>
        <v>10398.9</v>
      </c>
      <c r="H28" s="179">
        <f>IF(C28=0, 0, (E28-D28)/D28)</f>
        <v>1.0299166257969517E-2</v>
      </c>
      <c r="X28" s="108">
        <v>42794</v>
      </c>
      <c r="Y28" s="9">
        <v>81.290000000000006</v>
      </c>
      <c r="Z28" s="9">
        <v>82.29</v>
      </c>
      <c r="AA28" s="9">
        <v>81</v>
      </c>
      <c r="AB28" s="9">
        <v>82.16</v>
      </c>
      <c r="AC28" s="102">
        <v>2550500</v>
      </c>
      <c r="AD28" s="9">
        <v>82.16</v>
      </c>
      <c r="AE28" s="2">
        <f t="shared" si="0"/>
        <v>1.2900000000000063</v>
      </c>
      <c r="AF28" s="134">
        <f t="shared" si="1"/>
        <v>1.0081140890090934E-2</v>
      </c>
    </row>
    <row r="29" spans="1:32" x14ac:dyDescent="0.25">
      <c r="A29" s="30"/>
      <c r="B29" s="164">
        <v>42311</v>
      </c>
      <c r="C29" s="10">
        <v>70</v>
      </c>
      <c r="D29" s="39">
        <v>58.41</v>
      </c>
      <c r="E29" s="39">
        <v>63.16</v>
      </c>
      <c r="F29" s="39">
        <v>332.36</v>
      </c>
      <c r="G29" s="39">
        <f t="shared" si="2"/>
        <v>4088.7</v>
      </c>
      <c r="H29" s="179">
        <f>IF(C29=0, 0, (E29-D29)/D29)</f>
        <v>8.1321691491183026E-2</v>
      </c>
      <c r="X29" s="108">
        <v>42793</v>
      </c>
      <c r="Y29" s="9">
        <v>80.94</v>
      </c>
      <c r="Z29" s="9">
        <v>81.510000000000005</v>
      </c>
      <c r="AA29" s="9">
        <v>80.84</v>
      </c>
      <c r="AB29" s="9">
        <v>81.34</v>
      </c>
      <c r="AC29" s="102">
        <v>2103000</v>
      </c>
      <c r="AD29" s="9">
        <v>81.34</v>
      </c>
      <c r="AE29" s="2">
        <f t="shared" si="0"/>
        <v>0.67000000000000171</v>
      </c>
      <c r="AF29" s="134">
        <f t="shared" si="1"/>
        <v>5.3145470275615114E-3</v>
      </c>
    </row>
    <row r="30" spans="1:32" x14ac:dyDescent="0.25">
      <c r="A30" s="30"/>
      <c r="B30" s="164">
        <v>42326</v>
      </c>
      <c r="C30" s="10">
        <v>20</v>
      </c>
      <c r="D30" s="39">
        <v>45.45</v>
      </c>
      <c r="E30" s="39">
        <v>63.5</v>
      </c>
      <c r="F30" s="39">
        <v>361.1</v>
      </c>
      <c r="G30" s="39">
        <f t="shared" si="2"/>
        <v>909</v>
      </c>
      <c r="H30" s="179">
        <f>IF(C30=0, 0, (E30-D30)/D30)</f>
        <v>0.39713971397139708</v>
      </c>
      <c r="X30" s="108">
        <v>42790</v>
      </c>
      <c r="Y30" s="9">
        <v>80.180000000000007</v>
      </c>
      <c r="Z30" s="9">
        <v>80.91</v>
      </c>
      <c r="AA30" s="9">
        <v>79.89</v>
      </c>
      <c r="AB30" s="9">
        <v>80.91</v>
      </c>
      <c r="AC30" s="102">
        <v>1973300</v>
      </c>
      <c r="AD30" s="9">
        <v>80.91</v>
      </c>
      <c r="AE30" s="2">
        <f t="shared" si="0"/>
        <v>1.019999999999996</v>
      </c>
      <c r="AF30" s="134" t="e">
        <f t="shared" si="1"/>
        <v>#DIV/0!</v>
      </c>
    </row>
    <row r="31" spans="1:32" x14ac:dyDescent="0.25">
      <c r="B31" s="164">
        <v>42342</v>
      </c>
      <c r="C31" s="10">
        <v>0</v>
      </c>
      <c r="D31" s="39">
        <v>0</v>
      </c>
      <c r="E31" s="39">
        <v>62.77</v>
      </c>
      <c r="F31" s="39">
        <v>364.08</v>
      </c>
      <c r="G31" s="39">
        <f t="shared" si="2"/>
        <v>0</v>
      </c>
      <c r="H31" s="179"/>
      <c r="I31" s="167"/>
      <c r="X31" s="108">
        <v>42790</v>
      </c>
      <c r="Y31" s="9" t="s">
        <v>442</v>
      </c>
      <c r="Z31" s="9"/>
      <c r="AA31" s="9"/>
      <c r="AB31" s="9"/>
      <c r="AC31" s="102"/>
      <c r="AD31" s="9"/>
      <c r="AE31" s="2">
        <f t="shared" si="0"/>
        <v>0</v>
      </c>
      <c r="AF31" s="134">
        <f t="shared" si="1"/>
        <v>-1</v>
      </c>
    </row>
    <row r="32" spans="1:32" x14ac:dyDescent="0.25">
      <c r="B32" s="164">
        <v>42373</v>
      </c>
      <c r="C32" s="10">
        <v>40</v>
      </c>
      <c r="D32" s="39">
        <v>50.76</v>
      </c>
      <c r="E32" s="39">
        <v>60.67</v>
      </c>
      <c r="F32" s="39">
        <v>396.48</v>
      </c>
      <c r="G32" s="39">
        <f t="shared" si="2"/>
        <v>2030.3999999999999</v>
      </c>
      <c r="H32" s="179">
        <f>IF(C32=0, 0, (E32-D32)/D32)</f>
        <v>0.19523246650906234</v>
      </c>
      <c r="X32" s="108">
        <v>42789</v>
      </c>
      <c r="Y32" s="9">
        <v>80.400000000000006</v>
      </c>
      <c r="Z32" s="9">
        <v>80.900000000000006</v>
      </c>
      <c r="AA32" s="9">
        <v>80.31</v>
      </c>
      <c r="AB32" s="9">
        <v>80.55</v>
      </c>
      <c r="AC32" s="102">
        <v>3190200</v>
      </c>
      <c r="AD32" s="9">
        <v>80.180000000000007</v>
      </c>
      <c r="AE32" s="2">
        <f t="shared" si="0"/>
        <v>0.59000000000000341</v>
      </c>
      <c r="AF32" s="134">
        <f t="shared" si="1"/>
        <v>-3.740182022190508E-4</v>
      </c>
    </row>
    <row r="33" spans="1:32" x14ac:dyDescent="0.25">
      <c r="B33" s="164">
        <v>42410</v>
      </c>
      <c r="C33" s="10">
        <v>0</v>
      </c>
      <c r="D33" s="39">
        <v>0</v>
      </c>
      <c r="E33" s="39">
        <v>0</v>
      </c>
      <c r="F33" s="39">
        <v>523.62</v>
      </c>
      <c r="G33" s="39">
        <f t="shared" si="2"/>
        <v>0</v>
      </c>
      <c r="H33" s="179"/>
      <c r="X33" s="108">
        <v>42788</v>
      </c>
      <c r="Y33" s="9">
        <v>80.13</v>
      </c>
      <c r="Z33" s="9">
        <v>80.78</v>
      </c>
      <c r="AA33" s="9">
        <v>80.06</v>
      </c>
      <c r="AB33" s="9">
        <v>80.58</v>
      </c>
      <c r="AC33" s="102">
        <v>2438500</v>
      </c>
      <c r="AD33" s="9">
        <v>80.209999999999994</v>
      </c>
      <c r="AE33" s="2">
        <f t="shared" si="0"/>
        <v>0.71999999999999886</v>
      </c>
      <c r="AF33" s="134">
        <f t="shared" si="1"/>
        <v>-4.984423676013261E-4</v>
      </c>
    </row>
    <row r="34" spans="1:32" x14ac:dyDescent="0.25">
      <c r="B34" s="10"/>
      <c r="C34" s="10"/>
      <c r="D34" s="39"/>
      <c r="E34" s="39"/>
      <c r="F34" s="39"/>
      <c r="G34" s="39"/>
      <c r="H34" s="179"/>
      <c r="X34" s="108">
        <v>42787</v>
      </c>
      <c r="Y34" s="9">
        <v>80.56</v>
      </c>
      <c r="Z34" s="9">
        <v>80.8</v>
      </c>
      <c r="AA34" s="9">
        <v>80.31</v>
      </c>
      <c r="AB34" s="9">
        <v>80.62</v>
      </c>
      <c r="AC34" s="102">
        <v>2436700</v>
      </c>
      <c r="AD34" s="9">
        <v>80.25</v>
      </c>
      <c r="AE34" s="2">
        <f t="shared" si="0"/>
        <v>0.48999999999999488</v>
      </c>
      <c r="AF34" s="134">
        <f t="shared" si="1"/>
        <v>2.2480329711502822E-3</v>
      </c>
    </row>
    <row r="35" spans="1:32" ht="20.25" thickBot="1" x14ac:dyDescent="0.35">
      <c r="B35" s="10"/>
      <c r="C35" s="10"/>
      <c r="D35" s="39"/>
      <c r="E35" s="39"/>
      <c r="F35" s="39"/>
      <c r="G35" s="39"/>
      <c r="H35" s="179"/>
      <c r="O35" s="884" t="s">
        <v>78</v>
      </c>
      <c r="P35" s="884"/>
      <c r="X35" s="108">
        <v>42783</v>
      </c>
      <c r="Y35" s="9">
        <v>80.47</v>
      </c>
      <c r="Z35" s="9">
        <v>80.48</v>
      </c>
      <c r="AA35" s="9">
        <v>80.08</v>
      </c>
      <c r="AB35" s="9">
        <v>80.44</v>
      </c>
      <c r="AC35" s="102">
        <v>1920300</v>
      </c>
      <c r="AD35" s="9">
        <v>80.069999999999993</v>
      </c>
      <c r="AE35" s="2">
        <f t="shared" si="0"/>
        <v>0.40000000000000568</v>
      </c>
      <c r="AF35" s="134">
        <f t="shared" si="1"/>
        <v>-4.4759418127565676E-3</v>
      </c>
    </row>
    <row r="36" spans="1:32" ht="15.75" thickTop="1" x14ac:dyDescent="0.25">
      <c r="B36" s="10"/>
      <c r="C36" s="10"/>
      <c r="D36" s="39"/>
      <c r="E36" s="39"/>
      <c r="F36" s="39"/>
      <c r="G36" s="39"/>
      <c r="H36" s="179"/>
      <c r="O36" s="81">
        <v>1.1000000000000001</v>
      </c>
      <c r="P36" s="81">
        <f>O36*$Q$4</f>
        <v>96.074000000000012</v>
      </c>
      <c r="Q36" s="2"/>
      <c r="X36" s="108">
        <v>42782</v>
      </c>
      <c r="Y36" s="9">
        <v>80.62</v>
      </c>
      <c r="Z36" s="9">
        <v>80.819999999999993</v>
      </c>
      <c r="AA36" s="9">
        <v>80.400000000000006</v>
      </c>
      <c r="AB36" s="9">
        <v>80.8</v>
      </c>
      <c r="AC36" s="102">
        <v>1779000</v>
      </c>
      <c r="AD36" s="9">
        <v>80.430000000000007</v>
      </c>
      <c r="AE36" s="2">
        <f t="shared" si="0"/>
        <v>0.41999999999998749</v>
      </c>
      <c r="AF36" s="134">
        <f t="shared" si="1"/>
        <v>1.1202389843167904E-3</v>
      </c>
    </row>
    <row r="37" spans="1:32" ht="15" customHeight="1" x14ac:dyDescent="0.25">
      <c r="B37" s="10"/>
      <c r="C37" s="10"/>
      <c r="D37" s="39"/>
      <c r="E37" s="39"/>
      <c r="F37" s="39"/>
      <c r="G37" s="39"/>
      <c r="H37" s="179"/>
      <c r="O37" s="81">
        <v>1.0900000000000001</v>
      </c>
      <c r="P37" s="81">
        <f t="shared" ref="P37:P56" si="3">O37*$Q$4</f>
        <v>95.200600000000009</v>
      </c>
      <c r="Q37" s="2"/>
      <c r="X37" s="108">
        <v>42781</v>
      </c>
      <c r="Y37" s="9">
        <v>80</v>
      </c>
      <c r="Z37" s="9">
        <v>80.72</v>
      </c>
      <c r="AA37" s="9">
        <v>79.59</v>
      </c>
      <c r="AB37" s="9">
        <v>80.709999999999994</v>
      </c>
      <c r="AC37" s="102">
        <v>1820200</v>
      </c>
      <c r="AD37" s="9">
        <v>80.34</v>
      </c>
      <c r="AE37" s="2">
        <f t="shared" si="0"/>
        <v>1.1299999999999955</v>
      </c>
      <c r="AF37" s="134">
        <f t="shared" si="1"/>
        <v>1.1456628477904962E-2</v>
      </c>
    </row>
    <row r="38" spans="1:32" x14ac:dyDescent="0.25">
      <c r="B38" s="10"/>
      <c r="C38" s="10"/>
      <c r="D38" s="39"/>
      <c r="E38" s="39"/>
      <c r="F38" s="39"/>
      <c r="G38" s="39"/>
      <c r="H38" s="179"/>
      <c r="O38" s="81">
        <v>1.08</v>
      </c>
      <c r="P38" s="81">
        <f t="shared" si="3"/>
        <v>94.327200000000005</v>
      </c>
      <c r="Q38" s="2"/>
      <c r="X38" s="108">
        <v>42780</v>
      </c>
      <c r="Y38" s="9">
        <v>79.72</v>
      </c>
      <c r="Z38" s="9">
        <v>79.819999999999993</v>
      </c>
      <c r="AA38" s="9">
        <v>79.099999999999994</v>
      </c>
      <c r="AB38" s="9">
        <v>79.8</v>
      </c>
      <c r="AC38" s="102">
        <v>1798000</v>
      </c>
      <c r="AD38" s="9">
        <v>79.430000000000007</v>
      </c>
      <c r="AE38" s="2">
        <f t="shared" si="0"/>
        <v>0.71999999999999886</v>
      </c>
      <c r="AF38" s="134">
        <f t="shared" si="1"/>
        <v>2.3977788995457328E-3</v>
      </c>
    </row>
    <row r="39" spans="1:32" ht="20.25" thickBot="1" x14ac:dyDescent="0.35">
      <c r="O39" s="81">
        <v>1.07</v>
      </c>
      <c r="P39" s="81">
        <f t="shared" si="3"/>
        <v>93.453800000000015</v>
      </c>
      <c r="Q39" s="2"/>
      <c r="T39" s="110" t="s">
        <v>92</v>
      </c>
      <c r="U39" s="2"/>
      <c r="X39" s="108">
        <v>42779</v>
      </c>
      <c r="Y39" s="9">
        <v>78.95</v>
      </c>
      <c r="Z39" s="9">
        <v>79.64</v>
      </c>
      <c r="AA39" s="9">
        <v>78.81</v>
      </c>
      <c r="AB39" s="9">
        <v>79.61</v>
      </c>
      <c r="AC39" s="102">
        <v>1427500</v>
      </c>
      <c r="AD39" s="9">
        <v>79.239999999999995</v>
      </c>
      <c r="AE39" s="2">
        <f t="shared" si="0"/>
        <v>0.82999999999999829</v>
      </c>
      <c r="AF39" s="134">
        <f t="shared" si="1"/>
        <v>9.1696383087112032E-3</v>
      </c>
    </row>
    <row r="40" spans="1:32" ht="15.75" thickTop="1" x14ac:dyDescent="0.25">
      <c r="L40" t="s">
        <v>203</v>
      </c>
      <c r="M40" s="2">
        <f>K56+M56-F56</f>
        <v>523.61999999999898</v>
      </c>
      <c r="O40" s="81">
        <v>1.06</v>
      </c>
      <c r="P40" s="81">
        <f t="shared" si="3"/>
        <v>92.580400000000012</v>
      </c>
      <c r="Q40" s="2"/>
      <c r="T40" s="111" t="s">
        <v>97</v>
      </c>
      <c r="U40" s="104">
        <v>81.63</v>
      </c>
      <c r="X40" s="108">
        <v>42776</v>
      </c>
      <c r="Y40" s="9">
        <v>78.55</v>
      </c>
      <c r="Z40" s="9">
        <v>79.31</v>
      </c>
      <c r="AA40" s="9">
        <v>78.13</v>
      </c>
      <c r="AB40" s="9">
        <v>78.88</v>
      </c>
      <c r="AC40" s="102">
        <v>1636700</v>
      </c>
      <c r="AD40" s="9">
        <v>78.52</v>
      </c>
      <c r="AE40" s="2">
        <f t="shared" si="0"/>
        <v>1.1800000000000068</v>
      </c>
      <c r="AF40" s="134">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81">
        <v>1.05</v>
      </c>
      <c r="P41" s="81">
        <f t="shared" si="3"/>
        <v>91.707000000000008</v>
      </c>
      <c r="Q41" s="2"/>
      <c r="T41" s="111" t="s">
        <v>98</v>
      </c>
      <c r="U41" s="104">
        <v>81.81</v>
      </c>
      <c r="X41" s="108">
        <v>42775</v>
      </c>
      <c r="Y41" s="9">
        <v>77.989999999999995</v>
      </c>
      <c r="Z41" s="9">
        <v>78.39</v>
      </c>
      <c r="AA41" s="9">
        <v>77.73</v>
      </c>
      <c r="AB41" s="9">
        <v>78.349999999999994</v>
      </c>
      <c r="AC41" s="102">
        <v>1912700</v>
      </c>
      <c r="AD41" s="9">
        <v>77.989999999999995</v>
      </c>
      <c r="AE41" s="2">
        <f t="shared" si="0"/>
        <v>0.65999999999999659</v>
      </c>
      <c r="AF41" s="134">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81">
        <v>1.04</v>
      </c>
      <c r="P42" s="81">
        <f t="shared" si="3"/>
        <v>90.833600000000004</v>
      </c>
      <c r="Q42" s="2"/>
      <c r="T42" s="111" t="s">
        <v>99</v>
      </c>
      <c r="U42" s="104" t="s">
        <v>128</v>
      </c>
      <c r="X42" s="108">
        <v>42774</v>
      </c>
      <c r="Y42" s="9">
        <v>78.099999999999994</v>
      </c>
      <c r="Z42" s="9">
        <v>78.19</v>
      </c>
      <c r="AA42" s="9">
        <v>77.8</v>
      </c>
      <c r="AB42" s="9">
        <v>77.989999999999995</v>
      </c>
      <c r="AC42" s="102">
        <v>1496600</v>
      </c>
      <c r="AD42" s="9">
        <v>77.63</v>
      </c>
      <c r="AE42" s="2">
        <f t="shared" si="0"/>
        <v>0.39000000000000057</v>
      </c>
      <c r="AF42" s="134">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81">
        <v>1.03</v>
      </c>
      <c r="P43" s="81">
        <f t="shared" si="3"/>
        <v>89.9602</v>
      </c>
      <c r="Q43" s="2"/>
      <c r="T43" s="111" t="s">
        <v>100</v>
      </c>
      <c r="U43" s="104" t="s">
        <v>128</v>
      </c>
      <c r="X43" s="108">
        <v>42773</v>
      </c>
      <c r="Y43" s="9">
        <v>78.5</v>
      </c>
      <c r="Z43" s="9">
        <v>78.680000000000007</v>
      </c>
      <c r="AA43" s="9">
        <v>78.069999999999993</v>
      </c>
      <c r="AB43" s="9">
        <v>78.12</v>
      </c>
      <c r="AC43" s="102">
        <v>1764900</v>
      </c>
      <c r="AD43" s="9">
        <v>77.760000000000005</v>
      </c>
      <c r="AE43" s="2">
        <f t="shared" si="0"/>
        <v>0.61000000000001364</v>
      </c>
      <c r="AF43" s="134">
        <f t="shared" si="1"/>
        <v>5.146680391148184E-4</v>
      </c>
    </row>
    <row r="44" spans="1:32" x14ac:dyDescent="0.25">
      <c r="B44" s="1">
        <v>42223</v>
      </c>
      <c r="C44" s="7">
        <v>40</v>
      </c>
      <c r="D44" s="43">
        <v>62.45</v>
      </c>
      <c r="E44" s="43">
        <v>0</v>
      </c>
      <c r="F44" s="43">
        <f t="shared" si="4"/>
        <v>2498</v>
      </c>
      <c r="G44" s="1">
        <v>42284</v>
      </c>
      <c r="H44" s="80">
        <v>50</v>
      </c>
      <c r="I44" s="43">
        <v>59.05</v>
      </c>
      <c r="J44" s="43">
        <v>0.05</v>
      </c>
      <c r="K44" s="43">
        <f t="shared" si="5"/>
        <v>2952.45</v>
      </c>
      <c r="O44" s="81">
        <v>1.02</v>
      </c>
      <c r="P44" s="81">
        <f t="shared" si="3"/>
        <v>89.086800000000011</v>
      </c>
      <c r="Q44" s="2"/>
      <c r="T44" s="111" t="s">
        <v>101</v>
      </c>
      <c r="U44" s="104">
        <v>85.4</v>
      </c>
      <c r="X44" s="108">
        <v>42772</v>
      </c>
      <c r="Y44" s="9">
        <v>77.430000000000007</v>
      </c>
      <c r="Z44" s="9">
        <v>78.22</v>
      </c>
      <c r="AA44" s="9">
        <v>76.97</v>
      </c>
      <c r="AB44" s="9">
        <v>78.08</v>
      </c>
      <c r="AC44" s="102">
        <v>2348300</v>
      </c>
      <c r="AD44" s="9">
        <v>77.72</v>
      </c>
      <c r="AE44" s="2">
        <f t="shared" si="0"/>
        <v>1.25</v>
      </c>
      <c r="AF44" s="134">
        <f t="shared" si="1"/>
        <v>7.7800829875518396E-3</v>
      </c>
    </row>
    <row r="45" spans="1:32" x14ac:dyDescent="0.25">
      <c r="B45" s="1">
        <v>42223</v>
      </c>
      <c r="C45" s="7">
        <v>30</v>
      </c>
      <c r="D45" s="43">
        <v>62</v>
      </c>
      <c r="E45" s="43">
        <v>0</v>
      </c>
      <c r="F45" s="43">
        <f t="shared" si="4"/>
        <v>1860</v>
      </c>
      <c r="G45" s="1">
        <v>42314</v>
      </c>
      <c r="H45" s="80">
        <v>100</v>
      </c>
      <c r="I45" s="43">
        <v>63.1</v>
      </c>
      <c r="J45" s="43">
        <v>0.12</v>
      </c>
      <c r="K45" s="43">
        <f t="shared" si="5"/>
        <v>6309.88</v>
      </c>
      <c r="O45" s="81">
        <v>1.01</v>
      </c>
      <c r="P45" s="81">
        <f t="shared" si="3"/>
        <v>88.213400000000007</v>
      </c>
      <c r="Q45" s="2"/>
      <c r="T45" s="111" t="s">
        <v>102</v>
      </c>
      <c r="U45" s="104">
        <v>0.98780999999999997</v>
      </c>
      <c r="X45" s="108">
        <v>42769</v>
      </c>
      <c r="Y45" s="9">
        <v>77.92</v>
      </c>
      <c r="Z45" s="9">
        <v>78</v>
      </c>
      <c r="AA45" s="9">
        <v>77.290000000000006</v>
      </c>
      <c r="AB45" s="9">
        <v>77.48</v>
      </c>
      <c r="AC45" s="102">
        <v>2109700</v>
      </c>
      <c r="AD45" s="9">
        <v>77.12</v>
      </c>
      <c r="AE45" s="2">
        <f t="shared" si="0"/>
        <v>0.70999999999999375</v>
      </c>
      <c r="AF45" s="134">
        <f t="shared" si="1"/>
        <v>1.0384215991692258E-3</v>
      </c>
    </row>
    <row r="46" spans="1:32" x14ac:dyDescent="0.25">
      <c r="B46" s="1">
        <v>42223</v>
      </c>
      <c r="C46" s="7">
        <v>30</v>
      </c>
      <c r="D46" s="43">
        <v>62.98</v>
      </c>
      <c r="E46" s="43">
        <v>0</v>
      </c>
      <c r="F46" s="43">
        <f t="shared" si="4"/>
        <v>1889.3999999999999</v>
      </c>
      <c r="G46" s="1">
        <v>42331</v>
      </c>
      <c r="H46" s="80">
        <v>50</v>
      </c>
      <c r="I46" s="43">
        <v>63.6</v>
      </c>
      <c r="J46" s="43">
        <v>0.06</v>
      </c>
      <c r="K46" s="43">
        <f t="shared" si="5"/>
        <v>3179.94</v>
      </c>
      <c r="O46" s="81">
        <v>1</v>
      </c>
      <c r="P46" s="81">
        <f t="shared" si="3"/>
        <v>87.34</v>
      </c>
      <c r="Q46" s="2"/>
      <c r="T46" s="111" t="s">
        <v>103</v>
      </c>
      <c r="U46" s="104" t="s">
        <v>384</v>
      </c>
      <c r="X46" s="108">
        <v>42768</v>
      </c>
      <c r="Y46" s="9">
        <v>76.739999999999995</v>
      </c>
      <c r="Z46" s="9">
        <v>78.12</v>
      </c>
      <c r="AA46" s="9">
        <v>76.38</v>
      </c>
      <c r="AB46" s="9">
        <v>77.400000000000006</v>
      </c>
      <c r="AC46" s="102">
        <v>3883200</v>
      </c>
      <c r="AD46" s="9">
        <v>77.040000000000006</v>
      </c>
      <c r="AE46" s="2">
        <f t="shared" si="0"/>
        <v>1.7400000000000091</v>
      </c>
      <c r="AF46" s="134">
        <f t="shared" si="1"/>
        <v>2.8708772866871568E-2</v>
      </c>
    </row>
    <row r="47" spans="1:32" x14ac:dyDescent="0.25">
      <c r="B47" s="1">
        <v>42223</v>
      </c>
      <c r="C47" s="7">
        <v>30</v>
      </c>
      <c r="D47" s="43">
        <v>61.3</v>
      </c>
      <c r="E47" s="43">
        <v>0</v>
      </c>
      <c r="F47" s="43">
        <f t="shared" si="4"/>
        <v>1839</v>
      </c>
      <c r="G47" s="1">
        <v>42347</v>
      </c>
      <c r="H47" s="80">
        <v>20</v>
      </c>
      <c r="I47" s="43">
        <v>63.65</v>
      </c>
      <c r="J47" s="43">
        <v>0.02</v>
      </c>
      <c r="K47" s="43">
        <f t="shared" si="5"/>
        <v>1272.98</v>
      </c>
      <c r="O47" s="81">
        <v>0.99</v>
      </c>
      <c r="P47" s="81">
        <f t="shared" si="3"/>
        <v>86.4666</v>
      </c>
      <c r="Q47" s="2"/>
      <c r="T47" s="111"/>
      <c r="U47" s="104"/>
      <c r="X47" s="108">
        <v>42767</v>
      </c>
      <c r="Y47" s="9">
        <v>75.569999999999993</v>
      </c>
      <c r="Z47" s="9">
        <v>75.97</v>
      </c>
      <c r="AA47" s="9">
        <v>75</v>
      </c>
      <c r="AB47" s="9">
        <v>75.239999999999995</v>
      </c>
      <c r="AC47" s="102">
        <v>2411700</v>
      </c>
      <c r="AD47" s="9">
        <v>74.89</v>
      </c>
      <c r="AE47" s="2">
        <f t="shared" si="0"/>
        <v>0.96999999999999886</v>
      </c>
      <c r="AF47" s="134">
        <f t="shared" si="1"/>
        <v>4.0074806305101518E-4</v>
      </c>
    </row>
    <row r="48" spans="1:32" x14ac:dyDescent="0.25">
      <c r="B48" s="1">
        <v>42270</v>
      </c>
      <c r="C48" s="7">
        <v>50</v>
      </c>
      <c r="D48" s="43">
        <v>58.15</v>
      </c>
      <c r="E48" s="43">
        <v>0</v>
      </c>
      <c r="F48" s="43">
        <f t="shared" si="4"/>
        <v>2907.5</v>
      </c>
      <c r="G48" s="1">
        <v>42410</v>
      </c>
      <c r="H48" s="80">
        <v>40</v>
      </c>
      <c r="I48" s="43">
        <v>63.85</v>
      </c>
      <c r="J48" s="43">
        <v>0.06</v>
      </c>
      <c r="K48" s="43">
        <f t="shared" si="5"/>
        <v>2553.94</v>
      </c>
      <c r="O48" s="81">
        <v>0.98</v>
      </c>
      <c r="P48" s="81">
        <f t="shared" si="3"/>
        <v>85.593199999999996</v>
      </c>
      <c r="Q48" s="2"/>
      <c r="T48" s="111" t="s">
        <v>104</v>
      </c>
      <c r="U48" s="104" t="s">
        <v>613</v>
      </c>
      <c r="X48" s="108">
        <v>42766</v>
      </c>
      <c r="Y48" s="9">
        <v>75.27</v>
      </c>
      <c r="Z48" s="9">
        <v>75.58</v>
      </c>
      <c r="AA48" s="9">
        <v>74.739999999999995</v>
      </c>
      <c r="AB48" s="9">
        <v>75.209999999999994</v>
      </c>
      <c r="AC48" s="102">
        <v>2041900</v>
      </c>
      <c r="AD48" s="9">
        <v>74.86</v>
      </c>
      <c r="AE48" s="2">
        <f t="shared" si="0"/>
        <v>0.84000000000000341</v>
      </c>
      <c r="AF48" s="134">
        <f t="shared" si="1"/>
        <v>-5.3149083178315459E-3</v>
      </c>
    </row>
    <row r="49" spans="1:32" x14ac:dyDescent="0.25">
      <c r="B49" s="1">
        <v>42282</v>
      </c>
      <c r="C49" s="7">
        <v>20</v>
      </c>
      <c r="D49" s="43">
        <v>57.85</v>
      </c>
      <c r="E49" s="43">
        <v>0</v>
      </c>
      <c r="F49" s="43">
        <f t="shared" si="4"/>
        <v>1157</v>
      </c>
      <c r="G49" s="2"/>
      <c r="H49" s="70"/>
      <c r="O49" s="81">
        <v>0.97</v>
      </c>
      <c r="P49" s="81">
        <f t="shared" si="3"/>
        <v>84.719800000000006</v>
      </c>
      <c r="T49" s="111" t="s">
        <v>105</v>
      </c>
      <c r="U49" s="104" t="s">
        <v>499</v>
      </c>
      <c r="X49" s="108">
        <v>42765</v>
      </c>
      <c r="Y49" s="9">
        <v>75.489999999999995</v>
      </c>
      <c r="Z49" s="9">
        <v>75.67</v>
      </c>
      <c r="AA49" s="9">
        <v>75.13</v>
      </c>
      <c r="AB49" s="9">
        <v>75.61</v>
      </c>
      <c r="AC49" s="102">
        <v>1748100</v>
      </c>
      <c r="AD49" s="9">
        <v>75.260000000000005</v>
      </c>
      <c r="AE49" s="2">
        <f t="shared" si="0"/>
        <v>0.54000000000000625</v>
      </c>
      <c r="AF49" s="134">
        <f t="shared" si="1"/>
        <v>2.658160552899691E-4</v>
      </c>
    </row>
    <row r="50" spans="1:32" x14ac:dyDescent="0.25">
      <c r="B50" s="1">
        <v>42313</v>
      </c>
      <c r="C50" s="7">
        <v>50</v>
      </c>
      <c r="D50" s="43">
        <v>62</v>
      </c>
      <c r="E50" s="43">
        <v>0</v>
      </c>
      <c r="F50" s="43">
        <f t="shared" si="4"/>
        <v>3100</v>
      </c>
      <c r="H50" s="70"/>
      <c r="O50" s="81">
        <v>0.96</v>
      </c>
      <c r="P50" s="81">
        <f t="shared" si="3"/>
        <v>83.846400000000003</v>
      </c>
      <c r="T50" s="111" t="s">
        <v>106</v>
      </c>
      <c r="U50" s="105">
        <v>1575151</v>
      </c>
      <c r="X50" s="108">
        <v>42762</v>
      </c>
      <c r="Y50" s="9">
        <v>75.290000000000006</v>
      </c>
      <c r="Z50" s="9">
        <v>75.81</v>
      </c>
      <c r="AA50" s="9">
        <v>75.22</v>
      </c>
      <c r="AB50" s="9">
        <v>75.59</v>
      </c>
      <c r="AC50" s="102">
        <v>1275500</v>
      </c>
      <c r="AD50" s="9">
        <v>75.239999999999995</v>
      </c>
      <c r="AE50" s="2">
        <f t="shared" si="0"/>
        <v>0.59000000000000341</v>
      </c>
      <c r="AF50" s="134">
        <f t="shared" si="1"/>
        <v>-2.9154518950437192E-3</v>
      </c>
    </row>
    <row r="51" spans="1:32" x14ac:dyDescent="0.25">
      <c r="B51" s="1">
        <v>42373</v>
      </c>
      <c r="C51" s="7">
        <v>40</v>
      </c>
      <c r="D51" s="43">
        <v>60.01</v>
      </c>
      <c r="E51" s="43">
        <v>0</v>
      </c>
      <c r="F51" s="43">
        <f t="shared" si="4"/>
        <v>2400.4</v>
      </c>
      <c r="O51" s="81">
        <v>0.95</v>
      </c>
      <c r="P51" s="81">
        <f t="shared" si="3"/>
        <v>82.972999999999999</v>
      </c>
      <c r="T51" s="111" t="s">
        <v>109</v>
      </c>
      <c r="U51" s="105">
        <v>1788130</v>
      </c>
      <c r="X51" s="108">
        <v>42761</v>
      </c>
      <c r="Y51" s="9">
        <v>75.42</v>
      </c>
      <c r="Z51" s="9">
        <v>75.849999999999994</v>
      </c>
      <c r="AA51" s="9">
        <v>75.209999999999994</v>
      </c>
      <c r="AB51" s="9">
        <v>75.81</v>
      </c>
      <c r="AC51" s="102">
        <v>1574900</v>
      </c>
      <c r="AD51" s="9">
        <v>75.459999999999994</v>
      </c>
      <c r="AE51" s="2">
        <f t="shared" si="0"/>
        <v>0.64000000000000057</v>
      </c>
      <c r="AF51" s="134">
        <f t="shared" si="1"/>
        <v>5.5970149253730117E-3</v>
      </c>
    </row>
    <row r="52" spans="1:32" x14ac:dyDescent="0.25">
      <c r="O52" s="81">
        <v>0.94</v>
      </c>
      <c r="P52" s="81">
        <f t="shared" si="3"/>
        <v>82.099599999999995</v>
      </c>
      <c r="T52" s="111" t="s">
        <v>107</v>
      </c>
      <c r="U52" s="104" t="s">
        <v>614</v>
      </c>
      <c r="X52" s="108">
        <v>42760</v>
      </c>
      <c r="Y52" s="9">
        <v>74.77</v>
      </c>
      <c r="Z52" s="9">
        <v>75.53</v>
      </c>
      <c r="AA52" s="9">
        <v>74.739999999999995</v>
      </c>
      <c r="AB52" s="9">
        <v>75.39</v>
      </c>
      <c r="AC52" s="102">
        <v>1769100</v>
      </c>
      <c r="AD52" s="9">
        <v>75.040000000000006</v>
      </c>
      <c r="AE52" s="2">
        <f t="shared" si="0"/>
        <v>0.79000000000000625</v>
      </c>
      <c r="AF52" s="134">
        <f t="shared" si="1"/>
        <v>1.2275731822474212E-2</v>
      </c>
    </row>
    <row r="53" spans="1:32" x14ac:dyDescent="0.25">
      <c r="O53" s="81">
        <v>0.93</v>
      </c>
      <c r="P53" s="81">
        <f t="shared" si="3"/>
        <v>81.226200000000006</v>
      </c>
      <c r="T53" s="111" t="s">
        <v>110</v>
      </c>
      <c r="U53" s="104">
        <v>17.43</v>
      </c>
      <c r="X53" s="108">
        <v>42759</v>
      </c>
      <c r="Y53" s="9">
        <v>74.239999999999995</v>
      </c>
      <c r="Z53" s="9">
        <v>74.66</v>
      </c>
      <c r="AA53" s="9">
        <v>73.97</v>
      </c>
      <c r="AB53" s="9">
        <v>74.47</v>
      </c>
      <c r="AC53" s="102">
        <v>1075500</v>
      </c>
      <c r="AD53" s="9">
        <v>74.13</v>
      </c>
      <c r="AE53" s="2">
        <f t="shared" si="0"/>
        <v>0.68999999999999773</v>
      </c>
      <c r="AF53" s="134">
        <f t="shared" si="1"/>
        <v>4.3354559002843907E-3</v>
      </c>
    </row>
    <row r="54" spans="1:32" x14ac:dyDescent="0.25">
      <c r="O54" s="81">
        <v>0.92</v>
      </c>
      <c r="P54" s="81">
        <f t="shared" si="3"/>
        <v>80.352800000000002</v>
      </c>
      <c r="T54" s="111" t="s">
        <v>111</v>
      </c>
      <c r="U54" s="104">
        <v>4.67</v>
      </c>
      <c r="X54" s="108">
        <v>42758</v>
      </c>
      <c r="Y54" s="9">
        <v>74.59</v>
      </c>
      <c r="Z54" s="9">
        <v>74.650000000000006</v>
      </c>
      <c r="AA54" s="9">
        <v>73.959999999999994</v>
      </c>
      <c r="AB54" s="9">
        <v>74.150000000000006</v>
      </c>
      <c r="AC54" s="102">
        <v>1232700</v>
      </c>
      <c r="AD54" s="9">
        <v>73.81</v>
      </c>
      <c r="AE54" s="2">
        <f t="shared" si="0"/>
        <v>0.69000000000001194</v>
      </c>
      <c r="AF54" s="134">
        <f t="shared" si="1"/>
        <v>-5.2560646900269292E-3</v>
      </c>
    </row>
    <row r="55" spans="1:32" x14ac:dyDescent="0.25">
      <c r="O55" s="81">
        <v>0.91</v>
      </c>
      <c r="P55" s="81">
        <f t="shared" si="3"/>
        <v>79.479400000000012</v>
      </c>
      <c r="T55" s="111" t="s">
        <v>108</v>
      </c>
      <c r="U55" s="104" t="s">
        <v>535</v>
      </c>
      <c r="X55" s="108">
        <v>42755</v>
      </c>
      <c r="Y55" s="9">
        <v>74.37</v>
      </c>
      <c r="Z55" s="9">
        <v>74.959999999999994</v>
      </c>
      <c r="AA55" s="9">
        <v>74.37</v>
      </c>
      <c r="AB55" s="9">
        <v>74.540000000000006</v>
      </c>
      <c r="AC55" s="102">
        <v>1528400</v>
      </c>
      <c r="AD55" s="9">
        <v>74.2</v>
      </c>
      <c r="AE55" s="2">
        <f t="shared" si="0"/>
        <v>0.5899999999999892</v>
      </c>
      <c r="AF55" s="134">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81">
        <v>0.9</v>
      </c>
      <c r="P56" s="81">
        <f t="shared" si="3"/>
        <v>78.606000000000009</v>
      </c>
      <c r="X56" s="108">
        <v>42754</v>
      </c>
      <c r="Y56" s="9">
        <v>74.66</v>
      </c>
      <c r="Z56" s="9">
        <v>74.78</v>
      </c>
      <c r="AA56" s="9">
        <v>73.900000000000006</v>
      </c>
      <c r="AB56" s="9">
        <v>74.22</v>
      </c>
      <c r="AC56" s="102">
        <v>1282100</v>
      </c>
      <c r="AD56" s="9">
        <v>73.88</v>
      </c>
      <c r="AE56" s="2">
        <f t="shared" si="0"/>
        <v>0.87999999999999545</v>
      </c>
      <c r="AF56" s="134">
        <f t="shared" si="1"/>
        <v>-4.0442167700189824E-3</v>
      </c>
    </row>
    <row r="57" spans="1:32" x14ac:dyDescent="0.25">
      <c r="X57" s="108">
        <v>42753</v>
      </c>
      <c r="Y57" s="9">
        <v>74</v>
      </c>
      <c r="Z57" s="9">
        <v>74.83</v>
      </c>
      <c r="AA57" s="9">
        <v>73.92</v>
      </c>
      <c r="AB57" s="9">
        <v>74.52</v>
      </c>
      <c r="AC57" s="102">
        <v>1795800</v>
      </c>
      <c r="AD57" s="9">
        <v>74.180000000000007</v>
      </c>
      <c r="AE57" s="2">
        <f t="shared" si="0"/>
        <v>0.90999999999999659</v>
      </c>
      <c r="AF57" s="134">
        <f t="shared" si="1"/>
        <v>9.1144062032377793E-3</v>
      </c>
    </row>
    <row r="58" spans="1:32" x14ac:dyDescent="0.25">
      <c r="X58" s="108">
        <v>42752</v>
      </c>
      <c r="Y58" s="9">
        <v>73.61</v>
      </c>
      <c r="Z58" s="9">
        <v>73.89</v>
      </c>
      <c r="AA58" s="9">
        <v>73.39</v>
      </c>
      <c r="AB58" s="9">
        <v>73.849999999999994</v>
      </c>
      <c r="AC58" s="102">
        <v>1180000</v>
      </c>
      <c r="AD58" s="9">
        <v>73.510000000000005</v>
      </c>
      <c r="AE58" s="2">
        <f t="shared" si="0"/>
        <v>0.5</v>
      </c>
      <c r="AF58" s="134">
        <f t="shared" si="1"/>
        <v>-5.4384772263760262E-4</v>
      </c>
    </row>
    <row r="59" spans="1:32" x14ac:dyDescent="0.25">
      <c r="X59" s="108">
        <v>42748</v>
      </c>
      <c r="Y59" s="9">
        <v>73.91</v>
      </c>
      <c r="Z59" s="9">
        <v>74.349999999999994</v>
      </c>
      <c r="AA59" s="9">
        <v>73.8</v>
      </c>
      <c r="AB59" s="9">
        <v>73.89</v>
      </c>
      <c r="AC59" s="102">
        <v>1220200</v>
      </c>
      <c r="AD59" s="9">
        <v>73.55</v>
      </c>
      <c r="AE59" s="2">
        <f t="shared" si="0"/>
        <v>0.54999999999999716</v>
      </c>
      <c r="AF59" s="134">
        <f t="shared" si="1"/>
        <v>2.8633760567220445E-3</v>
      </c>
    </row>
    <row r="60" spans="1:32" x14ac:dyDescent="0.25">
      <c r="X60" s="108">
        <v>42747</v>
      </c>
      <c r="Y60" s="9">
        <v>73.56</v>
      </c>
      <c r="Z60" s="9">
        <v>73.790000000000006</v>
      </c>
      <c r="AA60" s="9">
        <v>73.13</v>
      </c>
      <c r="AB60" s="9">
        <v>73.680000000000007</v>
      </c>
      <c r="AC60" s="102">
        <v>1110500</v>
      </c>
      <c r="AD60" s="9">
        <v>73.34</v>
      </c>
      <c r="AE60" s="2">
        <f t="shared" si="0"/>
        <v>0.6600000000000108</v>
      </c>
      <c r="AF60" s="134">
        <f t="shared" si="1"/>
        <v>-3.5326086956520841E-3</v>
      </c>
    </row>
    <row r="61" spans="1:32" x14ac:dyDescent="0.25">
      <c r="X61" s="108">
        <v>42746</v>
      </c>
      <c r="Y61" s="9">
        <v>73.94</v>
      </c>
      <c r="Z61" s="9">
        <v>74.260000000000005</v>
      </c>
      <c r="AA61" s="9">
        <v>73.59</v>
      </c>
      <c r="AB61" s="9">
        <v>73.94</v>
      </c>
      <c r="AC61" s="102">
        <v>1738500</v>
      </c>
      <c r="AD61" s="9">
        <v>73.599999999999994</v>
      </c>
      <c r="AE61" s="2">
        <f t="shared" si="0"/>
        <v>0.67000000000000171</v>
      </c>
      <c r="AF61" s="134">
        <f t="shared" si="1"/>
        <v>2.5882032420649903E-3</v>
      </c>
    </row>
    <row r="62" spans="1:32" x14ac:dyDescent="0.25">
      <c r="X62" s="108">
        <v>42745</v>
      </c>
      <c r="Y62" s="9">
        <v>73.28</v>
      </c>
      <c r="Z62" s="9">
        <v>74.3</v>
      </c>
      <c r="AA62" s="9">
        <v>73.260000000000005</v>
      </c>
      <c r="AB62" s="9">
        <v>73.75</v>
      </c>
      <c r="AC62" s="102">
        <v>2350000</v>
      </c>
      <c r="AD62" s="9">
        <v>73.41</v>
      </c>
      <c r="AE62" s="2">
        <f t="shared" si="0"/>
        <v>1.039999999999992</v>
      </c>
      <c r="AF62" s="134">
        <f t="shared" si="1"/>
        <v>9.0721649484535316E-3</v>
      </c>
    </row>
    <row r="63" spans="1:32" x14ac:dyDescent="0.25">
      <c r="X63" s="108">
        <v>42744</v>
      </c>
      <c r="Y63" s="9">
        <v>73.95</v>
      </c>
      <c r="Z63" s="9">
        <v>74.05</v>
      </c>
      <c r="AA63" s="9">
        <v>73.040000000000006</v>
      </c>
      <c r="AB63" s="9">
        <v>73.09</v>
      </c>
      <c r="AC63" s="102">
        <v>1801900</v>
      </c>
      <c r="AD63" s="9">
        <v>72.75</v>
      </c>
      <c r="AE63" s="2">
        <f t="shared" si="0"/>
        <v>1.0099999999999909</v>
      </c>
      <c r="AF63" s="134">
        <f t="shared" si="1"/>
        <v>-1.436119766969246E-2</v>
      </c>
    </row>
    <row r="64" spans="1:32" x14ac:dyDescent="0.25">
      <c r="X64" s="108">
        <v>42741</v>
      </c>
      <c r="Y64" s="9">
        <v>73.680000000000007</v>
      </c>
      <c r="Z64" s="9">
        <v>74.459999999999994</v>
      </c>
      <c r="AA64" s="9">
        <v>73.48</v>
      </c>
      <c r="AB64" s="9">
        <v>74.150000000000006</v>
      </c>
      <c r="AC64" s="102">
        <v>1614700</v>
      </c>
      <c r="AD64" s="9">
        <v>73.81</v>
      </c>
      <c r="AE64" s="2">
        <f t="shared" si="0"/>
        <v>0.97999999999998977</v>
      </c>
      <c r="AF64" s="134">
        <f t="shared" si="1"/>
        <v>1.6284434794409108E-3</v>
      </c>
    </row>
    <row r="65" spans="24:32" x14ac:dyDescent="0.25">
      <c r="X65" s="108">
        <v>42740</v>
      </c>
      <c r="Y65" s="9">
        <v>74.180000000000007</v>
      </c>
      <c r="Z65" s="9">
        <v>74.44</v>
      </c>
      <c r="AA65" s="9">
        <v>73.8</v>
      </c>
      <c r="AB65" s="9">
        <v>74.03</v>
      </c>
      <c r="AC65" s="102">
        <v>1741800</v>
      </c>
      <c r="AD65" s="9">
        <v>73.69</v>
      </c>
      <c r="AE65" s="2">
        <f t="shared" si="0"/>
        <v>0.64000000000000057</v>
      </c>
      <c r="AF65" s="134">
        <f t="shared" si="1"/>
        <v>-4.5927326759421794E-3</v>
      </c>
    </row>
    <row r="66" spans="24:32" x14ac:dyDescent="0.25">
      <c r="X66" s="108">
        <v>42739</v>
      </c>
      <c r="Y66" s="9">
        <v>74.38</v>
      </c>
      <c r="Z66" s="9">
        <v>74.95</v>
      </c>
      <c r="AA66" s="9">
        <v>74.209999999999994</v>
      </c>
      <c r="AB66" s="9">
        <v>74.37</v>
      </c>
      <c r="AC66" s="102">
        <v>1948400</v>
      </c>
      <c r="AD66" s="9">
        <v>74.03</v>
      </c>
      <c r="AE66" s="2">
        <f t="shared" si="0"/>
        <v>0.74000000000000909</v>
      </c>
      <c r="AF66" s="134">
        <f t="shared" si="1"/>
        <v>2.7089259108763475E-3</v>
      </c>
    </row>
    <row r="67" spans="24:32" x14ac:dyDescent="0.25">
      <c r="X67" s="108">
        <v>42738</v>
      </c>
      <c r="Y67" s="9">
        <v>74</v>
      </c>
      <c r="Z67" s="9">
        <v>74.56</v>
      </c>
      <c r="AA67" s="9">
        <v>73.540000000000006</v>
      </c>
      <c r="AB67" s="9">
        <v>74.17</v>
      </c>
      <c r="AC67" s="102">
        <v>2019800</v>
      </c>
      <c r="AD67" s="9">
        <v>73.83</v>
      </c>
      <c r="AE67" s="2">
        <f>Z67-AA67</f>
        <v>1.019999999999996</v>
      </c>
      <c r="AF67" s="134" t="e">
        <f>AD67/#REF!-1</f>
        <v>#REF!</v>
      </c>
    </row>
    <row r="68" spans="24:32" x14ac:dyDescent="0.25">
      <c r="X68" s="108">
        <v>42734</v>
      </c>
      <c r="Y68" s="9">
        <v>74.540000000000006</v>
      </c>
      <c r="Z68" s="9">
        <v>74.56</v>
      </c>
      <c r="AA68" s="9">
        <v>73.930000000000007</v>
      </c>
      <c r="AB68" s="9">
        <v>74.12</v>
      </c>
      <c r="AC68" s="102">
        <v>1709600</v>
      </c>
      <c r="AD68" s="9">
        <v>73.78</v>
      </c>
      <c r="AE68" s="2" t="e">
        <f>#REF!-#REF!</f>
        <v>#REF!</v>
      </c>
      <c r="AF68" s="134" t="e">
        <f>#REF!/AD69-1</f>
        <v>#REF!</v>
      </c>
    </row>
    <row r="69" spans="24:32" x14ac:dyDescent="0.25">
      <c r="X69" s="108" t="s">
        <v>120</v>
      </c>
      <c r="Y69" s="9"/>
      <c r="Z69" s="9"/>
      <c r="AA69" s="9"/>
      <c r="AB69" s="9"/>
      <c r="AC69" s="102"/>
      <c r="AD69" s="9"/>
      <c r="AE69" s="2">
        <f>Z69-AA69</f>
        <v>0</v>
      </c>
      <c r="AF69" s="134"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439" priority="19">
      <formula>F27&gt;0</formula>
    </cfRule>
    <cfRule type="expression" dxfId="438" priority="20">
      <formula>F27&lt;0</formula>
    </cfRule>
  </conditionalFormatting>
  <conditionalFormatting sqref="F37:F38">
    <cfRule type="expression" dxfId="437" priority="17">
      <formula>F37&gt;0</formula>
    </cfRule>
    <cfRule type="expression" dxfId="436" priority="18">
      <formula>F37&lt;0</formula>
    </cfRule>
  </conditionalFormatting>
  <conditionalFormatting sqref="H27:H32">
    <cfRule type="expression" dxfId="435" priority="15">
      <formula>H27&gt;0</formula>
    </cfRule>
    <cfRule type="expression" dxfId="434" priority="16">
      <formula>H27&lt;0</formula>
    </cfRule>
  </conditionalFormatting>
  <conditionalFormatting sqref="Q7">
    <cfRule type="expression" dxfId="433" priority="3">
      <formula>Q7&gt;0</formula>
    </cfRule>
    <cfRule type="expression" dxfId="432" priority="4">
      <formula>Q7&lt;0</formula>
    </cfRule>
  </conditionalFormatting>
  <conditionalFormatting sqref="Q8">
    <cfRule type="expression" dxfId="431" priority="1">
      <formula>Q8&gt;0</formula>
    </cfRule>
    <cfRule type="expression" dxfId="430"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72"/>
      <c r="C2" s="4"/>
      <c r="D2" s="3"/>
      <c r="E2" s="3"/>
      <c r="F2" s="3"/>
      <c r="G2" s="72"/>
      <c r="H2" s="161"/>
      <c r="I2" s="3"/>
      <c r="J2" s="4"/>
      <c r="K2" s="4"/>
      <c r="L2" s="72"/>
      <c r="M2" s="3"/>
      <c r="O2" s="11" t="s">
        <v>57</v>
      </c>
      <c r="Q2">
        <f>C18-H18</f>
        <v>0</v>
      </c>
      <c r="T2" s="1"/>
      <c r="W2"/>
      <c r="X2"/>
      <c r="Y2"/>
      <c r="Z2"/>
      <c r="AA2"/>
      <c r="AC2"/>
    </row>
    <row r="3" spans="1:29" x14ac:dyDescent="0.25">
      <c r="A3" s="22" t="s">
        <v>71</v>
      </c>
      <c r="B3" s="72"/>
      <c r="C3" s="4"/>
      <c r="D3" s="3"/>
      <c r="E3" s="3"/>
      <c r="F3" s="3"/>
      <c r="G3" s="72"/>
      <c r="H3" s="161"/>
      <c r="I3" s="3"/>
      <c r="J3" s="3"/>
      <c r="K3" s="4"/>
      <c r="L3" s="4"/>
      <c r="M3" s="3"/>
      <c r="O3" s="11" t="s">
        <v>58</v>
      </c>
      <c r="Q3" s="2">
        <f>IF(Q2=0, Q4, (F18-K18-M18)/Q2)</f>
        <v>168.38</v>
      </c>
      <c r="W3"/>
      <c r="X3"/>
      <c r="Y3"/>
      <c r="Z3"/>
      <c r="AA3"/>
      <c r="AC3"/>
    </row>
    <row r="4" spans="1:29" x14ac:dyDescent="0.25">
      <c r="B4" s="72"/>
      <c r="C4" s="4"/>
      <c r="D4" s="3"/>
      <c r="E4" s="3"/>
      <c r="F4" s="3"/>
      <c r="G4" s="4"/>
      <c r="H4" s="161"/>
      <c r="I4" s="4"/>
      <c r="J4" s="4"/>
      <c r="K4" s="4"/>
      <c r="L4" s="4"/>
      <c r="M4" s="3"/>
      <c r="O4" s="11" t="s">
        <v>66</v>
      </c>
      <c r="Q4" s="54">
        <v>168.38</v>
      </c>
      <c r="R4" s="405">
        <v>1.04E-2</v>
      </c>
      <c r="W4"/>
      <c r="X4"/>
      <c r="Y4"/>
      <c r="Z4"/>
      <c r="AA4"/>
      <c r="AC4"/>
    </row>
    <row r="5" spans="1:29" x14ac:dyDescent="0.25">
      <c r="B5" s="72"/>
      <c r="C5" s="4"/>
      <c r="D5" s="3"/>
      <c r="E5" s="3"/>
      <c r="F5" s="3"/>
      <c r="G5" s="4"/>
      <c r="H5" s="161"/>
      <c r="I5" s="4"/>
      <c r="J5" s="4"/>
      <c r="K5" s="4"/>
      <c r="L5" s="4"/>
      <c r="M5" s="3"/>
      <c r="O5" s="11" t="s">
        <v>67</v>
      </c>
      <c r="Q5" s="3">
        <f>Q4*Q2</f>
        <v>0</v>
      </c>
      <c r="T5" s="1"/>
      <c r="W5"/>
      <c r="X5"/>
      <c r="Y5"/>
      <c r="Z5"/>
      <c r="AA5"/>
      <c r="AC5"/>
    </row>
    <row r="6" spans="1:29" x14ac:dyDescent="0.25">
      <c r="B6" s="72"/>
      <c r="C6" s="4"/>
      <c r="D6" s="3"/>
      <c r="E6" s="3"/>
      <c r="F6" s="3"/>
      <c r="G6" s="4"/>
      <c r="H6" s="161"/>
      <c r="I6" s="4"/>
      <c r="J6" s="4"/>
      <c r="K6" s="4"/>
      <c r="L6" s="4"/>
      <c r="M6" s="4"/>
      <c r="O6" s="11" t="s">
        <v>64</v>
      </c>
      <c r="Q6" s="2">
        <f>Q3*Q2</f>
        <v>0</v>
      </c>
      <c r="W6"/>
      <c r="X6"/>
      <c r="Y6"/>
      <c r="Z6"/>
      <c r="AA6"/>
      <c r="AC6"/>
    </row>
    <row r="7" spans="1:29" x14ac:dyDescent="0.25">
      <c r="B7" s="72"/>
      <c r="C7" s="4"/>
      <c r="D7" s="3"/>
      <c r="E7" s="3"/>
      <c r="F7" s="3"/>
      <c r="G7" s="4"/>
      <c r="H7" s="161"/>
      <c r="I7" s="4"/>
      <c r="J7" s="4"/>
      <c r="K7" s="4"/>
      <c r="L7" s="4"/>
      <c r="M7" s="4"/>
      <c r="O7" s="11" t="s">
        <v>177</v>
      </c>
      <c r="Q7" s="2">
        <f>Q10+Q8</f>
        <v>-168.6200000000008</v>
      </c>
      <c r="R7">
        <v>0</v>
      </c>
      <c r="W7"/>
      <c r="X7"/>
      <c r="Y7"/>
      <c r="Z7"/>
      <c r="AA7"/>
      <c r="AC7"/>
    </row>
    <row r="8" spans="1:29" x14ac:dyDescent="0.25">
      <c r="B8" s="4"/>
      <c r="C8" s="4"/>
      <c r="D8" s="3"/>
      <c r="E8" s="3"/>
      <c r="F8" s="3"/>
      <c r="G8" s="4"/>
      <c r="H8" s="161"/>
      <c r="I8" s="4"/>
      <c r="J8" s="4"/>
      <c r="K8" s="4"/>
      <c r="L8" s="4"/>
      <c r="M8" s="4"/>
      <c r="O8" s="11" t="s">
        <v>179</v>
      </c>
      <c r="P8" s="33"/>
      <c r="Q8" s="2">
        <f>K18+M18-F18+Q2*Q4</f>
        <v>0</v>
      </c>
      <c r="W8"/>
      <c r="X8"/>
      <c r="Y8"/>
      <c r="Z8"/>
      <c r="AA8"/>
      <c r="AC8"/>
    </row>
    <row r="9" spans="1:29" x14ac:dyDescent="0.25">
      <c r="B9" s="4"/>
      <c r="C9" s="4"/>
      <c r="D9" s="3"/>
      <c r="E9" s="3"/>
      <c r="F9" s="3"/>
      <c r="G9" s="4"/>
      <c r="H9" s="4"/>
      <c r="I9" s="4"/>
      <c r="J9" s="4"/>
      <c r="K9" s="4"/>
      <c r="L9" s="4"/>
      <c r="M9" s="4"/>
      <c r="O9" s="11" t="s">
        <v>204</v>
      </c>
      <c r="Q9" s="134">
        <f>IF(Q2=0, 0, Q8/Q6)</f>
        <v>0</v>
      </c>
      <c r="W9"/>
      <c r="X9"/>
      <c r="Y9"/>
      <c r="Z9"/>
      <c r="AA9"/>
      <c r="AC9"/>
    </row>
    <row r="10" spans="1:29" x14ac:dyDescent="0.25">
      <c r="B10" s="4"/>
      <c r="C10" s="4"/>
      <c r="D10" s="3"/>
      <c r="E10" s="3"/>
      <c r="F10" s="3"/>
      <c r="G10" s="4"/>
      <c r="H10" s="4"/>
      <c r="I10" s="4"/>
      <c r="J10" s="4"/>
      <c r="K10" s="4"/>
      <c r="L10" s="4"/>
      <c r="M10" s="4"/>
      <c r="O10" s="11" t="s">
        <v>203</v>
      </c>
      <c r="P10" s="33"/>
      <c r="Q10" s="2">
        <f>M33</f>
        <v>-168.6200000000008</v>
      </c>
      <c r="W10"/>
      <c r="X10"/>
      <c r="Y10"/>
      <c r="Z10"/>
      <c r="AA10"/>
      <c r="AC10"/>
    </row>
    <row r="11" spans="1:29" x14ac:dyDescent="0.25">
      <c r="B11" s="4"/>
      <c r="C11" s="4"/>
      <c r="D11" s="3"/>
      <c r="E11" s="3"/>
      <c r="F11" s="3"/>
      <c r="G11" s="4"/>
      <c r="H11" s="4"/>
      <c r="I11" s="4"/>
      <c r="J11" s="4"/>
      <c r="K11" s="4"/>
      <c r="L11" s="4"/>
      <c r="M11" s="4"/>
      <c r="O11" s="11" t="s">
        <v>175</v>
      </c>
      <c r="P11" s="33"/>
      <c r="Q11" s="134">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9" t="s">
        <v>78</v>
      </c>
      <c r="P14" s="149"/>
      <c r="W14"/>
      <c r="X14"/>
      <c r="Y14"/>
      <c r="Z14"/>
      <c r="AA14"/>
      <c r="AC14"/>
    </row>
    <row r="15" spans="1:29" ht="15.75" thickTop="1" x14ac:dyDescent="0.25">
      <c r="O15" s="81">
        <v>1.1000000000000001</v>
      </c>
      <c r="P15" s="81">
        <f t="shared" ref="P15:P35" si="0">O15*$Q$4</f>
        <v>185.21800000000002</v>
      </c>
      <c r="W15"/>
      <c r="X15"/>
      <c r="Y15"/>
      <c r="Z15"/>
      <c r="AA15"/>
      <c r="AC15"/>
    </row>
    <row r="16" spans="1:29" x14ac:dyDescent="0.25">
      <c r="O16" s="81">
        <v>1.0900000000000001</v>
      </c>
      <c r="P16" s="81">
        <f t="shared" si="0"/>
        <v>183.5342</v>
      </c>
      <c r="W16"/>
      <c r="X16"/>
      <c r="Y16"/>
      <c r="Z16"/>
      <c r="AA16"/>
      <c r="AC16"/>
    </row>
    <row r="17" spans="1:29" x14ac:dyDescent="0.25">
      <c r="O17" s="81">
        <v>1.08</v>
      </c>
      <c r="P17" s="81">
        <f t="shared" si="0"/>
        <v>181.85040000000001</v>
      </c>
      <c r="W17"/>
      <c r="X17"/>
      <c r="Y17"/>
      <c r="Z17"/>
      <c r="AA17"/>
      <c r="AC17"/>
    </row>
    <row r="18" spans="1:29" x14ac:dyDescent="0.25">
      <c r="A18" s="21" t="s">
        <v>81</v>
      </c>
      <c r="B18" s="12"/>
      <c r="C18" s="12">
        <f>SUM(C2:C8)</f>
        <v>0</v>
      </c>
      <c r="D18" s="13"/>
      <c r="E18" s="13"/>
      <c r="F18" s="13">
        <f>SUM(F2:F8)</f>
        <v>0</v>
      </c>
      <c r="G18" s="13"/>
      <c r="H18" s="75">
        <f>SUM(H2:H8)</f>
        <v>0</v>
      </c>
      <c r="I18" s="13"/>
      <c r="J18" s="13"/>
      <c r="K18" s="13">
        <f>SUM(K2:K8)</f>
        <v>0</v>
      </c>
      <c r="L18" s="13"/>
      <c r="M18" s="13">
        <f>SUM(M2:M5)</f>
        <v>0</v>
      </c>
      <c r="O18" s="81">
        <v>1.07</v>
      </c>
      <c r="P18" s="81">
        <f t="shared" si="0"/>
        <v>180.16660000000002</v>
      </c>
      <c r="W18"/>
      <c r="X18"/>
      <c r="Y18"/>
      <c r="Z18"/>
      <c r="AA18"/>
      <c r="AC18"/>
    </row>
    <row r="19" spans="1:29" x14ac:dyDescent="0.25">
      <c r="O19" s="81">
        <v>1.06</v>
      </c>
      <c r="P19" s="81">
        <f t="shared" si="0"/>
        <v>178.4828</v>
      </c>
      <c r="W19"/>
      <c r="X19"/>
      <c r="Y19"/>
      <c r="Z19"/>
      <c r="AA19"/>
      <c r="AC19"/>
    </row>
    <row r="20" spans="1:29" x14ac:dyDescent="0.25">
      <c r="B20" s="162" t="s">
        <v>113</v>
      </c>
      <c r="C20" s="162" t="s">
        <v>145</v>
      </c>
      <c r="D20" s="163" t="s">
        <v>144</v>
      </c>
      <c r="E20" s="165" t="s">
        <v>146</v>
      </c>
      <c r="F20" s="165" t="s">
        <v>65</v>
      </c>
      <c r="G20" s="177" t="s">
        <v>150</v>
      </c>
      <c r="H20" s="177" t="s">
        <v>88</v>
      </c>
      <c r="I20" s="177" t="s">
        <v>153</v>
      </c>
      <c r="O20" s="81">
        <v>1.05</v>
      </c>
      <c r="P20" s="81">
        <f t="shared" si="0"/>
        <v>176.79900000000001</v>
      </c>
      <c r="W20"/>
      <c r="X20"/>
      <c r="Y20"/>
      <c r="Z20"/>
      <c r="AA20"/>
      <c r="AC20"/>
    </row>
    <row r="21" spans="1:29" x14ac:dyDescent="0.25">
      <c r="B21" s="164">
        <v>42304</v>
      </c>
      <c r="C21" s="10">
        <v>75</v>
      </c>
      <c r="D21" s="173">
        <v>82.82</v>
      </c>
      <c r="E21" s="39">
        <v>77.44</v>
      </c>
      <c r="F21" s="39">
        <v>-403.4</v>
      </c>
      <c r="G21" s="39"/>
      <c r="H21" s="179"/>
      <c r="I21" s="39"/>
      <c r="O21" s="81">
        <v>1.04</v>
      </c>
      <c r="P21" s="81">
        <f t="shared" si="0"/>
        <v>175.11519999999999</v>
      </c>
      <c r="W21"/>
      <c r="X21"/>
      <c r="Y21"/>
      <c r="Z21"/>
      <c r="AA21"/>
      <c r="AC21"/>
    </row>
    <row r="22" spans="1:29" x14ac:dyDescent="0.25">
      <c r="B22" s="164">
        <v>42305</v>
      </c>
      <c r="C22" s="10">
        <v>0</v>
      </c>
      <c r="D22" s="173" t="s">
        <v>128</v>
      </c>
      <c r="E22" s="39">
        <v>81.599999999999994</v>
      </c>
      <c r="F22" s="39">
        <v>-169.71000000000095</v>
      </c>
      <c r="G22" s="39"/>
      <c r="H22" s="179"/>
      <c r="I22" s="39"/>
      <c r="O22" s="81">
        <v>1.03</v>
      </c>
      <c r="P22" s="81">
        <f t="shared" si="0"/>
        <v>173.4314</v>
      </c>
      <c r="W22"/>
      <c r="X22"/>
      <c r="Y22"/>
      <c r="Z22"/>
      <c r="AA22"/>
      <c r="AC22"/>
    </row>
    <row r="23" spans="1:29" x14ac:dyDescent="0.25">
      <c r="B23" s="164">
        <v>42331</v>
      </c>
      <c r="C23" s="10">
        <v>0</v>
      </c>
      <c r="D23" s="173" t="s">
        <v>128</v>
      </c>
      <c r="E23" s="39">
        <v>95.56</v>
      </c>
      <c r="F23" s="39">
        <v>-168.62</v>
      </c>
      <c r="G23" s="39"/>
      <c r="H23" s="179"/>
      <c r="I23" s="39" t="s">
        <v>184</v>
      </c>
      <c r="O23" s="81">
        <v>1.02</v>
      </c>
      <c r="P23" s="81">
        <f t="shared" si="0"/>
        <v>171.74760000000001</v>
      </c>
      <c r="W23"/>
      <c r="X23"/>
      <c r="Y23"/>
      <c r="Z23"/>
      <c r="AA23"/>
      <c r="AC23"/>
    </row>
    <row r="24" spans="1:29" x14ac:dyDescent="0.25">
      <c r="B24" s="164"/>
      <c r="C24" s="10"/>
      <c r="D24" s="39"/>
      <c r="E24" s="39"/>
      <c r="F24" s="39"/>
      <c r="G24" s="39"/>
      <c r="H24" s="179"/>
      <c r="I24" s="39"/>
      <c r="O24" s="81">
        <v>1.01</v>
      </c>
      <c r="P24" s="81">
        <f t="shared" si="0"/>
        <v>170.06379999999999</v>
      </c>
      <c r="W24"/>
      <c r="X24"/>
      <c r="Y24"/>
      <c r="Z24"/>
      <c r="AA24"/>
      <c r="AC24"/>
    </row>
    <row r="25" spans="1:29" x14ac:dyDescent="0.25">
      <c r="B25" s="164"/>
      <c r="C25" s="10"/>
      <c r="D25" s="39"/>
      <c r="E25" s="39"/>
      <c r="F25" s="39"/>
      <c r="G25" s="39"/>
      <c r="H25" s="179"/>
      <c r="I25" s="39"/>
      <c r="O25" s="81">
        <v>1</v>
      </c>
      <c r="P25" s="81">
        <f t="shared" si="0"/>
        <v>168.38</v>
      </c>
      <c r="W25"/>
      <c r="X25"/>
      <c r="Y25"/>
      <c r="Z25"/>
      <c r="AA25"/>
      <c r="AC25"/>
    </row>
    <row r="26" spans="1:29" x14ac:dyDescent="0.25">
      <c r="B26" s="164"/>
      <c r="C26" s="10"/>
      <c r="D26" s="39"/>
      <c r="E26" s="39"/>
      <c r="F26" s="39"/>
      <c r="G26" s="39"/>
      <c r="H26" s="179"/>
      <c r="I26" s="39"/>
      <c r="O26" s="81">
        <v>0.99</v>
      </c>
      <c r="P26" s="81">
        <f t="shared" si="0"/>
        <v>166.6962</v>
      </c>
      <c r="W26"/>
      <c r="X26"/>
      <c r="Y26"/>
      <c r="Z26"/>
      <c r="AA26"/>
      <c r="AC26"/>
    </row>
    <row r="27" spans="1:29" x14ac:dyDescent="0.25">
      <c r="B27" s="164"/>
      <c r="C27" s="10"/>
      <c r="D27" s="39"/>
      <c r="E27" s="39"/>
      <c r="F27" s="39"/>
      <c r="G27" s="39"/>
      <c r="H27" s="179"/>
      <c r="I27" s="39"/>
      <c r="O27" s="81">
        <v>0.98</v>
      </c>
      <c r="P27" s="81">
        <f t="shared" si="0"/>
        <v>165.01239999999999</v>
      </c>
      <c r="W27"/>
      <c r="X27"/>
      <c r="Y27"/>
      <c r="Z27"/>
      <c r="AA27"/>
      <c r="AC27"/>
    </row>
    <row r="28" spans="1:29" x14ac:dyDescent="0.25">
      <c r="O28" s="81">
        <v>0.97</v>
      </c>
      <c r="P28" s="81">
        <f t="shared" si="0"/>
        <v>163.32859999999999</v>
      </c>
      <c r="W28"/>
      <c r="X28"/>
      <c r="Y28"/>
      <c r="Z28"/>
      <c r="AA28"/>
      <c r="AC28"/>
    </row>
    <row r="29" spans="1:29" x14ac:dyDescent="0.25">
      <c r="O29" s="81">
        <v>0.96</v>
      </c>
      <c r="P29" s="81">
        <f t="shared" si="0"/>
        <v>161.6448</v>
      </c>
      <c r="W29"/>
      <c r="X29"/>
      <c r="Y29"/>
      <c r="Z29"/>
      <c r="AA29"/>
      <c r="AC29"/>
    </row>
    <row r="30" spans="1:29" x14ac:dyDescent="0.25">
      <c r="O30" s="81">
        <v>0.95</v>
      </c>
      <c r="P30" s="81">
        <f t="shared" si="0"/>
        <v>159.96099999999998</v>
      </c>
      <c r="W30"/>
      <c r="X30"/>
      <c r="Y30"/>
      <c r="Z30"/>
      <c r="AA30"/>
      <c r="AC30"/>
    </row>
    <row r="31" spans="1:29" x14ac:dyDescent="0.25">
      <c r="O31" s="81">
        <v>0.94</v>
      </c>
      <c r="P31" s="81">
        <f t="shared" si="0"/>
        <v>158.27719999999999</v>
      </c>
      <c r="W31"/>
      <c r="X31"/>
      <c r="Y31"/>
      <c r="Z31"/>
      <c r="AA31"/>
      <c r="AC31"/>
    </row>
    <row r="32" spans="1:29" x14ac:dyDescent="0.25">
      <c r="O32" s="81">
        <v>0.93</v>
      </c>
      <c r="P32" s="81">
        <f t="shared" si="0"/>
        <v>156.5934</v>
      </c>
      <c r="W32"/>
      <c r="X32"/>
      <c r="Y32"/>
      <c r="Z32"/>
      <c r="AA32"/>
      <c r="AC32"/>
    </row>
    <row r="33" spans="1:29" x14ac:dyDescent="0.25">
      <c r="L33" t="s">
        <v>65</v>
      </c>
      <c r="M33" s="2">
        <f>K51+M51-F51</f>
        <v>-168.6200000000008</v>
      </c>
      <c r="O33" s="81">
        <v>0.92</v>
      </c>
      <c r="P33" s="81">
        <f t="shared" si="0"/>
        <v>154.90960000000001</v>
      </c>
      <c r="W33"/>
      <c r="X33"/>
      <c r="Y33"/>
      <c r="Z33"/>
      <c r="AA33"/>
      <c r="AC33"/>
    </row>
    <row r="34" spans="1:29" x14ac:dyDescent="0.25">
      <c r="A34" s="304" t="s">
        <v>1</v>
      </c>
      <c r="B34" s="304" t="s">
        <v>2</v>
      </c>
      <c r="C34" s="304" t="s">
        <v>4</v>
      </c>
      <c r="D34" s="306" t="s">
        <v>5</v>
      </c>
      <c r="E34" s="306" t="s">
        <v>94</v>
      </c>
      <c r="F34" s="306" t="s">
        <v>60</v>
      </c>
      <c r="G34" s="304" t="s">
        <v>3</v>
      </c>
      <c r="H34" s="304" t="s">
        <v>6</v>
      </c>
      <c r="I34" s="304" t="s">
        <v>7</v>
      </c>
      <c r="J34" s="304" t="s">
        <v>95</v>
      </c>
      <c r="K34" s="304" t="s">
        <v>61</v>
      </c>
      <c r="L34" s="304" t="s">
        <v>77</v>
      </c>
      <c r="M34" s="304" t="s">
        <v>38</v>
      </c>
      <c r="O34" s="81">
        <v>0.91</v>
      </c>
      <c r="P34" s="81">
        <f t="shared" si="0"/>
        <v>153.22579999999999</v>
      </c>
      <c r="W34"/>
      <c r="X34"/>
      <c r="Y34"/>
      <c r="Z34"/>
      <c r="AA34"/>
      <c r="AC34"/>
    </row>
    <row r="35" spans="1:29" x14ac:dyDescent="0.25">
      <c r="A35" s="307" t="s">
        <v>47</v>
      </c>
      <c r="B35" s="297">
        <v>42185</v>
      </c>
      <c r="C35" s="298">
        <v>10</v>
      </c>
      <c r="D35" s="299">
        <v>88.85</v>
      </c>
      <c r="E35" s="299">
        <v>0</v>
      </c>
      <c r="F35" s="299">
        <f t="shared" ref="F35:F40" si="1">C35*D35</f>
        <v>888.5</v>
      </c>
      <c r="G35" s="297">
        <v>42310</v>
      </c>
      <c r="H35" s="302">
        <v>75</v>
      </c>
      <c r="I35" s="299">
        <v>80.650000000000006</v>
      </c>
      <c r="J35" s="298">
        <v>7.06</v>
      </c>
      <c r="K35" s="298">
        <f>H35*I35-J35</f>
        <v>6041.69</v>
      </c>
      <c r="L35" s="297">
        <v>42257</v>
      </c>
      <c r="M35" s="299">
        <v>35.4</v>
      </c>
      <c r="O35" s="81">
        <v>0.9</v>
      </c>
      <c r="P35" s="81">
        <f t="shared" si="0"/>
        <v>151.542</v>
      </c>
      <c r="W35"/>
      <c r="X35"/>
      <c r="Y35"/>
      <c r="Z35"/>
      <c r="AA35"/>
      <c r="AC35"/>
    </row>
    <row r="36" spans="1:29" x14ac:dyDescent="0.25">
      <c r="A36" s="308" t="s">
        <v>71</v>
      </c>
      <c r="B36" s="297">
        <v>42214</v>
      </c>
      <c r="C36" s="298">
        <v>10</v>
      </c>
      <c r="D36" s="299">
        <v>83</v>
      </c>
      <c r="E36" s="299">
        <v>0</v>
      </c>
      <c r="F36" s="299">
        <f t="shared" si="1"/>
        <v>830</v>
      </c>
      <c r="G36" s="297">
        <v>42335</v>
      </c>
      <c r="H36" s="302">
        <v>60</v>
      </c>
      <c r="I36" s="299">
        <v>95.71</v>
      </c>
      <c r="J36" s="299">
        <v>0.11</v>
      </c>
      <c r="K36" s="298">
        <f>H36*I36-J36</f>
        <v>5742.49</v>
      </c>
      <c r="L36" s="298"/>
      <c r="M36" s="299"/>
      <c r="W36"/>
      <c r="X36"/>
      <c r="Y36"/>
      <c r="Z36"/>
      <c r="AA36"/>
      <c r="AC36"/>
    </row>
    <row r="37" spans="1:29" x14ac:dyDescent="0.25">
      <c r="A37" s="298"/>
      <c r="B37" s="297">
        <v>42221</v>
      </c>
      <c r="C37" s="298">
        <v>30</v>
      </c>
      <c r="D37" s="299">
        <v>84.6</v>
      </c>
      <c r="E37" s="299">
        <v>0</v>
      </c>
      <c r="F37" s="299">
        <f t="shared" si="1"/>
        <v>2538</v>
      </c>
      <c r="G37" s="298"/>
      <c r="H37" s="302"/>
      <c r="I37" s="298"/>
      <c r="J37" s="298"/>
      <c r="K37" s="298"/>
      <c r="L37" s="298"/>
      <c r="M37" s="299"/>
      <c r="W37"/>
      <c r="X37"/>
      <c r="Y37"/>
      <c r="Z37"/>
      <c r="AA37"/>
      <c r="AC37"/>
    </row>
    <row r="38" spans="1:29" x14ac:dyDescent="0.25">
      <c r="A38" s="298"/>
      <c r="B38" s="297">
        <v>42222</v>
      </c>
      <c r="C38" s="298">
        <v>10</v>
      </c>
      <c r="D38" s="299">
        <v>83.08</v>
      </c>
      <c r="E38" s="299">
        <v>0</v>
      </c>
      <c r="F38" s="299">
        <f t="shared" si="1"/>
        <v>830.8</v>
      </c>
      <c r="G38" s="298"/>
      <c r="H38" s="302"/>
      <c r="I38" s="298"/>
      <c r="J38" s="298"/>
      <c r="K38" s="298"/>
      <c r="L38" s="298"/>
      <c r="M38" s="299"/>
      <c r="W38"/>
      <c r="X38"/>
      <c r="Y38"/>
      <c r="Z38"/>
      <c r="AA38"/>
      <c r="AC38"/>
    </row>
    <row r="39" spans="1:29" x14ac:dyDescent="0.25">
      <c r="A39" s="298"/>
      <c r="B39" s="297">
        <v>42272</v>
      </c>
      <c r="C39" s="298">
        <v>15</v>
      </c>
      <c r="D39" s="299">
        <v>77.3</v>
      </c>
      <c r="E39" s="299">
        <v>0</v>
      </c>
      <c r="F39" s="299">
        <f t="shared" si="1"/>
        <v>1159.5</v>
      </c>
      <c r="G39" s="298"/>
      <c r="H39" s="302"/>
      <c r="I39" s="298"/>
      <c r="J39" s="298"/>
      <c r="K39" s="298"/>
      <c r="L39" s="298"/>
      <c r="M39" s="298"/>
      <c r="W39"/>
      <c r="X39"/>
      <c r="Y39"/>
      <c r="Z39"/>
      <c r="AA39"/>
      <c r="AC39"/>
    </row>
    <row r="40" spans="1:29" x14ac:dyDescent="0.25">
      <c r="A40" s="298"/>
      <c r="B40" s="297">
        <v>42335</v>
      </c>
      <c r="C40" s="298">
        <v>60</v>
      </c>
      <c r="D40" s="299">
        <v>95.69</v>
      </c>
      <c r="E40" s="299">
        <v>0</v>
      </c>
      <c r="F40" s="299">
        <f t="shared" si="1"/>
        <v>5741.4</v>
      </c>
      <c r="G40" s="298"/>
      <c r="H40" s="302"/>
      <c r="I40" s="298"/>
      <c r="J40" s="298"/>
      <c r="K40" s="298"/>
      <c r="L40" s="298"/>
      <c r="M40" s="298"/>
      <c r="W40"/>
      <c r="X40"/>
      <c r="Y40"/>
      <c r="Z40"/>
      <c r="AA40"/>
      <c r="AC40"/>
    </row>
    <row r="41" spans="1:29" x14ac:dyDescent="0.25">
      <c r="A41" s="298"/>
      <c r="B41" s="298"/>
      <c r="C41" s="298"/>
      <c r="D41" s="299"/>
      <c r="E41" s="299"/>
      <c r="F41" s="299"/>
      <c r="G41" s="298"/>
      <c r="H41" s="302"/>
      <c r="I41" s="298"/>
      <c r="J41" s="298"/>
      <c r="K41" s="298"/>
      <c r="L41" s="298"/>
      <c r="M41" s="298"/>
      <c r="W41"/>
      <c r="X41"/>
      <c r="Y41"/>
      <c r="Z41"/>
      <c r="AA41"/>
      <c r="AC41"/>
    </row>
    <row r="42" spans="1:29" x14ac:dyDescent="0.25">
      <c r="A42" s="298"/>
      <c r="B42" s="298"/>
      <c r="C42" s="298"/>
      <c r="D42" s="299"/>
      <c r="E42" s="299"/>
      <c r="F42" s="299"/>
      <c r="G42" s="298"/>
      <c r="H42" s="298"/>
      <c r="I42" s="298"/>
      <c r="J42" s="298"/>
      <c r="K42" s="298"/>
      <c r="L42" s="298"/>
      <c r="M42" s="298"/>
      <c r="R42" s="33"/>
      <c r="W42"/>
      <c r="X42"/>
      <c r="Y42"/>
      <c r="Z42"/>
      <c r="AA42"/>
      <c r="AC42"/>
    </row>
    <row r="43" spans="1:29" x14ac:dyDescent="0.25">
      <c r="A43" s="298"/>
      <c r="B43" s="298"/>
      <c r="C43" s="298"/>
      <c r="D43" s="299"/>
      <c r="E43" s="299"/>
      <c r="F43" s="299"/>
      <c r="G43" s="298"/>
      <c r="H43" s="298"/>
      <c r="I43" s="298"/>
      <c r="J43" s="298"/>
      <c r="K43" s="298"/>
      <c r="L43" s="298"/>
      <c r="M43" s="298"/>
      <c r="Q43" s="2"/>
      <c r="R43" s="33"/>
      <c r="W43"/>
      <c r="X43"/>
      <c r="Y43"/>
      <c r="Z43"/>
      <c r="AA43"/>
      <c r="AC43"/>
    </row>
    <row r="44" spans="1:29" x14ac:dyDescent="0.25">
      <c r="A44" s="298"/>
      <c r="B44" s="298"/>
      <c r="C44" s="298"/>
      <c r="D44" s="299"/>
      <c r="E44" s="299"/>
      <c r="F44" s="299"/>
      <c r="G44" s="298"/>
      <c r="H44" s="298"/>
      <c r="I44" s="298"/>
      <c r="J44" s="298"/>
      <c r="K44" s="298"/>
      <c r="L44" s="298"/>
      <c r="M44" s="298"/>
      <c r="Q44" s="2"/>
      <c r="R44" s="33"/>
      <c r="W44"/>
      <c r="X44"/>
      <c r="Y44"/>
      <c r="Z44"/>
      <c r="AA44"/>
      <c r="AC44"/>
    </row>
    <row r="45" spans="1:29" x14ac:dyDescent="0.25">
      <c r="A45" s="298"/>
      <c r="B45" s="298"/>
      <c r="C45" s="298"/>
      <c r="D45" s="299"/>
      <c r="E45" s="299"/>
      <c r="F45" s="299"/>
      <c r="G45" s="298"/>
      <c r="H45" s="298"/>
      <c r="I45" s="298"/>
      <c r="J45" s="298"/>
      <c r="K45" s="298"/>
      <c r="L45" s="298"/>
      <c r="M45" s="298"/>
      <c r="Q45" s="2"/>
      <c r="R45" s="33"/>
      <c r="W45"/>
      <c r="X45"/>
      <c r="Y45"/>
      <c r="Z45"/>
      <c r="AA45"/>
      <c r="AC45"/>
    </row>
    <row r="46" spans="1:29" x14ac:dyDescent="0.25">
      <c r="A46" s="298"/>
      <c r="B46" s="298"/>
      <c r="C46" s="298"/>
      <c r="D46" s="299"/>
      <c r="E46" s="299"/>
      <c r="F46" s="299"/>
      <c r="G46" s="298"/>
      <c r="H46" s="298"/>
      <c r="I46" s="298"/>
      <c r="J46" s="298"/>
      <c r="K46" s="298"/>
      <c r="L46" s="298"/>
      <c r="M46" s="298"/>
      <c r="Q46" s="2"/>
      <c r="R46" s="33"/>
      <c r="W46"/>
      <c r="X46"/>
      <c r="Y46"/>
      <c r="Z46"/>
      <c r="AA46"/>
      <c r="AC46"/>
    </row>
    <row r="47" spans="1:29" x14ac:dyDescent="0.25">
      <c r="A47" s="298"/>
      <c r="B47" s="298"/>
      <c r="C47" s="298"/>
      <c r="D47" s="299"/>
      <c r="E47" s="299"/>
      <c r="F47" s="299"/>
      <c r="G47" s="298"/>
      <c r="H47" s="298"/>
      <c r="I47" s="298"/>
      <c r="J47" s="298"/>
      <c r="K47" s="298"/>
      <c r="L47" s="298"/>
      <c r="M47" s="298"/>
      <c r="Q47" s="2"/>
      <c r="R47" s="33"/>
      <c r="W47"/>
      <c r="X47"/>
      <c r="Y47"/>
      <c r="Z47"/>
      <c r="AA47"/>
      <c r="AC47"/>
    </row>
    <row r="48" spans="1:29" x14ac:dyDescent="0.25">
      <c r="A48" s="298"/>
      <c r="B48" s="298"/>
      <c r="C48" s="298"/>
      <c r="D48" s="299"/>
      <c r="E48" s="299"/>
      <c r="F48" s="299"/>
      <c r="G48" s="298"/>
      <c r="H48" s="298"/>
      <c r="I48" s="298"/>
      <c r="J48" s="298"/>
      <c r="K48" s="298"/>
      <c r="L48" s="298"/>
      <c r="M48" s="298"/>
      <c r="Q48" s="2"/>
      <c r="R48" s="33"/>
      <c r="W48"/>
      <c r="X48"/>
      <c r="Y48"/>
      <c r="Z48"/>
      <c r="AA48"/>
      <c r="AC48"/>
    </row>
    <row r="49" spans="1:29" x14ac:dyDescent="0.25">
      <c r="A49" s="298"/>
      <c r="B49" s="298"/>
      <c r="C49" s="298"/>
      <c r="D49" s="299"/>
      <c r="E49" s="299"/>
      <c r="F49" s="299"/>
      <c r="G49" s="298"/>
      <c r="H49" s="298"/>
      <c r="I49" s="298"/>
      <c r="J49" s="298"/>
      <c r="K49" s="298"/>
      <c r="L49" s="298"/>
      <c r="M49" s="298"/>
      <c r="Q49" s="2"/>
      <c r="R49" s="33"/>
      <c r="W49"/>
      <c r="X49"/>
      <c r="Y49"/>
      <c r="Z49"/>
      <c r="AA49"/>
      <c r="AC49"/>
    </row>
    <row r="50" spans="1:29" x14ac:dyDescent="0.25">
      <c r="A50" s="298"/>
      <c r="B50" s="298"/>
      <c r="C50" s="298"/>
      <c r="D50" s="299"/>
      <c r="E50" s="299"/>
      <c r="F50" s="299"/>
      <c r="G50" s="298"/>
      <c r="H50" s="298"/>
      <c r="I50" s="298"/>
      <c r="J50" s="298"/>
      <c r="K50" s="298"/>
      <c r="L50" s="298"/>
      <c r="M50" s="298"/>
      <c r="Q50" s="2"/>
      <c r="R50" s="33"/>
      <c r="W50"/>
      <c r="X50"/>
      <c r="Y50"/>
      <c r="Z50"/>
      <c r="AA50"/>
      <c r="AC50"/>
    </row>
    <row r="51" spans="1:29" x14ac:dyDescent="0.25">
      <c r="A51" s="21" t="s">
        <v>81</v>
      </c>
      <c r="B51" s="12"/>
      <c r="C51" s="12">
        <f>SUM(C35:C41)</f>
        <v>135</v>
      </c>
      <c r="D51" s="13"/>
      <c r="E51" s="13"/>
      <c r="F51" s="13">
        <f>SUM(F35:F41)</f>
        <v>11988.2</v>
      </c>
      <c r="G51" s="13"/>
      <c r="H51" s="75">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429" priority="25">
      <formula>F24&gt;0</formula>
    </cfRule>
    <cfRule type="expression" dxfId="428" priority="26">
      <formula>F24&lt;0</formula>
    </cfRule>
  </conditionalFormatting>
  <conditionalFormatting sqref="H21:H27">
    <cfRule type="expression" dxfId="427" priority="19">
      <formula>H21&gt;0</formula>
    </cfRule>
    <cfRule type="expression" dxfId="426" priority="20">
      <formula>H21&lt;0</formula>
    </cfRule>
  </conditionalFormatting>
  <conditionalFormatting sqref="F21:F23">
    <cfRule type="expression" dxfId="425" priority="5">
      <formula>F21&gt;0</formula>
    </cfRule>
    <cfRule type="expression" dxfId="424" priority="6">
      <formula>F21&lt;0</formula>
    </cfRule>
  </conditionalFormatting>
  <conditionalFormatting sqref="Q8">
    <cfRule type="expression" dxfId="423" priority="1">
      <formula>Q8&gt;0</formula>
    </cfRule>
    <cfRule type="expression" dxfId="422" priority="2">
      <formula>Q8&lt;0</formula>
    </cfRule>
  </conditionalFormatting>
  <conditionalFormatting sqref="Q7">
    <cfRule type="expression" dxfId="421" priority="3">
      <formula>Q7&gt;0</formula>
    </cfRule>
    <cfRule type="expression" dxfId="420"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91" t="s">
        <v>113</v>
      </c>
      <c r="X1" s="91" t="s">
        <v>114</v>
      </c>
      <c r="Y1" s="91" t="s">
        <v>115</v>
      </c>
      <c r="Z1" s="91" t="s">
        <v>116</v>
      </c>
      <c r="AA1" s="91" t="s">
        <v>117</v>
      </c>
      <c r="AB1" s="91" t="s">
        <v>118</v>
      </c>
      <c r="AC1" s="91" t="s">
        <v>119</v>
      </c>
      <c r="AD1" s="11" t="s">
        <v>125</v>
      </c>
      <c r="AE1" s="11" t="s">
        <v>127</v>
      </c>
    </row>
    <row r="2" spans="1:31" x14ac:dyDescent="0.25">
      <c r="A2" s="6" t="s">
        <v>33</v>
      </c>
      <c r="B2" s="72"/>
      <c r="C2" s="4"/>
      <c r="D2" s="3"/>
      <c r="E2" s="3"/>
      <c r="F2" s="3"/>
      <c r="G2" s="72"/>
      <c r="H2" s="4"/>
      <c r="I2" s="3"/>
      <c r="J2" s="3"/>
      <c r="K2" s="3"/>
      <c r="L2" s="72"/>
      <c r="M2" s="3"/>
      <c r="O2" s="11" t="s">
        <v>57</v>
      </c>
      <c r="Q2">
        <f>C18-H18</f>
        <v>0</v>
      </c>
      <c r="T2" s="62"/>
      <c r="W2" s="130">
        <v>42830</v>
      </c>
      <c r="X2" s="10">
        <v>219.54</v>
      </c>
      <c r="Y2" s="10">
        <v>220.5</v>
      </c>
      <c r="Z2" s="10">
        <v>216.8</v>
      </c>
      <c r="AA2" s="10">
        <v>217.13</v>
      </c>
      <c r="AB2" s="93">
        <v>1566800</v>
      </c>
      <c r="AC2" s="10">
        <v>217.13</v>
      </c>
      <c r="AD2" s="2">
        <f>Y2-Z2</f>
        <v>3.6999999999999886</v>
      </c>
      <c r="AE2" s="134">
        <f>AC2/AC3-1</f>
        <v>-8.3576909024479784E-3</v>
      </c>
    </row>
    <row r="3" spans="1:31" x14ac:dyDescent="0.25">
      <c r="A3" s="22" t="s">
        <v>71</v>
      </c>
      <c r="B3" s="157"/>
      <c r="C3" s="4"/>
      <c r="D3" s="3"/>
      <c r="E3" s="3"/>
      <c r="F3" s="3"/>
      <c r="G3" s="72"/>
      <c r="H3" s="4"/>
      <c r="I3" s="3"/>
      <c r="J3" s="3"/>
      <c r="K3" s="3"/>
      <c r="L3" s="72"/>
      <c r="M3" s="3"/>
      <c r="O3" s="11" t="s">
        <v>58</v>
      </c>
      <c r="Q3" s="2">
        <f>IF(Q2=0, Q4, (F18-K18-M18)/Q2)</f>
        <v>270.82</v>
      </c>
      <c r="T3" s="62"/>
      <c r="W3" s="130">
        <v>42829</v>
      </c>
      <c r="X3" s="10">
        <v>218.17</v>
      </c>
      <c r="Y3" s="10">
        <v>220.41</v>
      </c>
      <c r="Z3" s="10">
        <v>217.88</v>
      </c>
      <c r="AA3" s="10">
        <v>218.96</v>
      </c>
      <c r="AB3" s="93">
        <v>1263400</v>
      </c>
      <c r="AC3" s="10">
        <v>218.96</v>
      </c>
      <c r="AD3" s="2">
        <f t="shared" ref="AD3:AD66" si="0">Y3-Z3</f>
        <v>2.5300000000000011</v>
      </c>
      <c r="AE3" s="134">
        <f t="shared" ref="AE3:AE66" si="1">AC3/AC4-1</f>
        <v>7.3126142595980603E-4</v>
      </c>
    </row>
    <row r="4" spans="1:31" x14ac:dyDescent="0.25">
      <c r="B4" s="157"/>
      <c r="C4" s="4"/>
      <c r="D4" s="3"/>
      <c r="E4" s="3"/>
      <c r="F4" s="3"/>
      <c r="G4" s="72"/>
      <c r="H4" s="161"/>
      <c r="I4" s="3"/>
      <c r="J4" s="3"/>
      <c r="K4" s="3"/>
      <c r="L4" s="4"/>
      <c r="M4" s="3"/>
      <c r="O4" s="11" t="s">
        <v>66</v>
      </c>
      <c r="Q4" s="54">
        <v>270.82</v>
      </c>
      <c r="R4" s="405">
        <v>2.7000000000000001E-3</v>
      </c>
      <c r="T4" s="62"/>
      <c r="W4" s="130">
        <v>42828</v>
      </c>
      <c r="X4" s="10">
        <v>219</v>
      </c>
      <c r="Y4" s="10">
        <v>219.99</v>
      </c>
      <c r="Z4" s="10">
        <v>216.66</v>
      </c>
      <c r="AA4" s="10">
        <v>218.8</v>
      </c>
      <c r="AB4" s="93">
        <v>1921000</v>
      </c>
      <c r="AC4" s="10">
        <v>218.8</v>
      </c>
      <c r="AD4" s="2">
        <f t="shared" si="0"/>
        <v>3.3300000000000125</v>
      </c>
      <c r="AE4" s="134">
        <f t="shared" si="1"/>
        <v>-7.3072707343802001E-4</v>
      </c>
    </row>
    <row r="5" spans="1:31" x14ac:dyDescent="0.25">
      <c r="B5" s="72"/>
      <c r="C5" s="4"/>
      <c r="D5" s="3"/>
      <c r="E5" s="3"/>
      <c r="F5" s="3"/>
      <c r="G5" s="72"/>
      <c r="H5" s="161"/>
      <c r="I5" s="3"/>
      <c r="J5" s="3"/>
      <c r="K5" s="3"/>
      <c r="L5" s="4"/>
      <c r="M5" s="3"/>
      <c r="O5" s="11" t="s">
        <v>67</v>
      </c>
      <c r="Q5" s="3">
        <f>Q4*Q2</f>
        <v>0</v>
      </c>
      <c r="T5" s="62"/>
      <c r="W5" s="130">
        <v>42825</v>
      </c>
      <c r="X5" s="10">
        <v>219.99</v>
      </c>
      <c r="Y5" s="10">
        <v>220.99</v>
      </c>
      <c r="Z5" s="10">
        <v>218.03</v>
      </c>
      <c r="AA5" s="10">
        <v>218.96</v>
      </c>
      <c r="AB5" s="93">
        <v>2589700</v>
      </c>
      <c r="AC5" s="10">
        <v>218.96</v>
      </c>
      <c r="AD5" s="2">
        <f t="shared" si="0"/>
        <v>2.960000000000008</v>
      </c>
      <c r="AE5" s="134">
        <f t="shared" si="1"/>
        <v>-4.9081985093618608E-3</v>
      </c>
    </row>
    <row r="6" spans="1:31" x14ac:dyDescent="0.25">
      <c r="B6" s="72"/>
      <c r="C6" s="4"/>
      <c r="D6" s="3"/>
      <c r="E6" s="3"/>
      <c r="F6" s="3"/>
      <c r="G6" s="72"/>
      <c r="H6" s="161"/>
      <c r="I6" s="3"/>
      <c r="J6" s="3"/>
      <c r="K6" s="3"/>
      <c r="L6" s="4"/>
      <c r="M6" s="3"/>
      <c r="O6" s="11" t="s">
        <v>64</v>
      </c>
      <c r="Q6" s="2">
        <f>Q3*Q2</f>
        <v>0</v>
      </c>
      <c r="T6" s="62"/>
      <c r="W6" s="130">
        <v>42824</v>
      </c>
      <c r="X6" s="10">
        <v>221.9</v>
      </c>
      <c r="Y6" s="10">
        <v>224.45</v>
      </c>
      <c r="Z6" s="10">
        <v>218.86</v>
      </c>
      <c r="AA6" s="10">
        <v>220.04</v>
      </c>
      <c r="AB6" s="93">
        <v>3416800</v>
      </c>
      <c r="AC6" s="10">
        <v>220.04</v>
      </c>
      <c r="AD6" s="2">
        <f t="shared" si="0"/>
        <v>5.589999999999975</v>
      </c>
      <c r="AE6" s="134">
        <f t="shared" si="1"/>
        <v>-5.7385567755637856E-3</v>
      </c>
    </row>
    <row r="7" spans="1:31" x14ac:dyDescent="0.25">
      <c r="B7" s="295"/>
      <c r="C7" s="4"/>
      <c r="D7" s="3"/>
      <c r="E7" s="3"/>
      <c r="F7" s="3"/>
      <c r="G7" s="4"/>
      <c r="H7" s="4"/>
      <c r="I7" s="3"/>
      <c r="J7" s="3"/>
      <c r="K7" s="3"/>
      <c r="L7" s="4"/>
      <c r="M7" s="3"/>
      <c r="O7" s="11" t="s">
        <v>177</v>
      </c>
      <c r="Q7" s="2">
        <f>Q10+Q8</f>
        <v>780.73999999999796</v>
      </c>
      <c r="R7">
        <v>0</v>
      </c>
      <c r="T7" s="62"/>
      <c r="W7" s="130">
        <v>42823</v>
      </c>
      <c r="X7" s="10">
        <v>220.8</v>
      </c>
      <c r="Y7" s="10">
        <v>221.35</v>
      </c>
      <c r="Z7" s="10">
        <v>219.68</v>
      </c>
      <c r="AA7" s="10">
        <v>221.31</v>
      </c>
      <c r="AB7" s="93">
        <v>1592700</v>
      </c>
      <c r="AC7" s="10">
        <v>221.31</v>
      </c>
      <c r="AD7" s="2">
        <f t="shared" si="0"/>
        <v>1.6699999999999875</v>
      </c>
      <c r="AE7" s="134">
        <f t="shared" si="1"/>
        <v>1.6293279022403517E-3</v>
      </c>
    </row>
    <row r="8" spans="1:31" x14ac:dyDescent="0.25">
      <c r="B8" s="295"/>
      <c r="C8" s="4"/>
      <c r="D8" s="3"/>
      <c r="E8" s="3"/>
      <c r="F8" s="3"/>
      <c r="G8" s="4"/>
      <c r="H8" s="4"/>
      <c r="I8" s="3"/>
      <c r="J8" s="3"/>
      <c r="K8" s="3"/>
      <c r="L8" s="4"/>
      <c r="M8" s="4"/>
      <c r="O8" s="11" t="s">
        <v>179</v>
      </c>
      <c r="P8" s="33"/>
      <c r="Q8" s="2">
        <f>K18+M18-F18+Q2*Q4</f>
        <v>0</v>
      </c>
      <c r="T8" s="62"/>
      <c r="W8" s="130">
        <v>42822</v>
      </c>
      <c r="X8" s="10">
        <v>218.51</v>
      </c>
      <c r="Y8" s="10">
        <v>221.78</v>
      </c>
      <c r="Z8" s="10">
        <v>218.35</v>
      </c>
      <c r="AA8" s="10">
        <v>220.95</v>
      </c>
      <c r="AB8" s="93">
        <v>1792900</v>
      </c>
      <c r="AC8" s="10">
        <v>220.95</v>
      </c>
      <c r="AD8" s="2">
        <f t="shared" si="0"/>
        <v>3.4300000000000068</v>
      </c>
      <c r="AE8" s="134">
        <f t="shared" si="1"/>
        <v>8.6738187628394581E-3</v>
      </c>
    </row>
    <row r="9" spans="1:31" x14ac:dyDescent="0.25">
      <c r="B9" s="296"/>
      <c r="C9" s="4"/>
      <c r="D9" s="3"/>
      <c r="E9" s="3"/>
      <c r="F9" s="3"/>
      <c r="G9" s="4"/>
      <c r="H9" s="4"/>
      <c r="I9" s="3"/>
      <c r="J9" s="3"/>
      <c r="K9" s="3"/>
      <c r="L9" s="4"/>
      <c r="M9" s="4"/>
      <c r="O9" s="11" t="s">
        <v>204</v>
      </c>
      <c r="Q9" s="134">
        <f>IF(Q2=0, 0, Q8/Q6)</f>
        <v>0</v>
      </c>
      <c r="T9" s="66"/>
      <c r="W9" s="130">
        <v>42821</v>
      </c>
      <c r="X9" s="10">
        <v>216.83</v>
      </c>
      <c r="Y9" s="10">
        <v>220.18</v>
      </c>
      <c r="Z9" s="10">
        <v>215.97</v>
      </c>
      <c r="AA9" s="10">
        <v>219.05</v>
      </c>
      <c r="AB9" s="93">
        <v>1535800</v>
      </c>
      <c r="AC9" s="10">
        <v>219.05</v>
      </c>
      <c r="AD9" s="2">
        <f t="shared" si="0"/>
        <v>4.210000000000008</v>
      </c>
      <c r="AE9" s="134">
        <f t="shared" si="1"/>
        <v>3.6534685116684784E-4</v>
      </c>
    </row>
    <row r="10" spans="1:31" x14ac:dyDescent="0.25">
      <c r="B10" s="296"/>
      <c r="C10" s="4"/>
      <c r="D10" s="3"/>
      <c r="E10" s="3"/>
      <c r="F10" s="3"/>
      <c r="G10" s="4"/>
      <c r="H10" s="4"/>
      <c r="I10" s="3"/>
      <c r="J10" s="3"/>
      <c r="K10" s="3"/>
      <c r="L10" s="4"/>
      <c r="M10" s="4"/>
      <c r="O10" s="11" t="s">
        <v>203</v>
      </c>
      <c r="P10" s="33"/>
      <c r="Q10" s="2">
        <f>M32</f>
        <v>780.73999999999796</v>
      </c>
      <c r="W10" s="130">
        <v>42818</v>
      </c>
      <c r="X10" s="10">
        <v>218.01</v>
      </c>
      <c r="Y10" s="10">
        <v>221.4</v>
      </c>
      <c r="Z10" s="10">
        <v>217.74</v>
      </c>
      <c r="AA10" s="10">
        <v>218.97</v>
      </c>
      <c r="AB10" s="93">
        <v>2379400</v>
      </c>
      <c r="AC10" s="10">
        <v>218.97</v>
      </c>
      <c r="AD10" s="2">
        <f t="shared" si="0"/>
        <v>3.6599999999999966</v>
      </c>
      <c r="AE10" s="134">
        <f t="shared" si="1"/>
        <v>9.7297795812967269E-3</v>
      </c>
    </row>
    <row r="11" spans="1:31" x14ac:dyDescent="0.25">
      <c r="B11" s="72"/>
      <c r="C11" s="4"/>
      <c r="D11" s="3"/>
      <c r="E11" s="3"/>
      <c r="F11" s="3"/>
      <c r="G11" s="4"/>
      <c r="H11" s="4"/>
      <c r="I11" s="3"/>
      <c r="J11" s="3"/>
      <c r="K11" s="3"/>
      <c r="L11" s="4"/>
      <c r="M11" s="4"/>
      <c r="O11" s="11" t="s">
        <v>175</v>
      </c>
      <c r="P11" s="33"/>
      <c r="Q11" s="134">
        <f>VALUE(TRIM(CLEAN(MID(U57, FIND("(", U57)+1, 5))))</f>
        <v>1.8599999999999998E-2</v>
      </c>
      <c r="W11" s="130">
        <v>42817</v>
      </c>
      <c r="X11" s="10">
        <v>217.26</v>
      </c>
      <c r="Y11" s="10">
        <v>218.46</v>
      </c>
      <c r="Z11" s="10">
        <v>216.43</v>
      </c>
      <c r="AA11" s="10">
        <v>216.86</v>
      </c>
      <c r="AB11" s="93">
        <v>1922300</v>
      </c>
      <c r="AC11" s="10">
        <v>216.86</v>
      </c>
      <c r="AD11" s="2">
        <f t="shared" si="0"/>
        <v>2.0300000000000011</v>
      </c>
      <c r="AE11" s="134">
        <f t="shared" si="1"/>
        <v>-2.5756600128782337E-3</v>
      </c>
    </row>
    <row r="12" spans="1:31" x14ac:dyDescent="0.25">
      <c r="B12" s="72"/>
      <c r="C12" s="4"/>
      <c r="D12" s="3"/>
      <c r="E12" s="3"/>
      <c r="F12" s="3"/>
      <c r="G12" s="3"/>
      <c r="H12" s="4"/>
      <c r="I12" s="3"/>
      <c r="J12" s="3"/>
      <c r="K12" s="3"/>
      <c r="L12" s="4"/>
      <c r="M12" s="4"/>
      <c r="W12" s="130">
        <v>42816</v>
      </c>
      <c r="X12" s="10">
        <v>216.02</v>
      </c>
      <c r="Y12" s="10">
        <v>218.37</v>
      </c>
      <c r="Z12" s="10">
        <v>215.39</v>
      </c>
      <c r="AA12" s="10">
        <v>217.42</v>
      </c>
      <c r="AB12" s="93">
        <v>1913100</v>
      </c>
      <c r="AC12" s="10">
        <v>217.42</v>
      </c>
      <c r="AD12" s="2">
        <f t="shared" si="0"/>
        <v>2.9800000000000182</v>
      </c>
      <c r="AE12" s="134">
        <f t="shared" si="1"/>
        <v>6.4808813998702419E-3</v>
      </c>
    </row>
    <row r="13" spans="1:31" x14ac:dyDescent="0.25">
      <c r="B13" s="4"/>
      <c r="C13" s="4"/>
      <c r="D13" s="3"/>
      <c r="E13" s="3"/>
      <c r="F13" s="3"/>
      <c r="G13" s="4"/>
      <c r="H13" s="4"/>
      <c r="I13" s="3"/>
      <c r="J13" s="3"/>
      <c r="K13" s="3"/>
      <c r="L13" s="4"/>
      <c r="M13" s="4"/>
      <c r="W13" s="130">
        <v>42815</v>
      </c>
      <c r="X13" s="10">
        <v>222.24</v>
      </c>
      <c r="Y13" s="10">
        <v>222.98</v>
      </c>
      <c r="Z13" s="10">
        <v>215.52</v>
      </c>
      <c r="AA13" s="10">
        <v>216.02</v>
      </c>
      <c r="AB13" s="93">
        <v>3055700</v>
      </c>
      <c r="AC13" s="10">
        <v>216.02</v>
      </c>
      <c r="AD13" s="2">
        <f t="shared" si="0"/>
        <v>7.4599999999999795</v>
      </c>
      <c r="AE13" s="134">
        <f t="shared" si="1"/>
        <v>-2.3594286747423587E-2</v>
      </c>
    </row>
    <row r="14" spans="1:31" x14ac:dyDescent="0.25">
      <c r="W14" s="130">
        <v>42814</v>
      </c>
      <c r="X14" s="10">
        <v>221.18</v>
      </c>
      <c r="Y14" s="10">
        <v>222.64</v>
      </c>
      <c r="Z14" s="10">
        <v>220.78</v>
      </c>
      <c r="AA14" s="10">
        <v>221.24</v>
      </c>
      <c r="AB14" s="93">
        <v>1721500</v>
      </c>
      <c r="AC14" s="10">
        <v>221.24</v>
      </c>
      <c r="AD14" s="2">
        <f t="shared" si="0"/>
        <v>1.8599999999999852</v>
      </c>
      <c r="AE14" s="134">
        <f t="shared" si="1"/>
        <v>2.7127226693202111E-4</v>
      </c>
    </row>
    <row r="15" spans="1:31" x14ac:dyDescent="0.25">
      <c r="W15" s="130">
        <v>42811</v>
      </c>
      <c r="X15" s="10">
        <v>223.52</v>
      </c>
      <c r="Y15" s="10">
        <v>223.71</v>
      </c>
      <c r="Z15" s="10">
        <v>220.85</v>
      </c>
      <c r="AA15" s="10">
        <v>221.18</v>
      </c>
      <c r="AB15" s="93">
        <v>5163500</v>
      </c>
      <c r="AC15" s="10">
        <v>221.18</v>
      </c>
      <c r="AD15" s="2">
        <f t="shared" si="0"/>
        <v>2.8600000000000136</v>
      </c>
      <c r="AE15" s="134">
        <f t="shared" si="1"/>
        <v>-5.3067098398993373E-3</v>
      </c>
    </row>
    <row r="16" spans="1:31" x14ac:dyDescent="0.25">
      <c r="W16" s="130">
        <v>42810</v>
      </c>
      <c r="X16" s="10">
        <v>225.48</v>
      </c>
      <c r="Y16" s="10">
        <v>225.82</v>
      </c>
      <c r="Z16" s="10">
        <v>221.57</v>
      </c>
      <c r="AA16" s="10">
        <v>222.36</v>
      </c>
      <c r="AB16" s="93">
        <v>2783500</v>
      </c>
      <c r="AC16" s="10">
        <v>222.36</v>
      </c>
      <c r="AD16" s="2">
        <f t="shared" si="0"/>
        <v>4.25</v>
      </c>
      <c r="AE16" s="134" t="e">
        <f t="shared" si="1"/>
        <v>#DIV/0!</v>
      </c>
    </row>
    <row r="17" spans="1:31" x14ac:dyDescent="0.25">
      <c r="W17" s="130">
        <v>42810</v>
      </c>
      <c r="X17" s="10" t="s">
        <v>313</v>
      </c>
      <c r="Y17" s="10"/>
      <c r="Z17" s="10"/>
      <c r="AA17" s="10"/>
      <c r="AB17" s="93"/>
      <c r="AC17" s="10"/>
      <c r="AD17" s="2">
        <f t="shared" si="0"/>
        <v>0</v>
      </c>
      <c r="AE17" s="134">
        <f t="shared" si="1"/>
        <v>-1</v>
      </c>
    </row>
    <row r="18" spans="1:31" x14ac:dyDescent="0.25">
      <c r="A18" s="63" t="s">
        <v>81</v>
      </c>
      <c r="B18" s="64"/>
      <c r="C18" s="64">
        <f>SUM(C2:C13)</f>
        <v>0</v>
      </c>
      <c r="D18" s="65"/>
      <c r="E18" s="65"/>
      <c r="F18" s="65">
        <f>SUM(F2:F13)</f>
        <v>0</v>
      </c>
      <c r="G18" s="64"/>
      <c r="H18" s="64">
        <f>SUM(H2:H13)</f>
        <v>0</v>
      </c>
      <c r="I18" s="65"/>
      <c r="J18" s="65"/>
      <c r="K18" s="65">
        <f>SUM(K2:K13)</f>
        <v>0</v>
      </c>
      <c r="L18" s="64"/>
      <c r="M18" s="65">
        <f>SUM(M2:M13)</f>
        <v>0</v>
      </c>
      <c r="W18" s="130">
        <v>42809</v>
      </c>
      <c r="X18" s="10">
        <v>224.33</v>
      </c>
      <c r="Y18" s="10">
        <v>226.65</v>
      </c>
      <c r="Z18" s="10">
        <v>223.24</v>
      </c>
      <c r="AA18" s="10">
        <v>225.93</v>
      </c>
      <c r="AB18" s="93">
        <v>2072700</v>
      </c>
      <c r="AC18" s="10">
        <v>224.91</v>
      </c>
      <c r="AD18" s="2">
        <f t="shared" si="0"/>
        <v>3.4099999999999966</v>
      </c>
      <c r="AE18" s="134">
        <f t="shared" si="1"/>
        <v>7.0296409062415854E-3</v>
      </c>
    </row>
    <row r="19" spans="1:31" x14ac:dyDescent="0.25">
      <c r="W19" s="130">
        <v>42808</v>
      </c>
      <c r="X19" s="10">
        <v>224.76</v>
      </c>
      <c r="Y19" s="10">
        <v>226.28</v>
      </c>
      <c r="Z19" s="10">
        <v>223.51</v>
      </c>
      <c r="AA19" s="10">
        <v>224.35</v>
      </c>
      <c r="AB19" s="93">
        <v>2216500</v>
      </c>
      <c r="AC19" s="10">
        <v>223.34</v>
      </c>
      <c r="AD19" s="2">
        <f t="shared" si="0"/>
        <v>2.7700000000000102</v>
      </c>
      <c r="AE19" s="134">
        <f t="shared" si="1"/>
        <v>-9.2711706516435122E-3</v>
      </c>
    </row>
    <row r="20" spans="1:31" x14ac:dyDescent="0.25">
      <c r="B20" s="162" t="s">
        <v>113</v>
      </c>
      <c r="C20" s="162" t="s">
        <v>145</v>
      </c>
      <c r="D20" s="163" t="s">
        <v>144</v>
      </c>
      <c r="E20" s="165" t="s">
        <v>146</v>
      </c>
      <c r="F20" s="166" t="s">
        <v>65</v>
      </c>
      <c r="G20" s="177" t="s">
        <v>150</v>
      </c>
      <c r="H20" s="166" t="s">
        <v>88</v>
      </c>
      <c r="W20" s="130">
        <v>42807</v>
      </c>
      <c r="X20" s="10">
        <v>225.86</v>
      </c>
      <c r="Y20" s="10">
        <v>227.75</v>
      </c>
      <c r="Z20" s="10">
        <v>225.36</v>
      </c>
      <c r="AA20" s="10">
        <v>226.45</v>
      </c>
      <c r="AB20" s="93">
        <v>2666900</v>
      </c>
      <c r="AC20" s="10">
        <v>225.43</v>
      </c>
      <c r="AD20" s="2">
        <f t="shared" si="0"/>
        <v>2.3899999999999864</v>
      </c>
      <c r="AE20" s="134">
        <f t="shared" si="1"/>
        <v>4.4379354724188858E-4</v>
      </c>
    </row>
    <row r="21" spans="1:31" x14ac:dyDescent="0.25">
      <c r="B21" s="164"/>
      <c r="C21" s="10"/>
      <c r="D21" s="39"/>
      <c r="E21" s="39"/>
      <c r="F21" s="39"/>
      <c r="G21" s="39"/>
      <c r="H21" s="180"/>
      <c r="W21" s="130">
        <v>42804</v>
      </c>
      <c r="X21" s="10">
        <v>222.73</v>
      </c>
      <c r="Y21" s="10">
        <v>226.41</v>
      </c>
      <c r="Z21" s="10">
        <v>222.73</v>
      </c>
      <c r="AA21" s="10">
        <v>226.35</v>
      </c>
      <c r="AB21" s="93">
        <v>3943000</v>
      </c>
      <c r="AC21" s="10">
        <v>225.33</v>
      </c>
      <c r="AD21" s="2">
        <f t="shared" si="0"/>
        <v>3.6800000000000068</v>
      </c>
      <c r="AE21" s="134">
        <f t="shared" si="1"/>
        <v>1.9546626849463955E-2</v>
      </c>
    </row>
    <row r="22" spans="1:31" x14ac:dyDescent="0.25">
      <c r="B22" s="164"/>
      <c r="C22" s="10"/>
      <c r="D22" s="173"/>
      <c r="E22" s="173"/>
      <c r="F22" s="39"/>
      <c r="G22" s="39"/>
      <c r="H22" s="180"/>
      <c r="W22" s="130">
        <v>42803</v>
      </c>
      <c r="X22" s="10">
        <v>218.78</v>
      </c>
      <c r="Y22" s="10">
        <v>222.86</v>
      </c>
      <c r="Z22" s="10">
        <v>218.12</v>
      </c>
      <c r="AA22" s="10">
        <v>222.01</v>
      </c>
      <c r="AB22" s="93">
        <v>2567500</v>
      </c>
      <c r="AC22" s="10">
        <v>221.01</v>
      </c>
      <c r="AD22" s="2">
        <f t="shared" si="0"/>
        <v>4.7400000000000091</v>
      </c>
      <c r="AE22" s="134">
        <f t="shared" si="1"/>
        <v>1.0839736553238222E-2</v>
      </c>
    </row>
    <row r="23" spans="1:31" x14ac:dyDescent="0.25">
      <c r="B23" s="10"/>
      <c r="C23" s="10"/>
      <c r="D23" s="39"/>
      <c r="E23" s="39"/>
      <c r="F23" s="39"/>
      <c r="G23" s="39"/>
      <c r="H23" s="180"/>
      <c r="W23" s="130">
        <v>42802</v>
      </c>
      <c r="X23" s="10">
        <v>219.22</v>
      </c>
      <c r="Y23" s="10">
        <v>221.24</v>
      </c>
      <c r="Z23" s="10">
        <v>218.55</v>
      </c>
      <c r="AA23" s="10">
        <v>219.63</v>
      </c>
      <c r="AB23" s="93">
        <v>2453200</v>
      </c>
      <c r="AC23" s="10">
        <v>218.64</v>
      </c>
      <c r="AD23" s="2">
        <f t="shared" si="0"/>
        <v>2.6899999999999977</v>
      </c>
      <c r="AE23" s="134">
        <f t="shared" si="1"/>
        <v>1.7410427929991368E-3</v>
      </c>
    </row>
    <row r="24" spans="1:31" x14ac:dyDescent="0.25">
      <c r="B24" s="10"/>
      <c r="C24" s="10"/>
      <c r="D24" s="39"/>
      <c r="E24" s="39"/>
      <c r="F24" s="39"/>
      <c r="G24" s="39"/>
      <c r="H24" s="180"/>
      <c r="W24" s="130">
        <v>42801</v>
      </c>
      <c r="X24" s="10">
        <v>217.34</v>
      </c>
      <c r="Y24" s="10">
        <v>221.37</v>
      </c>
      <c r="Z24" s="10">
        <v>217.09</v>
      </c>
      <c r="AA24" s="10">
        <v>219.25</v>
      </c>
      <c r="AB24" s="93">
        <v>2912900</v>
      </c>
      <c r="AC24" s="10">
        <v>218.26</v>
      </c>
      <c r="AD24" s="2">
        <f t="shared" si="0"/>
        <v>4.2800000000000011</v>
      </c>
      <c r="AE24" s="134">
        <f t="shared" si="1"/>
        <v>5.9918879056046759E-3</v>
      </c>
    </row>
    <row r="25" spans="1:31" x14ac:dyDescent="0.25">
      <c r="B25" s="10"/>
      <c r="C25" s="10"/>
      <c r="D25" s="39"/>
      <c r="E25" s="39"/>
      <c r="F25" s="39"/>
      <c r="G25" s="39"/>
      <c r="H25" s="180"/>
      <c r="W25" s="130">
        <v>42800</v>
      </c>
      <c r="X25" s="10">
        <v>216.37</v>
      </c>
      <c r="Y25" s="10">
        <v>218.53</v>
      </c>
      <c r="Z25" s="10">
        <v>215.17</v>
      </c>
      <c r="AA25" s="10">
        <v>217.94</v>
      </c>
      <c r="AB25" s="93">
        <v>2277100</v>
      </c>
      <c r="AC25" s="10">
        <v>216.96</v>
      </c>
      <c r="AD25" s="2">
        <f t="shared" si="0"/>
        <v>3.3600000000000136</v>
      </c>
      <c r="AE25" s="134">
        <f t="shared" si="1"/>
        <v>-1.702480099388004E-3</v>
      </c>
    </row>
    <row r="26" spans="1:31" x14ac:dyDescent="0.25">
      <c r="B26" s="10"/>
      <c r="C26" s="10"/>
      <c r="D26" s="39"/>
      <c r="E26" s="39"/>
      <c r="F26" s="39"/>
      <c r="G26" s="39"/>
      <c r="H26" s="180"/>
      <c r="W26" s="130">
        <v>42797</v>
      </c>
      <c r="X26" s="10">
        <v>218</v>
      </c>
      <c r="Y26" s="10">
        <v>220</v>
      </c>
      <c r="Z26" s="10">
        <v>217.7</v>
      </c>
      <c r="AA26" s="10">
        <v>218.32</v>
      </c>
      <c r="AB26" s="93">
        <v>3074700</v>
      </c>
      <c r="AC26" s="10">
        <v>217.33</v>
      </c>
      <c r="AD26" s="2">
        <f t="shared" si="0"/>
        <v>2.3000000000000114</v>
      </c>
      <c r="AE26" s="134">
        <f t="shared" si="1"/>
        <v>4.7154546715362233E-3</v>
      </c>
    </row>
    <row r="27" spans="1:31" x14ac:dyDescent="0.25">
      <c r="B27" s="10"/>
      <c r="C27" s="10"/>
      <c r="D27" s="39"/>
      <c r="E27" s="39"/>
      <c r="F27" s="39"/>
      <c r="G27" s="39"/>
      <c r="H27" s="180"/>
      <c r="W27" s="130">
        <v>42796</v>
      </c>
      <c r="X27" s="10">
        <v>224.11</v>
      </c>
      <c r="Y27" s="10">
        <v>224.98</v>
      </c>
      <c r="Z27" s="10">
        <v>216.02</v>
      </c>
      <c r="AA27" s="10">
        <v>217.29</v>
      </c>
      <c r="AB27" s="93">
        <v>7117100</v>
      </c>
      <c r="AC27" s="10">
        <v>216.31</v>
      </c>
      <c r="AD27" s="2">
        <f t="shared" si="0"/>
        <v>8.9599999999999795</v>
      </c>
      <c r="AE27" s="134">
        <f t="shared" si="1"/>
        <v>9.9920623803522179E-3</v>
      </c>
    </row>
    <row r="28" spans="1:31" x14ac:dyDescent="0.25">
      <c r="B28" s="10"/>
      <c r="C28" s="10"/>
      <c r="D28" s="39"/>
      <c r="E28" s="39"/>
      <c r="F28" s="39"/>
      <c r="G28" s="39"/>
      <c r="H28" s="180"/>
      <c r="W28" s="130">
        <v>42795</v>
      </c>
      <c r="X28" s="10">
        <v>213.07</v>
      </c>
      <c r="Y28" s="10">
        <v>215.39</v>
      </c>
      <c r="Z28" s="10">
        <v>210.56</v>
      </c>
      <c r="AA28" s="10">
        <v>215.14</v>
      </c>
      <c r="AB28" s="93">
        <v>5115500</v>
      </c>
      <c r="AC28" s="10">
        <v>214.17</v>
      </c>
      <c r="AD28" s="2">
        <f t="shared" si="0"/>
        <v>4.8299999999999841</v>
      </c>
      <c r="AE28" s="134">
        <f t="shared" si="1"/>
        <v>1.9954281360129444E-2</v>
      </c>
    </row>
    <row r="29" spans="1:31" x14ac:dyDescent="0.25">
      <c r="B29" s="10"/>
      <c r="C29" s="10"/>
      <c r="D29" s="39"/>
      <c r="E29" s="39"/>
      <c r="F29" s="39"/>
      <c r="G29" s="39"/>
      <c r="H29" s="180"/>
      <c r="W29" s="130">
        <v>42794</v>
      </c>
      <c r="X29" s="10">
        <v>214.14</v>
      </c>
      <c r="Y29" s="10">
        <v>214.34</v>
      </c>
      <c r="Z29" s="10">
        <v>210.3</v>
      </c>
      <c r="AA29" s="10">
        <v>210.93</v>
      </c>
      <c r="AB29" s="93">
        <v>2754800</v>
      </c>
      <c r="AC29" s="10">
        <v>209.98</v>
      </c>
      <c r="AD29" s="2">
        <f t="shared" si="0"/>
        <v>4.039999999999992</v>
      </c>
      <c r="AE29" s="134">
        <f t="shared" si="1"/>
        <v>-1.1021100226073832E-2</v>
      </c>
    </row>
    <row r="30" spans="1:31" x14ac:dyDescent="0.25">
      <c r="B30" s="10"/>
      <c r="C30" s="10"/>
      <c r="D30" s="39"/>
      <c r="E30" s="39"/>
      <c r="F30" s="39"/>
      <c r="G30" s="39"/>
      <c r="H30" s="180"/>
      <c r="W30" s="130">
        <v>42793</v>
      </c>
      <c r="X30" s="10">
        <v>210.67</v>
      </c>
      <c r="Y30" s="10">
        <v>213.45</v>
      </c>
      <c r="Z30" s="10">
        <v>210.19</v>
      </c>
      <c r="AA30" s="10">
        <v>213.28</v>
      </c>
      <c r="AB30" s="93">
        <v>2699100</v>
      </c>
      <c r="AC30" s="10">
        <v>212.32</v>
      </c>
      <c r="AD30" s="2">
        <f t="shared" si="0"/>
        <v>3.2599999999999909</v>
      </c>
      <c r="AE30" s="134">
        <f t="shared" si="1"/>
        <v>1.3847770031515605E-2</v>
      </c>
    </row>
    <row r="31" spans="1:31" x14ac:dyDescent="0.25">
      <c r="W31" s="130">
        <v>42790</v>
      </c>
      <c r="X31" s="10">
        <v>208.38</v>
      </c>
      <c r="Y31" s="10">
        <v>210.65</v>
      </c>
      <c r="Z31" s="10">
        <v>202.61</v>
      </c>
      <c r="AA31" s="10">
        <v>210.37</v>
      </c>
      <c r="AB31" s="93">
        <v>2765100</v>
      </c>
      <c r="AC31" s="10">
        <v>209.42</v>
      </c>
      <c r="AD31" s="2">
        <f t="shared" si="0"/>
        <v>8.039999999999992</v>
      </c>
      <c r="AE31" s="134">
        <f t="shared" si="1"/>
        <v>-1.0017650145495161E-3</v>
      </c>
    </row>
    <row r="32" spans="1:31" x14ac:dyDescent="0.25">
      <c r="L32" t="s">
        <v>203</v>
      </c>
      <c r="M32" s="2">
        <f>M50+K50-F50</f>
        <v>780.73999999999796</v>
      </c>
      <c r="W32" s="130">
        <v>42789</v>
      </c>
      <c r="X32" s="10">
        <v>215.08</v>
      </c>
      <c r="Y32" s="10">
        <v>215.96</v>
      </c>
      <c r="Z32" s="10">
        <v>209.64</v>
      </c>
      <c r="AA32" s="10">
        <v>210.58</v>
      </c>
      <c r="AB32" s="93">
        <v>2936400</v>
      </c>
      <c r="AC32" s="10">
        <v>209.63</v>
      </c>
      <c r="AD32" s="2">
        <f t="shared" si="0"/>
        <v>6.3200000000000216</v>
      </c>
      <c r="AE32" s="134">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30">
        <v>42788</v>
      </c>
      <c r="X33" s="10">
        <v>213</v>
      </c>
      <c r="Y33" s="10">
        <v>214.93</v>
      </c>
      <c r="Z33" s="10">
        <v>211.5</v>
      </c>
      <c r="AA33" s="10">
        <v>214.16</v>
      </c>
      <c r="AB33" s="93">
        <v>2394900</v>
      </c>
      <c r="AC33" s="10">
        <v>213.19</v>
      </c>
      <c r="AD33" s="2">
        <f t="shared" si="0"/>
        <v>3.4300000000000068</v>
      </c>
      <c r="AE33" s="134">
        <f t="shared" si="1"/>
        <v>6.6103215449266894E-3</v>
      </c>
    </row>
    <row r="34" spans="1:31" x14ac:dyDescent="0.25">
      <c r="A34" s="6" t="s">
        <v>33</v>
      </c>
      <c r="B34" s="1">
        <v>42166</v>
      </c>
      <c r="C34" s="7">
        <v>10</v>
      </c>
      <c r="D34" s="43">
        <v>139.16</v>
      </c>
      <c r="E34" s="43">
        <v>0</v>
      </c>
      <c r="F34" s="43">
        <f t="shared" ref="F34:F44" si="2">D34*C34</f>
        <v>1391.6</v>
      </c>
      <c r="G34" s="72">
        <v>42213</v>
      </c>
      <c r="H34" s="7">
        <v>10</v>
      </c>
      <c r="I34" s="43">
        <f>129.5</f>
        <v>129.5</v>
      </c>
      <c r="J34" s="43">
        <v>0.02</v>
      </c>
      <c r="K34" s="43">
        <f>H34*I34-J34</f>
        <v>1294.98</v>
      </c>
      <c r="L34" s="1">
        <v>42185</v>
      </c>
      <c r="M34" s="2">
        <v>4</v>
      </c>
      <c r="W34" s="130">
        <v>42787</v>
      </c>
      <c r="X34" s="10">
        <v>211</v>
      </c>
      <c r="Y34" s="10">
        <v>213.62</v>
      </c>
      <c r="Z34" s="10">
        <v>210.91</v>
      </c>
      <c r="AA34" s="10">
        <v>212.75</v>
      </c>
      <c r="AB34" s="93">
        <v>3033300</v>
      </c>
      <c r="AC34" s="10">
        <v>211.79</v>
      </c>
      <c r="AD34" s="2">
        <f t="shared" si="0"/>
        <v>2.710000000000008</v>
      </c>
      <c r="AE34" s="134">
        <f t="shared" si="1"/>
        <v>1.112384226105223E-2</v>
      </c>
    </row>
    <row r="35" spans="1:31" x14ac:dyDescent="0.25">
      <c r="A35" s="22" t="s">
        <v>71</v>
      </c>
      <c r="B35" s="894">
        <v>42212</v>
      </c>
      <c r="C35" s="7">
        <v>10</v>
      </c>
      <c r="D35" s="43">
        <v>124.25</v>
      </c>
      <c r="E35" s="43">
        <v>0</v>
      </c>
      <c r="F35" s="43">
        <f t="shared" si="2"/>
        <v>1242.5</v>
      </c>
      <c r="G35" s="1">
        <v>42258</v>
      </c>
      <c r="H35" s="7">
        <v>45</v>
      </c>
      <c r="I35" s="43">
        <v>126.8</v>
      </c>
      <c r="J35" s="43">
        <v>0.1</v>
      </c>
      <c r="K35" s="43">
        <f>H35*I35-J35</f>
        <v>5705.9</v>
      </c>
      <c r="L35" s="1">
        <v>42277</v>
      </c>
      <c r="M35" s="2">
        <v>2.1</v>
      </c>
      <c r="W35" s="130">
        <v>42783</v>
      </c>
      <c r="X35" s="10">
        <v>209</v>
      </c>
      <c r="Y35" s="10">
        <v>210.41</v>
      </c>
      <c r="Z35" s="10">
        <v>206.82</v>
      </c>
      <c r="AA35" s="10">
        <v>210.41</v>
      </c>
      <c r="AB35" s="93">
        <v>3094500</v>
      </c>
      <c r="AC35" s="10">
        <v>209.46</v>
      </c>
      <c r="AD35" s="2">
        <f t="shared" si="0"/>
        <v>3.5900000000000034</v>
      </c>
      <c r="AE35" s="134">
        <f t="shared" si="1"/>
        <v>1.0712217718587214E-2</v>
      </c>
    </row>
    <row r="36" spans="1:31" x14ac:dyDescent="0.25">
      <c r="B36" s="894"/>
      <c r="C36" s="7">
        <v>10</v>
      </c>
      <c r="D36" s="43">
        <v>124.25</v>
      </c>
      <c r="E36" s="43">
        <v>0</v>
      </c>
      <c r="F36" s="43">
        <f t="shared" si="2"/>
        <v>1242.5</v>
      </c>
      <c r="G36" s="1">
        <v>42265</v>
      </c>
      <c r="H36" s="80">
        <v>10</v>
      </c>
      <c r="I36" s="43">
        <v>134.5</v>
      </c>
      <c r="J36" s="43">
        <v>0.02</v>
      </c>
      <c r="K36" s="43">
        <f>H36*I36-J36</f>
        <v>1344.98</v>
      </c>
      <c r="M36" s="2"/>
      <c r="W36" s="130">
        <v>42782</v>
      </c>
      <c r="X36" s="10">
        <v>206.46</v>
      </c>
      <c r="Y36" s="10">
        <v>208.22</v>
      </c>
      <c r="Z36" s="10">
        <v>205.18</v>
      </c>
      <c r="AA36" s="10">
        <v>208.18</v>
      </c>
      <c r="AB36" s="93">
        <v>1718800</v>
      </c>
      <c r="AC36" s="10">
        <v>207.24</v>
      </c>
      <c r="AD36" s="2">
        <f t="shared" si="0"/>
        <v>3.039999999999992</v>
      </c>
      <c r="AE36" s="134">
        <f t="shared" si="1"/>
        <v>1.0631034819077456E-2</v>
      </c>
    </row>
    <row r="37" spans="1:31" x14ac:dyDescent="0.25">
      <c r="B37" s="1">
        <v>42220</v>
      </c>
      <c r="C37" s="7">
        <v>5</v>
      </c>
      <c r="D37" s="43">
        <v>123.2</v>
      </c>
      <c r="E37" s="43">
        <v>0</v>
      </c>
      <c r="F37" s="43">
        <f t="shared" si="2"/>
        <v>616</v>
      </c>
      <c r="G37" s="1">
        <v>42290</v>
      </c>
      <c r="H37" s="80">
        <v>5</v>
      </c>
      <c r="I37" s="43">
        <v>119.15</v>
      </c>
      <c r="J37" s="43">
        <v>0.01</v>
      </c>
      <c r="K37" s="43">
        <f>H37*I37-J37</f>
        <v>595.74</v>
      </c>
      <c r="M37" s="2"/>
      <c r="W37" s="130">
        <v>42781</v>
      </c>
      <c r="X37" s="10">
        <v>205.82</v>
      </c>
      <c r="Y37" s="10">
        <v>206.94</v>
      </c>
      <c r="Z37" s="10">
        <v>204.8</v>
      </c>
      <c r="AA37" s="10">
        <v>205.99</v>
      </c>
      <c r="AB37" s="93">
        <v>1708800</v>
      </c>
      <c r="AC37" s="10">
        <v>205.06</v>
      </c>
      <c r="AD37" s="2">
        <f t="shared" si="0"/>
        <v>2.1399999999999864</v>
      </c>
      <c r="AE37" s="134">
        <f t="shared" si="1"/>
        <v>3.2289628180039998E-3</v>
      </c>
    </row>
    <row r="38" spans="1:31" x14ac:dyDescent="0.25">
      <c r="B38" s="1">
        <v>42220</v>
      </c>
      <c r="C38" s="7">
        <v>20</v>
      </c>
      <c r="D38" s="43">
        <v>122.2</v>
      </c>
      <c r="E38" s="43">
        <v>0</v>
      </c>
      <c r="F38" s="43">
        <f t="shared" si="2"/>
        <v>2444</v>
      </c>
      <c r="G38" s="1">
        <v>42311</v>
      </c>
      <c r="H38" s="80">
        <v>45</v>
      </c>
      <c r="I38" s="43">
        <v>127.75</v>
      </c>
      <c r="J38" s="43">
        <v>0.11</v>
      </c>
      <c r="K38" s="43">
        <f>H38*I38-J38</f>
        <v>5748.64</v>
      </c>
      <c r="M38" s="2"/>
      <c r="W38" s="130">
        <v>42780</v>
      </c>
      <c r="X38" s="10">
        <v>206.99</v>
      </c>
      <c r="Y38" s="10">
        <v>207</v>
      </c>
      <c r="Z38" s="10">
        <v>204.8</v>
      </c>
      <c r="AA38" s="10">
        <v>205.33</v>
      </c>
      <c r="AB38" s="93">
        <v>1735700</v>
      </c>
      <c r="AC38" s="10">
        <v>204.4</v>
      </c>
      <c r="AD38" s="2">
        <f t="shared" si="0"/>
        <v>2.1999999999999886</v>
      </c>
      <c r="AE38" s="134">
        <f t="shared" si="1"/>
        <v>-6.7061910778500877E-3</v>
      </c>
    </row>
    <row r="39" spans="1:31" x14ac:dyDescent="0.25">
      <c r="B39" s="894">
        <v>42240</v>
      </c>
      <c r="C39" s="7">
        <v>5</v>
      </c>
      <c r="D39" s="43">
        <v>120.5</v>
      </c>
      <c r="E39" s="43">
        <v>0</v>
      </c>
      <c r="F39" s="43">
        <f t="shared" si="2"/>
        <v>602.5</v>
      </c>
      <c r="M39" s="2"/>
      <c r="W39" s="130">
        <v>42779</v>
      </c>
      <c r="X39" s="10">
        <v>206.78</v>
      </c>
      <c r="Y39" s="10">
        <v>207.11</v>
      </c>
      <c r="Z39" s="10">
        <v>205.17</v>
      </c>
      <c r="AA39" s="10">
        <v>206.71</v>
      </c>
      <c r="AB39" s="93">
        <v>1246300</v>
      </c>
      <c r="AC39" s="10">
        <v>205.78</v>
      </c>
      <c r="AD39" s="2">
        <f t="shared" si="0"/>
        <v>1.9400000000000261</v>
      </c>
      <c r="AE39" s="134">
        <f t="shared" si="1"/>
        <v>5.8165110709222922E-3</v>
      </c>
    </row>
    <row r="40" spans="1:31" x14ac:dyDescent="0.25">
      <c r="B40" s="895"/>
      <c r="C40" s="7">
        <v>10</v>
      </c>
      <c r="D40" s="43">
        <v>120.5</v>
      </c>
      <c r="E40" s="43">
        <v>0</v>
      </c>
      <c r="F40" s="43">
        <f t="shared" si="2"/>
        <v>1205</v>
      </c>
      <c r="W40" s="130">
        <v>42776</v>
      </c>
      <c r="X40" s="10">
        <v>206</v>
      </c>
      <c r="Y40" s="10">
        <v>206.5</v>
      </c>
      <c r="Z40" s="10">
        <v>203.85</v>
      </c>
      <c r="AA40" s="10">
        <v>205.52</v>
      </c>
      <c r="AB40" s="93">
        <v>2384200</v>
      </c>
      <c r="AC40" s="10">
        <v>204.59</v>
      </c>
      <c r="AD40" s="2">
        <f t="shared" si="0"/>
        <v>2.6500000000000057</v>
      </c>
      <c r="AE40" s="134">
        <f t="shared" si="1"/>
        <v>8.8058314172489993E-4</v>
      </c>
    </row>
    <row r="41" spans="1:31" ht="20.25" thickBot="1" x14ac:dyDescent="0.35">
      <c r="B41" s="1">
        <v>42286</v>
      </c>
      <c r="C41" s="7">
        <v>15</v>
      </c>
      <c r="D41" s="43">
        <v>117.5</v>
      </c>
      <c r="E41" s="43">
        <v>0</v>
      </c>
      <c r="F41" s="43">
        <f t="shared" si="2"/>
        <v>1762.5</v>
      </c>
      <c r="O41" s="884" t="s">
        <v>78</v>
      </c>
      <c r="P41" s="884"/>
      <c r="T41" s="89" t="s">
        <v>112</v>
      </c>
      <c r="W41" s="130">
        <v>42775</v>
      </c>
      <c r="X41" s="10">
        <v>207.33</v>
      </c>
      <c r="Y41" s="10">
        <v>207.69</v>
      </c>
      <c r="Z41" s="10">
        <v>203.63</v>
      </c>
      <c r="AA41" s="10">
        <v>205.34</v>
      </c>
      <c r="AB41" s="93">
        <v>2751900</v>
      </c>
      <c r="AC41" s="10">
        <v>204.41</v>
      </c>
      <c r="AD41" s="2">
        <f t="shared" si="0"/>
        <v>4.0600000000000023</v>
      </c>
      <c r="AE41" s="134">
        <f t="shared" si="1"/>
        <v>-7.5257331520683923E-3</v>
      </c>
    </row>
    <row r="42" spans="1:31" ht="15.75" thickTop="1" x14ac:dyDescent="0.25">
      <c r="B42" s="1">
        <v>42286</v>
      </c>
      <c r="C42" s="7">
        <v>10</v>
      </c>
      <c r="D42" s="43">
        <v>115.6</v>
      </c>
      <c r="E42" s="43">
        <v>0</v>
      </c>
      <c r="F42" s="43">
        <f t="shared" si="2"/>
        <v>1156</v>
      </c>
      <c r="O42" s="81">
        <v>1.1000000000000001</v>
      </c>
      <c r="P42" s="81">
        <f>O42*$Q$4</f>
        <v>297.90200000000004</v>
      </c>
      <c r="Q42" s="2"/>
      <c r="T42" s="131" t="s">
        <v>97</v>
      </c>
      <c r="U42" s="96">
        <v>218.96</v>
      </c>
      <c r="W42" s="130">
        <v>42774</v>
      </c>
      <c r="X42" s="10">
        <v>205.97</v>
      </c>
      <c r="Y42" s="10">
        <v>208.75</v>
      </c>
      <c r="Z42" s="10">
        <v>205.16</v>
      </c>
      <c r="AA42" s="10">
        <v>206.89</v>
      </c>
      <c r="AB42" s="93">
        <v>2106900</v>
      </c>
      <c r="AC42" s="10">
        <v>205.96</v>
      </c>
      <c r="AD42" s="2">
        <f t="shared" si="0"/>
        <v>3.5900000000000034</v>
      </c>
      <c r="AE42" s="134">
        <f t="shared" si="1"/>
        <v>4.7809542394381399E-3</v>
      </c>
    </row>
    <row r="43" spans="1:31" x14ac:dyDescent="0.25">
      <c r="B43" s="1">
        <v>42286</v>
      </c>
      <c r="C43" s="7">
        <v>10</v>
      </c>
      <c r="D43" s="43">
        <v>113.5</v>
      </c>
      <c r="E43" s="43">
        <v>0</v>
      </c>
      <c r="F43" s="43">
        <f t="shared" si="2"/>
        <v>1135</v>
      </c>
      <c r="O43" s="81">
        <v>1.0900000000000001</v>
      </c>
      <c r="P43" s="81">
        <f t="shared" ref="P43:P62" si="3">O43*$Q$4</f>
        <v>295.19380000000001</v>
      </c>
      <c r="Q43" s="2"/>
      <c r="T43" s="132" t="s">
        <v>98</v>
      </c>
      <c r="U43" s="86">
        <v>219.54</v>
      </c>
      <c r="W43" s="130">
        <v>42773</v>
      </c>
      <c r="X43" s="10">
        <v>207.21</v>
      </c>
      <c r="Y43" s="10">
        <v>207.4</v>
      </c>
      <c r="Z43" s="10">
        <v>204.93</v>
      </c>
      <c r="AA43" s="10">
        <v>205.91</v>
      </c>
      <c r="AB43" s="93">
        <v>2284000</v>
      </c>
      <c r="AC43" s="10">
        <v>204.98</v>
      </c>
      <c r="AD43" s="2">
        <f t="shared" si="0"/>
        <v>2.4699999999999989</v>
      </c>
      <c r="AE43" s="134">
        <f t="shared" si="1"/>
        <v>-3.1610173612800496E-3</v>
      </c>
    </row>
    <row r="44" spans="1:31" x14ac:dyDescent="0.25">
      <c r="B44" s="1">
        <v>42286</v>
      </c>
      <c r="C44" s="7">
        <v>10</v>
      </c>
      <c r="D44" s="43">
        <v>111.8</v>
      </c>
      <c r="E44" s="43">
        <v>0</v>
      </c>
      <c r="F44" s="43">
        <f t="shared" si="2"/>
        <v>1118</v>
      </c>
      <c r="G44" s="2"/>
      <c r="O44" s="81">
        <v>1.08</v>
      </c>
      <c r="P44" s="81">
        <f t="shared" si="3"/>
        <v>292.48560000000003</v>
      </c>
      <c r="Q44" s="2"/>
      <c r="T44" s="132" t="s">
        <v>99</v>
      </c>
      <c r="U44" s="86" t="s">
        <v>615</v>
      </c>
      <c r="W44" s="130">
        <v>42772</v>
      </c>
      <c r="X44" s="10">
        <v>206.15</v>
      </c>
      <c r="Y44" s="10">
        <v>206.66</v>
      </c>
      <c r="Z44" s="10">
        <v>204.3</v>
      </c>
      <c r="AA44" s="10">
        <v>206.56</v>
      </c>
      <c r="AB44" s="93">
        <v>1871600</v>
      </c>
      <c r="AC44" s="10">
        <v>205.63</v>
      </c>
      <c r="AD44" s="2">
        <f t="shared" si="0"/>
        <v>2.3599999999999852</v>
      </c>
      <c r="AE44" s="134">
        <f t="shared" si="1"/>
        <v>1.9490327924767126E-3</v>
      </c>
    </row>
    <row r="45" spans="1:31" x14ac:dyDescent="0.25">
      <c r="O45" s="81">
        <v>1.07</v>
      </c>
      <c r="P45" s="81">
        <f t="shared" si="3"/>
        <v>289.7774</v>
      </c>
      <c r="Q45" s="2"/>
      <c r="T45" s="132" t="s">
        <v>100</v>
      </c>
      <c r="U45" s="86" t="s">
        <v>616</v>
      </c>
      <c r="W45" s="130">
        <v>42769</v>
      </c>
      <c r="X45" s="10">
        <v>204.95</v>
      </c>
      <c r="Y45" s="10">
        <v>206.6</v>
      </c>
      <c r="Z45" s="10">
        <v>203.03</v>
      </c>
      <c r="AA45" s="10">
        <v>206.16</v>
      </c>
      <c r="AB45" s="93">
        <v>2436700</v>
      </c>
      <c r="AC45" s="10">
        <v>205.23</v>
      </c>
      <c r="AD45" s="2">
        <f t="shared" si="0"/>
        <v>3.5699999999999932</v>
      </c>
      <c r="AE45" s="134">
        <f t="shared" si="1"/>
        <v>1.03382070595186E-2</v>
      </c>
    </row>
    <row r="46" spans="1:31" x14ac:dyDescent="0.25">
      <c r="O46" s="81">
        <v>1.06</v>
      </c>
      <c r="P46" s="81">
        <f t="shared" si="3"/>
        <v>287.06920000000002</v>
      </c>
      <c r="Q46" s="2"/>
      <c r="T46" s="132" t="s">
        <v>101</v>
      </c>
      <c r="U46" s="86">
        <v>248.39</v>
      </c>
      <c r="W46" s="130">
        <v>42768</v>
      </c>
      <c r="X46" s="10">
        <v>201.97</v>
      </c>
      <c r="Y46" s="10">
        <v>205.03</v>
      </c>
      <c r="Z46" s="10">
        <v>201</v>
      </c>
      <c r="AA46" s="10">
        <v>204.05</v>
      </c>
      <c r="AB46" s="93">
        <v>2271200</v>
      </c>
      <c r="AC46" s="10">
        <v>203.13</v>
      </c>
      <c r="AD46" s="2">
        <f t="shared" si="0"/>
        <v>4.0300000000000011</v>
      </c>
      <c r="AE46" s="134">
        <f t="shared" si="1"/>
        <v>1.7754105636926809E-3</v>
      </c>
    </row>
    <row r="47" spans="1:31" x14ac:dyDescent="0.25">
      <c r="O47" s="81">
        <v>1.05</v>
      </c>
      <c r="P47" s="81">
        <f t="shared" si="3"/>
        <v>284.36099999999999</v>
      </c>
      <c r="Q47" s="2"/>
      <c r="T47" s="132" t="s">
        <v>102</v>
      </c>
      <c r="U47" s="86">
        <v>1.1192500000000001</v>
      </c>
      <c r="W47" s="130">
        <v>42767</v>
      </c>
      <c r="X47" s="10">
        <v>202.25</v>
      </c>
      <c r="Y47" s="10">
        <v>204.48</v>
      </c>
      <c r="Z47" s="10">
        <v>200.21</v>
      </c>
      <c r="AA47" s="10">
        <v>203.69</v>
      </c>
      <c r="AB47" s="93">
        <v>3118400</v>
      </c>
      <c r="AC47" s="10">
        <v>202.77</v>
      </c>
      <c r="AD47" s="2">
        <f t="shared" si="0"/>
        <v>4.2699999999999818</v>
      </c>
      <c r="AE47" s="134">
        <f t="shared" si="1"/>
        <v>2.0996978851963721E-2</v>
      </c>
    </row>
    <row r="48" spans="1:31" x14ac:dyDescent="0.25">
      <c r="O48" s="81">
        <v>1.04</v>
      </c>
      <c r="P48" s="81">
        <f t="shared" si="3"/>
        <v>281.65280000000001</v>
      </c>
      <c r="Q48" s="2"/>
      <c r="T48" s="132" t="s">
        <v>103</v>
      </c>
      <c r="U48" s="86" t="s">
        <v>128</v>
      </c>
      <c r="W48" s="130">
        <v>42766</v>
      </c>
      <c r="X48" s="10">
        <v>202.47</v>
      </c>
      <c r="Y48" s="10">
        <v>202.47</v>
      </c>
      <c r="Z48" s="10">
        <v>198.86</v>
      </c>
      <c r="AA48" s="10">
        <v>199.5</v>
      </c>
      <c r="AB48" s="93">
        <v>2674900</v>
      </c>
      <c r="AC48" s="10">
        <v>198.6</v>
      </c>
      <c r="AD48" s="2">
        <f t="shared" si="0"/>
        <v>3.6099999999999852</v>
      </c>
      <c r="AE48" s="134">
        <f t="shared" si="1"/>
        <v>-1.8289668808700088E-2</v>
      </c>
    </row>
    <row r="49" spans="1:31" x14ac:dyDescent="0.25">
      <c r="O49" s="81">
        <v>1.03</v>
      </c>
      <c r="P49" s="81">
        <f t="shared" si="3"/>
        <v>278.94459999999998</v>
      </c>
      <c r="Q49" s="2"/>
      <c r="T49" s="132"/>
      <c r="U49" s="86"/>
      <c r="W49" s="130">
        <v>42765</v>
      </c>
      <c r="X49" s="10">
        <v>204.45</v>
      </c>
      <c r="Y49" s="10">
        <v>204.87</v>
      </c>
      <c r="Z49" s="10">
        <v>200.61</v>
      </c>
      <c r="AA49" s="10">
        <v>203.22</v>
      </c>
      <c r="AB49" s="93">
        <v>3323400</v>
      </c>
      <c r="AC49" s="10">
        <v>202.3</v>
      </c>
      <c r="AD49" s="2">
        <f t="shared" si="0"/>
        <v>4.2599999999999909</v>
      </c>
      <c r="AE49" s="134">
        <f t="shared" si="1"/>
        <v>-1.2110557671647593E-2</v>
      </c>
    </row>
    <row r="50" spans="1:31" x14ac:dyDescent="0.25">
      <c r="A50" s="63" t="s">
        <v>81</v>
      </c>
      <c r="B50" s="64"/>
      <c r="C50" s="64">
        <f>SUM(C34:C45)</f>
        <v>115</v>
      </c>
      <c r="D50" s="65"/>
      <c r="E50" s="65"/>
      <c r="F50" s="65">
        <f>SUM(F34:F45)</f>
        <v>13915.6</v>
      </c>
      <c r="G50" s="64"/>
      <c r="H50" s="64">
        <f>SUM(H34:H45)</f>
        <v>115</v>
      </c>
      <c r="I50" s="65"/>
      <c r="J50" s="65"/>
      <c r="K50" s="65">
        <f>SUM(K34:K45)</f>
        <v>14690.239999999998</v>
      </c>
      <c r="L50" s="64"/>
      <c r="M50" s="65">
        <f>SUM(M34:M45)</f>
        <v>6.1</v>
      </c>
      <c r="O50" s="81">
        <v>1.02</v>
      </c>
      <c r="P50" s="81">
        <f t="shared" si="3"/>
        <v>276.2364</v>
      </c>
      <c r="Q50" s="2"/>
      <c r="T50" s="132" t="s">
        <v>104</v>
      </c>
      <c r="U50" s="86" t="s">
        <v>617</v>
      </c>
      <c r="W50" s="130">
        <v>42762</v>
      </c>
      <c r="X50" s="10">
        <v>205.38</v>
      </c>
      <c r="Y50" s="10">
        <v>205.79</v>
      </c>
      <c r="Z50" s="10">
        <v>203.54</v>
      </c>
      <c r="AA50" s="10">
        <v>205.71</v>
      </c>
      <c r="AB50" s="93">
        <v>2578000</v>
      </c>
      <c r="AC50" s="10">
        <v>204.78</v>
      </c>
      <c r="AD50" s="2">
        <f t="shared" si="0"/>
        <v>2.25</v>
      </c>
      <c r="AE50" s="134">
        <f t="shared" si="1"/>
        <v>7.5276752767527988E-3</v>
      </c>
    </row>
    <row r="51" spans="1:31" x14ac:dyDescent="0.25">
      <c r="O51" s="81">
        <v>1.01</v>
      </c>
      <c r="P51" s="81">
        <f t="shared" si="3"/>
        <v>273.52819999999997</v>
      </c>
      <c r="Q51" s="2"/>
      <c r="T51" s="132" t="s">
        <v>105</v>
      </c>
      <c r="U51" s="86" t="s">
        <v>486</v>
      </c>
      <c r="W51" s="130">
        <v>42761</v>
      </c>
      <c r="X51" s="10">
        <v>204.44</v>
      </c>
      <c r="Y51" s="10">
        <v>205.27</v>
      </c>
      <c r="Z51" s="10">
        <v>201.13</v>
      </c>
      <c r="AA51" s="10">
        <v>204.17</v>
      </c>
      <c r="AB51" s="93">
        <v>3882000</v>
      </c>
      <c r="AC51" s="10">
        <v>203.25</v>
      </c>
      <c r="AD51" s="2">
        <f t="shared" si="0"/>
        <v>4.1400000000000148</v>
      </c>
      <c r="AE51" s="134">
        <f t="shared" si="1"/>
        <v>8.3345735972615298E-3</v>
      </c>
    </row>
    <row r="52" spans="1:31" x14ac:dyDescent="0.25">
      <c r="O52" s="81">
        <v>1</v>
      </c>
      <c r="P52" s="81">
        <f t="shared" si="3"/>
        <v>270.82</v>
      </c>
      <c r="Q52" s="2"/>
      <c r="T52" s="132" t="s">
        <v>106</v>
      </c>
      <c r="U52" s="88">
        <v>1568971</v>
      </c>
      <c r="W52" s="130">
        <v>42760</v>
      </c>
      <c r="X52" s="10">
        <v>199.92</v>
      </c>
      <c r="Y52" s="10">
        <v>202.59</v>
      </c>
      <c r="Z52" s="10">
        <v>198.03</v>
      </c>
      <c r="AA52" s="10">
        <v>202.48</v>
      </c>
      <c r="AB52" s="93">
        <v>6088800</v>
      </c>
      <c r="AC52" s="10">
        <v>201.57</v>
      </c>
      <c r="AD52" s="2">
        <f t="shared" si="0"/>
        <v>4.5600000000000023</v>
      </c>
      <c r="AE52" s="134">
        <f t="shared" si="1"/>
        <v>2.3925632429137256E-2</v>
      </c>
    </row>
    <row r="53" spans="1:31" x14ac:dyDescent="0.25">
      <c r="O53" s="81">
        <v>0.99</v>
      </c>
      <c r="P53" s="81">
        <f t="shared" si="3"/>
        <v>268.11180000000002</v>
      </c>
      <c r="Q53" s="2"/>
      <c r="T53" s="132" t="s">
        <v>109</v>
      </c>
      <c r="U53" s="88">
        <v>2816230</v>
      </c>
      <c r="W53" s="130">
        <v>42759</v>
      </c>
      <c r="X53" s="10">
        <v>192.72</v>
      </c>
      <c r="Y53" s="10">
        <v>199.64</v>
      </c>
      <c r="Z53" s="10">
        <v>192.28</v>
      </c>
      <c r="AA53" s="10">
        <v>197.75</v>
      </c>
      <c r="AB53" s="93">
        <v>6200800</v>
      </c>
      <c r="AC53" s="10">
        <v>196.86</v>
      </c>
      <c r="AD53" s="2">
        <f t="shared" si="0"/>
        <v>7.3599999999999852</v>
      </c>
      <c r="AE53" s="134">
        <f t="shared" si="1"/>
        <v>3.53423792994636E-2</v>
      </c>
    </row>
    <row r="54" spans="1:31" x14ac:dyDescent="0.25">
      <c r="O54" s="81">
        <v>0.98</v>
      </c>
      <c r="P54" s="81">
        <f t="shared" si="3"/>
        <v>265.40359999999998</v>
      </c>
      <c r="Q54" s="2"/>
      <c r="T54" s="132" t="s">
        <v>107</v>
      </c>
      <c r="U54" s="86" t="s">
        <v>618</v>
      </c>
      <c r="W54" s="130">
        <v>42758</v>
      </c>
      <c r="X54" s="10">
        <v>191.01</v>
      </c>
      <c r="Y54" s="10">
        <v>191.53</v>
      </c>
      <c r="Z54" s="10">
        <v>188.42</v>
      </c>
      <c r="AA54" s="10">
        <v>191</v>
      </c>
      <c r="AB54" s="93">
        <v>3339400</v>
      </c>
      <c r="AC54" s="10">
        <v>190.14</v>
      </c>
      <c r="AD54" s="2">
        <f t="shared" si="0"/>
        <v>3.1100000000000136</v>
      </c>
      <c r="AE54" s="134">
        <f t="shared" si="1"/>
        <v>-4.2056566081383195E-4</v>
      </c>
    </row>
    <row r="55" spans="1:31" x14ac:dyDescent="0.25">
      <c r="O55" s="81">
        <v>0.97</v>
      </c>
      <c r="P55" s="81">
        <f t="shared" si="3"/>
        <v>262.69540000000001</v>
      </c>
      <c r="T55" s="132" t="s">
        <v>110</v>
      </c>
      <c r="U55" s="86" t="s">
        <v>128</v>
      </c>
      <c r="W55" s="130">
        <v>42755</v>
      </c>
      <c r="X55" s="10">
        <v>188.6</v>
      </c>
      <c r="Y55" s="10">
        <v>191.54</v>
      </c>
      <c r="Z55" s="10">
        <v>188.1</v>
      </c>
      <c r="AA55" s="10">
        <v>191.08</v>
      </c>
      <c r="AB55" s="93">
        <v>5762300</v>
      </c>
      <c r="AC55" s="10">
        <v>190.22</v>
      </c>
      <c r="AD55" s="2">
        <f t="shared" si="0"/>
        <v>3.4399999999999977</v>
      </c>
      <c r="AE55" s="134">
        <f t="shared" si="1"/>
        <v>2.9774794283239592E-2</v>
      </c>
    </row>
    <row r="56" spans="1:31" x14ac:dyDescent="0.25">
      <c r="O56" s="81">
        <v>0.96</v>
      </c>
      <c r="P56" s="81">
        <f t="shared" si="3"/>
        <v>259.98719999999997</v>
      </c>
      <c r="T56" s="132" t="s">
        <v>111</v>
      </c>
      <c r="U56" s="86">
        <v>-4.7300000000000004</v>
      </c>
      <c r="W56" s="130">
        <v>42754</v>
      </c>
      <c r="X56" s="10">
        <v>185.1</v>
      </c>
      <c r="Y56" s="10">
        <v>186.88</v>
      </c>
      <c r="Z56" s="10">
        <v>184.68</v>
      </c>
      <c r="AA56" s="10">
        <v>185.56</v>
      </c>
      <c r="AB56" s="93">
        <v>4571800</v>
      </c>
      <c r="AC56" s="10">
        <v>184.72</v>
      </c>
      <c r="AD56" s="2">
        <f t="shared" si="0"/>
        <v>2.1999999999999886</v>
      </c>
      <c r="AE56" s="134">
        <f t="shared" si="1"/>
        <v>2.9319144315342882E-3</v>
      </c>
    </row>
    <row r="57" spans="1:31" x14ac:dyDescent="0.25">
      <c r="O57" s="81">
        <v>0.95</v>
      </c>
      <c r="P57" s="81">
        <f t="shared" si="3"/>
        <v>257.279</v>
      </c>
      <c r="T57" s="132" t="s">
        <v>108</v>
      </c>
      <c r="U57" s="86" t="s">
        <v>536</v>
      </c>
      <c r="W57" s="130">
        <v>42753</v>
      </c>
      <c r="X57" s="10">
        <v>180.36</v>
      </c>
      <c r="Y57" s="10">
        <v>185.07</v>
      </c>
      <c r="Z57" s="10">
        <v>180</v>
      </c>
      <c r="AA57" s="10">
        <v>185.02</v>
      </c>
      <c r="AB57" s="93">
        <v>3564200</v>
      </c>
      <c r="AC57" s="10">
        <v>184.18</v>
      </c>
      <c r="AD57" s="2">
        <f t="shared" si="0"/>
        <v>5.0699999999999932</v>
      </c>
      <c r="AE57" s="134">
        <f t="shared" si="1"/>
        <v>3.2978126752664094E-2</v>
      </c>
    </row>
    <row r="58" spans="1:31" x14ac:dyDescent="0.25">
      <c r="O58" s="81">
        <v>0.94</v>
      </c>
      <c r="P58" s="81">
        <f t="shared" si="3"/>
        <v>254.57079999999999</v>
      </c>
      <c r="W58" s="130">
        <v>42752</v>
      </c>
      <c r="X58" s="10">
        <v>179.48</v>
      </c>
      <c r="Y58" s="10">
        <v>179.63</v>
      </c>
      <c r="Z58" s="10">
        <v>177.56</v>
      </c>
      <c r="AA58" s="10">
        <v>179.11</v>
      </c>
      <c r="AB58" s="93">
        <v>2631600</v>
      </c>
      <c r="AC58" s="10">
        <v>178.3</v>
      </c>
      <c r="AD58" s="2">
        <f t="shared" si="0"/>
        <v>2.0699999999999932</v>
      </c>
      <c r="AE58" s="134">
        <f t="shared" si="1"/>
        <v>-7.4593631707858821E-3</v>
      </c>
    </row>
    <row r="59" spans="1:31" x14ac:dyDescent="0.25">
      <c r="O59" s="81">
        <v>0.93</v>
      </c>
      <c r="P59" s="81">
        <f t="shared" si="3"/>
        <v>251.86260000000001</v>
      </c>
      <c r="W59" s="130">
        <v>42748</v>
      </c>
      <c r="X59" s="10">
        <v>178.9</v>
      </c>
      <c r="Y59" s="10">
        <v>180.78</v>
      </c>
      <c r="Z59" s="10">
        <v>178.39</v>
      </c>
      <c r="AA59" s="10">
        <v>180.45</v>
      </c>
      <c r="AB59" s="93">
        <v>2090200</v>
      </c>
      <c r="AC59" s="10">
        <v>179.64</v>
      </c>
      <c r="AD59" s="2">
        <f t="shared" si="0"/>
        <v>2.3900000000000148</v>
      </c>
      <c r="AE59" s="134">
        <f t="shared" si="1"/>
        <v>8.9300758213983755E-3</v>
      </c>
    </row>
    <row r="60" spans="1:31" x14ac:dyDescent="0.25">
      <c r="O60" s="81">
        <v>0.92</v>
      </c>
      <c r="P60" s="81">
        <f t="shared" si="3"/>
        <v>249.15440000000001</v>
      </c>
      <c r="W60" s="130">
        <v>42747</v>
      </c>
      <c r="X60" s="10">
        <v>178.09</v>
      </c>
      <c r="Y60" s="10">
        <v>179.1</v>
      </c>
      <c r="Z60" s="10">
        <v>175.4</v>
      </c>
      <c r="AA60" s="10">
        <v>178.86</v>
      </c>
      <c r="AB60" s="93">
        <v>2313700</v>
      </c>
      <c r="AC60" s="10">
        <v>178.05</v>
      </c>
      <c r="AD60" s="2">
        <f t="shared" si="0"/>
        <v>3.6999999999999886</v>
      </c>
      <c r="AE60" s="134">
        <f t="shared" si="1"/>
        <v>-3.1353227702816122E-3</v>
      </c>
    </row>
    <row r="61" spans="1:31" x14ac:dyDescent="0.25">
      <c r="O61" s="81">
        <v>0.91</v>
      </c>
      <c r="P61" s="81">
        <f t="shared" si="3"/>
        <v>246.4462</v>
      </c>
      <c r="W61" s="130">
        <v>42746</v>
      </c>
      <c r="X61" s="10">
        <v>180.05</v>
      </c>
      <c r="Y61" s="10">
        <v>180.47</v>
      </c>
      <c r="Z61" s="10">
        <v>177.76</v>
      </c>
      <c r="AA61" s="10">
        <v>179.42</v>
      </c>
      <c r="AB61" s="93">
        <v>1878700</v>
      </c>
      <c r="AC61" s="10">
        <v>178.61</v>
      </c>
      <c r="AD61" s="2">
        <f t="shared" si="0"/>
        <v>2.710000000000008</v>
      </c>
      <c r="AE61" s="134">
        <f t="shared" si="1"/>
        <v>-6.3421418636995242E-3</v>
      </c>
    </row>
    <row r="62" spans="1:31" x14ac:dyDescent="0.25">
      <c r="O62" s="81">
        <v>0.9</v>
      </c>
      <c r="P62" s="81">
        <f t="shared" si="3"/>
        <v>243.738</v>
      </c>
      <c r="W62" s="130">
        <v>42745</v>
      </c>
      <c r="X62" s="10">
        <v>177.49</v>
      </c>
      <c r="Y62" s="10">
        <v>180.74</v>
      </c>
      <c r="Z62" s="10">
        <v>176.9</v>
      </c>
      <c r="AA62" s="10">
        <v>180.57</v>
      </c>
      <c r="AB62" s="93">
        <v>3018100</v>
      </c>
      <c r="AC62" s="10">
        <v>179.75</v>
      </c>
      <c r="AD62" s="2">
        <f t="shared" si="0"/>
        <v>3.8400000000000034</v>
      </c>
      <c r="AE62" s="134">
        <f t="shared" si="1"/>
        <v>2.0321280581256707E-2</v>
      </c>
    </row>
    <row r="63" spans="1:31" x14ac:dyDescent="0.25">
      <c r="W63" s="130">
        <v>42744</v>
      </c>
      <c r="X63" s="10">
        <v>176.65</v>
      </c>
      <c r="Y63" s="10">
        <v>178.3</v>
      </c>
      <c r="Z63" s="10">
        <v>176.64</v>
      </c>
      <c r="AA63" s="10">
        <v>176.97</v>
      </c>
      <c r="AB63" s="93">
        <v>2026500</v>
      </c>
      <c r="AC63" s="10">
        <v>176.17</v>
      </c>
      <c r="AD63" s="2">
        <f t="shared" si="0"/>
        <v>1.660000000000025</v>
      </c>
      <c r="AE63" s="134">
        <f t="shared" si="1"/>
        <v>2.1616701746400846E-3</v>
      </c>
    </row>
    <row r="64" spans="1:31" x14ac:dyDescent="0.25">
      <c r="W64" s="130">
        <v>42741</v>
      </c>
      <c r="X64" s="10">
        <v>174.21</v>
      </c>
      <c r="Y64" s="10">
        <v>176.9</v>
      </c>
      <c r="Z64" s="10">
        <v>173.31</v>
      </c>
      <c r="AA64" s="10">
        <v>176.59</v>
      </c>
      <c r="AB64" s="93">
        <v>2314200</v>
      </c>
      <c r="AC64" s="10">
        <v>175.79</v>
      </c>
      <c r="AD64" s="2">
        <f t="shared" si="0"/>
        <v>3.5900000000000034</v>
      </c>
      <c r="AE64" s="134">
        <f t="shared" si="1"/>
        <v>1.3257248256383525E-2</v>
      </c>
    </row>
    <row r="65" spans="23:31" x14ac:dyDescent="0.25">
      <c r="W65" s="130">
        <v>42740</v>
      </c>
      <c r="X65" s="10">
        <v>176.33</v>
      </c>
      <c r="Y65" s="10">
        <v>177</v>
      </c>
      <c r="Z65" s="10">
        <v>173.88</v>
      </c>
      <c r="AA65" s="10">
        <v>174.28</v>
      </c>
      <c r="AB65" s="93">
        <v>2486100</v>
      </c>
      <c r="AC65" s="10">
        <v>173.49</v>
      </c>
      <c r="AD65" s="2">
        <f t="shared" si="0"/>
        <v>3.1200000000000045</v>
      </c>
      <c r="AE65" s="134">
        <f t="shared" si="1"/>
        <v>-1.5771259998865417E-2</v>
      </c>
    </row>
    <row r="66" spans="23:31" x14ac:dyDescent="0.25">
      <c r="W66" s="130">
        <v>42739</v>
      </c>
      <c r="X66" s="10">
        <v>178.26</v>
      </c>
      <c r="Y66" s="10">
        <v>179</v>
      </c>
      <c r="Z66" s="10">
        <v>176.68</v>
      </c>
      <c r="AA66" s="10">
        <v>177.07</v>
      </c>
      <c r="AB66" s="93">
        <v>2396500</v>
      </c>
      <c r="AC66" s="10">
        <v>176.27</v>
      </c>
      <c r="AD66" s="2">
        <f t="shared" si="0"/>
        <v>2.3199999999999932</v>
      </c>
      <c r="AE66" s="134">
        <f t="shared" si="1"/>
        <v>-7.0973919900860771E-3</v>
      </c>
    </row>
    <row r="67" spans="23:31" x14ac:dyDescent="0.25">
      <c r="W67" s="130">
        <v>42738</v>
      </c>
      <c r="X67" s="10">
        <v>178.29</v>
      </c>
      <c r="Y67" s="10">
        <v>180.9</v>
      </c>
      <c r="Z67" s="10">
        <v>176.54</v>
      </c>
      <c r="AA67" s="10">
        <v>178.34</v>
      </c>
      <c r="AB67" s="93">
        <v>3209800</v>
      </c>
      <c r="AC67" s="10">
        <v>177.53</v>
      </c>
      <c r="AD67" s="2">
        <f>Y67-Z67</f>
        <v>4.3600000000000136</v>
      </c>
      <c r="AE67" s="134">
        <f>AC67/AC68-1</f>
        <v>8.8651474683185683E-3</v>
      </c>
    </row>
    <row r="68" spans="23:31" x14ac:dyDescent="0.25">
      <c r="W68" s="130">
        <v>42734</v>
      </c>
      <c r="X68" s="10">
        <v>180.37</v>
      </c>
      <c r="Y68" s="10">
        <v>180.9</v>
      </c>
      <c r="Z68" s="10">
        <v>176.02</v>
      </c>
      <c r="AA68" s="10">
        <v>176.77</v>
      </c>
      <c r="AB68" s="93">
        <v>2542100</v>
      </c>
      <c r="AC68" s="10">
        <v>175.97</v>
      </c>
      <c r="AD68" s="2">
        <f>Y68-Z68</f>
        <v>4.8799999999999955</v>
      </c>
      <c r="AE68" s="134" t="e">
        <f>AC68/AC69-1</f>
        <v>#DIV/0!</v>
      </c>
    </row>
    <row r="69" spans="23:31" x14ac:dyDescent="0.25">
      <c r="W69" s="130" t="s">
        <v>120</v>
      </c>
      <c r="X69" s="10"/>
      <c r="Y69" s="10"/>
      <c r="Z69" s="10"/>
      <c r="AA69" s="10"/>
      <c r="AB69" s="93"/>
      <c r="AC69" s="10"/>
      <c r="AD69" s="2">
        <f>Y69-Z69</f>
        <v>0</v>
      </c>
      <c r="AE69" s="134"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419" priority="11">
      <formula>F21&gt;0</formula>
    </cfRule>
    <cfRule type="expression" dxfId="418" priority="12">
      <formula>F21&lt;0</formula>
    </cfRule>
  </conditionalFormatting>
  <conditionalFormatting sqref="H21:H23">
    <cfRule type="expression" dxfId="417" priority="9">
      <formula>H21&gt;0</formula>
    </cfRule>
    <cfRule type="expression" dxfId="416" priority="10">
      <formula>H21&lt;0</formula>
    </cfRule>
  </conditionalFormatting>
  <conditionalFormatting sqref="Q8">
    <cfRule type="expression" dxfId="415" priority="1">
      <formula>Q8&gt;0</formula>
    </cfRule>
    <cfRule type="expression" dxfId="414" priority="2">
      <formula>Q8&lt;0</formula>
    </cfRule>
  </conditionalFormatting>
  <conditionalFormatting sqref="Q7">
    <cfRule type="expression" dxfId="413" priority="3">
      <formula>Q7&gt;0</formula>
    </cfRule>
    <cfRule type="expression" dxfId="412"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13</v>
      </c>
      <c r="B2" s="72"/>
      <c r="C2" s="4"/>
      <c r="D2" s="3"/>
      <c r="E2" s="3"/>
      <c r="F2" s="3"/>
      <c r="G2" s="4"/>
      <c r="H2" s="4"/>
      <c r="I2" s="3"/>
      <c r="J2" s="3"/>
      <c r="K2" s="3"/>
      <c r="L2" s="72"/>
      <c r="M2" s="4"/>
      <c r="O2" s="11" t="s">
        <v>57</v>
      </c>
      <c r="Q2">
        <f>C18-H18</f>
        <v>0</v>
      </c>
      <c r="T2" s="1">
        <v>42570</v>
      </c>
      <c r="U2" t="s">
        <v>237</v>
      </c>
      <c r="W2" s="130">
        <v>42830</v>
      </c>
      <c r="X2" s="10">
        <v>70.23</v>
      </c>
      <c r="Y2" s="10">
        <v>71.349999999999994</v>
      </c>
      <c r="Z2" s="10">
        <v>69.81</v>
      </c>
      <c r="AA2" s="10">
        <v>70.06</v>
      </c>
      <c r="AB2" s="93">
        <v>2635100</v>
      </c>
      <c r="AC2" s="10">
        <v>70.06</v>
      </c>
      <c r="AD2" s="2">
        <f>Y2-Z2</f>
        <v>1.539999999999992</v>
      </c>
      <c r="AE2" s="134">
        <f>AC2/AC3-1</f>
        <v>4.3004587155963669E-3</v>
      </c>
    </row>
    <row r="3" spans="1:31" x14ac:dyDescent="0.25">
      <c r="A3" s="22" t="s">
        <v>71</v>
      </c>
      <c r="B3" s="72"/>
      <c r="C3" s="4"/>
      <c r="D3" s="3"/>
      <c r="E3" s="3"/>
      <c r="F3" s="3"/>
      <c r="G3" s="4"/>
      <c r="H3" s="3"/>
      <c r="I3" s="3"/>
      <c r="J3" s="3"/>
      <c r="K3" s="3"/>
      <c r="O3" s="11" t="s">
        <v>58</v>
      </c>
      <c r="Q3" s="178">
        <f>IF(Q2=0, Q4, (F18-K18-M18)/Q2)</f>
        <v>87.47</v>
      </c>
      <c r="T3" s="1"/>
      <c r="W3" s="130">
        <v>42829</v>
      </c>
      <c r="X3" s="10">
        <v>70.760000000000005</v>
      </c>
      <c r="Y3" s="10">
        <v>71.08</v>
      </c>
      <c r="Z3" s="10">
        <v>69.58</v>
      </c>
      <c r="AA3" s="10">
        <v>69.760000000000005</v>
      </c>
      <c r="AB3" s="93">
        <v>2657100</v>
      </c>
      <c r="AC3" s="10">
        <v>69.760000000000005</v>
      </c>
      <c r="AD3" s="2">
        <f t="shared" ref="AD3:AD66" si="0">Y3-Z3</f>
        <v>1.5</v>
      </c>
      <c r="AE3" s="134">
        <f t="shared" ref="AE3:AE66" si="1">AC3/AC4-1</f>
        <v>-2.2284512964260483E-2</v>
      </c>
    </row>
    <row r="4" spans="1:31" x14ac:dyDescent="0.25">
      <c r="B4" s="72"/>
      <c r="C4" s="4"/>
      <c r="D4" s="3"/>
      <c r="E4" s="3"/>
      <c r="F4" s="3"/>
      <c r="G4" s="4"/>
      <c r="H4" s="4"/>
      <c r="I4" s="3"/>
      <c r="J4" s="3"/>
      <c r="K4" s="3"/>
      <c r="O4" s="11" t="s">
        <v>66</v>
      </c>
      <c r="Q4" s="54">
        <v>87.47</v>
      </c>
      <c r="R4" s="405">
        <v>6.7000000000000002E-3</v>
      </c>
      <c r="T4" s="156"/>
      <c r="W4" s="130">
        <v>42828</v>
      </c>
      <c r="X4" s="10">
        <v>70.69</v>
      </c>
      <c r="Y4" s="10">
        <v>71.42</v>
      </c>
      <c r="Z4" s="10">
        <v>69.42</v>
      </c>
      <c r="AA4" s="10">
        <v>71.349999999999994</v>
      </c>
      <c r="AB4" s="93">
        <v>2941300</v>
      </c>
      <c r="AC4" s="10">
        <v>71.349999999999994</v>
      </c>
      <c r="AD4" s="2">
        <f t="shared" si="0"/>
        <v>2</v>
      </c>
      <c r="AE4" s="134">
        <f t="shared" si="1"/>
        <v>1.0050962627406568E-2</v>
      </c>
    </row>
    <row r="5" spans="1:31" x14ac:dyDescent="0.25">
      <c r="B5" s="72"/>
      <c r="C5" s="4"/>
      <c r="D5" s="3"/>
      <c r="E5" s="3"/>
      <c r="F5" s="3"/>
      <c r="G5" s="72"/>
      <c r="H5" s="4"/>
      <c r="I5" s="3"/>
      <c r="J5" s="3"/>
      <c r="K5" s="3"/>
      <c r="O5" s="11" t="s">
        <v>67</v>
      </c>
      <c r="Q5" s="3">
        <f>Q4*Q2</f>
        <v>0</v>
      </c>
      <c r="W5" s="130">
        <v>42825</v>
      </c>
      <c r="X5" s="10">
        <v>70.680000000000007</v>
      </c>
      <c r="Y5" s="10">
        <v>71.19</v>
      </c>
      <c r="Z5" s="10">
        <v>70.45</v>
      </c>
      <c r="AA5" s="10">
        <v>70.64</v>
      </c>
      <c r="AB5" s="93">
        <v>2401600</v>
      </c>
      <c r="AC5" s="10">
        <v>70.64</v>
      </c>
      <c r="AD5" s="2">
        <f t="shared" si="0"/>
        <v>0.73999999999999488</v>
      </c>
      <c r="AE5" s="134">
        <f t="shared" si="1"/>
        <v>-1.9779598756710648E-3</v>
      </c>
    </row>
    <row r="6" spans="1:31" x14ac:dyDescent="0.25">
      <c r="B6" s="72"/>
      <c r="C6" s="4"/>
      <c r="D6" s="3"/>
      <c r="E6" s="3"/>
      <c r="F6" s="3"/>
      <c r="G6" s="72"/>
      <c r="H6" s="4"/>
      <c r="I6" s="3"/>
      <c r="J6" s="3"/>
      <c r="K6" s="3"/>
      <c r="O6" s="11" t="s">
        <v>64</v>
      </c>
      <c r="Q6" s="2">
        <f>Q3*Q2</f>
        <v>0</v>
      </c>
      <c r="W6" s="130">
        <v>42824</v>
      </c>
      <c r="X6" s="10">
        <v>69.66</v>
      </c>
      <c r="Y6" s="10">
        <v>70.959999999999994</v>
      </c>
      <c r="Z6" s="10">
        <v>69.66</v>
      </c>
      <c r="AA6" s="10">
        <v>70.78</v>
      </c>
      <c r="AB6" s="93">
        <v>2462400</v>
      </c>
      <c r="AC6" s="10">
        <v>70.78</v>
      </c>
      <c r="AD6" s="2">
        <f t="shared" si="0"/>
        <v>1.2999999999999972</v>
      </c>
      <c r="AE6" s="134">
        <f t="shared" si="1"/>
        <v>1.3314244810307851E-2</v>
      </c>
    </row>
    <row r="7" spans="1:31" x14ac:dyDescent="0.25">
      <c r="B7" s="72"/>
      <c r="C7" s="4"/>
      <c r="D7" s="3"/>
      <c r="E7" s="3"/>
      <c r="F7" s="3"/>
      <c r="G7" s="72"/>
      <c r="H7" s="4"/>
      <c r="I7" s="3"/>
      <c r="J7" s="3"/>
      <c r="K7" s="3"/>
      <c r="O7" s="11" t="s">
        <v>177</v>
      </c>
      <c r="Q7" s="2">
        <f>Q10+Q8</f>
        <v>1461.5600000000013</v>
      </c>
      <c r="R7">
        <v>0</v>
      </c>
      <c r="W7" s="130">
        <v>42823</v>
      </c>
      <c r="X7" s="10">
        <v>70.45</v>
      </c>
      <c r="Y7" s="10">
        <v>71</v>
      </c>
      <c r="Z7" s="10">
        <v>69.53</v>
      </c>
      <c r="AA7" s="10">
        <v>69.849999999999994</v>
      </c>
      <c r="AB7" s="93">
        <v>3364600</v>
      </c>
      <c r="AC7" s="10">
        <v>69.849999999999994</v>
      </c>
      <c r="AD7" s="2">
        <f t="shared" si="0"/>
        <v>1.4699999999999989</v>
      </c>
      <c r="AE7" s="134">
        <f t="shared" si="1"/>
        <v>-1.258128357364996E-2</v>
      </c>
    </row>
    <row r="8" spans="1:31" x14ac:dyDescent="0.25">
      <c r="B8" s="72"/>
      <c r="C8" s="4"/>
      <c r="D8" s="3"/>
      <c r="E8" s="3"/>
      <c r="F8" s="3"/>
      <c r="G8" s="72"/>
      <c r="H8" s="4"/>
      <c r="I8" s="3"/>
      <c r="J8" s="3"/>
      <c r="K8" s="3"/>
      <c r="O8" s="11" t="s">
        <v>179</v>
      </c>
      <c r="P8" s="33"/>
      <c r="Q8" s="2">
        <f>K18+M18-F18+Q2*Q4</f>
        <v>0</v>
      </c>
      <c r="W8" s="130">
        <v>42822</v>
      </c>
      <c r="X8" s="10">
        <v>68.41</v>
      </c>
      <c r="Y8" s="10">
        <v>71.09</v>
      </c>
      <c r="Z8" s="10">
        <v>68.180000000000007</v>
      </c>
      <c r="AA8" s="10">
        <v>70.739999999999995</v>
      </c>
      <c r="AB8" s="93">
        <v>4970300</v>
      </c>
      <c r="AC8" s="10">
        <v>70.739999999999995</v>
      </c>
      <c r="AD8" s="2">
        <f t="shared" si="0"/>
        <v>2.9099999999999966</v>
      </c>
      <c r="AE8" s="134">
        <f t="shared" si="1"/>
        <v>3.4664326458972994E-2</v>
      </c>
    </row>
    <row r="9" spans="1:31" x14ac:dyDescent="0.25">
      <c r="B9" s="72"/>
      <c r="C9" s="4"/>
      <c r="D9" s="3"/>
      <c r="E9" s="3"/>
      <c r="F9" s="3"/>
      <c r="G9" s="72"/>
      <c r="H9" s="4"/>
      <c r="I9" s="3"/>
      <c r="J9" s="3"/>
      <c r="K9" s="3"/>
      <c r="O9" s="11" t="s">
        <v>204</v>
      </c>
      <c r="Q9" s="134">
        <f>IF(Q2=0, 0, Q8/Q6)</f>
        <v>0</v>
      </c>
      <c r="W9" s="130">
        <v>42821</v>
      </c>
      <c r="X9" s="10">
        <v>66.72</v>
      </c>
      <c r="Y9" s="10">
        <v>68.739999999999995</v>
      </c>
      <c r="Z9" s="10">
        <v>66.260000000000005</v>
      </c>
      <c r="AA9" s="10">
        <v>68.37</v>
      </c>
      <c r="AB9" s="93">
        <v>2939800</v>
      </c>
      <c r="AC9" s="10">
        <v>68.37</v>
      </c>
      <c r="AD9" s="2">
        <f t="shared" si="0"/>
        <v>2.4799999999999898</v>
      </c>
      <c r="AE9" s="134">
        <f t="shared" si="1"/>
        <v>6.4772559988222067E-3</v>
      </c>
    </row>
    <row r="10" spans="1:31" x14ac:dyDescent="0.25">
      <c r="B10" s="72"/>
      <c r="C10" s="4"/>
      <c r="D10" s="3"/>
      <c r="E10" s="3"/>
      <c r="F10" s="3"/>
      <c r="G10" s="72"/>
      <c r="H10" s="4"/>
      <c r="I10" s="3"/>
      <c r="J10" s="3"/>
      <c r="K10" s="3"/>
      <c r="O10" s="11" t="s">
        <v>203</v>
      </c>
      <c r="P10" s="33"/>
      <c r="Q10" s="2">
        <f>M75</f>
        <v>1461.5600000000013</v>
      </c>
      <c r="W10" s="130">
        <v>42818</v>
      </c>
      <c r="X10" s="10">
        <v>67.55</v>
      </c>
      <c r="Y10" s="10">
        <v>68.510000000000005</v>
      </c>
      <c r="Z10" s="10">
        <v>67.53</v>
      </c>
      <c r="AA10" s="10">
        <v>67.930000000000007</v>
      </c>
      <c r="AB10" s="93">
        <v>2626900</v>
      </c>
      <c r="AC10" s="10">
        <v>67.930000000000007</v>
      </c>
      <c r="AD10" s="2">
        <f t="shared" si="0"/>
        <v>0.98000000000000398</v>
      </c>
      <c r="AE10" s="134">
        <f t="shared" si="1"/>
        <v>6.3703703703705816E-3</v>
      </c>
    </row>
    <row r="11" spans="1:31" x14ac:dyDescent="0.25">
      <c r="B11" s="72"/>
      <c r="C11" s="4"/>
      <c r="D11" s="3"/>
      <c r="E11" s="3"/>
      <c r="F11" s="3"/>
      <c r="G11" s="4"/>
      <c r="H11" s="4"/>
      <c r="I11" s="3"/>
      <c r="J11" s="3"/>
      <c r="K11" s="3"/>
      <c r="O11" s="11" t="s">
        <v>175</v>
      </c>
      <c r="P11" s="33"/>
      <c r="Q11" s="134">
        <f>IF(U58="N/A (N/A)", 0, VALUE(TRIM(CLEAN(MID(U58, FIND("(", U58)+1, 5)))))</f>
        <v>0</v>
      </c>
      <c r="W11" s="130">
        <v>42817</v>
      </c>
      <c r="X11" s="10">
        <v>67.02</v>
      </c>
      <c r="Y11" s="10">
        <v>68.56</v>
      </c>
      <c r="Z11" s="10">
        <v>66.900000000000006</v>
      </c>
      <c r="AA11" s="10">
        <v>67.5</v>
      </c>
      <c r="AB11" s="93">
        <v>4444400</v>
      </c>
      <c r="AC11" s="10">
        <v>67.5</v>
      </c>
      <c r="AD11" s="2">
        <f t="shared" si="0"/>
        <v>1.6599999999999966</v>
      </c>
      <c r="AE11" s="134">
        <f t="shared" si="1"/>
        <v>8.2150858849887598E-3</v>
      </c>
    </row>
    <row r="12" spans="1:31" x14ac:dyDescent="0.25">
      <c r="W12" s="130">
        <v>42816</v>
      </c>
      <c r="X12" s="10">
        <v>64.92</v>
      </c>
      <c r="Y12" s="10">
        <v>66.959999999999994</v>
      </c>
      <c r="Z12" s="10">
        <v>64.16</v>
      </c>
      <c r="AA12" s="10">
        <v>66.95</v>
      </c>
      <c r="AB12" s="93">
        <v>4928800</v>
      </c>
      <c r="AC12" s="10">
        <v>66.95</v>
      </c>
      <c r="AD12" s="2">
        <f t="shared" si="0"/>
        <v>2.7999999999999972</v>
      </c>
      <c r="AE12" s="134">
        <f t="shared" si="1"/>
        <v>2.5582107843137303E-2</v>
      </c>
    </row>
    <row r="13" spans="1:31" x14ac:dyDescent="0.25">
      <c r="W13" s="130">
        <v>42815</v>
      </c>
      <c r="X13" s="10">
        <v>67.760000000000005</v>
      </c>
      <c r="Y13" s="10">
        <v>67.87</v>
      </c>
      <c r="Z13" s="10">
        <v>65.150000000000006</v>
      </c>
      <c r="AA13" s="10">
        <v>65.28</v>
      </c>
      <c r="AB13" s="93">
        <v>4923300</v>
      </c>
      <c r="AC13" s="10">
        <v>65.28</v>
      </c>
      <c r="AD13" s="2">
        <f t="shared" si="0"/>
        <v>2.7199999999999989</v>
      </c>
      <c r="AE13" s="134">
        <f t="shared" si="1"/>
        <v>-3.2745591939546514E-2</v>
      </c>
    </row>
    <row r="14" spans="1:31" x14ac:dyDescent="0.25">
      <c r="W14" s="130">
        <v>42814</v>
      </c>
      <c r="X14" s="10">
        <v>67.150000000000006</v>
      </c>
      <c r="Y14" s="10">
        <v>68.05</v>
      </c>
      <c r="Z14" s="10">
        <v>66.599999999999994</v>
      </c>
      <c r="AA14" s="10">
        <v>67.489999999999995</v>
      </c>
      <c r="AB14" s="93">
        <v>4326000</v>
      </c>
      <c r="AC14" s="10">
        <v>67.489999999999995</v>
      </c>
      <c r="AD14" s="2">
        <f t="shared" si="0"/>
        <v>1.4500000000000028</v>
      </c>
      <c r="AE14" s="134">
        <f t="shared" si="1"/>
        <v>1.0480610869890494E-2</v>
      </c>
    </row>
    <row r="15" spans="1:31" x14ac:dyDescent="0.25">
      <c r="W15" s="130">
        <v>42811</v>
      </c>
      <c r="X15" s="10">
        <v>67.819999999999993</v>
      </c>
      <c r="Y15" s="10">
        <v>67.91</v>
      </c>
      <c r="Z15" s="10">
        <v>66.650000000000006</v>
      </c>
      <c r="AA15" s="10">
        <v>66.790000000000006</v>
      </c>
      <c r="AB15" s="93">
        <v>5837500</v>
      </c>
      <c r="AC15" s="10">
        <v>66.790000000000006</v>
      </c>
      <c r="AD15" s="2">
        <f t="shared" si="0"/>
        <v>1.2599999999999909</v>
      </c>
      <c r="AE15" s="134">
        <f t="shared" si="1"/>
        <v>-1.1397276494967357E-2</v>
      </c>
    </row>
    <row r="16" spans="1:31" x14ac:dyDescent="0.25">
      <c r="W16" s="130">
        <v>42810</v>
      </c>
      <c r="X16" s="10">
        <v>67.900000000000006</v>
      </c>
      <c r="Y16" s="10">
        <v>67.97</v>
      </c>
      <c r="Z16" s="10">
        <v>66.44</v>
      </c>
      <c r="AA16" s="10">
        <v>67.56</v>
      </c>
      <c r="AB16" s="93">
        <v>8794400</v>
      </c>
      <c r="AC16" s="10">
        <v>67.56</v>
      </c>
      <c r="AD16" s="2">
        <f t="shared" si="0"/>
        <v>1.5300000000000011</v>
      </c>
      <c r="AE16" s="134">
        <f t="shared" si="1"/>
        <v>-8.9482176910664624E-3</v>
      </c>
    </row>
    <row r="17" spans="1:31" x14ac:dyDescent="0.25">
      <c r="W17" s="130">
        <v>42809</v>
      </c>
      <c r="X17" s="10">
        <v>65</v>
      </c>
      <c r="Y17" s="10">
        <v>68.37</v>
      </c>
      <c r="Z17" s="10">
        <v>64.319999999999993</v>
      </c>
      <c r="AA17" s="10">
        <v>68.17</v>
      </c>
      <c r="AB17" s="93">
        <v>11321600</v>
      </c>
      <c r="AC17" s="10">
        <v>68.17</v>
      </c>
      <c r="AD17" s="2">
        <f t="shared" si="0"/>
        <v>4.0500000000000114</v>
      </c>
      <c r="AE17" s="134">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30">
        <v>42808</v>
      </c>
      <c r="X18" s="10">
        <v>69.38</v>
      </c>
      <c r="Y18" s="10">
        <v>69.42</v>
      </c>
      <c r="Z18" s="10">
        <v>66.34</v>
      </c>
      <c r="AA18" s="10">
        <v>66.55</v>
      </c>
      <c r="AB18" s="93">
        <v>8262400</v>
      </c>
      <c r="AC18" s="10">
        <v>66.55</v>
      </c>
      <c r="AD18" s="2">
        <f t="shared" si="0"/>
        <v>3.0799999999999983</v>
      </c>
      <c r="AE18" s="134">
        <f t="shared" si="1"/>
        <v>-4.7244094488188892E-2</v>
      </c>
    </row>
    <row r="19" spans="1:31" ht="15.75" thickBot="1" x14ac:dyDescent="0.3">
      <c r="A19" s="277" t="s">
        <v>191</v>
      </c>
      <c r="B19" s="278"/>
      <c r="C19" s="279">
        <f>SumByColor($A$19,C2:C17)</f>
        <v>0</v>
      </c>
      <c r="D19" s="279"/>
      <c r="E19" s="279"/>
      <c r="F19" s="280">
        <f>SumByColor($A$19,F2:F17)</f>
        <v>0</v>
      </c>
      <c r="G19" s="279"/>
      <c r="H19" s="279">
        <f>SumByColor($A$19,H3:H17)</f>
        <v>0</v>
      </c>
      <c r="I19" s="279"/>
      <c r="J19" s="279"/>
      <c r="K19" s="280">
        <f>SumByColor($A$19,K3:K17)</f>
        <v>0</v>
      </c>
      <c r="L19" s="279"/>
      <c r="M19" s="280">
        <f>SumByColor($A$19,M2:M17)</f>
        <v>0</v>
      </c>
      <c r="W19" s="130">
        <v>42807</v>
      </c>
      <c r="X19" s="10">
        <v>72.19</v>
      </c>
      <c r="Y19" s="10">
        <v>72.7</v>
      </c>
      <c r="Z19" s="10">
        <v>69.66</v>
      </c>
      <c r="AA19" s="10">
        <v>69.849999999999994</v>
      </c>
      <c r="AB19" s="93">
        <v>6741900</v>
      </c>
      <c r="AC19" s="10">
        <v>69.849999999999994</v>
      </c>
      <c r="AD19" s="2">
        <f t="shared" si="0"/>
        <v>3.0400000000000063</v>
      </c>
      <c r="AE19" s="134">
        <f t="shared" si="1"/>
        <v>-3.4420790710533722E-2</v>
      </c>
    </row>
    <row r="20" spans="1:31" x14ac:dyDescent="0.25">
      <c r="W20" s="130">
        <v>42804</v>
      </c>
      <c r="X20" s="10">
        <v>72.33</v>
      </c>
      <c r="Y20" s="10">
        <v>73.2</v>
      </c>
      <c r="Z20" s="10">
        <v>71.64</v>
      </c>
      <c r="AA20" s="10">
        <v>72.34</v>
      </c>
      <c r="AB20" s="93">
        <v>4552700</v>
      </c>
      <c r="AC20" s="10">
        <v>72.34</v>
      </c>
      <c r="AD20" s="2">
        <f t="shared" si="0"/>
        <v>1.5600000000000023</v>
      </c>
      <c r="AE20" s="134">
        <f t="shared" si="1"/>
        <v>-2.7570995312931057E-3</v>
      </c>
    </row>
    <row r="21" spans="1:31" x14ac:dyDescent="0.25">
      <c r="W21" s="130">
        <v>42803</v>
      </c>
      <c r="X21" s="10">
        <v>73.209999999999994</v>
      </c>
      <c r="Y21" s="10">
        <v>74.599999999999994</v>
      </c>
      <c r="Z21" s="10">
        <v>72.430000000000007</v>
      </c>
      <c r="AA21" s="10">
        <v>72.540000000000006</v>
      </c>
      <c r="AB21" s="93">
        <v>3732200</v>
      </c>
      <c r="AC21" s="10">
        <v>72.540000000000006</v>
      </c>
      <c r="AD21" s="2">
        <f t="shared" si="0"/>
        <v>2.1699999999999875</v>
      </c>
      <c r="AE21" s="134">
        <f t="shared" si="1"/>
        <v>-1.2254901960784159E-2</v>
      </c>
    </row>
    <row r="22" spans="1:31" x14ac:dyDescent="0.25">
      <c r="W22" s="130">
        <v>42802</v>
      </c>
      <c r="X22" s="10">
        <v>72.97</v>
      </c>
      <c r="Y22" s="10">
        <v>73.650000000000006</v>
      </c>
      <c r="Z22" s="10">
        <v>72.31</v>
      </c>
      <c r="AA22" s="10">
        <v>73.44</v>
      </c>
      <c r="AB22" s="93">
        <v>3508400</v>
      </c>
      <c r="AC22" s="10">
        <v>73.44</v>
      </c>
      <c r="AD22" s="2">
        <f t="shared" si="0"/>
        <v>1.3400000000000034</v>
      </c>
      <c r="AE22" s="134">
        <f t="shared" si="1"/>
        <v>1.1013215859030812E-2</v>
      </c>
    </row>
    <row r="23" spans="1:31" x14ac:dyDescent="0.25">
      <c r="W23" s="130">
        <v>42801</v>
      </c>
      <c r="X23" s="10">
        <v>72.69</v>
      </c>
      <c r="Y23" s="10">
        <v>73.23</v>
      </c>
      <c r="Z23" s="10">
        <v>72.150000000000006</v>
      </c>
      <c r="AA23" s="10">
        <v>72.64</v>
      </c>
      <c r="AB23" s="93">
        <v>3764000</v>
      </c>
      <c r="AC23" s="10">
        <v>72.64</v>
      </c>
      <c r="AD23" s="2">
        <f t="shared" si="0"/>
        <v>1.0799999999999983</v>
      </c>
      <c r="AE23" s="134">
        <f t="shared" si="1"/>
        <v>-6.8362045392398318E-3</v>
      </c>
    </row>
    <row r="24" spans="1:31" x14ac:dyDescent="0.25">
      <c r="B24" s="162" t="s">
        <v>113</v>
      </c>
      <c r="C24" s="162" t="s">
        <v>145</v>
      </c>
      <c r="D24" s="163" t="s">
        <v>144</v>
      </c>
      <c r="E24" s="165" t="s">
        <v>146</v>
      </c>
      <c r="F24" s="165" t="s">
        <v>65</v>
      </c>
      <c r="G24" s="177" t="s">
        <v>150</v>
      </c>
      <c r="H24" s="177" t="s">
        <v>88</v>
      </c>
      <c r="I24" s="177" t="s">
        <v>153</v>
      </c>
      <c r="W24" s="130">
        <v>42800</v>
      </c>
      <c r="X24" s="10">
        <v>74.849999999999994</v>
      </c>
      <c r="Y24" s="10">
        <v>74.849999999999994</v>
      </c>
      <c r="Z24" s="10">
        <v>71.900000000000006</v>
      </c>
      <c r="AA24" s="10">
        <v>73.14</v>
      </c>
      <c r="AB24" s="93">
        <v>5898800</v>
      </c>
      <c r="AC24" s="10">
        <v>73.14</v>
      </c>
      <c r="AD24" s="2">
        <f t="shared" si="0"/>
        <v>2.9499999999999886</v>
      </c>
      <c r="AE24" s="134">
        <f t="shared" si="1"/>
        <v>-3.241169466860705E-2</v>
      </c>
    </row>
    <row r="25" spans="1:31" x14ac:dyDescent="0.25">
      <c r="B25" s="164">
        <v>42485</v>
      </c>
      <c r="C25" s="185">
        <v>80</v>
      </c>
      <c r="D25" s="186">
        <v>49.5</v>
      </c>
      <c r="E25" s="39">
        <v>49.37</v>
      </c>
      <c r="F25" s="39">
        <f t="shared" ref="F25:F39" si="2">C25*(E25-D25)</f>
        <v>-10.400000000000205</v>
      </c>
      <c r="G25" s="39">
        <f t="shared" ref="G25:G39" si="3">D25*C25</f>
        <v>3960</v>
      </c>
      <c r="H25" s="179">
        <f t="shared" ref="H25:H39" si="4">(E25-D25)/D25</f>
        <v>-2.6262626262626779E-3</v>
      </c>
      <c r="I25" s="39"/>
      <c r="W25" s="130">
        <v>42797</v>
      </c>
      <c r="X25" s="10">
        <v>73.7</v>
      </c>
      <c r="Y25" s="10">
        <v>75.989999999999995</v>
      </c>
      <c r="Z25" s="10">
        <v>73.44</v>
      </c>
      <c r="AA25" s="10">
        <v>75.59</v>
      </c>
      <c r="AB25" s="93">
        <v>4247200</v>
      </c>
      <c r="AC25" s="10">
        <v>75.59</v>
      </c>
      <c r="AD25" s="2">
        <f t="shared" si="0"/>
        <v>2.5499999999999972</v>
      </c>
      <c r="AE25" s="134">
        <f t="shared" si="1"/>
        <v>3.1522925764192244E-2</v>
      </c>
    </row>
    <row r="26" spans="1:31" x14ac:dyDescent="0.25">
      <c r="B26" s="164">
        <v>42488</v>
      </c>
      <c r="C26" s="10">
        <v>80</v>
      </c>
      <c r="D26" s="39">
        <v>49.5</v>
      </c>
      <c r="E26" s="39">
        <v>48.06</v>
      </c>
      <c r="F26" s="39">
        <f t="shared" si="2"/>
        <v>-115.19999999999982</v>
      </c>
      <c r="G26" s="39">
        <f t="shared" si="3"/>
        <v>3960</v>
      </c>
      <c r="H26" s="179">
        <f t="shared" si="4"/>
        <v>-2.9090909090909046E-2</v>
      </c>
      <c r="I26" s="39"/>
      <c r="W26" s="130">
        <v>42796</v>
      </c>
      <c r="X26" s="10">
        <v>74.349999999999994</v>
      </c>
      <c r="Y26" s="10">
        <v>74.739999999999995</v>
      </c>
      <c r="Z26" s="10">
        <v>73.209999999999994</v>
      </c>
      <c r="AA26" s="10">
        <v>73.28</v>
      </c>
      <c r="AB26" s="93">
        <v>2849300</v>
      </c>
      <c r="AC26" s="10">
        <v>73.28</v>
      </c>
      <c r="AD26" s="2">
        <f t="shared" si="0"/>
        <v>1.5300000000000011</v>
      </c>
      <c r="AE26" s="134">
        <f t="shared" si="1"/>
        <v>-2.7987796790025166E-2</v>
      </c>
    </row>
    <row r="27" spans="1:31" x14ac:dyDescent="0.25">
      <c r="B27" s="164">
        <v>42489</v>
      </c>
      <c r="C27" s="10">
        <v>100</v>
      </c>
      <c r="D27" s="39">
        <v>48.99</v>
      </c>
      <c r="E27" s="39">
        <v>45.81</v>
      </c>
      <c r="F27" s="39">
        <f t="shared" si="2"/>
        <v>-318</v>
      </c>
      <c r="G27" s="39">
        <f t="shared" si="3"/>
        <v>4899</v>
      </c>
      <c r="H27" s="179">
        <f t="shared" si="4"/>
        <v>-6.4911206368646654E-2</v>
      </c>
      <c r="I27" s="39"/>
      <c r="W27" s="130">
        <v>42795</v>
      </c>
      <c r="X27" s="10">
        <v>74.64</v>
      </c>
      <c r="Y27" s="10">
        <v>76.650000000000006</v>
      </c>
      <c r="Z27" s="10">
        <v>74.63</v>
      </c>
      <c r="AA27" s="10">
        <v>75.39</v>
      </c>
      <c r="AB27" s="93">
        <v>3694600</v>
      </c>
      <c r="AC27" s="10">
        <v>75.39</v>
      </c>
      <c r="AD27" s="2">
        <f t="shared" si="0"/>
        <v>2.0200000000000102</v>
      </c>
      <c r="AE27" s="134">
        <f t="shared" si="1"/>
        <v>1.7546227561074268E-2</v>
      </c>
    </row>
    <row r="28" spans="1:31" x14ac:dyDescent="0.25">
      <c r="B28" s="164">
        <v>42489</v>
      </c>
      <c r="C28" s="7">
        <v>150</v>
      </c>
      <c r="D28" s="43">
        <v>47.963299999999997</v>
      </c>
      <c r="E28" s="39">
        <v>45.81</v>
      </c>
      <c r="F28" s="39">
        <f t="shared" si="2"/>
        <v>-322.99499999999915</v>
      </c>
      <c r="G28" s="39">
        <f t="shared" si="3"/>
        <v>7194.4949999999999</v>
      </c>
      <c r="H28" s="179">
        <f t="shared" si="4"/>
        <v>-4.4894742438489316E-2</v>
      </c>
      <c r="I28" s="39">
        <v>43.25</v>
      </c>
      <c r="W28" s="130">
        <v>42794</v>
      </c>
      <c r="X28" s="10">
        <v>75.37</v>
      </c>
      <c r="Y28" s="10">
        <v>75.37</v>
      </c>
      <c r="Z28" s="10">
        <v>73.61</v>
      </c>
      <c r="AA28" s="10">
        <v>74.09</v>
      </c>
      <c r="AB28" s="93">
        <v>2993300</v>
      </c>
      <c r="AC28" s="10">
        <v>74.09</v>
      </c>
      <c r="AD28" s="2">
        <f t="shared" si="0"/>
        <v>1.7600000000000051</v>
      </c>
      <c r="AE28" s="134">
        <f t="shared" si="1"/>
        <v>-1.580765143464391E-2</v>
      </c>
    </row>
    <row r="29" spans="1:31" x14ac:dyDescent="0.25">
      <c r="B29" s="164">
        <v>42495</v>
      </c>
      <c r="C29" s="10">
        <v>175</v>
      </c>
      <c r="D29" s="39">
        <v>47.54</v>
      </c>
      <c r="E29" s="39">
        <v>44.99</v>
      </c>
      <c r="F29" s="39">
        <f t="shared" si="2"/>
        <v>-446.24999999999949</v>
      </c>
      <c r="G29" s="39">
        <f t="shared" si="3"/>
        <v>8319.5</v>
      </c>
      <c r="H29" s="179">
        <f t="shared" si="4"/>
        <v>-5.363904080774079E-2</v>
      </c>
      <c r="I29" s="39"/>
      <c r="W29" s="130">
        <v>42793</v>
      </c>
      <c r="X29" s="10">
        <v>74.91</v>
      </c>
      <c r="Y29" s="10">
        <v>75.52</v>
      </c>
      <c r="Z29" s="10">
        <v>74.349999999999994</v>
      </c>
      <c r="AA29" s="10">
        <v>75.28</v>
      </c>
      <c r="AB29" s="93">
        <v>1897400</v>
      </c>
      <c r="AC29" s="10">
        <v>75.28</v>
      </c>
      <c r="AD29" s="2">
        <f t="shared" si="0"/>
        <v>1.1700000000000017</v>
      </c>
      <c r="AE29" s="134">
        <f t="shared" si="1"/>
        <v>2.6638252530635231E-3</v>
      </c>
    </row>
    <row r="30" spans="1:31" x14ac:dyDescent="0.25">
      <c r="B30" s="164">
        <v>42502</v>
      </c>
      <c r="C30" s="10">
        <v>200</v>
      </c>
      <c r="D30" s="39">
        <v>47.108800000000002</v>
      </c>
      <c r="E30" s="39">
        <v>43.78</v>
      </c>
      <c r="F30" s="39">
        <f t="shared" si="2"/>
        <v>-665.76000000000022</v>
      </c>
      <c r="G30" s="39">
        <f t="shared" si="3"/>
        <v>9421.76</v>
      </c>
      <c r="H30" s="179">
        <f t="shared" si="4"/>
        <v>-7.066195700166425E-2</v>
      </c>
      <c r="I30" s="39"/>
      <c r="W30" s="130">
        <v>42790</v>
      </c>
      <c r="X30" s="10">
        <v>73.959999999999994</v>
      </c>
      <c r="Y30" s="10">
        <v>75.11</v>
      </c>
      <c r="Z30" s="10">
        <v>73.540000000000006</v>
      </c>
      <c r="AA30" s="10">
        <v>75.08</v>
      </c>
      <c r="AB30" s="93">
        <v>2047500</v>
      </c>
      <c r="AC30" s="10">
        <v>75.08</v>
      </c>
      <c r="AD30" s="2">
        <f t="shared" si="0"/>
        <v>1.5699999999999932</v>
      </c>
      <c r="AE30" s="134">
        <f t="shared" si="1"/>
        <v>6.9742489270385732E-3</v>
      </c>
    </row>
    <row r="31" spans="1:31" x14ac:dyDescent="0.25">
      <c r="B31" s="164">
        <v>42515</v>
      </c>
      <c r="C31" s="10">
        <v>200</v>
      </c>
      <c r="D31" s="39">
        <v>47.108800000000002</v>
      </c>
      <c r="E31" s="39">
        <v>45.13</v>
      </c>
      <c r="F31" s="39">
        <f t="shared" si="2"/>
        <v>-395.75999999999993</v>
      </c>
      <c r="G31" s="39">
        <f t="shared" si="3"/>
        <v>9421.76</v>
      </c>
      <c r="H31" s="179">
        <f t="shared" si="4"/>
        <v>-4.2004890805964056E-2</v>
      </c>
      <c r="I31" s="39"/>
      <c r="W31" s="130">
        <v>42789</v>
      </c>
      <c r="X31" s="10">
        <v>75.87</v>
      </c>
      <c r="Y31" s="10">
        <v>76.459999999999994</v>
      </c>
      <c r="Z31" s="10">
        <v>73.88</v>
      </c>
      <c r="AA31" s="10">
        <v>74.56</v>
      </c>
      <c r="AB31" s="93">
        <v>4963700</v>
      </c>
      <c r="AC31" s="10">
        <v>74.56</v>
      </c>
      <c r="AD31" s="2">
        <f t="shared" si="0"/>
        <v>2.5799999999999983</v>
      </c>
      <c r="AE31" s="134">
        <f t="shared" si="1"/>
        <v>-1.1533872464536743E-2</v>
      </c>
    </row>
    <row r="32" spans="1:31" x14ac:dyDescent="0.25">
      <c r="B32" s="164">
        <v>42527</v>
      </c>
      <c r="C32" s="10">
        <v>200</v>
      </c>
      <c r="D32" s="39">
        <v>47.108800000000002</v>
      </c>
      <c r="E32" s="39">
        <v>44.53</v>
      </c>
      <c r="F32" s="39">
        <f t="shared" si="2"/>
        <v>-515.76000000000022</v>
      </c>
      <c r="G32" s="39">
        <f t="shared" si="3"/>
        <v>9421.76</v>
      </c>
      <c r="H32" s="179">
        <f t="shared" si="4"/>
        <v>-5.4741364670719717E-2</v>
      </c>
      <c r="I32" s="39"/>
      <c r="W32" s="130">
        <v>42788</v>
      </c>
      <c r="X32" s="10">
        <v>75.209999999999994</v>
      </c>
      <c r="Y32" s="10">
        <v>75.569999999999993</v>
      </c>
      <c r="Z32" s="10">
        <v>74.349999999999994</v>
      </c>
      <c r="AA32" s="10">
        <v>75.430000000000007</v>
      </c>
      <c r="AB32" s="93">
        <v>1700700</v>
      </c>
      <c r="AC32" s="10">
        <v>75.430000000000007</v>
      </c>
      <c r="AD32" s="2">
        <f t="shared" si="0"/>
        <v>1.2199999999999989</v>
      </c>
      <c r="AE32" s="134">
        <f t="shared" si="1"/>
        <v>2.6521681474611647E-4</v>
      </c>
    </row>
    <row r="33" spans="2:31" x14ac:dyDescent="0.25">
      <c r="B33" s="164">
        <v>42528</v>
      </c>
      <c r="C33" s="10">
        <v>200</v>
      </c>
      <c r="D33" s="39">
        <v>47.108800000000002</v>
      </c>
      <c r="E33" s="39">
        <v>45.81</v>
      </c>
      <c r="F33" s="39">
        <f t="shared" si="2"/>
        <v>-259.76</v>
      </c>
      <c r="G33" s="39">
        <f t="shared" si="3"/>
        <v>9421.76</v>
      </c>
      <c r="H33" s="179">
        <f t="shared" si="4"/>
        <v>-2.7570220425907684E-2</v>
      </c>
      <c r="I33" s="39"/>
      <c r="W33" s="130">
        <v>42787</v>
      </c>
      <c r="X33" s="10">
        <v>75.900000000000006</v>
      </c>
      <c r="Y33" s="10">
        <v>76.23</v>
      </c>
      <c r="Z33" s="10">
        <v>74.42</v>
      </c>
      <c r="AA33" s="10">
        <v>75.41</v>
      </c>
      <c r="AB33" s="93">
        <v>2584300</v>
      </c>
      <c r="AC33" s="10">
        <v>75.41</v>
      </c>
      <c r="AD33" s="2">
        <f t="shared" si="0"/>
        <v>1.8100000000000023</v>
      </c>
      <c r="AE33" s="134">
        <f t="shared" si="1"/>
        <v>-7.240652975250117E-3</v>
      </c>
    </row>
    <row r="34" spans="2:31" x14ac:dyDescent="0.25">
      <c r="B34" s="164">
        <v>42535</v>
      </c>
      <c r="C34" s="10">
        <v>240</v>
      </c>
      <c r="D34" s="39">
        <v>46.455599999999997</v>
      </c>
      <c r="E34" s="39">
        <v>42.09</v>
      </c>
      <c r="F34" s="39">
        <f t="shared" si="2"/>
        <v>-1047.7439999999983</v>
      </c>
      <c r="G34" s="39">
        <f t="shared" si="3"/>
        <v>11149.343999999999</v>
      </c>
      <c r="H34" s="179">
        <f t="shared" si="4"/>
        <v>-9.3973600599281767E-2</v>
      </c>
      <c r="I34" s="39"/>
      <c r="W34" s="130">
        <v>42783</v>
      </c>
      <c r="X34" s="10">
        <v>75.489999999999995</v>
      </c>
      <c r="Y34" s="10">
        <v>75.97</v>
      </c>
      <c r="Z34" s="10">
        <v>74.599999999999994</v>
      </c>
      <c r="AA34" s="10">
        <v>75.959999999999994</v>
      </c>
      <c r="AB34" s="93">
        <v>1876100</v>
      </c>
      <c r="AC34" s="10">
        <v>75.959999999999994</v>
      </c>
      <c r="AD34" s="2">
        <f t="shared" si="0"/>
        <v>1.3700000000000045</v>
      </c>
      <c r="AE34" s="134">
        <f t="shared" si="1"/>
        <v>3.8324302894143791E-3</v>
      </c>
    </row>
    <row r="35" spans="2:31" x14ac:dyDescent="0.25">
      <c r="B35" s="164">
        <v>42541</v>
      </c>
      <c r="C35" s="10">
        <v>240</v>
      </c>
      <c r="D35" s="39">
        <v>46.455599999999997</v>
      </c>
      <c r="E35" s="39">
        <v>43.4</v>
      </c>
      <c r="F35" s="39">
        <f t="shared" si="2"/>
        <v>-733.3439999999996</v>
      </c>
      <c r="G35" s="39">
        <f t="shared" si="3"/>
        <v>11149.343999999999</v>
      </c>
      <c r="H35" s="179">
        <f t="shared" si="4"/>
        <v>-6.5774632121853957E-2</v>
      </c>
      <c r="I35" s="39"/>
      <c r="W35" s="130">
        <v>42782</v>
      </c>
      <c r="X35" s="10">
        <v>75.930000000000007</v>
      </c>
      <c r="Y35" s="10">
        <v>76.3</v>
      </c>
      <c r="Z35" s="10">
        <v>75.099999999999994</v>
      </c>
      <c r="AA35" s="10">
        <v>75.67</v>
      </c>
      <c r="AB35" s="93">
        <v>2195500</v>
      </c>
      <c r="AC35" s="10">
        <v>75.67</v>
      </c>
      <c r="AD35" s="2">
        <f t="shared" si="0"/>
        <v>1.2000000000000028</v>
      </c>
      <c r="AE35" s="134">
        <f t="shared" si="1"/>
        <v>-1.05610561056102E-3</v>
      </c>
    </row>
    <row r="36" spans="2:31" x14ac:dyDescent="0.25">
      <c r="B36" s="164">
        <v>42542</v>
      </c>
      <c r="C36" s="10">
        <v>240</v>
      </c>
      <c r="D36" s="39">
        <v>46.46</v>
      </c>
      <c r="E36" s="39">
        <v>44.86</v>
      </c>
      <c r="F36" s="39">
        <f t="shared" si="2"/>
        <v>-384.00000000000034</v>
      </c>
      <c r="G36" s="39">
        <f t="shared" si="3"/>
        <v>11150.4</v>
      </c>
      <c r="H36" s="179">
        <f t="shared" si="4"/>
        <v>-3.4438226431338814E-2</v>
      </c>
      <c r="I36" s="39"/>
      <c r="W36" s="130">
        <v>42781</v>
      </c>
      <c r="X36" s="10">
        <v>75.290000000000006</v>
      </c>
      <c r="Y36" s="10">
        <v>76.23</v>
      </c>
      <c r="Z36" s="10">
        <v>74.819999999999993</v>
      </c>
      <c r="AA36" s="10">
        <v>75.75</v>
      </c>
      <c r="AB36" s="93">
        <v>4982900</v>
      </c>
      <c r="AC36" s="10">
        <v>75.75</v>
      </c>
      <c r="AD36" s="2">
        <f t="shared" si="0"/>
        <v>1.4100000000000108</v>
      </c>
      <c r="AE36" s="134">
        <f t="shared" si="1"/>
        <v>2.7257933279088764E-2</v>
      </c>
    </row>
    <row r="37" spans="2:31" x14ac:dyDescent="0.25">
      <c r="B37" s="164">
        <v>42543</v>
      </c>
      <c r="C37" s="10">
        <v>240</v>
      </c>
      <c r="D37" s="39">
        <v>46.46</v>
      </c>
      <c r="E37" s="39">
        <v>45.09</v>
      </c>
      <c r="F37" s="39">
        <f t="shared" si="2"/>
        <v>-328.79999999999939</v>
      </c>
      <c r="G37" s="39">
        <f t="shared" si="3"/>
        <v>11150.4</v>
      </c>
      <c r="H37" s="179">
        <f t="shared" si="4"/>
        <v>-2.948773138183378E-2</v>
      </c>
      <c r="I37" s="39"/>
      <c r="W37" s="130">
        <v>42780</v>
      </c>
      <c r="X37" s="10">
        <v>73.44</v>
      </c>
      <c r="Y37" s="10">
        <v>73.88</v>
      </c>
      <c r="Z37" s="10">
        <v>72</v>
      </c>
      <c r="AA37" s="10">
        <v>73.739999999999995</v>
      </c>
      <c r="AB37" s="93">
        <v>2533800</v>
      </c>
      <c r="AC37" s="10">
        <v>73.739999999999995</v>
      </c>
      <c r="AD37" s="2">
        <f t="shared" si="0"/>
        <v>1.8799999999999955</v>
      </c>
      <c r="AE37" s="134">
        <f t="shared" si="1"/>
        <v>-1.3542795232936999E-3</v>
      </c>
    </row>
    <row r="38" spans="2:31" x14ac:dyDescent="0.25">
      <c r="B38" s="164">
        <v>42545</v>
      </c>
      <c r="C38" s="10">
        <v>340</v>
      </c>
      <c r="D38" s="39">
        <v>45.227499999999999</v>
      </c>
      <c r="E38" s="39">
        <v>42.28</v>
      </c>
      <c r="F38" s="39">
        <f t="shared" si="2"/>
        <v>-1002.1499999999993</v>
      </c>
      <c r="G38" s="39">
        <f t="shared" si="3"/>
        <v>15377.35</v>
      </c>
      <c r="H38" s="179">
        <f t="shared" si="4"/>
        <v>-6.5170526781272414E-2</v>
      </c>
      <c r="I38" s="39"/>
      <c r="W38" s="130">
        <v>42779</v>
      </c>
      <c r="X38" s="10">
        <v>72.849999999999994</v>
      </c>
      <c r="Y38" s="10">
        <v>74.16</v>
      </c>
      <c r="Z38" s="10">
        <v>72.84</v>
      </c>
      <c r="AA38" s="10">
        <v>73.84</v>
      </c>
      <c r="AB38" s="93">
        <v>3274500</v>
      </c>
      <c r="AC38" s="10">
        <v>73.84</v>
      </c>
      <c r="AD38" s="2">
        <f t="shared" si="0"/>
        <v>1.3199999999999932</v>
      </c>
      <c r="AE38" s="134">
        <f t="shared" si="1"/>
        <v>1.7079889807162685E-2</v>
      </c>
    </row>
    <row r="39" spans="2:31" x14ac:dyDescent="0.25">
      <c r="B39" s="164">
        <v>42548</v>
      </c>
      <c r="C39" s="10">
        <v>450</v>
      </c>
      <c r="D39" s="39">
        <v>44.223399999999998</v>
      </c>
      <c r="E39" s="39">
        <v>37.75</v>
      </c>
      <c r="F39" s="39">
        <f t="shared" si="2"/>
        <v>-2913.0299999999993</v>
      </c>
      <c r="G39" s="39">
        <f t="shared" si="3"/>
        <v>19900.53</v>
      </c>
      <c r="H39" s="179">
        <f t="shared" si="4"/>
        <v>-0.14637951853543596</v>
      </c>
      <c r="I39" s="39"/>
      <c r="W39" s="130">
        <v>42776</v>
      </c>
      <c r="X39" s="10">
        <v>73.37</v>
      </c>
      <c r="Y39" s="10">
        <v>73.37</v>
      </c>
      <c r="Z39" s="10">
        <v>72.2</v>
      </c>
      <c r="AA39" s="10">
        <v>72.599999999999994</v>
      </c>
      <c r="AB39" s="93">
        <v>1933800</v>
      </c>
      <c r="AC39" s="10">
        <v>72.599999999999994</v>
      </c>
      <c r="AD39" s="2">
        <f t="shared" si="0"/>
        <v>1.1700000000000017</v>
      </c>
      <c r="AE39" s="134">
        <f t="shared" si="1"/>
        <v>-5.206906001644418E-3</v>
      </c>
    </row>
    <row r="40" spans="2:31" ht="20.25" thickBot="1" x14ac:dyDescent="0.35">
      <c r="B40" s="164">
        <v>42549</v>
      </c>
      <c r="C40" s="359">
        <v>450</v>
      </c>
      <c r="D40" s="360">
        <v>44.223399999999998</v>
      </c>
      <c r="E40" s="39">
        <v>38.950000000000003</v>
      </c>
      <c r="F40" s="39">
        <f t="shared" ref="F40:F57" si="5">C40*(E40-D40)</f>
        <v>-2373.0299999999979</v>
      </c>
      <c r="G40" s="39">
        <f t="shared" ref="G40:G57" si="6">D40*C40</f>
        <v>19900.53</v>
      </c>
      <c r="H40" s="179">
        <f t="shared" ref="H40:H57" si="7">(E40-D40)/D40</f>
        <v>-0.11924456283325108</v>
      </c>
      <c r="I40" s="39"/>
      <c r="O40" s="884" t="s">
        <v>78</v>
      </c>
      <c r="P40" s="884"/>
      <c r="W40" s="130">
        <v>42775</v>
      </c>
      <c r="X40" s="10">
        <v>71.38</v>
      </c>
      <c r="Y40" s="10">
        <v>73.3</v>
      </c>
      <c r="Z40" s="10">
        <v>71.23</v>
      </c>
      <c r="AA40" s="10">
        <v>72.98</v>
      </c>
      <c r="AB40" s="93">
        <v>3743200</v>
      </c>
      <c r="AC40" s="10">
        <v>72.98</v>
      </c>
      <c r="AD40" s="2">
        <f t="shared" si="0"/>
        <v>2.0699999999999932</v>
      </c>
      <c r="AE40" s="134">
        <f t="shared" si="1"/>
        <v>1.7852161785216092E-2</v>
      </c>
    </row>
    <row r="41" spans="2:31" ht="15.75" thickTop="1" x14ac:dyDescent="0.25">
      <c r="B41" s="164">
        <v>42550</v>
      </c>
      <c r="C41" s="10">
        <v>450</v>
      </c>
      <c r="D41" s="39">
        <v>44.223399999999998</v>
      </c>
      <c r="E41" s="39">
        <v>40.57</v>
      </c>
      <c r="F41" s="39">
        <f t="shared" si="5"/>
        <v>-1644.0299999999991</v>
      </c>
      <c r="G41" s="39">
        <f t="shared" si="6"/>
        <v>19900.53</v>
      </c>
      <c r="H41" s="179">
        <f t="shared" si="7"/>
        <v>-8.261237263530162E-2</v>
      </c>
      <c r="I41" s="39"/>
      <c r="O41" s="81">
        <v>1.1000000000000001</v>
      </c>
      <c r="P41" s="81">
        <f>O41*$Q$4</f>
        <v>96.217000000000013</v>
      </c>
      <c r="Q41" s="2"/>
      <c r="W41" s="130">
        <v>42774</v>
      </c>
      <c r="X41" s="10">
        <v>71.5</v>
      </c>
      <c r="Y41" s="10">
        <v>71.77</v>
      </c>
      <c r="Z41" s="10">
        <v>70.73</v>
      </c>
      <c r="AA41" s="10">
        <v>71.7</v>
      </c>
      <c r="AB41" s="93">
        <v>2967500</v>
      </c>
      <c r="AC41" s="10">
        <v>71.7</v>
      </c>
      <c r="AD41" s="2">
        <f t="shared" si="0"/>
        <v>1.039999999999992</v>
      </c>
      <c r="AE41" s="134">
        <f t="shared" si="1"/>
        <v>5.7511572450552606E-3</v>
      </c>
    </row>
    <row r="42" spans="2:31" ht="20.25" thickBot="1" x14ac:dyDescent="0.35">
      <c r="B42" s="164">
        <v>42552</v>
      </c>
      <c r="C42" s="10">
        <v>450</v>
      </c>
      <c r="D42" s="39">
        <v>44.223399999999998</v>
      </c>
      <c r="E42" s="39">
        <v>41.37</v>
      </c>
      <c r="F42" s="39">
        <f t="shared" si="5"/>
        <v>-1284.0300000000002</v>
      </c>
      <c r="G42" s="39">
        <f t="shared" si="6"/>
        <v>19900.53</v>
      </c>
      <c r="H42" s="179">
        <f t="shared" si="7"/>
        <v>-6.4522402167178472E-2</v>
      </c>
      <c r="I42" s="39"/>
      <c r="O42" s="81">
        <v>1.0900000000000001</v>
      </c>
      <c r="P42" s="81">
        <f t="shared" ref="P42:P61" si="8">O42*$Q$4</f>
        <v>95.342300000000009</v>
      </c>
      <c r="Q42" s="2"/>
      <c r="T42" s="89" t="s">
        <v>112</v>
      </c>
      <c r="W42" s="130">
        <v>42773</v>
      </c>
      <c r="X42" s="10">
        <v>73.959999999999994</v>
      </c>
      <c r="Y42" s="10">
        <v>74</v>
      </c>
      <c r="Z42" s="10">
        <v>71.25</v>
      </c>
      <c r="AA42" s="10">
        <v>71.290000000000006</v>
      </c>
      <c r="AB42" s="93">
        <v>4969400</v>
      </c>
      <c r="AC42" s="10">
        <v>71.290000000000006</v>
      </c>
      <c r="AD42" s="2">
        <f t="shared" si="0"/>
        <v>2.75</v>
      </c>
      <c r="AE42" s="134">
        <f t="shared" si="1"/>
        <v>-3.0068027210884307E-2</v>
      </c>
    </row>
    <row r="43" spans="2:31" ht="15.75" thickTop="1" x14ac:dyDescent="0.25">
      <c r="B43" s="164">
        <v>42556</v>
      </c>
      <c r="C43" s="10">
        <v>450</v>
      </c>
      <c r="D43" s="39">
        <v>44.223399999999998</v>
      </c>
      <c r="E43" s="39">
        <v>40.29</v>
      </c>
      <c r="F43" s="39">
        <f t="shared" si="5"/>
        <v>-1770.0299999999995</v>
      </c>
      <c r="G43" s="39">
        <f t="shared" si="6"/>
        <v>19900.53</v>
      </c>
      <c r="H43" s="179">
        <f t="shared" si="7"/>
        <v>-8.8943862299144777E-2</v>
      </c>
      <c r="I43" s="39"/>
      <c r="O43" s="81">
        <v>1.08</v>
      </c>
      <c r="P43" s="81">
        <f t="shared" si="8"/>
        <v>94.467600000000004</v>
      </c>
      <c r="Q43" s="2"/>
      <c r="T43" s="125" t="s">
        <v>97</v>
      </c>
      <c r="U43" s="96">
        <v>69.760000000000005</v>
      </c>
      <c r="W43" s="130">
        <v>42772</v>
      </c>
      <c r="X43" s="10">
        <v>73.400000000000006</v>
      </c>
      <c r="Y43" s="10">
        <v>74.78</v>
      </c>
      <c r="Z43" s="10">
        <v>72.78</v>
      </c>
      <c r="AA43" s="10">
        <v>73.5</v>
      </c>
      <c r="AB43" s="93">
        <v>3922800</v>
      </c>
      <c r="AC43" s="10">
        <v>73.5</v>
      </c>
      <c r="AD43" s="2">
        <f t="shared" si="0"/>
        <v>2</v>
      </c>
      <c r="AE43" s="134">
        <f t="shared" si="1"/>
        <v>6.0224473035861426E-3</v>
      </c>
    </row>
    <row r="44" spans="2:31" x14ac:dyDescent="0.25">
      <c r="B44" s="164">
        <v>42557</v>
      </c>
      <c r="C44" s="359">
        <v>450</v>
      </c>
      <c r="D44" s="360">
        <v>43.823700000000002</v>
      </c>
      <c r="E44" s="39">
        <v>39.31</v>
      </c>
      <c r="F44" s="39">
        <f t="shared" si="5"/>
        <v>-2031.165</v>
      </c>
      <c r="G44" s="39">
        <f t="shared" si="6"/>
        <v>19720.665000000001</v>
      </c>
      <c r="H44" s="179">
        <f t="shared" si="7"/>
        <v>-0.10299678028098951</v>
      </c>
      <c r="I44" s="39"/>
      <c r="O44" s="81">
        <v>1.07</v>
      </c>
      <c r="P44" s="81">
        <f t="shared" si="8"/>
        <v>93.5929</v>
      </c>
      <c r="Q44" s="2"/>
      <c r="T44" s="91" t="s">
        <v>98</v>
      </c>
      <c r="U44" s="86">
        <v>70.23</v>
      </c>
      <c r="W44" s="130">
        <v>42769</v>
      </c>
      <c r="X44" s="10">
        <v>72.53</v>
      </c>
      <c r="Y44" s="10">
        <v>73.25</v>
      </c>
      <c r="Z44" s="10">
        <v>72.05</v>
      </c>
      <c r="AA44" s="10">
        <v>73.06</v>
      </c>
      <c r="AB44" s="93">
        <v>2517900</v>
      </c>
      <c r="AC44" s="10">
        <v>73.06</v>
      </c>
      <c r="AD44" s="2">
        <f t="shared" si="0"/>
        <v>1.2000000000000028</v>
      </c>
      <c r="AE44" s="134">
        <f t="shared" si="1"/>
        <v>1.2752980316052209E-2</v>
      </c>
    </row>
    <row r="45" spans="2:31" x14ac:dyDescent="0.25">
      <c r="B45" s="164">
        <v>42558</v>
      </c>
      <c r="C45" s="10">
        <v>450</v>
      </c>
      <c r="D45" s="39">
        <v>43.823700000000002</v>
      </c>
      <c r="E45" s="39">
        <v>41.48</v>
      </c>
      <c r="F45" s="39">
        <f t="shared" si="5"/>
        <v>-1054.6650000000025</v>
      </c>
      <c r="G45" s="39">
        <f t="shared" si="6"/>
        <v>19720.665000000001</v>
      </c>
      <c r="H45" s="179">
        <f t="shared" si="7"/>
        <v>-5.3480194506625535E-2</v>
      </c>
      <c r="I45" s="39"/>
      <c r="O45" s="81">
        <v>1.06</v>
      </c>
      <c r="P45" s="81">
        <f t="shared" si="8"/>
        <v>92.71820000000001</v>
      </c>
      <c r="Q45" s="2"/>
      <c r="T45" s="91" t="s">
        <v>99</v>
      </c>
      <c r="U45" s="86" t="s">
        <v>128</v>
      </c>
      <c r="W45" s="130">
        <v>42768</v>
      </c>
      <c r="X45" s="10">
        <v>70.73</v>
      </c>
      <c r="Y45" s="10">
        <v>72.34</v>
      </c>
      <c r="Z45" s="10">
        <v>70.55</v>
      </c>
      <c r="AA45" s="10">
        <v>72.14</v>
      </c>
      <c r="AB45" s="93">
        <v>3101700</v>
      </c>
      <c r="AC45" s="10">
        <v>72.14</v>
      </c>
      <c r="AD45" s="2">
        <f t="shared" si="0"/>
        <v>1.7900000000000063</v>
      </c>
      <c r="AE45" s="134">
        <f t="shared" si="1"/>
        <v>9.2333519865697156E-3</v>
      </c>
    </row>
    <row r="46" spans="2:31" x14ac:dyDescent="0.25">
      <c r="B46" s="164">
        <v>42562</v>
      </c>
      <c r="C46" s="10">
        <v>400</v>
      </c>
      <c r="D46" s="39">
        <v>43.966799999999999</v>
      </c>
      <c r="E46" s="39">
        <v>42.41</v>
      </c>
      <c r="F46" s="39">
        <f t="shared" si="5"/>
        <v>-622.72000000000105</v>
      </c>
      <c r="G46" s="39">
        <f t="shared" si="6"/>
        <v>17586.72</v>
      </c>
      <c r="H46" s="179">
        <f t="shared" si="7"/>
        <v>-3.5408535531355541E-2</v>
      </c>
      <c r="I46" s="39"/>
      <c r="O46" s="81">
        <v>1.05</v>
      </c>
      <c r="P46" s="81">
        <f t="shared" si="8"/>
        <v>91.843500000000006</v>
      </c>
      <c r="Q46" s="2"/>
      <c r="T46" s="91" t="s">
        <v>100</v>
      </c>
      <c r="U46" s="86" t="s">
        <v>128</v>
      </c>
      <c r="W46" s="130">
        <v>42767</v>
      </c>
      <c r="X46" s="10">
        <v>70.95</v>
      </c>
      <c r="Y46" s="10">
        <v>71.86</v>
      </c>
      <c r="Z46" s="10">
        <v>70.69</v>
      </c>
      <c r="AA46" s="10">
        <v>71.48</v>
      </c>
      <c r="AB46" s="93">
        <v>3414200</v>
      </c>
      <c r="AC46" s="10">
        <v>71.48</v>
      </c>
      <c r="AD46" s="2">
        <f t="shared" si="0"/>
        <v>1.1700000000000017</v>
      </c>
      <c r="AE46" s="134">
        <f t="shared" si="1"/>
        <v>1.4332340002838118E-2</v>
      </c>
    </row>
    <row r="47" spans="2:31" x14ac:dyDescent="0.25">
      <c r="B47" s="164">
        <v>42563</v>
      </c>
      <c r="C47" s="10">
        <v>400</v>
      </c>
      <c r="D47" s="39">
        <v>43.966799999999999</v>
      </c>
      <c r="E47" s="39">
        <v>46.16</v>
      </c>
      <c r="F47" s="39">
        <f t="shared" si="5"/>
        <v>877.27999999999895</v>
      </c>
      <c r="G47" s="39">
        <f t="shared" si="6"/>
        <v>17586.72</v>
      </c>
      <c r="H47" s="179">
        <f t="shared" si="7"/>
        <v>4.9883093606994312E-2</v>
      </c>
      <c r="I47" s="39"/>
      <c r="O47" s="81">
        <v>1.04</v>
      </c>
      <c r="P47" s="81">
        <f t="shared" si="8"/>
        <v>90.968800000000002</v>
      </c>
      <c r="Q47" s="2"/>
      <c r="T47" s="91" t="s">
        <v>101</v>
      </c>
      <c r="U47" s="86">
        <v>83.81</v>
      </c>
      <c r="W47" s="130">
        <v>42766</v>
      </c>
      <c r="X47" s="10">
        <v>71.78</v>
      </c>
      <c r="Y47" s="10">
        <v>71.78</v>
      </c>
      <c r="Z47" s="10">
        <v>69.34</v>
      </c>
      <c r="AA47" s="10">
        <v>70.47</v>
      </c>
      <c r="AB47" s="93">
        <v>5445000</v>
      </c>
      <c r="AC47" s="10">
        <v>70.47</v>
      </c>
      <c r="AD47" s="2">
        <f t="shared" si="0"/>
        <v>2.4399999999999977</v>
      </c>
      <c r="AE47" s="134">
        <f t="shared" si="1"/>
        <v>-1.7428890128276642E-2</v>
      </c>
    </row>
    <row r="48" spans="2:31" x14ac:dyDescent="0.25">
      <c r="B48" s="164">
        <v>42569</v>
      </c>
      <c r="C48" s="10">
        <v>360</v>
      </c>
      <c r="D48" s="39">
        <v>43.573300000000003</v>
      </c>
      <c r="E48" s="39">
        <v>47.71</v>
      </c>
      <c r="F48" s="39">
        <f t="shared" si="5"/>
        <v>1489.2119999999991</v>
      </c>
      <c r="G48" s="39">
        <f t="shared" si="6"/>
        <v>15686.388000000001</v>
      </c>
      <c r="H48" s="179">
        <f t="shared" si="7"/>
        <v>9.4936578133857141E-2</v>
      </c>
      <c r="I48" s="39"/>
      <c r="O48" s="81">
        <v>1.03</v>
      </c>
      <c r="P48" s="81">
        <f t="shared" si="8"/>
        <v>90.094099999999997</v>
      </c>
      <c r="Q48" s="2"/>
      <c r="T48" s="91" t="s">
        <v>102</v>
      </c>
      <c r="U48" s="86">
        <v>0.99472499999999997</v>
      </c>
      <c r="W48" s="130">
        <v>42765</v>
      </c>
      <c r="X48" s="10">
        <v>72.989999999999995</v>
      </c>
      <c r="Y48" s="10">
        <v>72.989999999999995</v>
      </c>
      <c r="Z48" s="10">
        <v>70</v>
      </c>
      <c r="AA48" s="10">
        <v>71.72</v>
      </c>
      <c r="AB48" s="93">
        <v>3898300</v>
      </c>
      <c r="AC48" s="10">
        <v>71.72</v>
      </c>
      <c r="AD48" s="2">
        <f t="shared" si="0"/>
        <v>2.9899999999999949</v>
      </c>
      <c r="AE48" s="134">
        <f t="shared" si="1"/>
        <v>-3.628056973931737E-2</v>
      </c>
    </row>
    <row r="49" spans="2:31" x14ac:dyDescent="0.25">
      <c r="B49" s="164">
        <v>42570</v>
      </c>
      <c r="C49" s="10">
        <v>360</v>
      </c>
      <c r="D49" s="39">
        <v>43.573300000000003</v>
      </c>
      <c r="E49" s="39">
        <v>47.85</v>
      </c>
      <c r="F49" s="39">
        <f t="shared" si="5"/>
        <v>1539.6119999999994</v>
      </c>
      <c r="G49" s="39">
        <f t="shared" si="6"/>
        <v>15686.388000000001</v>
      </c>
      <c r="H49" s="179">
        <f t="shared" si="7"/>
        <v>9.8149554887970336E-2</v>
      </c>
      <c r="I49" s="39"/>
      <c r="O49" s="81">
        <v>1.02</v>
      </c>
      <c r="P49" s="81">
        <f t="shared" si="8"/>
        <v>89.219400000000007</v>
      </c>
      <c r="Q49" s="2"/>
      <c r="T49" s="91" t="s">
        <v>121</v>
      </c>
      <c r="U49" s="86" t="s">
        <v>333</v>
      </c>
      <c r="W49" s="130">
        <v>42762</v>
      </c>
      <c r="X49" s="10">
        <v>75.75</v>
      </c>
      <c r="Y49" s="10">
        <v>75.98</v>
      </c>
      <c r="Z49" s="10">
        <v>74.040000000000006</v>
      </c>
      <c r="AA49" s="10">
        <v>74.42</v>
      </c>
      <c r="AB49" s="93">
        <v>4377000</v>
      </c>
      <c r="AC49" s="10">
        <v>74.42</v>
      </c>
      <c r="AD49" s="2">
        <f t="shared" si="0"/>
        <v>1.9399999999999977</v>
      </c>
      <c r="AE49" s="134">
        <f t="shared" si="1"/>
        <v>-1.2735473600424485E-2</v>
      </c>
    </row>
    <row r="50" spans="2:31" x14ac:dyDescent="0.25">
      <c r="B50" s="164">
        <v>42571</v>
      </c>
      <c r="C50" s="10">
        <v>360</v>
      </c>
      <c r="D50" s="39">
        <v>43.573300000000003</v>
      </c>
      <c r="E50" s="39">
        <v>48.3</v>
      </c>
      <c r="F50" s="39">
        <f t="shared" si="5"/>
        <v>1701.6119999999978</v>
      </c>
      <c r="G50" s="39">
        <f t="shared" si="6"/>
        <v>15686.388000000001</v>
      </c>
      <c r="H50" s="179">
        <f t="shared" si="7"/>
        <v>0.10847698016904833</v>
      </c>
      <c r="I50" s="39"/>
      <c r="O50" s="81">
        <v>1.01</v>
      </c>
      <c r="P50" s="81">
        <f t="shared" si="8"/>
        <v>88.344700000000003</v>
      </c>
      <c r="Q50" s="2"/>
      <c r="T50" s="91"/>
      <c r="U50" s="86"/>
      <c r="W50" s="130">
        <v>42761</v>
      </c>
      <c r="X50" s="10">
        <v>74.47</v>
      </c>
      <c r="Y50" s="10">
        <v>76</v>
      </c>
      <c r="Z50" s="10">
        <v>74.12</v>
      </c>
      <c r="AA50" s="10">
        <v>75.38</v>
      </c>
      <c r="AB50" s="93">
        <v>5428600</v>
      </c>
      <c r="AC50" s="10">
        <v>75.38</v>
      </c>
      <c r="AD50" s="2">
        <f t="shared" si="0"/>
        <v>1.8799999999999955</v>
      </c>
      <c r="AE50" s="134">
        <f t="shared" si="1"/>
        <v>2.432395705938295E-2</v>
      </c>
    </row>
    <row r="51" spans="2:31" x14ac:dyDescent="0.25">
      <c r="B51" s="164">
        <v>42572</v>
      </c>
      <c r="C51" s="10">
        <v>360</v>
      </c>
      <c r="D51" s="39">
        <v>43.573300000000003</v>
      </c>
      <c r="E51" s="39">
        <v>46.66</v>
      </c>
      <c r="F51" s="39">
        <f t="shared" si="5"/>
        <v>1111.2119999999977</v>
      </c>
      <c r="G51" s="39">
        <f t="shared" si="6"/>
        <v>15686.388000000001</v>
      </c>
      <c r="H51" s="179">
        <f t="shared" si="7"/>
        <v>7.0839252478008166E-2</v>
      </c>
      <c r="I51" s="39"/>
      <c r="O51" s="81">
        <v>1</v>
      </c>
      <c r="P51" s="81">
        <f t="shared" si="8"/>
        <v>87.47</v>
      </c>
      <c r="Q51" s="2"/>
      <c r="T51" s="91" t="s">
        <v>104</v>
      </c>
      <c r="U51" s="86" t="s">
        <v>644</v>
      </c>
      <c r="W51" s="130">
        <v>42760</v>
      </c>
      <c r="X51" s="10">
        <v>73.58</v>
      </c>
      <c r="Y51" s="10">
        <v>74.599999999999994</v>
      </c>
      <c r="Z51" s="10">
        <v>73.040000000000006</v>
      </c>
      <c r="AA51" s="10">
        <v>73.59</v>
      </c>
      <c r="AB51" s="93">
        <v>2762500</v>
      </c>
      <c r="AC51" s="10">
        <v>73.59</v>
      </c>
      <c r="AD51" s="2">
        <f t="shared" si="0"/>
        <v>1.5599999999999881</v>
      </c>
      <c r="AE51" s="134">
        <f t="shared" si="1"/>
        <v>5.6026236676687269E-3</v>
      </c>
    </row>
    <row r="52" spans="2:31" x14ac:dyDescent="0.25">
      <c r="B52" s="164">
        <v>42575</v>
      </c>
      <c r="C52" s="10">
        <v>360</v>
      </c>
      <c r="D52" s="39">
        <v>43.573300000000003</v>
      </c>
      <c r="E52" s="39">
        <v>47.57</v>
      </c>
      <c r="F52" s="39">
        <f t="shared" si="5"/>
        <v>1438.811999999999</v>
      </c>
      <c r="G52" s="39">
        <f t="shared" si="6"/>
        <v>15686.388000000001</v>
      </c>
      <c r="H52" s="179">
        <f t="shared" si="7"/>
        <v>9.1723601379743946E-2</v>
      </c>
      <c r="I52" s="39"/>
      <c r="O52" s="81">
        <v>0.99</v>
      </c>
      <c r="P52" s="81">
        <f t="shared" si="8"/>
        <v>86.595299999999995</v>
      </c>
      <c r="Q52" s="2"/>
      <c r="T52" s="91" t="s">
        <v>105</v>
      </c>
      <c r="U52" s="86" t="s">
        <v>314</v>
      </c>
      <c r="W52" s="130">
        <v>42759</v>
      </c>
      <c r="X52" s="10">
        <v>73.08</v>
      </c>
      <c r="Y52" s="10">
        <v>73.58</v>
      </c>
      <c r="Z52" s="10">
        <v>72.66</v>
      </c>
      <c r="AA52" s="10">
        <v>73.180000000000007</v>
      </c>
      <c r="AB52" s="93">
        <v>2654800</v>
      </c>
      <c r="AC52" s="10">
        <v>73.180000000000007</v>
      </c>
      <c r="AD52" s="2">
        <f t="shared" si="0"/>
        <v>0.92000000000000171</v>
      </c>
      <c r="AE52" s="134">
        <f t="shared" si="1"/>
        <v>5.9106529209622671E-3</v>
      </c>
    </row>
    <row r="53" spans="2:31" x14ac:dyDescent="0.25">
      <c r="B53" s="164">
        <v>42576</v>
      </c>
      <c r="C53" s="10">
        <v>360</v>
      </c>
      <c r="D53" s="39">
        <v>43.573300000000003</v>
      </c>
      <c r="E53" s="39">
        <v>46.89</v>
      </c>
      <c r="F53" s="39">
        <f t="shared" si="5"/>
        <v>1194.011999999999</v>
      </c>
      <c r="G53" s="39">
        <f t="shared" si="6"/>
        <v>15686.388000000001</v>
      </c>
      <c r="H53" s="179">
        <f t="shared" si="7"/>
        <v>7.6117714288337052E-2</v>
      </c>
      <c r="I53" s="39"/>
      <c r="O53" s="81">
        <v>0.98</v>
      </c>
      <c r="P53" s="81">
        <f t="shared" si="8"/>
        <v>85.72059999999999</v>
      </c>
      <c r="Q53" s="2"/>
      <c r="T53" s="91" t="s">
        <v>106</v>
      </c>
      <c r="U53" s="88">
        <v>2640252</v>
      </c>
      <c r="W53" s="130">
        <v>42758</v>
      </c>
      <c r="X53" s="10">
        <v>74.66</v>
      </c>
      <c r="Y53" s="10">
        <v>75.09</v>
      </c>
      <c r="Z53" s="10">
        <v>72.64</v>
      </c>
      <c r="AA53" s="10">
        <v>72.75</v>
      </c>
      <c r="AB53" s="93">
        <v>4157900</v>
      </c>
      <c r="AC53" s="10">
        <v>72.75</v>
      </c>
      <c r="AD53" s="2">
        <f t="shared" si="0"/>
        <v>2.4500000000000028</v>
      </c>
      <c r="AE53" s="134">
        <f t="shared" si="1"/>
        <v>-3.3094098883572509E-2</v>
      </c>
    </row>
    <row r="54" spans="2:31" x14ac:dyDescent="0.25">
      <c r="B54" s="164">
        <v>42577</v>
      </c>
      <c r="C54" s="10">
        <v>360</v>
      </c>
      <c r="D54" s="39">
        <v>43.573300000000003</v>
      </c>
      <c r="E54" s="39">
        <v>47.73</v>
      </c>
      <c r="F54" s="39">
        <f t="shared" si="5"/>
        <v>1496.4119999999978</v>
      </c>
      <c r="G54" s="39">
        <f t="shared" si="6"/>
        <v>15686.388000000001</v>
      </c>
      <c r="H54" s="179">
        <f t="shared" si="7"/>
        <v>9.5395574813016068E-2</v>
      </c>
      <c r="I54" s="39"/>
      <c r="O54" s="81">
        <v>0.97</v>
      </c>
      <c r="P54" s="81">
        <f t="shared" si="8"/>
        <v>84.8459</v>
      </c>
      <c r="T54" s="91" t="s">
        <v>109</v>
      </c>
      <c r="U54" s="88">
        <v>3897750</v>
      </c>
      <c r="W54" s="130">
        <v>42755</v>
      </c>
      <c r="X54" s="10">
        <v>74.3</v>
      </c>
      <c r="Y54" s="10">
        <v>75.48</v>
      </c>
      <c r="Z54" s="10">
        <v>74.09</v>
      </c>
      <c r="AA54" s="10">
        <v>75.239999999999995</v>
      </c>
      <c r="AB54" s="93">
        <v>2883800</v>
      </c>
      <c r="AC54" s="10">
        <v>75.239999999999995</v>
      </c>
      <c r="AD54" s="2">
        <f t="shared" si="0"/>
        <v>1.3900000000000006</v>
      </c>
      <c r="AE54" s="134">
        <f t="shared" si="1"/>
        <v>1.6482031883274795E-2</v>
      </c>
    </row>
    <row r="55" spans="2:31" x14ac:dyDescent="0.25">
      <c r="B55" s="164">
        <v>42580</v>
      </c>
      <c r="C55" s="10">
        <v>360</v>
      </c>
      <c r="D55" s="39">
        <v>43.573300000000003</v>
      </c>
      <c r="E55" s="39">
        <v>46.89</v>
      </c>
      <c r="F55" s="39">
        <f t="shared" si="5"/>
        <v>1194.011999999999</v>
      </c>
      <c r="G55" s="39">
        <f t="shared" si="6"/>
        <v>15686.388000000001</v>
      </c>
      <c r="H55" s="179">
        <f t="shared" si="7"/>
        <v>7.6117714288337052E-2</v>
      </c>
      <c r="I55" s="39"/>
      <c r="O55" s="81">
        <v>0.96</v>
      </c>
      <c r="P55" s="81">
        <f t="shared" si="8"/>
        <v>83.971199999999996</v>
      </c>
      <c r="T55" s="91" t="s">
        <v>107</v>
      </c>
      <c r="U55" s="86" t="s">
        <v>645</v>
      </c>
      <c r="W55" s="130">
        <v>42754</v>
      </c>
      <c r="X55" s="10">
        <v>74.06</v>
      </c>
      <c r="Y55" s="10">
        <v>74.84</v>
      </c>
      <c r="Z55" s="10">
        <v>73.260000000000005</v>
      </c>
      <c r="AA55" s="10">
        <v>74.02</v>
      </c>
      <c r="AB55" s="93">
        <v>2763300</v>
      </c>
      <c r="AC55" s="10">
        <v>74.02</v>
      </c>
      <c r="AD55" s="2">
        <f t="shared" si="0"/>
        <v>1.5799999999999983</v>
      </c>
      <c r="AE55" s="134">
        <f t="shared" si="1"/>
        <v>2.7027027027015649E-4</v>
      </c>
    </row>
    <row r="56" spans="2:31" x14ac:dyDescent="0.25">
      <c r="B56" s="164">
        <v>42585</v>
      </c>
      <c r="C56" s="10">
        <v>360</v>
      </c>
      <c r="D56" s="39">
        <v>43.573300000000003</v>
      </c>
      <c r="E56" s="39">
        <v>44.4</v>
      </c>
      <c r="F56" s="39">
        <f t="shared" si="5"/>
        <v>297.61199999999832</v>
      </c>
      <c r="G56" s="39">
        <f t="shared" si="6"/>
        <v>15686.388000000001</v>
      </c>
      <c r="H56" s="179">
        <f t="shared" si="7"/>
        <v>1.8972627733038244E-2</v>
      </c>
      <c r="I56" s="39"/>
      <c r="O56" s="81">
        <v>0.95</v>
      </c>
      <c r="P56" s="81">
        <f t="shared" si="8"/>
        <v>83.096499999999992</v>
      </c>
      <c r="T56" s="91" t="s">
        <v>110</v>
      </c>
      <c r="U56" s="86">
        <v>10.23</v>
      </c>
      <c r="W56" s="130">
        <v>42753</v>
      </c>
      <c r="X56" s="10">
        <v>73</v>
      </c>
      <c r="Y56" s="10">
        <v>74.930000000000007</v>
      </c>
      <c r="Z56" s="10">
        <v>72.41</v>
      </c>
      <c r="AA56" s="10">
        <v>74</v>
      </c>
      <c r="AB56" s="93">
        <v>4568900</v>
      </c>
      <c r="AC56" s="10">
        <v>74</v>
      </c>
      <c r="AD56" s="2">
        <f t="shared" si="0"/>
        <v>2.5200000000000102</v>
      </c>
      <c r="AE56" s="134">
        <f t="shared" si="1"/>
        <v>3.5259018171955869E-3</v>
      </c>
    </row>
    <row r="57" spans="2:31" x14ac:dyDescent="0.25">
      <c r="B57" s="164">
        <v>42587</v>
      </c>
      <c r="C57" s="7">
        <v>150</v>
      </c>
      <c r="D57" s="43">
        <v>37.965299999999999</v>
      </c>
      <c r="E57" s="39">
        <v>47.24</v>
      </c>
      <c r="F57" s="39">
        <f t="shared" si="5"/>
        <v>1391.2050000000004</v>
      </c>
      <c r="G57" s="39">
        <f t="shared" si="6"/>
        <v>5694.7950000000001</v>
      </c>
      <c r="H57" s="179">
        <f t="shared" si="7"/>
        <v>0.24429413174662135</v>
      </c>
      <c r="I57" s="39"/>
      <c r="O57" s="81">
        <v>0.94</v>
      </c>
      <c r="P57" s="81">
        <f t="shared" si="8"/>
        <v>82.221799999999988</v>
      </c>
      <c r="T57" s="91" t="s">
        <v>111</v>
      </c>
      <c r="U57" s="86">
        <v>6.85</v>
      </c>
      <c r="W57" s="130">
        <v>42752</v>
      </c>
      <c r="X57" s="10">
        <v>73.94</v>
      </c>
      <c r="Y57" s="10">
        <v>75.09</v>
      </c>
      <c r="Z57" s="10">
        <v>73.55</v>
      </c>
      <c r="AA57" s="10">
        <v>73.739999999999995</v>
      </c>
      <c r="AB57" s="93">
        <v>3109800</v>
      </c>
      <c r="AC57" s="10">
        <v>73.739999999999995</v>
      </c>
      <c r="AD57" s="2">
        <f t="shared" si="0"/>
        <v>1.5400000000000063</v>
      </c>
      <c r="AE57" s="134">
        <f t="shared" si="1"/>
        <v>-7.8040904198062311E-3</v>
      </c>
    </row>
    <row r="58" spans="2:31" x14ac:dyDescent="0.25">
      <c r="B58" s="164">
        <v>42598</v>
      </c>
      <c r="C58" s="10">
        <v>0</v>
      </c>
      <c r="D58" s="39"/>
      <c r="E58" s="39"/>
      <c r="F58" s="39">
        <v>1461.56</v>
      </c>
      <c r="G58" s="39"/>
      <c r="H58" s="179"/>
      <c r="I58" s="39"/>
      <c r="O58" s="81">
        <v>0.93</v>
      </c>
      <c r="P58" s="81">
        <f t="shared" si="8"/>
        <v>81.347099999999998</v>
      </c>
      <c r="T58" s="91" t="s">
        <v>108</v>
      </c>
      <c r="U58" s="86" t="s">
        <v>122</v>
      </c>
      <c r="W58" s="130">
        <v>42748</v>
      </c>
      <c r="X58" s="10">
        <v>74.03</v>
      </c>
      <c r="Y58" s="10">
        <v>74.75</v>
      </c>
      <c r="Z58" s="10">
        <v>73.89</v>
      </c>
      <c r="AA58" s="10">
        <v>74.319999999999993</v>
      </c>
      <c r="AB58" s="93">
        <v>2149500</v>
      </c>
      <c r="AC58" s="10">
        <v>74.319999999999993</v>
      </c>
      <c r="AD58" s="2">
        <f t="shared" si="0"/>
        <v>0.85999999999999943</v>
      </c>
      <c r="AE58" s="134">
        <f t="shared" si="1"/>
        <v>4.3243243243242802E-3</v>
      </c>
    </row>
    <row r="59" spans="2:31" x14ac:dyDescent="0.25">
      <c r="B59" s="164"/>
      <c r="C59" s="10"/>
      <c r="D59" s="39"/>
      <c r="E59" s="39"/>
      <c r="F59" s="39"/>
      <c r="G59" s="39"/>
      <c r="H59" s="179"/>
      <c r="I59" s="39"/>
      <c r="O59" s="81">
        <v>0.92</v>
      </c>
      <c r="P59" s="81">
        <f t="shared" si="8"/>
        <v>80.472400000000007</v>
      </c>
      <c r="W59" s="130">
        <v>42747</v>
      </c>
      <c r="X59" s="10">
        <v>74.64</v>
      </c>
      <c r="Y59" s="10">
        <v>75.64</v>
      </c>
      <c r="Z59" s="10">
        <v>72.900000000000006</v>
      </c>
      <c r="AA59" s="10">
        <v>74</v>
      </c>
      <c r="AB59" s="93">
        <v>4127800</v>
      </c>
      <c r="AC59" s="10">
        <v>74</v>
      </c>
      <c r="AD59" s="2">
        <f t="shared" si="0"/>
        <v>2.7399999999999949</v>
      </c>
      <c r="AE59" s="134">
        <f t="shared" si="1"/>
        <v>-1.3859275053304976E-2</v>
      </c>
    </row>
    <row r="60" spans="2:31" x14ac:dyDescent="0.25">
      <c r="B60" s="164"/>
      <c r="C60" s="10"/>
      <c r="D60" s="39"/>
      <c r="E60" s="39"/>
      <c r="F60" s="39"/>
      <c r="G60" s="39"/>
      <c r="H60" s="179"/>
      <c r="I60" s="39"/>
      <c r="O60" s="81">
        <v>0.91</v>
      </c>
      <c r="P60" s="81">
        <f t="shared" si="8"/>
        <v>79.597700000000003</v>
      </c>
      <c r="W60" s="130">
        <v>42746</v>
      </c>
      <c r="X60" s="10">
        <v>75.510000000000005</v>
      </c>
      <c r="Y60" s="10">
        <v>76.75</v>
      </c>
      <c r="Z60" s="10">
        <v>74.94</v>
      </c>
      <c r="AA60" s="10">
        <v>75.040000000000006</v>
      </c>
      <c r="AB60" s="93">
        <v>5180000</v>
      </c>
      <c r="AC60" s="10">
        <v>75.040000000000006</v>
      </c>
      <c r="AD60" s="2">
        <f t="shared" si="0"/>
        <v>1.8100000000000023</v>
      </c>
      <c r="AE60" s="134">
        <f t="shared" si="1"/>
        <v>1.873472712462676E-2</v>
      </c>
    </row>
    <row r="61" spans="2:31" x14ac:dyDescent="0.25">
      <c r="B61" s="164"/>
      <c r="C61" s="10"/>
      <c r="D61" s="39"/>
      <c r="E61" s="39"/>
      <c r="F61" s="39"/>
      <c r="G61" s="39"/>
      <c r="H61" s="179"/>
      <c r="I61" s="39"/>
      <c r="O61" s="81">
        <v>0.9</v>
      </c>
      <c r="P61" s="81">
        <f t="shared" si="8"/>
        <v>78.722999999999999</v>
      </c>
      <c r="W61" s="130">
        <v>42745</v>
      </c>
      <c r="X61" s="10">
        <v>71.47</v>
      </c>
      <c r="Y61" s="10">
        <v>74.34</v>
      </c>
      <c r="Z61" s="10">
        <v>71.44</v>
      </c>
      <c r="AA61" s="10">
        <v>73.66</v>
      </c>
      <c r="AB61" s="93">
        <v>3356900</v>
      </c>
      <c r="AC61" s="10">
        <v>73.66</v>
      </c>
      <c r="AD61" s="2">
        <f t="shared" si="0"/>
        <v>2.9000000000000057</v>
      </c>
      <c r="AE61" s="134">
        <f t="shared" si="1"/>
        <v>3.338945005611671E-2</v>
      </c>
    </row>
    <row r="62" spans="2:31" x14ac:dyDescent="0.25">
      <c r="B62" s="164"/>
      <c r="C62" s="10"/>
      <c r="D62" s="39"/>
      <c r="E62" s="39"/>
      <c r="F62" s="39"/>
      <c r="G62" s="39"/>
      <c r="H62" s="179"/>
      <c r="I62" s="39"/>
      <c r="W62" s="130">
        <v>42744</v>
      </c>
      <c r="X62" s="10">
        <v>71.06</v>
      </c>
      <c r="Y62" s="10">
        <v>72</v>
      </c>
      <c r="Z62" s="10">
        <v>70.88</v>
      </c>
      <c r="AA62" s="10">
        <v>71.28</v>
      </c>
      <c r="AB62" s="93">
        <v>1930800</v>
      </c>
      <c r="AC62" s="10">
        <v>71.28</v>
      </c>
      <c r="AD62" s="2">
        <f t="shared" si="0"/>
        <v>1.1200000000000045</v>
      </c>
      <c r="AE62" s="134">
        <f t="shared" si="1"/>
        <v>-1.2610340479193294E-3</v>
      </c>
    </row>
    <row r="63" spans="2:31" x14ac:dyDescent="0.25">
      <c r="W63" s="130">
        <v>42741</v>
      </c>
      <c r="X63" s="10">
        <v>70.98</v>
      </c>
      <c r="Y63" s="10">
        <v>71.89</v>
      </c>
      <c r="Z63" s="10">
        <v>69.75</v>
      </c>
      <c r="AA63" s="10">
        <v>71.37</v>
      </c>
      <c r="AB63" s="93">
        <v>3648100</v>
      </c>
      <c r="AC63" s="10">
        <v>71.37</v>
      </c>
      <c r="AD63" s="2">
        <f t="shared" si="0"/>
        <v>2.1400000000000006</v>
      </c>
      <c r="AE63" s="134">
        <f t="shared" si="1"/>
        <v>6.2032990272098409E-3</v>
      </c>
    </row>
    <row r="64" spans="2:31" x14ac:dyDescent="0.25">
      <c r="W64" s="130">
        <v>42740</v>
      </c>
      <c r="X64" s="10">
        <v>71.989999999999995</v>
      </c>
      <c r="Y64" s="10">
        <v>73</v>
      </c>
      <c r="Z64" s="10">
        <v>70.31</v>
      </c>
      <c r="AA64" s="10">
        <v>70.930000000000007</v>
      </c>
      <c r="AB64" s="93">
        <v>3577600</v>
      </c>
      <c r="AC64" s="10">
        <v>70.930000000000007</v>
      </c>
      <c r="AD64" s="2">
        <f t="shared" si="0"/>
        <v>2.6899999999999977</v>
      </c>
      <c r="AE64" s="134">
        <f t="shared" si="1"/>
        <v>-2.8622295261572006E-2</v>
      </c>
    </row>
    <row r="65" spans="1:31" x14ac:dyDescent="0.25">
      <c r="W65" s="130">
        <v>42739</v>
      </c>
      <c r="X65" s="10">
        <v>72.45</v>
      </c>
      <c r="Y65" s="10">
        <v>73.790000000000006</v>
      </c>
      <c r="Z65" s="10">
        <v>72.45</v>
      </c>
      <c r="AA65" s="10">
        <v>73.02</v>
      </c>
      <c r="AB65" s="93">
        <v>2196800</v>
      </c>
      <c r="AC65" s="10">
        <v>73.02</v>
      </c>
      <c r="AD65" s="2">
        <f t="shared" si="0"/>
        <v>1.3400000000000034</v>
      </c>
      <c r="AE65" s="134">
        <f t="shared" si="1"/>
        <v>4.2635125842387378E-3</v>
      </c>
    </row>
    <row r="66" spans="1:31" x14ac:dyDescent="0.25">
      <c r="W66" s="130">
        <v>42738</v>
      </c>
      <c r="X66" s="10">
        <v>74.02</v>
      </c>
      <c r="Y66" s="10">
        <v>74.02</v>
      </c>
      <c r="Z66" s="10">
        <v>72.150000000000006</v>
      </c>
      <c r="AA66" s="10">
        <v>72.709999999999994</v>
      </c>
      <c r="AB66" s="93">
        <v>2516000</v>
      </c>
      <c r="AC66" s="10">
        <v>72.709999999999994</v>
      </c>
      <c r="AD66" s="2">
        <f t="shared" si="0"/>
        <v>1.8699999999999903</v>
      </c>
      <c r="AE66" s="134">
        <f t="shared" si="1"/>
        <v>-2.3326015367728381E-3</v>
      </c>
    </row>
    <row r="67" spans="1:31" x14ac:dyDescent="0.25">
      <c r="W67" s="130">
        <v>42734</v>
      </c>
      <c r="X67" s="10">
        <v>73.430000000000007</v>
      </c>
      <c r="Y67" s="10">
        <v>73.430000000000007</v>
      </c>
      <c r="Z67" s="10">
        <v>72.37</v>
      </c>
      <c r="AA67" s="10">
        <v>72.88</v>
      </c>
      <c r="AB67" s="93">
        <v>1704600</v>
      </c>
      <c r="AC67" s="10">
        <v>72.88</v>
      </c>
      <c r="AD67" s="2">
        <f>Y67-Z67</f>
        <v>1.0600000000000023</v>
      </c>
      <c r="AE67" s="134" t="e">
        <f>AC67/#REF!-1</f>
        <v>#REF!</v>
      </c>
    </row>
    <row r="68" spans="1:31" x14ac:dyDescent="0.25">
      <c r="W68" s="130" t="s">
        <v>120</v>
      </c>
      <c r="X68" s="10"/>
      <c r="Y68" s="10"/>
      <c r="Z68" s="10"/>
      <c r="AA68" s="10"/>
      <c r="AB68" s="93"/>
      <c r="AC68" s="10"/>
      <c r="AD68" s="2" t="e">
        <f>#REF!-#REF!</f>
        <v>#REF!</v>
      </c>
      <c r="AE68" s="134" t="e">
        <f>#REF!/AC69-1</f>
        <v>#REF!</v>
      </c>
    </row>
    <row r="69" spans="1:31" x14ac:dyDescent="0.25">
      <c r="W69" s="130"/>
      <c r="X69" s="10"/>
      <c r="Y69" s="10"/>
      <c r="Z69" s="10"/>
      <c r="AA69" s="10"/>
      <c r="AB69" s="93"/>
      <c r="AC69" s="10"/>
      <c r="AD69" s="2">
        <f>Y69-Z69</f>
        <v>0</v>
      </c>
      <c r="AE69" s="134" t="e">
        <f>AC69/AC70-1</f>
        <v>#DIV/0!</v>
      </c>
    </row>
    <row r="75" spans="1:31" x14ac:dyDescent="0.25">
      <c r="L75" t="s">
        <v>65</v>
      </c>
      <c r="M75" s="2">
        <f>K93+M93-F93</f>
        <v>1461.5600000000013</v>
      </c>
    </row>
    <row r="76" spans="1:31" x14ac:dyDescent="0.25">
      <c r="A76" s="304" t="s">
        <v>1</v>
      </c>
      <c r="B76" s="304" t="s">
        <v>2</v>
      </c>
      <c r="C76" s="304" t="s">
        <v>4</v>
      </c>
      <c r="D76" s="306" t="s">
        <v>5</v>
      </c>
      <c r="E76" s="306" t="s">
        <v>94</v>
      </c>
      <c r="F76" s="306" t="s">
        <v>60</v>
      </c>
      <c r="G76" s="304" t="s">
        <v>3</v>
      </c>
      <c r="H76" s="304" t="s">
        <v>6</v>
      </c>
      <c r="I76" s="306" t="s">
        <v>7</v>
      </c>
      <c r="J76" s="306" t="s">
        <v>95</v>
      </c>
      <c r="K76" s="306" t="s">
        <v>61</v>
      </c>
      <c r="L76" s="304" t="s">
        <v>37</v>
      </c>
      <c r="M76" s="304" t="s">
        <v>38</v>
      </c>
    </row>
    <row r="77" spans="1:31" x14ac:dyDescent="0.25">
      <c r="A77" s="307" t="s">
        <v>13</v>
      </c>
      <c r="B77" s="297">
        <v>42485</v>
      </c>
      <c r="C77" s="298">
        <v>80</v>
      </c>
      <c r="D77" s="299">
        <v>49.5</v>
      </c>
      <c r="E77" s="299">
        <v>0</v>
      </c>
      <c r="F77" s="299">
        <f t="shared" ref="F77:F85" si="9">D77*C77+E77</f>
        <v>3960</v>
      </c>
      <c r="G77" s="298"/>
      <c r="H77" s="298"/>
      <c r="I77" s="299"/>
      <c r="J77" s="299"/>
      <c r="K77" s="299"/>
      <c r="L77" s="297"/>
      <c r="M77" s="298"/>
    </row>
    <row r="78" spans="1:31" x14ac:dyDescent="0.25">
      <c r="A78" s="308" t="s">
        <v>71</v>
      </c>
      <c r="B78" s="297">
        <v>42489</v>
      </c>
      <c r="C78" s="298">
        <v>20</v>
      </c>
      <c r="D78" s="299">
        <v>46.95</v>
      </c>
      <c r="E78" s="299">
        <v>0</v>
      </c>
      <c r="F78" s="299">
        <f t="shared" si="9"/>
        <v>939</v>
      </c>
      <c r="G78" s="298"/>
      <c r="H78" s="299"/>
      <c r="I78" s="299"/>
      <c r="J78" s="299"/>
      <c r="K78" s="299"/>
      <c r="L78" s="298"/>
      <c r="M78" s="298"/>
    </row>
    <row r="79" spans="1:31" x14ac:dyDescent="0.25">
      <c r="A79" s="298"/>
      <c r="B79" s="297">
        <v>42489</v>
      </c>
      <c r="C79" s="298">
        <v>50</v>
      </c>
      <c r="D79" s="299">
        <v>45.91</v>
      </c>
      <c r="E79" s="299">
        <v>0</v>
      </c>
      <c r="F79" s="299">
        <f t="shared" si="9"/>
        <v>2295.5</v>
      </c>
      <c r="G79" s="298"/>
      <c r="H79" s="298"/>
      <c r="I79" s="299"/>
      <c r="J79" s="299"/>
      <c r="K79" s="299"/>
      <c r="L79" s="298"/>
      <c r="M79" s="298"/>
    </row>
    <row r="80" spans="1:31" x14ac:dyDescent="0.25">
      <c r="A80" s="298"/>
      <c r="B80" s="297">
        <v>42495</v>
      </c>
      <c r="C80" s="298">
        <v>25</v>
      </c>
      <c r="D80" s="299">
        <v>45</v>
      </c>
      <c r="E80" s="299">
        <v>0</v>
      </c>
      <c r="F80" s="299">
        <f t="shared" si="9"/>
        <v>1125</v>
      </c>
      <c r="G80" s="297">
        <v>42557</v>
      </c>
      <c r="H80" s="298">
        <v>150</v>
      </c>
      <c r="I80" s="299">
        <v>39.28</v>
      </c>
      <c r="J80" s="299">
        <v>0.13</v>
      </c>
      <c r="K80" s="299">
        <f t="shared" ref="K80:K85" si="10">I80*H80-J80</f>
        <v>5891.87</v>
      </c>
      <c r="L80" s="298"/>
      <c r="M80" s="298"/>
    </row>
    <row r="81" spans="1:13" x14ac:dyDescent="0.25">
      <c r="A81" s="298"/>
      <c r="B81" s="297">
        <v>42502</v>
      </c>
      <c r="C81" s="298">
        <v>25</v>
      </c>
      <c r="D81" s="299">
        <v>44.09</v>
      </c>
      <c r="E81" s="299">
        <v>0</v>
      </c>
      <c r="F81" s="299">
        <f t="shared" si="9"/>
        <v>1102.25</v>
      </c>
      <c r="G81" s="297">
        <v>42562</v>
      </c>
      <c r="H81" s="298">
        <v>50</v>
      </c>
      <c r="I81" s="299">
        <v>42.68</v>
      </c>
      <c r="J81" s="299">
        <v>0.05</v>
      </c>
      <c r="K81" s="299">
        <f t="shared" si="10"/>
        <v>2133.9499999999998</v>
      </c>
      <c r="L81" s="298"/>
      <c r="M81" s="298"/>
    </row>
    <row r="82" spans="1:13" x14ac:dyDescent="0.25">
      <c r="A82" s="298"/>
      <c r="B82" s="297">
        <v>42535</v>
      </c>
      <c r="C82" s="298">
        <v>40</v>
      </c>
      <c r="D82" s="299">
        <v>43.19</v>
      </c>
      <c r="E82" s="299">
        <v>0</v>
      </c>
      <c r="F82" s="299">
        <f t="shared" si="9"/>
        <v>1727.6</v>
      </c>
      <c r="G82" s="297">
        <v>42566</v>
      </c>
      <c r="H82" s="298">
        <v>40</v>
      </c>
      <c r="I82" s="299">
        <v>47.51</v>
      </c>
      <c r="J82" s="299">
        <v>0.04</v>
      </c>
      <c r="K82" s="299">
        <f t="shared" si="10"/>
        <v>1900.36</v>
      </c>
      <c r="L82" s="298"/>
      <c r="M82" s="298"/>
    </row>
    <row r="83" spans="1:13" x14ac:dyDescent="0.25">
      <c r="A83" s="298"/>
      <c r="B83" s="297">
        <v>42545</v>
      </c>
      <c r="C83" s="298">
        <v>100</v>
      </c>
      <c r="D83" s="299">
        <v>42.28</v>
      </c>
      <c r="E83" s="299">
        <v>0</v>
      </c>
      <c r="F83" s="299">
        <f t="shared" si="9"/>
        <v>4228</v>
      </c>
      <c r="G83" s="297">
        <v>42587</v>
      </c>
      <c r="H83" s="298">
        <v>210</v>
      </c>
      <c r="I83" s="299">
        <v>47.58</v>
      </c>
      <c r="J83" s="299">
        <v>0.22</v>
      </c>
      <c r="K83" s="299">
        <f t="shared" si="10"/>
        <v>9991.58</v>
      </c>
      <c r="L83" s="298"/>
      <c r="M83" s="298"/>
    </row>
    <row r="84" spans="1:13" x14ac:dyDescent="0.25">
      <c r="A84" s="298"/>
      <c r="B84" s="297">
        <v>42545</v>
      </c>
      <c r="C84" s="298">
        <v>110</v>
      </c>
      <c r="D84" s="299">
        <v>41.12</v>
      </c>
      <c r="E84" s="299">
        <v>0</v>
      </c>
      <c r="F84" s="299">
        <f t="shared" si="9"/>
        <v>4523.2</v>
      </c>
      <c r="G84" s="297">
        <v>42593</v>
      </c>
      <c r="H84" s="298">
        <v>50</v>
      </c>
      <c r="I84" s="299">
        <v>47.35</v>
      </c>
      <c r="J84" s="299">
        <v>0.05</v>
      </c>
      <c r="K84" s="299">
        <f t="shared" si="10"/>
        <v>2367.4499999999998</v>
      </c>
      <c r="L84" s="298"/>
      <c r="M84" s="298"/>
    </row>
    <row r="85" spans="1:13" x14ac:dyDescent="0.25">
      <c r="A85" s="298"/>
      <c r="B85" s="297">
        <v>42557</v>
      </c>
      <c r="C85" s="298">
        <v>150</v>
      </c>
      <c r="D85" s="299">
        <v>38.08</v>
      </c>
      <c r="E85" s="299">
        <v>0</v>
      </c>
      <c r="F85" s="299">
        <f t="shared" si="9"/>
        <v>5712</v>
      </c>
      <c r="G85" s="297">
        <v>42597</v>
      </c>
      <c r="H85" s="298">
        <v>100</v>
      </c>
      <c r="I85" s="299">
        <v>47.89</v>
      </c>
      <c r="J85" s="299">
        <v>0.1</v>
      </c>
      <c r="K85" s="299">
        <f t="shared" si="10"/>
        <v>4788.8999999999996</v>
      </c>
      <c r="L85" s="298"/>
      <c r="M85" s="298"/>
    </row>
    <row r="86" spans="1:13" x14ac:dyDescent="0.25">
      <c r="A86" s="298"/>
      <c r="B86" s="297"/>
      <c r="C86" s="298"/>
      <c r="D86" s="299"/>
      <c r="E86" s="299"/>
      <c r="F86" s="299"/>
      <c r="G86" s="298"/>
      <c r="H86" s="298"/>
      <c r="I86" s="299"/>
      <c r="J86" s="299"/>
      <c r="K86" s="299"/>
      <c r="L86" s="298"/>
      <c r="M86" s="298"/>
    </row>
    <row r="87" spans="1:13" x14ac:dyDescent="0.25">
      <c r="A87" s="298"/>
      <c r="B87" s="298"/>
      <c r="C87" s="298"/>
      <c r="D87" s="299"/>
      <c r="E87" s="299"/>
      <c r="F87" s="299"/>
      <c r="G87" s="298"/>
      <c r="H87" s="298"/>
      <c r="I87" s="299"/>
      <c r="J87" s="299"/>
      <c r="K87" s="299"/>
      <c r="L87" s="298"/>
      <c r="M87" s="298"/>
    </row>
    <row r="88" spans="1:13" x14ac:dyDescent="0.25">
      <c r="A88" s="298"/>
      <c r="B88" s="298"/>
      <c r="C88" s="298"/>
      <c r="D88" s="299"/>
      <c r="E88" s="299"/>
      <c r="F88" s="299"/>
      <c r="G88" s="298"/>
      <c r="H88" s="298"/>
      <c r="I88" s="299"/>
      <c r="J88" s="299"/>
      <c r="K88" s="299"/>
      <c r="L88" s="298"/>
      <c r="M88" s="298"/>
    </row>
    <row r="89" spans="1:13" x14ac:dyDescent="0.25">
      <c r="A89" s="298"/>
      <c r="B89" s="298"/>
      <c r="C89" s="298"/>
      <c r="D89" s="299"/>
      <c r="E89" s="299"/>
      <c r="F89" s="299"/>
      <c r="G89" s="298"/>
      <c r="H89" s="298"/>
      <c r="I89" s="299"/>
      <c r="J89" s="299"/>
      <c r="K89" s="299"/>
      <c r="L89" s="298"/>
      <c r="M89" s="298"/>
    </row>
    <row r="90" spans="1:13" x14ac:dyDescent="0.25">
      <c r="A90" s="298"/>
      <c r="B90" s="298"/>
      <c r="C90" s="298"/>
      <c r="D90" s="299"/>
      <c r="E90" s="299"/>
      <c r="F90" s="299"/>
      <c r="G90" s="298"/>
      <c r="H90" s="298"/>
      <c r="I90" s="299"/>
      <c r="J90" s="299"/>
      <c r="K90" s="299"/>
      <c r="L90" s="298"/>
      <c r="M90" s="298"/>
    </row>
    <row r="91" spans="1:13" x14ac:dyDescent="0.25">
      <c r="A91" s="298"/>
      <c r="B91" s="298"/>
      <c r="C91" s="298"/>
      <c r="D91" s="299"/>
      <c r="E91" s="299"/>
      <c r="F91" s="299"/>
      <c r="G91" s="298"/>
      <c r="H91" s="298"/>
      <c r="I91" s="299"/>
      <c r="J91" s="299"/>
      <c r="K91" s="299"/>
      <c r="L91" s="298"/>
      <c r="M91" s="298"/>
    </row>
    <row r="92" spans="1:13" x14ac:dyDescent="0.25">
      <c r="A92" s="298"/>
      <c r="B92" s="298"/>
      <c r="C92" s="298"/>
      <c r="D92" s="299"/>
      <c r="E92" s="299"/>
      <c r="F92" s="299"/>
      <c r="G92" s="298"/>
      <c r="H92" s="298"/>
      <c r="I92" s="299"/>
      <c r="J92" s="299"/>
      <c r="K92" s="299"/>
      <c r="L92" s="298"/>
      <c r="M92" s="298"/>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8" t="s">
        <v>191</v>
      </c>
      <c r="B94" s="379"/>
      <c r="C94" s="380">
        <f>SumByColor($A$19,C77:C92)</f>
        <v>0</v>
      </c>
      <c r="D94" s="380"/>
      <c r="E94" s="380"/>
      <c r="F94" s="381">
        <f>SumByColor($A$19,F77:F92)</f>
        <v>0</v>
      </c>
      <c r="G94" s="380"/>
      <c r="H94" s="380">
        <f>SumByColor($A$19,H78:H92)</f>
        <v>0</v>
      </c>
      <c r="I94" s="380"/>
      <c r="J94" s="380"/>
      <c r="K94" s="381">
        <f>SumByColor($A$19,K78:K92)</f>
        <v>0</v>
      </c>
      <c r="L94" s="380"/>
      <c r="M94" s="381">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411" priority="15">
      <formula>F29&gt;0</formula>
    </cfRule>
    <cfRule type="expression" dxfId="410" priority="16">
      <formula>F29&lt;0</formula>
    </cfRule>
  </conditionalFormatting>
  <conditionalFormatting sqref="F34:F62">
    <cfRule type="expression" dxfId="409" priority="11">
      <formula>F34&gt;0</formula>
    </cfRule>
    <cfRule type="expression" dxfId="408" priority="12">
      <formula>F34&lt;0</formula>
    </cfRule>
  </conditionalFormatting>
  <conditionalFormatting sqref="F34:F62">
    <cfRule type="expression" dxfId="407" priority="13">
      <formula>F34&gt;0</formula>
    </cfRule>
    <cfRule type="expression" dxfId="406" priority="14">
      <formula>F34&lt;0</formula>
    </cfRule>
  </conditionalFormatting>
  <conditionalFormatting sqref="H29:H62">
    <cfRule type="expression" dxfId="405" priority="9">
      <formula>H29&gt;0</formula>
    </cfRule>
    <cfRule type="expression" dxfId="404" priority="10">
      <formula>H29&lt;0</formula>
    </cfRule>
  </conditionalFormatting>
  <conditionalFormatting sqref="F25:F28">
    <cfRule type="expression" dxfId="403" priority="7">
      <formula>F25&gt;0</formula>
    </cfRule>
    <cfRule type="expression" dxfId="402" priority="8">
      <formula>F25&lt;0</formula>
    </cfRule>
  </conditionalFormatting>
  <conditionalFormatting sqref="H25:H28">
    <cfRule type="expression" dxfId="401" priority="5">
      <formula>H25&gt;0</formula>
    </cfRule>
    <cfRule type="expression" dxfId="400" priority="6">
      <formula>H25&lt;0</formula>
    </cfRule>
  </conditionalFormatting>
  <conditionalFormatting sqref="Q7">
    <cfRule type="expression" dxfId="399" priority="3">
      <formula>Q7&gt;0</formula>
    </cfRule>
    <cfRule type="expression" dxfId="398" priority="4">
      <formula>Q7&lt;0</formula>
    </cfRule>
  </conditionalFormatting>
  <conditionalFormatting sqref="Q8">
    <cfRule type="expression" dxfId="397" priority="1">
      <formula>Q8&gt;0</formula>
    </cfRule>
    <cfRule type="expression" dxfId="396"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55"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82" t="s">
        <v>70</v>
      </c>
    </row>
    <row r="2" spans="1:21" x14ac:dyDescent="0.25">
      <c r="A2" s="6" t="s">
        <v>52</v>
      </c>
      <c r="B2" s="368">
        <v>43298</v>
      </c>
      <c r="C2" s="7">
        <v>100</v>
      </c>
      <c r="D2" s="43">
        <v>50.1</v>
      </c>
      <c r="E2" s="43">
        <v>0</v>
      </c>
      <c r="F2" s="43">
        <f t="shared" ref="F2:F7" si="0">C2*D2+E2</f>
        <v>5010</v>
      </c>
      <c r="G2" s="368">
        <v>43311</v>
      </c>
      <c r="H2" s="7">
        <v>100</v>
      </c>
      <c r="I2" s="43">
        <v>50.09</v>
      </c>
      <c r="J2" s="43">
        <v>7.0000000000000007E-2</v>
      </c>
      <c r="K2" s="43">
        <f>H2*I2-J2</f>
        <v>5008.93</v>
      </c>
      <c r="L2" s="72">
        <v>43388</v>
      </c>
      <c r="M2" s="43">
        <v>71.45</v>
      </c>
      <c r="O2" s="11" t="s">
        <v>57</v>
      </c>
      <c r="Q2">
        <f>C18-H18</f>
        <v>0</v>
      </c>
      <c r="T2" s="83" t="s">
        <v>1112</v>
      </c>
      <c r="U2" s="755" t="s">
        <v>1227</v>
      </c>
    </row>
    <row r="3" spans="1:21" x14ac:dyDescent="0.25">
      <c r="A3" s="22" t="s">
        <v>71</v>
      </c>
      <c r="B3" s="368">
        <v>43298</v>
      </c>
      <c r="C3" s="7">
        <v>100</v>
      </c>
      <c r="D3" s="43">
        <v>50.1</v>
      </c>
      <c r="E3" s="43">
        <v>0</v>
      </c>
      <c r="F3" s="43">
        <f t="shared" si="0"/>
        <v>5010</v>
      </c>
      <c r="G3" s="368">
        <v>43326</v>
      </c>
      <c r="H3" s="80">
        <v>100</v>
      </c>
      <c r="I3" s="43">
        <v>50.05</v>
      </c>
      <c r="J3" s="43">
        <v>7.0000000000000007E-2</v>
      </c>
      <c r="K3" s="43">
        <f>H3*I3-J3</f>
        <v>5004.93</v>
      </c>
      <c r="L3" s="72">
        <v>43481</v>
      </c>
      <c r="M3" s="43">
        <v>47.63</v>
      </c>
      <c r="O3" s="11" t="s">
        <v>58</v>
      </c>
      <c r="Q3" s="178">
        <f>IF(Q2=0, Q4, (F18-K18-M18)/Q2)</f>
        <v>56.79</v>
      </c>
      <c r="T3" s="83" t="s">
        <v>1226</v>
      </c>
      <c r="U3" s="755">
        <v>16.27</v>
      </c>
    </row>
    <row r="4" spans="1:21" x14ac:dyDescent="0.25">
      <c r="B4" s="368">
        <v>43300</v>
      </c>
      <c r="C4" s="7">
        <v>50</v>
      </c>
      <c r="D4" s="43">
        <v>48.28</v>
      </c>
      <c r="E4" s="43">
        <v>0</v>
      </c>
      <c r="F4" s="43">
        <f t="shared" si="0"/>
        <v>2414</v>
      </c>
      <c r="G4" s="368">
        <v>43339</v>
      </c>
      <c r="H4" s="80">
        <v>50</v>
      </c>
      <c r="I4" s="43">
        <v>52.78</v>
      </c>
      <c r="J4" s="43">
        <v>0.03</v>
      </c>
      <c r="K4" s="43">
        <f>H4*I4-J4</f>
        <v>2638.97</v>
      </c>
      <c r="L4" s="4"/>
      <c r="M4" s="4"/>
      <c r="O4" s="11" t="s">
        <v>66</v>
      </c>
      <c r="Q4" s="54">
        <v>56.79</v>
      </c>
      <c r="R4" s="422">
        <v>2.3599999999999999E-2</v>
      </c>
      <c r="T4" s="118"/>
      <c r="U4" s="83"/>
    </row>
    <row r="5" spans="1:21" x14ac:dyDescent="0.25">
      <c r="B5" s="368">
        <v>43320</v>
      </c>
      <c r="C5" s="7">
        <v>100</v>
      </c>
      <c r="D5" s="43">
        <v>48.9</v>
      </c>
      <c r="E5" s="43">
        <v>0</v>
      </c>
      <c r="F5" s="43">
        <f t="shared" si="0"/>
        <v>4890</v>
      </c>
      <c r="G5" s="368">
        <v>43418</v>
      </c>
      <c r="H5" s="80">
        <v>150</v>
      </c>
      <c r="I5" s="43">
        <v>58.15</v>
      </c>
      <c r="J5" s="43">
        <v>0.11</v>
      </c>
      <c r="K5" s="43">
        <f>H5*I5-J5</f>
        <v>8722.39</v>
      </c>
      <c r="L5" s="4"/>
      <c r="M5" s="4"/>
      <c r="O5" s="11" t="s">
        <v>67</v>
      </c>
      <c r="Q5" s="3">
        <f>Q4*Q2</f>
        <v>0</v>
      </c>
      <c r="T5" s="83">
        <v>43307</v>
      </c>
      <c r="U5" s="755" t="s">
        <v>1185</v>
      </c>
    </row>
    <row r="6" spans="1:21" x14ac:dyDescent="0.25">
      <c r="B6" s="368">
        <v>43347</v>
      </c>
      <c r="C6" s="7">
        <v>50</v>
      </c>
      <c r="D6" s="43">
        <v>51.28</v>
      </c>
      <c r="E6" s="43">
        <v>0</v>
      </c>
      <c r="F6" s="43">
        <f t="shared" si="0"/>
        <v>2564</v>
      </c>
      <c r="G6" s="368">
        <v>43515</v>
      </c>
      <c r="H6" s="80">
        <v>100</v>
      </c>
      <c r="I6" s="43">
        <v>56.18</v>
      </c>
      <c r="J6" s="43">
        <v>7.0000000000000007E-2</v>
      </c>
      <c r="K6" s="43">
        <f>H6*I6-J6</f>
        <v>5617.93</v>
      </c>
      <c r="L6" s="4"/>
      <c r="M6" s="4"/>
      <c r="O6" s="11" t="s">
        <v>64</v>
      </c>
      <c r="Q6" s="2">
        <f>Q3*Q2</f>
        <v>0</v>
      </c>
      <c r="U6" s="755"/>
    </row>
    <row r="7" spans="1:21" x14ac:dyDescent="0.25">
      <c r="B7" s="368">
        <v>43424</v>
      </c>
      <c r="C7" s="7">
        <v>100</v>
      </c>
      <c r="D7" s="43">
        <v>54</v>
      </c>
      <c r="E7" s="43">
        <v>0</v>
      </c>
      <c r="F7" s="43">
        <f t="shared" si="0"/>
        <v>5400</v>
      </c>
      <c r="G7" s="4"/>
      <c r="H7" s="161"/>
      <c r="I7" s="3"/>
      <c r="J7" s="3"/>
      <c r="K7" s="3"/>
      <c r="L7" s="4"/>
      <c r="M7" s="4"/>
      <c r="O7" s="11" t="s">
        <v>177</v>
      </c>
      <c r="Q7" s="2">
        <f>Q10+Q8</f>
        <v>2880.9700000000012</v>
      </c>
      <c r="R7">
        <v>0</v>
      </c>
      <c r="U7" s="755"/>
    </row>
    <row r="8" spans="1:21" x14ac:dyDescent="0.25">
      <c r="B8" s="72"/>
      <c r="C8" s="4"/>
      <c r="D8" s="3"/>
      <c r="E8" s="3"/>
      <c r="F8" s="3"/>
      <c r="G8" s="4"/>
      <c r="H8" s="161"/>
      <c r="I8" s="3"/>
      <c r="J8" s="3"/>
      <c r="K8" s="3"/>
      <c r="L8" s="4"/>
      <c r="M8" s="4"/>
      <c r="O8" s="11" t="s">
        <v>179</v>
      </c>
      <c r="P8" s="33"/>
      <c r="Q8" s="2">
        <f>K18+M18-F18+Q2*Q4</f>
        <v>1824.2300000000032</v>
      </c>
      <c r="T8" s="83">
        <v>43314</v>
      </c>
      <c r="U8" s="755" t="s">
        <v>1186</v>
      </c>
    </row>
    <row r="9" spans="1:21" x14ac:dyDescent="0.25">
      <c r="G9" s="4"/>
      <c r="H9" s="161"/>
      <c r="I9" s="3"/>
      <c r="J9" s="3"/>
      <c r="K9" s="3"/>
      <c r="L9" s="4"/>
      <c r="M9" s="4"/>
      <c r="O9" s="11" t="s">
        <v>204</v>
      </c>
      <c r="Q9" s="134">
        <f>IF(Q2=0, 0, Q8/Q6)</f>
        <v>0</v>
      </c>
      <c r="U9" s="755"/>
    </row>
    <row r="10" spans="1:21" x14ac:dyDescent="0.25">
      <c r="H10" s="70"/>
      <c r="O10" s="11" t="s">
        <v>203</v>
      </c>
      <c r="P10" s="33"/>
      <c r="Q10" s="2">
        <f>M67</f>
        <v>1056.739999999998</v>
      </c>
      <c r="U10" s="755"/>
    </row>
    <row r="11" spans="1:21" x14ac:dyDescent="0.25">
      <c r="H11" s="70"/>
      <c r="O11" s="11" t="s">
        <v>175</v>
      </c>
      <c r="P11" s="33"/>
      <c r="Q11" s="134">
        <f>R11/Q4*4</f>
        <v>3.3527029406585668E-2</v>
      </c>
      <c r="R11">
        <v>0.47599999999999998</v>
      </c>
      <c r="T11" s="83">
        <v>43318</v>
      </c>
      <c r="U11" s="755" t="s">
        <v>1187</v>
      </c>
    </row>
    <row r="12" spans="1:21" x14ac:dyDescent="0.25">
      <c r="H12" s="70"/>
      <c r="O12" s="11" t="s">
        <v>921</v>
      </c>
      <c r="Q12" s="1" t="s">
        <v>1375</v>
      </c>
      <c r="U12" s="755" t="s">
        <v>1205</v>
      </c>
    </row>
    <row r="13" spans="1:21" x14ac:dyDescent="0.25">
      <c r="H13" s="70"/>
      <c r="O13" s="11" t="s">
        <v>947</v>
      </c>
      <c r="Q13" s="2">
        <f>Q4/(4.85+4.95)*2</f>
        <v>11.589795918367345</v>
      </c>
      <c r="U13" s="755" t="s">
        <v>1206</v>
      </c>
    </row>
    <row r="14" spans="1:21" x14ac:dyDescent="0.25">
      <c r="H14" s="70"/>
      <c r="O14" s="11" t="s">
        <v>1034</v>
      </c>
      <c r="Q14" s="1">
        <v>43323</v>
      </c>
      <c r="U14" s="755"/>
    </row>
    <row r="15" spans="1:21" x14ac:dyDescent="0.25">
      <c r="H15" s="70"/>
      <c r="U15" s="755"/>
    </row>
    <row r="16" spans="1:21" x14ac:dyDescent="0.25">
      <c r="H16" s="70"/>
      <c r="U16" s="755"/>
    </row>
    <row r="17" spans="1:21" x14ac:dyDescent="0.25">
      <c r="H17" s="70"/>
      <c r="U17" s="755"/>
    </row>
    <row r="18" spans="1:21" x14ac:dyDescent="0.25">
      <c r="A18" s="31" t="s">
        <v>81</v>
      </c>
      <c r="B18" s="14"/>
      <c r="C18" s="14">
        <f>SUM(C2:C8)</f>
        <v>500</v>
      </c>
      <c r="D18" s="18"/>
      <c r="E18" s="18"/>
      <c r="F18" s="18">
        <f>SUM(F2:F8)</f>
        <v>25288</v>
      </c>
      <c r="G18" s="14"/>
      <c r="H18" s="71">
        <f>SUM(H2:H17)</f>
        <v>500</v>
      </c>
      <c r="I18" s="18"/>
      <c r="J18" s="18"/>
      <c r="K18" s="18">
        <f>SUM(K2:K17)</f>
        <v>26993.15</v>
      </c>
      <c r="L18" s="14"/>
      <c r="M18" s="18">
        <f>SUM(M2:M10)</f>
        <v>119.08000000000001</v>
      </c>
    </row>
    <row r="19" spans="1:21" ht="15.75" thickBot="1" x14ac:dyDescent="0.3">
      <c r="A19" s="277" t="s">
        <v>191</v>
      </c>
      <c r="B19" s="278"/>
      <c r="C19" s="279">
        <f>SumByColor($A$19,C2:C17)</f>
        <v>500</v>
      </c>
      <c r="D19" s="279"/>
      <c r="E19" s="279"/>
      <c r="F19" s="280">
        <f>SumByColor($A$19,F2:F17)</f>
        <v>25288</v>
      </c>
      <c r="G19" s="279"/>
      <c r="H19" s="279">
        <f>SumByColor($A$19,H2:H17)</f>
        <v>500</v>
      </c>
      <c r="I19" s="279"/>
      <c r="J19" s="279"/>
      <c r="K19" s="280">
        <f>SumByColor($A$19,K2:K17)</f>
        <v>26993</v>
      </c>
      <c r="L19" s="279"/>
      <c r="M19" s="280">
        <f>SumByColor($A$19,M2:M17)</f>
        <v>119</v>
      </c>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t="s">
        <v>487</v>
      </c>
    </row>
    <row r="25" spans="1:21" x14ac:dyDescent="0.25">
      <c r="A25" s="4"/>
      <c r="B25" s="164">
        <v>43298</v>
      </c>
      <c r="C25" s="10">
        <v>200</v>
      </c>
      <c r="D25" s="39">
        <v>50.1</v>
      </c>
      <c r="E25" s="39">
        <v>50.1</v>
      </c>
      <c r="F25" s="39">
        <f t="shared" ref="F25:F31" si="1">C25*(E25-D25)</f>
        <v>0</v>
      </c>
      <c r="G25" s="39">
        <f t="shared" ref="G25:G31" si="2">D25*C25</f>
        <v>10020</v>
      </c>
      <c r="H25" s="179">
        <f t="shared" ref="H25:H31" si="3">(E25-D25)/D25</f>
        <v>0</v>
      </c>
      <c r="I25" s="39"/>
      <c r="J25" s="39">
        <f t="shared" ref="J25:J34" si="4">F25+$Q$10</f>
        <v>1056.739999999998</v>
      </c>
      <c r="K25" s="39"/>
      <c r="L25" s="39"/>
    </row>
    <row r="26" spans="1:21" ht="20.25" thickBot="1" x14ac:dyDescent="0.35">
      <c r="A26" s="4"/>
      <c r="B26" s="164">
        <v>43300</v>
      </c>
      <c r="C26" s="10">
        <v>250</v>
      </c>
      <c r="D26" s="39">
        <v>49.735999999999997</v>
      </c>
      <c r="E26" s="39">
        <v>49</v>
      </c>
      <c r="F26" s="39">
        <f t="shared" si="1"/>
        <v>-183.99999999999926</v>
      </c>
      <c r="G26" s="39">
        <f t="shared" si="2"/>
        <v>12434</v>
      </c>
      <c r="H26" s="179">
        <f t="shared" si="3"/>
        <v>-1.4798134148302982E-2</v>
      </c>
      <c r="I26" s="39"/>
      <c r="J26" s="39">
        <f t="shared" si="4"/>
        <v>872.73999999999864</v>
      </c>
      <c r="K26" s="39">
        <v>10</v>
      </c>
      <c r="L26" s="39"/>
      <c r="O26" s="768" t="s">
        <v>78</v>
      </c>
      <c r="P26" s="768"/>
    </row>
    <row r="27" spans="1:21" ht="15.75" thickTop="1" x14ac:dyDescent="0.25">
      <c r="A27" s="4"/>
      <c r="B27" s="164">
        <v>43303</v>
      </c>
      <c r="C27" s="7">
        <v>250</v>
      </c>
      <c r="D27" s="43">
        <v>49.735999999999997</v>
      </c>
      <c r="E27" s="39">
        <v>48.8</v>
      </c>
      <c r="F27" s="39">
        <f t="shared" si="1"/>
        <v>-234</v>
      </c>
      <c r="G27" s="39">
        <f t="shared" si="2"/>
        <v>12434</v>
      </c>
      <c r="H27" s="179">
        <f t="shared" si="3"/>
        <v>-1.881936625382017E-2</v>
      </c>
      <c r="I27" s="39"/>
      <c r="J27" s="39">
        <f t="shared" si="4"/>
        <v>822.73999999999796</v>
      </c>
      <c r="K27" s="39">
        <v>9.9589999999999996</v>
      </c>
      <c r="L27" s="39"/>
      <c r="O27" s="81">
        <v>1.1000000000000001</v>
      </c>
      <c r="P27" s="81">
        <f>O27*$Q$4</f>
        <v>62.469000000000001</v>
      </c>
    </row>
    <row r="28" spans="1:21" x14ac:dyDescent="0.25">
      <c r="A28" s="4"/>
      <c r="B28" s="164">
        <v>43311</v>
      </c>
      <c r="C28" s="10">
        <v>150</v>
      </c>
      <c r="D28" s="39">
        <v>49.500500000000002</v>
      </c>
      <c r="E28" s="39">
        <v>50.16</v>
      </c>
      <c r="F28" s="39">
        <f t="shared" si="1"/>
        <v>98.92499999999913</v>
      </c>
      <c r="G28" s="39">
        <f t="shared" si="2"/>
        <v>7425.0750000000007</v>
      </c>
      <c r="H28" s="179">
        <f t="shared" si="3"/>
        <v>1.3323097746487291E-2</v>
      </c>
      <c r="I28" s="39"/>
      <c r="J28" s="39">
        <f t="shared" si="4"/>
        <v>1155.664999999997</v>
      </c>
      <c r="K28" s="39">
        <v>10.24</v>
      </c>
      <c r="L28" s="39"/>
      <c r="O28" s="81">
        <v>1.0900000000000001</v>
      </c>
      <c r="P28" s="81">
        <f t="shared" ref="P28:P47" si="5">O28*$Q$4</f>
        <v>61.901100000000007</v>
      </c>
    </row>
    <row r="29" spans="1:21" x14ac:dyDescent="0.25">
      <c r="A29" s="4"/>
      <c r="B29" s="164">
        <v>43320</v>
      </c>
      <c r="C29" s="7">
        <v>250</v>
      </c>
      <c r="D29" s="43">
        <v>49.260300000000001</v>
      </c>
      <c r="E29" s="39">
        <v>48.4</v>
      </c>
      <c r="F29" s="39">
        <f t="shared" si="1"/>
        <v>-215.07500000000056</v>
      </c>
      <c r="G29" s="39">
        <f t="shared" si="2"/>
        <v>12315.075000000001</v>
      </c>
      <c r="H29" s="179">
        <f t="shared" si="3"/>
        <v>-1.7464367858092668E-2</v>
      </c>
      <c r="I29" s="39">
        <v>48.5</v>
      </c>
      <c r="J29" s="39">
        <f t="shared" si="4"/>
        <v>841.66499999999746</v>
      </c>
      <c r="K29" s="39">
        <v>9.8699999999999992</v>
      </c>
      <c r="L29" s="39"/>
      <c r="O29" s="81">
        <v>1.08</v>
      </c>
      <c r="P29" s="81">
        <f t="shared" si="5"/>
        <v>61.333200000000005</v>
      </c>
    </row>
    <row r="30" spans="1:21" x14ac:dyDescent="0.25">
      <c r="A30" s="4"/>
      <c r="B30" s="164">
        <v>43325</v>
      </c>
      <c r="C30" s="10">
        <v>250</v>
      </c>
      <c r="D30" s="39">
        <v>49.260300000000001</v>
      </c>
      <c r="E30" s="39">
        <v>49.06</v>
      </c>
      <c r="F30" s="39">
        <f t="shared" si="1"/>
        <v>-50.074999999999648</v>
      </c>
      <c r="G30" s="39">
        <f t="shared" si="2"/>
        <v>12315.075000000001</v>
      </c>
      <c r="H30" s="179">
        <f t="shared" si="3"/>
        <v>-4.0661546925211296E-3</v>
      </c>
      <c r="I30" s="39"/>
      <c r="J30" s="39">
        <f t="shared" si="4"/>
        <v>1006.6649999999984</v>
      </c>
      <c r="K30" s="39">
        <v>10.01</v>
      </c>
      <c r="L30" s="39"/>
      <c r="O30" s="81">
        <v>1.07</v>
      </c>
      <c r="P30" s="81">
        <f t="shared" si="5"/>
        <v>60.765300000000003</v>
      </c>
    </row>
    <row r="31" spans="1:21" x14ac:dyDescent="0.25">
      <c r="A31" s="4"/>
      <c r="B31" s="164">
        <v>43326</v>
      </c>
      <c r="C31" s="10">
        <v>150</v>
      </c>
      <c r="D31" s="39">
        <v>48.734299999999998</v>
      </c>
      <c r="E31" s="39">
        <v>50.17</v>
      </c>
      <c r="F31" s="39">
        <f t="shared" si="1"/>
        <v>215.35500000000064</v>
      </c>
      <c r="G31" s="39">
        <f t="shared" si="2"/>
        <v>7310.1449999999995</v>
      </c>
      <c r="H31" s="179">
        <f t="shared" si="3"/>
        <v>2.9459743958567257E-2</v>
      </c>
      <c r="I31" s="39"/>
      <c r="J31" s="39">
        <f t="shared" si="4"/>
        <v>1272.0949999999987</v>
      </c>
      <c r="K31" s="39">
        <v>10.24</v>
      </c>
      <c r="L31" s="39"/>
      <c r="O31" s="81">
        <v>1.06</v>
      </c>
      <c r="P31" s="81">
        <f t="shared" si="5"/>
        <v>60.197400000000002</v>
      </c>
    </row>
    <row r="32" spans="1:21" x14ac:dyDescent="0.25">
      <c r="A32">
        <v>0</v>
      </c>
      <c r="B32" s="164">
        <v>43328</v>
      </c>
      <c r="C32" s="10">
        <v>150</v>
      </c>
      <c r="D32" s="39">
        <v>48.734299999999998</v>
      </c>
      <c r="E32" s="39">
        <v>50.45</v>
      </c>
      <c r="F32" s="39">
        <f t="shared" ref="F32:F43" si="6">C32*(E32-D32)</f>
        <v>257.35500000000081</v>
      </c>
      <c r="G32" s="39">
        <f t="shared" ref="G32:G43" si="7">D32*C32</f>
        <v>7310.1449999999995</v>
      </c>
      <c r="H32" s="179">
        <f t="shared" ref="H32:H43" si="8">(E32-D32)/D32</f>
        <v>3.5205184028497497E-2</v>
      </c>
      <c r="I32" s="39"/>
      <c r="J32" s="39">
        <f t="shared" si="4"/>
        <v>1314.0949999999989</v>
      </c>
      <c r="K32" s="39">
        <v>10.3</v>
      </c>
      <c r="L32" s="39"/>
      <c r="O32" s="81">
        <v>1.05</v>
      </c>
      <c r="P32" s="81">
        <f t="shared" si="5"/>
        <v>59.6295</v>
      </c>
    </row>
    <row r="33" spans="1:17" x14ac:dyDescent="0.25">
      <c r="A33">
        <v>0</v>
      </c>
      <c r="B33" s="164">
        <v>43329</v>
      </c>
      <c r="C33" s="185">
        <v>150</v>
      </c>
      <c r="D33" s="186">
        <v>48.734299999999998</v>
      </c>
      <c r="E33" s="39">
        <v>51.9</v>
      </c>
      <c r="F33" s="39">
        <f t="shared" si="6"/>
        <v>474.85500000000013</v>
      </c>
      <c r="G33" s="39">
        <f t="shared" si="7"/>
        <v>7310.1449999999995</v>
      </c>
      <c r="H33" s="179">
        <f t="shared" si="8"/>
        <v>6.4958355819207447E-2</v>
      </c>
      <c r="I33" s="39">
        <v>48</v>
      </c>
      <c r="J33" s="39">
        <f t="shared" si="4"/>
        <v>1531.594999999998</v>
      </c>
      <c r="K33" s="39">
        <v>10.59</v>
      </c>
      <c r="L33" s="39"/>
      <c r="O33" s="81">
        <v>1.04</v>
      </c>
      <c r="P33" s="81">
        <f t="shared" si="5"/>
        <v>59.061599999999999</v>
      </c>
    </row>
    <row r="34" spans="1:17" x14ac:dyDescent="0.25">
      <c r="B34" s="164">
        <v>43334</v>
      </c>
      <c r="C34" s="10">
        <v>150</v>
      </c>
      <c r="D34" s="39">
        <v>48.734299999999998</v>
      </c>
      <c r="E34" s="39">
        <v>51.26</v>
      </c>
      <c r="F34" s="39">
        <f t="shared" si="6"/>
        <v>378.85500000000008</v>
      </c>
      <c r="G34" s="39">
        <f t="shared" si="7"/>
        <v>7310.1449999999995</v>
      </c>
      <c r="H34" s="179">
        <f t="shared" si="8"/>
        <v>5.1825921373652654E-2</v>
      </c>
      <c r="I34" s="39"/>
      <c r="J34" s="39">
        <f t="shared" si="4"/>
        <v>1435.594999999998</v>
      </c>
      <c r="K34" s="39">
        <v>10.46</v>
      </c>
      <c r="L34" s="39"/>
      <c r="O34" s="81">
        <v>1.03</v>
      </c>
      <c r="P34" s="81">
        <f t="shared" si="5"/>
        <v>58.493700000000004</v>
      </c>
    </row>
    <row r="35" spans="1:17" x14ac:dyDescent="0.25">
      <c r="A35">
        <v>0</v>
      </c>
      <c r="B35" s="164">
        <v>43339</v>
      </c>
      <c r="C35" s="10">
        <v>100</v>
      </c>
      <c r="D35" s="39">
        <v>46.7117</v>
      </c>
      <c r="E35" s="39">
        <v>52.78</v>
      </c>
      <c r="F35" s="39">
        <f t="shared" si="6"/>
        <v>606.83000000000004</v>
      </c>
      <c r="G35" s="39">
        <f t="shared" si="7"/>
        <v>4671.17</v>
      </c>
      <c r="H35" s="179">
        <f t="shared" si="8"/>
        <v>0.1299096372001019</v>
      </c>
      <c r="I35" s="39"/>
      <c r="J35" s="778">
        <f>F35+$Q$10</f>
        <v>1663.5699999999979</v>
      </c>
      <c r="K35" s="39">
        <v>10.77</v>
      </c>
      <c r="L35" s="39"/>
      <c r="O35" s="81">
        <v>1.02</v>
      </c>
      <c r="P35" s="81">
        <f t="shared" si="5"/>
        <v>57.925800000000002</v>
      </c>
    </row>
    <row r="36" spans="1:17" x14ac:dyDescent="0.25">
      <c r="A36">
        <v>0</v>
      </c>
      <c r="B36" s="164">
        <v>43347</v>
      </c>
      <c r="C36" s="185">
        <v>150</v>
      </c>
      <c r="D36" s="186">
        <v>48.234499999999997</v>
      </c>
      <c r="E36" s="39">
        <v>51.23</v>
      </c>
      <c r="F36" s="39">
        <f t="shared" si="6"/>
        <v>449.32499999999999</v>
      </c>
      <c r="G36" s="39">
        <f t="shared" si="7"/>
        <v>7235.1749999999993</v>
      </c>
      <c r="H36" s="179">
        <f t="shared" si="8"/>
        <v>6.2102851693290072E-2</v>
      </c>
      <c r="I36" s="39"/>
      <c r="J36" s="39">
        <f>F36+$Q$10</f>
        <v>1506.064999999998</v>
      </c>
      <c r="K36" s="39">
        <v>10.46</v>
      </c>
      <c r="L36" s="39"/>
      <c r="O36" s="81">
        <v>1.01</v>
      </c>
      <c r="P36" s="81">
        <f t="shared" si="5"/>
        <v>57.357900000000001</v>
      </c>
    </row>
    <row r="37" spans="1:17" x14ac:dyDescent="0.25">
      <c r="A37">
        <v>100</v>
      </c>
      <c r="B37" s="164">
        <v>43364</v>
      </c>
      <c r="C37" s="10">
        <v>150</v>
      </c>
      <c r="D37" s="39">
        <v>48.234499999999997</v>
      </c>
      <c r="E37" s="39">
        <v>54.94</v>
      </c>
      <c r="F37" s="39">
        <f t="shared" si="6"/>
        <v>1005.825</v>
      </c>
      <c r="G37" s="39">
        <f t="shared" si="7"/>
        <v>7235.1749999999993</v>
      </c>
      <c r="H37" s="179">
        <f t="shared" si="8"/>
        <v>0.13901875213799253</v>
      </c>
      <c r="I37" s="39"/>
      <c r="J37" s="778">
        <f>F37+$Q$10</f>
        <v>2062.5649999999978</v>
      </c>
      <c r="K37" s="39">
        <v>11.21</v>
      </c>
      <c r="L37" s="39"/>
      <c r="O37" s="81">
        <v>1</v>
      </c>
      <c r="P37" s="81">
        <f t="shared" si="5"/>
        <v>56.79</v>
      </c>
    </row>
    <row r="38" spans="1:17" x14ac:dyDescent="0.25">
      <c r="A38">
        <v>150</v>
      </c>
      <c r="B38" s="164">
        <v>43387</v>
      </c>
      <c r="C38" s="185">
        <v>150</v>
      </c>
      <c r="D38" s="186">
        <v>47.758099999999999</v>
      </c>
      <c r="E38" s="39">
        <v>51.63</v>
      </c>
      <c r="F38" s="39">
        <f t="shared" si="6"/>
        <v>580.78500000000054</v>
      </c>
      <c r="G38" s="39">
        <f t="shared" si="7"/>
        <v>7163.7150000000001</v>
      </c>
      <c r="H38" s="179">
        <f t="shared" si="8"/>
        <v>8.1073158270534296E-2</v>
      </c>
      <c r="I38" s="438" t="s">
        <v>1284</v>
      </c>
      <c r="J38" s="39">
        <f>F38+$Q$10</f>
        <v>1637.5249999999985</v>
      </c>
      <c r="K38" s="39">
        <v>10.54</v>
      </c>
      <c r="L38" s="39"/>
      <c r="O38" s="81">
        <v>0.99</v>
      </c>
      <c r="P38" s="81">
        <f t="shared" si="5"/>
        <v>56.222099999999998</v>
      </c>
    </row>
    <row r="39" spans="1:17" x14ac:dyDescent="0.25">
      <c r="A39">
        <v>0</v>
      </c>
      <c r="B39" s="164">
        <v>43418</v>
      </c>
      <c r="C39" s="10">
        <v>0</v>
      </c>
      <c r="D39" s="39">
        <v>47.76</v>
      </c>
      <c r="E39" s="39">
        <v>57.31</v>
      </c>
      <c r="F39" s="39">
        <f t="shared" si="6"/>
        <v>0</v>
      </c>
      <c r="G39" s="39">
        <f t="shared" si="7"/>
        <v>0</v>
      </c>
      <c r="H39" s="179">
        <f t="shared" si="8"/>
        <v>0.19995812395309892</v>
      </c>
      <c r="I39" s="39"/>
      <c r="J39" s="778">
        <v>2615.41</v>
      </c>
      <c r="K39" s="39">
        <v>11.7</v>
      </c>
      <c r="L39" s="39"/>
      <c r="O39" s="81">
        <v>0.98</v>
      </c>
      <c r="P39" s="81">
        <f t="shared" si="5"/>
        <v>55.654199999999996</v>
      </c>
    </row>
    <row r="40" spans="1:17" x14ac:dyDescent="0.25">
      <c r="B40" s="164">
        <v>43424</v>
      </c>
      <c r="C40" s="10">
        <v>100</v>
      </c>
      <c r="D40" s="39">
        <v>38.4133</v>
      </c>
      <c r="E40" s="39">
        <v>55.46</v>
      </c>
      <c r="F40" s="39">
        <f t="shared" si="6"/>
        <v>1704.67</v>
      </c>
      <c r="G40" s="39">
        <f t="shared" si="7"/>
        <v>3841.33</v>
      </c>
      <c r="H40" s="179">
        <f t="shared" si="8"/>
        <v>0.44377077730890085</v>
      </c>
      <c r="I40" s="39"/>
      <c r="J40" s="778">
        <v>2761.41</v>
      </c>
      <c r="K40" s="39">
        <v>11.32</v>
      </c>
      <c r="L40" s="39"/>
      <c r="O40" s="81">
        <v>0.97</v>
      </c>
      <c r="P40" s="81">
        <f t="shared" si="5"/>
        <v>55.086299999999994</v>
      </c>
    </row>
    <row r="41" spans="1:17" x14ac:dyDescent="0.25">
      <c r="A41">
        <v>100</v>
      </c>
      <c r="B41" s="164">
        <v>43492</v>
      </c>
      <c r="C41" s="10">
        <v>100</v>
      </c>
      <c r="D41" s="39">
        <v>37.94</v>
      </c>
      <c r="E41" s="39">
        <v>49.35</v>
      </c>
      <c r="F41" s="39">
        <f t="shared" si="6"/>
        <v>1141.0000000000005</v>
      </c>
      <c r="G41" s="39">
        <f t="shared" si="7"/>
        <v>3794</v>
      </c>
      <c r="H41" s="179">
        <f t="shared" si="8"/>
        <v>0.30073800738007389</v>
      </c>
      <c r="I41" s="39"/>
      <c r="J41" s="39">
        <v>2198</v>
      </c>
      <c r="K41" s="39"/>
      <c r="L41" s="39"/>
      <c r="O41" s="81">
        <v>0.96</v>
      </c>
      <c r="P41" s="81">
        <f t="shared" si="5"/>
        <v>54.5184</v>
      </c>
      <c r="Q41" s="2"/>
    </row>
    <row r="42" spans="1:17" x14ac:dyDescent="0.25">
      <c r="A42">
        <v>100</v>
      </c>
      <c r="B42" s="164">
        <v>43509</v>
      </c>
      <c r="C42" s="10">
        <v>100</v>
      </c>
      <c r="D42" s="39">
        <v>37.94</v>
      </c>
      <c r="E42" s="39">
        <v>55.05</v>
      </c>
      <c r="F42" s="39">
        <f t="shared" si="6"/>
        <v>1711</v>
      </c>
      <c r="G42" s="39">
        <f t="shared" si="7"/>
        <v>3794</v>
      </c>
      <c r="H42" s="179">
        <f t="shared" si="8"/>
        <v>0.4509752240379547</v>
      </c>
      <c r="I42" s="39"/>
      <c r="J42" s="778">
        <v>2768.03</v>
      </c>
      <c r="K42" s="39">
        <v>11.23</v>
      </c>
      <c r="L42" s="39"/>
      <c r="O42" s="81">
        <v>0.95</v>
      </c>
      <c r="P42" s="81">
        <f t="shared" si="5"/>
        <v>53.950499999999998</v>
      </c>
      <c r="Q42" s="2"/>
    </row>
    <row r="43" spans="1:17" x14ac:dyDescent="0.25">
      <c r="A43">
        <v>100</v>
      </c>
      <c r="B43" s="164">
        <v>43513</v>
      </c>
      <c r="C43" s="10">
        <v>100</v>
      </c>
      <c r="D43" s="39">
        <v>37.94</v>
      </c>
      <c r="E43" s="39">
        <v>55.48</v>
      </c>
      <c r="F43" s="39">
        <f t="shared" si="6"/>
        <v>1754</v>
      </c>
      <c r="G43" s="39">
        <f t="shared" si="7"/>
        <v>3794</v>
      </c>
      <c r="H43" s="179">
        <f t="shared" si="8"/>
        <v>0.46230890880337377</v>
      </c>
      <c r="I43" s="39"/>
      <c r="J43" s="778">
        <v>2811.04</v>
      </c>
      <c r="K43" s="39">
        <v>11.32</v>
      </c>
      <c r="L43" s="39"/>
      <c r="O43" s="81">
        <v>0.94</v>
      </c>
      <c r="P43" s="81">
        <f t="shared" si="5"/>
        <v>53.382599999999996</v>
      </c>
      <c r="Q43" s="2"/>
    </row>
    <row r="44" spans="1:17" x14ac:dyDescent="0.25">
      <c r="B44" s="164">
        <v>43515</v>
      </c>
      <c r="C44" s="10">
        <v>0</v>
      </c>
      <c r="D44" s="39"/>
      <c r="E44" s="39">
        <v>56.79</v>
      </c>
      <c r="F44" s="39"/>
      <c r="G44" s="39"/>
      <c r="H44" s="179"/>
      <c r="I44" s="39"/>
      <c r="J44" s="778">
        <v>2880.97</v>
      </c>
      <c r="K44" s="39">
        <v>11.59</v>
      </c>
      <c r="L44" s="39"/>
      <c r="O44" s="81">
        <v>0.93</v>
      </c>
      <c r="P44" s="81">
        <f t="shared" si="5"/>
        <v>52.814700000000002</v>
      </c>
      <c r="Q44" s="2"/>
    </row>
    <row r="45" spans="1:17" x14ac:dyDescent="0.25">
      <c r="B45" s="164"/>
      <c r="C45" s="10"/>
      <c r="D45" s="39"/>
      <c r="E45" s="39"/>
      <c r="F45" s="39"/>
      <c r="G45" s="39"/>
      <c r="H45" s="179"/>
      <c r="I45" s="39"/>
      <c r="J45" s="39"/>
      <c r="K45" s="39"/>
      <c r="L45" s="39"/>
      <c r="O45" s="81">
        <v>0.92</v>
      </c>
      <c r="P45" s="81">
        <f t="shared" si="5"/>
        <v>52.2468</v>
      </c>
      <c r="Q45" s="2"/>
    </row>
    <row r="46" spans="1:17" x14ac:dyDescent="0.25">
      <c r="B46" s="164"/>
      <c r="C46" s="10"/>
      <c r="D46" s="39"/>
      <c r="E46" s="39"/>
      <c r="F46" s="39"/>
      <c r="G46" s="39"/>
      <c r="H46" s="179"/>
      <c r="I46" s="39"/>
      <c r="J46" s="39"/>
      <c r="K46" s="39"/>
      <c r="L46" s="39"/>
      <c r="O46" s="81">
        <v>0.91</v>
      </c>
      <c r="P46" s="81">
        <f t="shared" si="5"/>
        <v>51.678899999999999</v>
      </c>
      <c r="Q46" s="2"/>
    </row>
    <row r="47" spans="1:17" x14ac:dyDescent="0.25">
      <c r="B47" s="164"/>
      <c r="C47" s="10"/>
      <c r="D47" s="39"/>
      <c r="E47" s="39"/>
      <c r="F47" s="39"/>
      <c r="G47" s="39"/>
      <c r="H47" s="179"/>
      <c r="I47" s="39"/>
      <c r="J47" s="39"/>
      <c r="K47" s="39"/>
      <c r="L47" s="39"/>
      <c r="O47" s="81">
        <v>0.9</v>
      </c>
      <c r="P47" s="81">
        <f t="shared" si="5"/>
        <v>51.110999999999997</v>
      </c>
      <c r="Q47" s="2"/>
    </row>
    <row r="48" spans="1:17" x14ac:dyDescent="0.25">
      <c r="B48" s="164"/>
      <c r="C48" s="10"/>
      <c r="D48" s="39"/>
      <c r="E48" s="39"/>
      <c r="F48" s="39"/>
      <c r="G48" s="39"/>
      <c r="H48" s="179"/>
      <c r="I48" s="39"/>
      <c r="J48" s="39"/>
      <c r="K48" s="39"/>
      <c r="L48" s="39"/>
      <c r="Q48" s="2"/>
    </row>
    <row r="49" spans="2:17" x14ac:dyDescent="0.25">
      <c r="B49" s="164"/>
      <c r="C49" s="10"/>
      <c r="D49" s="39"/>
      <c r="E49" s="39"/>
      <c r="F49" s="39"/>
      <c r="G49" s="39"/>
      <c r="H49" s="179"/>
      <c r="I49" s="39"/>
      <c r="J49" s="39"/>
      <c r="K49" s="39"/>
      <c r="L49" s="39"/>
      <c r="Q49" s="2"/>
    </row>
    <row r="50" spans="2:17" x14ac:dyDescent="0.25">
      <c r="B50" s="164"/>
      <c r="C50" s="10"/>
      <c r="D50" s="39"/>
      <c r="E50" s="39"/>
      <c r="F50" s="39"/>
      <c r="G50" s="39"/>
      <c r="H50" s="179"/>
      <c r="I50" s="39"/>
      <c r="J50" s="39"/>
      <c r="K50" s="39"/>
      <c r="L50" s="39"/>
      <c r="Q50" s="2"/>
    </row>
    <row r="51" spans="2:17" x14ac:dyDescent="0.25">
      <c r="B51" s="164"/>
      <c r="C51" s="10"/>
      <c r="D51" s="39"/>
      <c r="E51" s="39"/>
      <c r="F51" s="39"/>
      <c r="G51" s="39"/>
      <c r="H51" s="179"/>
      <c r="I51" s="39"/>
      <c r="J51" s="39"/>
      <c r="K51" s="39"/>
      <c r="L51" s="39"/>
      <c r="Q51" s="2"/>
    </row>
    <row r="52" spans="2:17" x14ac:dyDescent="0.25">
      <c r="B52" s="164"/>
      <c r="C52" s="10"/>
      <c r="D52" s="39"/>
      <c r="E52" s="39"/>
      <c r="F52" s="39"/>
      <c r="G52" s="39"/>
      <c r="H52" s="179"/>
      <c r="I52" s="39"/>
      <c r="J52" s="39"/>
      <c r="K52" s="39"/>
      <c r="L52" s="39"/>
      <c r="Q52" s="2"/>
    </row>
    <row r="53" spans="2:17" x14ac:dyDescent="0.25">
      <c r="B53" s="164"/>
      <c r="C53" s="10"/>
      <c r="D53" s="39"/>
      <c r="E53" s="39"/>
      <c r="F53" s="39"/>
      <c r="G53" s="39"/>
      <c r="H53" s="179"/>
      <c r="I53" s="39"/>
      <c r="J53" s="39"/>
      <c r="K53" s="39"/>
      <c r="L53" s="39"/>
      <c r="Q53" s="2"/>
    </row>
    <row r="54" spans="2:17" x14ac:dyDescent="0.25">
      <c r="B54" s="164"/>
      <c r="C54" s="10"/>
      <c r="D54" s="39"/>
      <c r="E54" s="39"/>
      <c r="F54" s="39"/>
      <c r="G54" s="39"/>
      <c r="H54" s="179"/>
      <c r="I54" s="39"/>
      <c r="J54" s="39"/>
      <c r="K54" s="39"/>
      <c r="L54" s="39"/>
    </row>
    <row r="55" spans="2:17" x14ac:dyDescent="0.25">
      <c r="B55" s="164"/>
      <c r="C55" s="10"/>
      <c r="D55" s="39"/>
      <c r="E55" s="39"/>
      <c r="F55" s="39"/>
      <c r="G55" s="39"/>
      <c r="H55" s="179"/>
      <c r="I55" s="39"/>
      <c r="J55" s="39"/>
      <c r="K55" s="39"/>
      <c r="L55" s="39"/>
    </row>
    <row r="56" spans="2:17" x14ac:dyDescent="0.25">
      <c r="B56" s="164"/>
      <c r="C56" s="10"/>
      <c r="D56" s="39"/>
      <c r="E56" s="39"/>
      <c r="F56" s="39"/>
      <c r="G56" s="39"/>
      <c r="H56" s="179"/>
      <c r="I56" s="39"/>
      <c r="J56" s="39"/>
      <c r="K56" s="39"/>
      <c r="L56" s="39"/>
    </row>
    <row r="57" spans="2:17" x14ac:dyDescent="0.25">
      <c r="B57" s="164"/>
      <c r="C57" s="10"/>
      <c r="D57" s="39"/>
      <c r="E57" s="39"/>
      <c r="F57" s="39"/>
      <c r="G57" s="39"/>
      <c r="H57" s="179"/>
      <c r="I57" s="39"/>
      <c r="J57" s="39"/>
      <c r="K57" s="39"/>
      <c r="L57" s="39"/>
    </row>
    <row r="58" spans="2:17" x14ac:dyDescent="0.25">
      <c r="B58" s="164"/>
      <c r="C58" s="10"/>
      <c r="D58" s="39"/>
      <c r="E58" s="39"/>
      <c r="F58" s="39"/>
      <c r="G58" s="39"/>
      <c r="H58" s="179"/>
      <c r="I58" s="39"/>
      <c r="J58" s="39"/>
      <c r="K58" s="39"/>
      <c r="L58" s="39"/>
    </row>
    <row r="59" spans="2:17" x14ac:dyDescent="0.25">
      <c r="B59" s="164"/>
      <c r="C59" s="10"/>
      <c r="D59" s="39"/>
      <c r="E59" s="39"/>
      <c r="F59" s="39"/>
      <c r="G59" s="39"/>
      <c r="H59" s="179"/>
      <c r="I59" s="39"/>
      <c r="J59" s="39"/>
      <c r="K59" s="39"/>
      <c r="L59" s="39"/>
    </row>
    <row r="60" spans="2:17" x14ac:dyDescent="0.25">
      <c r="B60" s="164"/>
      <c r="C60" s="10"/>
      <c r="D60" s="39"/>
      <c r="E60" s="39"/>
      <c r="F60" s="39"/>
      <c r="G60" s="39"/>
      <c r="H60" s="179"/>
      <c r="I60" s="39"/>
      <c r="J60" s="39"/>
      <c r="K60" s="39"/>
      <c r="L60" s="39"/>
    </row>
    <row r="61" spans="2:17" x14ac:dyDescent="0.25">
      <c r="B61" s="164"/>
      <c r="C61" s="10"/>
      <c r="D61" s="39"/>
      <c r="E61" s="39"/>
      <c r="F61" s="39"/>
      <c r="G61" s="39"/>
      <c r="H61" s="179"/>
      <c r="I61" s="39"/>
      <c r="J61" s="39"/>
      <c r="K61" s="39"/>
      <c r="L61" s="39"/>
    </row>
    <row r="62" spans="2:17" x14ac:dyDescent="0.25">
      <c r="B62" s="164"/>
      <c r="C62" s="10"/>
      <c r="D62" s="39"/>
      <c r="E62" s="39"/>
      <c r="F62" s="39"/>
      <c r="G62" s="39"/>
      <c r="H62" s="179"/>
      <c r="I62" s="39"/>
      <c r="J62" s="39"/>
      <c r="K62" s="39"/>
      <c r="L62" s="39"/>
    </row>
    <row r="63" spans="2:17" x14ac:dyDescent="0.25">
      <c r="B63" s="164"/>
      <c r="C63" s="10"/>
      <c r="D63" s="39"/>
      <c r="E63" s="39"/>
      <c r="F63" s="39"/>
      <c r="G63" s="39"/>
      <c r="H63" s="179"/>
      <c r="I63" s="39"/>
      <c r="J63" s="39"/>
      <c r="K63" s="39"/>
      <c r="L63" s="39"/>
    </row>
    <row r="64" spans="2:17" x14ac:dyDescent="0.25">
      <c r="B64" s="164"/>
      <c r="C64" s="10"/>
      <c r="D64" s="39"/>
      <c r="E64" s="39"/>
      <c r="F64" s="39"/>
      <c r="G64" s="39"/>
      <c r="H64" s="179"/>
      <c r="I64" s="39"/>
      <c r="J64" s="39"/>
      <c r="K64" s="39"/>
      <c r="L64" s="39"/>
    </row>
    <row r="65" spans="1:13" x14ac:dyDescent="0.25">
      <c r="B65" s="164"/>
      <c r="C65" s="10"/>
      <c r="D65" s="39"/>
      <c r="E65" s="39"/>
      <c r="F65" s="39"/>
      <c r="G65" s="39"/>
      <c r="H65" s="179"/>
      <c r="I65" s="39"/>
      <c r="J65" s="39"/>
      <c r="K65" s="39"/>
      <c r="L65" s="39"/>
    </row>
    <row r="66" spans="1:13" x14ac:dyDescent="0.25">
      <c r="B66" s="164"/>
      <c r="C66" s="10"/>
      <c r="D66" s="39"/>
      <c r="E66" s="39"/>
      <c r="F66" s="39"/>
      <c r="G66" s="39"/>
      <c r="H66" s="179"/>
      <c r="I66" s="39"/>
      <c r="J66" s="39"/>
      <c r="K66" s="39"/>
      <c r="L66" s="39"/>
    </row>
    <row r="67" spans="1:13" x14ac:dyDescent="0.25">
      <c r="L67" t="s">
        <v>65</v>
      </c>
      <c r="M67" s="2">
        <f>M85+K85-F85</f>
        <v>1056.739999999998</v>
      </c>
    </row>
    <row r="68" spans="1:13" x14ac:dyDescent="0.25">
      <c r="A68" s="304" t="s">
        <v>1</v>
      </c>
      <c r="B68" s="304" t="s">
        <v>2</v>
      </c>
      <c r="C68" s="304" t="s">
        <v>4</v>
      </c>
      <c r="D68" s="306" t="s">
        <v>5</v>
      </c>
      <c r="E68" s="306" t="s">
        <v>94</v>
      </c>
      <c r="F68" s="306" t="s">
        <v>60</v>
      </c>
      <c r="G68" s="304" t="s">
        <v>3</v>
      </c>
      <c r="H68" s="304" t="s">
        <v>6</v>
      </c>
      <c r="I68" s="306" t="s">
        <v>7</v>
      </c>
      <c r="J68" s="306" t="s">
        <v>95</v>
      </c>
      <c r="K68" s="306" t="s">
        <v>61</v>
      </c>
      <c r="L68" s="304" t="s">
        <v>37</v>
      </c>
      <c r="M68" s="304" t="s">
        <v>38</v>
      </c>
    </row>
    <row r="69" spans="1:13" x14ac:dyDescent="0.25">
      <c r="A69" s="307" t="s">
        <v>52</v>
      </c>
      <c r="B69" s="297">
        <v>42488</v>
      </c>
      <c r="C69" s="298">
        <v>30</v>
      </c>
      <c r="D69" s="299">
        <v>79.349999999999994</v>
      </c>
      <c r="E69" s="299">
        <v>0</v>
      </c>
      <c r="F69" s="299">
        <f>D69*C69+E69</f>
        <v>2380.5</v>
      </c>
      <c r="G69" s="297">
        <v>42521</v>
      </c>
      <c r="H69" s="302">
        <v>25</v>
      </c>
      <c r="I69" s="299">
        <v>79.05</v>
      </c>
      <c r="J69" s="299">
        <v>0.04</v>
      </c>
      <c r="K69" s="299">
        <f>I69*H69-J69</f>
        <v>1976.21</v>
      </c>
      <c r="L69" s="297">
        <v>42566</v>
      </c>
      <c r="M69" s="299">
        <v>33.67</v>
      </c>
    </row>
    <row r="70" spans="1:13" x14ac:dyDescent="0.25">
      <c r="A70" s="308" t="s">
        <v>71</v>
      </c>
      <c r="B70" s="297">
        <v>42495</v>
      </c>
      <c r="C70" s="298">
        <v>20</v>
      </c>
      <c r="D70" s="299">
        <v>76.25</v>
      </c>
      <c r="E70" s="299">
        <v>0</v>
      </c>
      <c r="F70" s="299">
        <f>D70*C70+E70</f>
        <v>1525</v>
      </c>
      <c r="G70" s="297">
        <v>42552</v>
      </c>
      <c r="H70" s="302">
        <v>25</v>
      </c>
      <c r="I70" s="299">
        <v>78.28</v>
      </c>
      <c r="J70" s="299">
        <v>0.04</v>
      </c>
      <c r="K70" s="299">
        <f>I70*H70-J70</f>
        <v>1956.96</v>
      </c>
      <c r="L70" s="298"/>
      <c r="M70" s="298"/>
    </row>
    <row r="71" spans="1:13" x14ac:dyDescent="0.25">
      <c r="A71" s="298"/>
      <c r="B71" s="297">
        <v>42537</v>
      </c>
      <c r="C71" s="298">
        <v>25</v>
      </c>
      <c r="D71" s="299">
        <v>75.88</v>
      </c>
      <c r="E71" s="299">
        <v>0</v>
      </c>
      <c r="F71" s="299">
        <f>D71*C71+E71</f>
        <v>1897</v>
      </c>
      <c r="G71" s="297">
        <v>42577</v>
      </c>
      <c r="H71" s="302">
        <v>10</v>
      </c>
      <c r="I71" s="299">
        <v>83.3</v>
      </c>
      <c r="J71" s="299">
        <v>0.02</v>
      </c>
      <c r="K71" s="299">
        <f>I71*H71-J71</f>
        <v>832.98</v>
      </c>
      <c r="L71" s="298"/>
      <c r="M71" s="298"/>
    </row>
    <row r="72" spans="1:13" x14ac:dyDescent="0.25">
      <c r="A72" s="298"/>
      <c r="B72" s="297">
        <v>42548</v>
      </c>
      <c r="C72" s="298">
        <v>25</v>
      </c>
      <c r="D72" s="299">
        <v>73.58</v>
      </c>
      <c r="E72" s="299">
        <v>0</v>
      </c>
      <c r="F72" s="299">
        <f>D72*C72+E72</f>
        <v>1839.5</v>
      </c>
      <c r="G72" s="297">
        <v>42580</v>
      </c>
      <c r="H72" s="302">
        <v>40</v>
      </c>
      <c r="I72" s="299">
        <v>83.33</v>
      </c>
      <c r="J72" s="299">
        <v>7.0000000000000007E-2</v>
      </c>
      <c r="K72" s="299">
        <f>I72*H72-J72</f>
        <v>3333.1299999999997</v>
      </c>
      <c r="L72" s="298"/>
      <c r="M72" s="298"/>
    </row>
    <row r="73" spans="1:13" x14ac:dyDescent="0.25">
      <c r="A73" s="298"/>
      <c r="B73" s="297">
        <v>42608</v>
      </c>
      <c r="C73" s="298">
        <v>25</v>
      </c>
      <c r="D73" s="299">
        <v>79.02</v>
      </c>
      <c r="E73" s="299">
        <v>0</v>
      </c>
      <c r="F73" s="299">
        <f t="shared" ref="F73:F79" si="9">C73*D73+E73</f>
        <v>1975.5</v>
      </c>
      <c r="G73" s="297">
        <v>42674</v>
      </c>
      <c r="H73" s="302">
        <v>25</v>
      </c>
      <c r="I73" s="299">
        <v>70.900000000000006</v>
      </c>
      <c r="J73" s="299">
        <v>0.04</v>
      </c>
      <c r="K73" s="299">
        <f>H73*I73-J73</f>
        <v>1772.4600000000003</v>
      </c>
      <c r="L73" s="297">
        <v>42660</v>
      </c>
      <c r="M73" s="299">
        <v>22.45</v>
      </c>
    </row>
    <row r="74" spans="1:13" x14ac:dyDescent="0.25">
      <c r="A74" s="298"/>
      <c r="B74" s="297">
        <v>42627</v>
      </c>
      <c r="C74" s="298">
        <v>25</v>
      </c>
      <c r="D74" s="299">
        <v>76.3</v>
      </c>
      <c r="E74" s="299">
        <v>0</v>
      </c>
      <c r="F74" s="299">
        <f t="shared" si="9"/>
        <v>1907.5</v>
      </c>
      <c r="G74" s="297">
        <v>42711</v>
      </c>
      <c r="H74" s="302">
        <v>25</v>
      </c>
      <c r="I74" s="299">
        <v>69.680000000000007</v>
      </c>
      <c r="J74" s="299">
        <v>0.04</v>
      </c>
      <c r="K74" s="299">
        <f>H74*I74-J74</f>
        <v>1741.9600000000003</v>
      </c>
      <c r="L74" s="297">
        <v>42753</v>
      </c>
      <c r="M74" s="299">
        <v>22.45</v>
      </c>
    </row>
    <row r="75" spans="1:13" x14ac:dyDescent="0.25">
      <c r="A75" s="298"/>
      <c r="B75" s="297">
        <v>42668</v>
      </c>
      <c r="C75" s="298">
        <v>25</v>
      </c>
      <c r="D75" s="299">
        <v>74.38</v>
      </c>
      <c r="E75" s="299">
        <v>0</v>
      </c>
      <c r="F75" s="299">
        <f t="shared" si="9"/>
        <v>1859.5</v>
      </c>
      <c r="G75" s="297">
        <v>42713</v>
      </c>
      <c r="H75" s="302">
        <v>50</v>
      </c>
      <c r="I75" s="299">
        <v>72.58</v>
      </c>
      <c r="J75" s="299">
        <v>0.08</v>
      </c>
      <c r="K75" s="299">
        <f>H75*I75-J75</f>
        <v>3628.92</v>
      </c>
      <c r="L75" s="298"/>
      <c r="M75" s="298"/>
    </row>
    <row r="76" spans="1:13" x14ac:dyDescent="0.25">
      <c r="A76" s="298"/>
      <c r="B76" s="297">
        <v>42671</v>
      </c>
      <c r="C76" s="298">
        <v>25</v>
      </c>
      <c r="D76" s="299">
        <v>64.7</v>
      </c>
      <c r="E76" s="299">
        <v>0</v>
      </c>
      <c r="F76" s="299">
        <f t="shared" si="9"/>
        <v>1617.5</v>
      </c>
      <c r="G76" s="297">
        <v>42713</v>
      </c>
      <c r="H76" s="302">
        <v>25</v>
      </c>
      <c r="I76" s="299">
        <v>73.25</v>
      </c>
      <c r="J76" s="299">
        <v>0.04</v>
      </c>
      <c r="K76" s="299">
        <f>H76*I76-J76</f>
        <v>1831.21</v>
      </c>
      <c r="L76" s="298"/>
      <c r="M76" s="298"/>
    </row>
    <row r="77" spans="1:13" x14ac:dyDescent="0.25">
      <c r="A77" s="298"/>
      <c r="B77" s="297">
        <v>42674</v>
      </c>
      <c r="C77" s="298">
        <v>25</v>
      </c>
      <c r="D77" s="299">
        <v>69.680000000000007</v>
      </c>
      <c r="E77" s="299">
        <v>0</v>
      </c>
      <c r="F77" s="299">
        <f t="shared" si="9"/>
        <v>1742.0000000000002</v>
      </c>
      <c r="G77" s="297">
        <v>42752</v>
      </c>
      <c r="H77" s="302">
        <v>50</v>
      </c>
      <c r="I77" s="299">
        <v>75.69</v>
      </c>
      <c r="J77" s="299">
        <v>0.33</v>
      </c>
      <c r="K77" s="299">
        <f>H77*I77-J77</f>
        <v>3784.17</v>
      </c>
      <c r="L77" s="298"/>
      <c r="M77" s="298"/>
    </row>
    <row r="78" spans="1:13" x14ac:dyDescent="0.25">
      <c r="A78" s="298"/>
      <c r="B78" s="297">
        <v>42711</v>
      </c>
      <c r="C78" s="298">
        <v>25</v>
      </c>
      <c r="D78" s="299">
        <v>68.8</v>
      </c>
      <c r="E78" s="299">
        <v>0</v>
      </c>
      <c r="F78" s="299">
        <f t="shared" si="9"/>
        <v>1720</v>
      </c>
      <c r="G78" s="298"/>
      <c r="H78" s="302"/>
      <c r="I78" s="299"/>
      <c r="J78" s="299"/>
      <c r="K78" s="299"/>
      <c r="L78" s="298"/>
      <c r="M78" s="298"/>
    </row>
    <row r="79" spans="1:13" x14ac:dyDescent="0.25">
      <c r="A79" s="298"/>
      <c r="B79" s="297">
        <v>42718</v>
      </c>
      <c r="C79" s="298">
        <v>25</v>
      </c>
      <c r="D79" s="299">
        <v>72.48</v>
      </c>
      <c r="E79" s="299">
        <v>0</v>
      </c>
      <c r="F79" s="299">
        <f t="shared" si="9"/>
        <v>1812</v>
      </c>
      <c r="G79" s="298"/>
      <c r="H79" s="302"/>
      <c r="I79" s="299"/>
      <c r="J79" s="299"/>
      <c r="K79" s="299"/>
      <c r="L79" s="298"/>
      <c r="M79" s="298"/>
    </row>
    <row r="80" spans="1:13" x14ac:dyDescent="0.25">
      <c r="A80" s="298"/>
      <c r="B80" s="368">
        <v>42734</v>
      </c>
      <c r="C80" s="7">
        <v>25</v>
      </c>
      <c r="D80" s="43">
        <v>71.73</v>
      </c>
      <c r="E80" s="43">
        <v>0</v>
      </c>
      <c r="F80" s="43">
        <f>C80*D80+E80</f>
        <v>1793.25</v>
      </c>
      <c r="G80" s="368">
        <v>42773</v>
      </c>
      <c r="H80" s="80">
        <v>25</v>
      </c>
      <c r="I80" s="43">
        <v>77.78</v>
      </c>
      <c r="J80" s="43">
        <v>0.04</v>
      </c>
      <c r="K80" s="43">
        <f>I80*H80-J80</f>
        <v>1944.46</v>
      </c>
      <c r="L80" s="298"/>
      <c r="M80" s="298"/>
    </row>
    <row r="81" spans="1:13" x14ac:dyDescent="0.25">
      <c r="A81" s="298"/>
      <c r="B81" s="72">
        <v>42761</v>
      </c>
      <c r="C81" s="4">
        <v>25</v>
      </c>
      <c r="D81" s="3">
        <v>72.58</v>
      </c>
      <c r="E81" s="3">
        <v>0</v>
      </c>
      <c r="F81" s="3">
        <f>C81*D81+E81</f>
        <v>1814.5</v>
      </c>
      <c r="G81" s="72">
        <v>42796</v>
      </c>
      <c r="H81" s="4">
        <v>25</v>
      </c>
      <c r="I81" s="3">
        <v>82.38</v>
      </c>
      <c r="J81" s="3">
        <v>0.04</v>
      </c>
      <c r="K81" s="3">
        <f>H81*I81-J81</f>
        <v>2059.46</v>
      </c>
      <c r="L81" s="72"/>
      <c r="M81" s="298"/>
    </row>
    <row r="82" spans="1:13" x14ac:dyDescent="0.25">
      <c r="A82" s="298"/>
      <c r="B82" s="298"/>
      <c r="C82" s="298"/>
      <c r="D82" s="299"/>
      <c r="E82" s="299"/>
      <c r="F82" s="299"/>
      <c r="G82" s="298"/>
      <c r="H82" s="302"/>
      <c r="I82" s="299"/>
      <c r="J82" s="299"/>
      <c r="K82" s="299"/>
      <c r="L82" s="298"/>
      <c r="M82" s="298"/>
    </row>
    <row r="83" spans="1:13" x14ac:dyDescent="0.25">
      <c r="A83" s="298"/>
      <c r="B83" s="298"/>
      <c r="C83" s="298"/>
      <c r="D83" s="299"/>
      <c r="E83" s="299"/>
      <c r="F83" s="299"/>
      <c r="G83" s="298"/>
      <c r="H83" s="302"/>
      <c r="I83" s="299"/>
      <c r="J83" s="299"/>
      <c r="K83" s="299"/>
      <c r="L83" s="298"/>
      <c r="M83" s="298"/>
    </row>
    <row r="84" spans="1:13" x14ac:dyDescent="0.25">
      <c r="A84" s="298"/>
      <c r="B84" s="298"/>
      <c r="C84" s="298"/>
      <c r="D84" s="299"/>
      <c r="E84" s="299"/>
      <c r="F84" s="299"/>
      <c r="G84" s="298"/>
      <c r="H84" s="302"/>
      <c r="I84" s="299"/>
      <c r="J84" s="299"/>
      <c r="K84" s="299"/>
      <c r="L84" s="298"/>
      <c r="M84" s="298"/>
    </row>
    <row r="85" spans="1:13" x14ac:dyDescent="0.25">
      <c r="A85" s="21" t="s">
        <v>81</v>
      </c>
      <c r="B85" s="12"/>
      <c r="C85" s="12">
        <f>SUM(C69:C84)</f>
        <v>325</v>
      </c>
      <c r="D85" s="13"/>
      <c r="E85" s="13"/>
      <c r="F85" s="13">
        <f>SUM(F69:F84)</f>
        <v>23883.75</v>
      </c>
      <c r="G85" s="12"/>
      <c r="H85" s="75">
        <f>SUM(H69:H84)</f>
        <v>325</v>
      </c>
      <c r="I85" s="13"/>
      <c r="J85" s="13"/>
      <c r="K85" s="13">
        <f>SUM(K69:K84)</f>
        <v>24861.919999999998</v>
      </c>
      <c r="L85" s="12"/>
      <c r="M85" s="13">
        <f>SUM(M69:M77)</f>
        <v>78.570000000000007</v>
      </c>
    </row>
    <row r="86" spans="1:13" ht="15.75" thickBot="1" x14ac:dyDescent="0.3">
      <c r="A86" s="378" t="s">
        <v>191</v>
      </c>
      <c r="B86" s="379"/>
      <c r="C86" s="380">
        <f>SumByColor($A$19,C69:C84)</f>
        <v>25</v>
      </c>
      <c r="D86" s="380"/>
      <c r="E86" s="380"/>
      <c r="F86" s="381">
        <f>SumByColor($A$19,F69:F84)</f>
        <v>1793</v>
      </c>
      <c r="G86" s="380"/>
      <c r="H86" s="380">
        <f>SumByColor($A$19,H69:H84)</f>
        <v>25</v>
      </c>
      <c r="I86" s="380"/>
      <c r="J86" s="380"/>
      <c r="K86" s="381">
        <f>SumByColor($A$19,K69:K84)</f>
        <v>1944</v>
      </c>
      <c r="L86" s="380"/>
      <c r="M86" s="381">
        <f>SumByColor($A$19,M69:M84)</f>
        <v>0</v>
      </c>
    </row>
    <row r="92" spans="1:13" x14ac:dyDescent="0.25">
      <c r="B92" s="297" t="s">
        <v>113</v>
      </c>
      <c r="C92" s="298" t="s">
        <v>145</v>
      </c>
      <c r="D92" s="299" t="s">
        <v>144</v>
      </c>
      <c r="E92" s="299" t="s">
        <v>146</v>
      </c>
      <c r="F92" s="299" t="s">
        <v>65</v>
      </c>
      <c r="G92" s="299" t="s">
        <v>150</v>
      </c>
      <c r="H92" s="300" t="s">
        <v>88</v>
      </c>
      <c r="I92" s="299" t="s">
        <v>153</v>
      </c>
    </row>
    <row r="93" spans="1:13" x14ac:dyDescent="0.25">
      <c r="A93" s="427" t="s">
        <v>325</v>
      </c>
      <c r="B93" s="426">
        <v>42754</v>
      </c>
      <c r="C93" s="427">
        <v>25</v>
      </c>
      <c r="D93" s="428">
        <v>71.73</v>
      </c>
      <c r="E93" s="429">
        <v>75.55</v>
      </c>
      <c r="F93" s="429">
        <f>C93*(E93-D93)</f>
        <v>95.499999999999829</v>
      </c>
      <c r="G93" s="429">
        <f>D93*C93</f>
        <v>1793.25</v>
      </c>
      <c r="H93" s="469">
        <f>(E93-D93)/D93</f>
        <v>5.3255262791021787E-2</v>
      </c>
      <c r="I93" s="429">
        <v>70</v>
      </c>
    </row>
    <row r="94" spans="1:13" x14ac:dyDescent="0.25">
      <c r="A94" s="427" t="s">
        <v>355</v>
      </c>
      <c r="B94" s="426">
        <v>42761</v>
      </c>
      <c r="C94" s="427">
        <v>50</v>
      </c>
      <c r="D94" s="428">
        <v>72.155000000000001</v>
      </c>
      <c r="E94" s="429">
        <v>73.09</v>
      </c>
      <c r="F94" s="429">
        <f>C94*(E94-D94)</f>
        <v>46.750000000000114</v>
      </c>
      <c r="G94" s="429">
        <f>D94*C94</f>
        <v>3607.75</v>
      </c>
      <c r="H94" s="469">
        <f>(E94-D94)/D94</f>
        <v>1.2958214953918679E-2</v>
      </c>
      <c r="I94" s="429">
        <v>71</v>
      </c>
    </row>
    <row r="95" spans="1:13" x14ac:dyDescent="0.25">
      <c r="A95" s="427" t="s">
        <v>388</v>
      </c>
      <c r="B95" s="426">
        <v>42771</v>
      </c>
      <c r="C95" s="427">
        <v>50</v>
      </c>
      <c r="D95" s="428">
        <v>72.155000000000001</v>
      </c>
      <c r="E95" s="429">
        <v>74.87</v>
      </c>
      <c r="F95" s="429">
        <f>C95*(E95-D95)</f>
        <v>135.75000000000017</v>
      </c>
      <c r="G95" s="429">
        <f>D95*C95</f>
        <v>3607.75</v>
      </c>
      <c r="H95" s="469">
        <f>(E95-D95)/D95</f>
        <v>3.7627330053357402E-2</v>
      </c>
      <c r="I95" s="429"/>
    </row>
    <row r="96" spans="1:13" x14ac:dyDescent="0.25">
      <c r="A96" s="427" t="s">
        <v>393</v>
      </c>
      <c r="B96" s="426">
        <v>42773</v>
      </c>
      <c r="C96" s="427">
        <v>25</v>
      </c>
      <c r="D96" s="428">
        <v>66.531599999999997</v>
      </c>
      <c r="E96" s="429">
        <v>75.87</v>
      </c>
      <c r="F96" s="429">
        <f>C96*(E96-D96)</f>
        <v>233.46000000000018</v>
      </c>
      <c r="G96" s="429">
        <f>D96*C96</f>
        <v>1663.29</v>
      </c>
      <c r="H96" s="469">
        <f>(E96-D96)/D96</f>
        <v>0.14036037010984265</v>
      </c>
      <c r="I96" s="429"/>
    </row>
    <row r="97" spans="1:9" x14ac:dyDescent="0.25">
      <c r="A97" s="560"/>
      <c r="B97" s="561"/>
      <c r="C97" s="560"/>
      <c r="D97" s="562"/>
      <c r="E97" s="562"/>
      <c r="F97" s="562"/>
      <c r="G97" s="562"/>
      <c r="H97" s="563"/>
      <c r="I97" s="562"/>
    </row>
    <row r="98" spans="1:9" x14ac:dyDescent="0.25">
      <c r="A98" s="560" t="s">
        <v>428</v>
      </c>
      <c r="B98" s="561">
        <v>42787</v>
      </c>
      <c r="C98" s="560">
        <v>25</v>
      </c>
      <c r="D98" s="562">
        <v>72.58</v>
      </c>
      <c r="E98" s="562">
        <v>81.34</v>
      </c>
      <c r="F98" s="562">
        <f>C98*(E98-D98)</f>
        <v>219.00000000000011</v>
      </c>
      <c r="G98" s="562">
        <f>D98*C98</f>
        <v>1814.5</v>
      </c>
      <c r="H98" s="563">
        <f>(E98-D98)/D98</f>
        <v>0.12069440617249938</v>
      </c>
      <c r="I98" s="562"/>
    </row>
    <row r="99" spans="1:9" x14ac:dyDescent="0.25">
      <c r="A99" s="560"/>
      <c r="B99" s="561">
        <v>42796</v>
      </c>
      <c r="C99" s="560">
        <v>0</v>
      </c>
      <c r="D99" s="562"/>
      <c r="E99" s="562"/>
      <c r="F99" s="562">
        <v>244.96</v>
      </c>
      <c r="G99" s="562"/>
      <c r="H99" s="563"/>
      <c r="I99" s="562"/>
    </row>
    <row r="100" spans="1:9" x14ac:dyDescent="0.25">
      <c r="B100" s="164"/>
      <c r="C100" s="10"/>
      <c r="D100" s="39"/>
      <c r="E100" s="39"/>
      <c r="F100" s="39"/>
      <c r="G100" s="39"/>
      <c r="H100" s="179"/>
      <c r="I100" s="39"/>
    </row>
    <row r="101" spans="1:9" x14ac:dyDescent="0.25">
      <c r="B101" s="164"/>
      <c r="C101" s="10"/>
      <c r="D101" s="39"/>
      <c r="E101" s="39"/>
      <c r="F101" s="39"/>
      <c r="G101" s="39"/>
      <c r="H101" s="179"/>
      <c r="I101" s="39"/>
    </row>
    <row r="102" spans="1:9" x14ac:dyDescent="0.25">
      <c r="B102" s="164"/>
      <c r="C102" s="10"/>
      <c r="D102" s="39"/>
      <c r="E102" s="39"/>
      <c r="F102" s="39"/>
      <c r="G102" s="39"/>
      <c r="H102" s="179"/>
      <c r="I102" s="39"/>
    </row>
    <row r="103" spans="1:9" x14ac:dyDescent="0.25">
      <c r="B103" s="164"/>
      <c r="C103" s="10"/>
      <c r="D103" s="39"/>
      <c r="E103" s="39"/>
      <c r="F103" s="39"/>
      <c r="G103" s="39"/>
      <c r="H103" s="179"/>
      <c r="I103" s="39"/>
    </row>
    <row r="104" spans="1:9" x14ac:dyDescent="0.25">
      <c r="B104" s="164"/>
      <c r="C104" s="10"/>
      <c r="D104" s="39"/>
      <c r="E104" s="39"/>
      <c r="F104" s="39"/>
      <c r="G104" s="39"/>
      <c r="H104" s="179"/>
      <c r="I104" s="39"/>
    </row>
    <row r="105" spans="1:9" x14ac:dyDescent="0.25">
      <c r="B105" s="164"/>
      <c r="C105" s="10"/>
      <c r="D105" s="39"/>
      <c r="E105" s="39"/>
      <c r="F105" s="39"/>
      <c r="G105" s="39"/>
      <c r="H105" s="179"/>
      <c r="I105" s="39"/>
    </row>
    <row r="106" spans="1:9" x14ac:dyDescent="0.25">
      <c r="B106" s="164"/>
      <c r="C106" s="10"/>
      <c r="D106" s="39"/>
      <c r="E106" s="39"/>
      <c r="F106" s="39"/>
      <c r="G106" s="39"/>
      <c r="H106" s="179"/>
      <c r="I106" s="39"/>
    </row>
    <row r="107" spans="1:9" x14ac:dyDescent="0.25">
      <c r="B107" s="164"/>
      <c r="C107" s="10"/>
      <c r="D107" s="39"/>
      <c r="E107" s="39"/>
      <c r="F107" s="39"/>
      <c r="G107" s="39"/>
      <c r="H107" s="179"/>
      <c r="I107" s="39"/>
    </row>
    <row r="108" spans="1:9" x14ac:dyDescent="0.25">
      <c r="B108" s="164"/>
      <c r="C108" s="10"/>
      <c r="D108" s="39"/>
      <c r="E108" s="39"/>
      <c r="F108" s="39"/>
      <c r="G108" s="39"/>
      <c r="H108" s="179"/>
      <c r="I108" s="39"/>
    </row>
    <row r="109" spans="1:9" x14ac:dyDescent="0.25">
      <c r="B109" s="164"/>
      <c r="C109" s="10"/>
      <c r="D109" s="39"/>
      <c r="E109" s="39"/>
      <c r="F109" s="39"/>
      <c r="G109" s="39"/>
      <c r="H109" s="179"/>
      <c r="I109" s="39"/>
    </row>
    <row r="110" spans="1:9" x14ac:dyDescent="0.25">
      <c r="B110" s="164"/>
      <c r="C110" s="10"/>
      <c r="D110" s="39"/>
      <c r="E110" s="39"/>
      <c r="F110" s="39"/>
      <c r="G110" s="39"/>
      <c r="H110" s="179"/>
      <c r="I110" s="39"/>
    </row>
    <row r="111" spans="1:9" x14ac:dyDescent="0.25">
      <c r="B111" s="164"/>
      <c r="C111" s="10"/>
      <c r="D111" s="39"/>
      <c r="E111" s="39"/>
      <c r="F111" s="39"/>
      <c r="G111" s="39"/>
      <c r="H111" s="179"/>
      <c r="I111" s="39"/>
    </row>
    <row r="112" spans="1:9" x14ac:dyDescent="0.25">
      <c r="B112" s="164"/>
      <c r="C112" s="10"/>
      <c r="D112" s="39"/>
      <c r="E112" s="39"/>
      <c r="F112" s="39"/>
      <c r="G112" s="39"/>
      <c r="H112" s="179"/>
      <c r="I112" s="39"/>
    </row>
    <row r="113" spans="2:9" x14ac:dyDescent="0.25">
      <c r="B113" s="164"/>
      <c r="C113" s="10"/>
      <c r="D113" s="39"/>
      <c r="E113" s="39"/>
      <c r="F113" s="39"/>
      <c r="G113" s="39"/>
      <c r="H113" s="179"/>
      <c r="I113" s="39"/>
    </row>
    <row r="114" spans="2:9" x14ac:dyDescent="0.25">
      <c r="B114" s="164"/>
      <c r="C114" s="10"/>
      <c r="D114" s="39"/>
      <c r="E114" s="39"/>
      <c r="F114" s="39"/>
      <c r="G114" s="39"/>
      <c r="H114" s="179"/>
      <c r="I114" s="39"/>
    </row>
    <row r="115" spans="2:9" x14ac:dyDescent="0.25">
      <c r="B115" s="164"/>
      <c r="C115" s="10"/>
      <c r="D115" s="39"/>
      <c r="E115" s="39"/>
      <c r="F115" s="39"/>
      <c r="G115" s="39"/>
      <c r="H115" s="179"/>
      <c r="I115" s="39"/>
    </row>
    <row r="116" spans="2:9" x14ac:dyDescent="0.25">
      <c r="B116" s="164"/>
      <c r="C116" s="10"/>
      <c r="D116" s="39"/>
      <c r="E116" s="39"/>
      <c r="F116" s="39"/>
      <c r="G116" s="39"/>
      <c r="H116" s="179"/>
      <c r="I116" s="39"/>
    </row>
    <row r="117" spans="2:9" x14ac:dyDescent="0.25">
      <c r="B117" s="164"/>
      <c r="C117" s="10"/>
      <c r="D117" s="39"/>
      <c r="E117" s="39"/>
      <c r="F117" s="39"/>
      <c r="G117" s="39"/>
      <c r="H117" s="179"/>
      <c r="I117" s="39"/>
    </row>
    <row r="118" spans="2:9" x14ac:dyDescent="0.25">
      <c r="B118" s="164"/>
      <c r="C118" s="10"/>
      <c r="D118" s="39"/>
      <c r="E118" s="39"/>
      <c r="F118" s="39"/>
      <c r="G118" s="39"/>
      <c r="H118" s="179"/>
      <c r="I118" s="39"/>
    </row>
    <row r="119" spans="2:9" x14ac:dyDescent="0.25">
      <c r="B119" s="164"/>
      <c r="C119" s="10"/>
      <c r="D119" s="39"/>
      <c r="E119" s="39"/>
      <c r="F119" s="39"/>
      <c r="G119" s="39"/>
      <c r="H119" s="179"/>
      <c r="I119" s="39"/>
    </row>
    <row r="120" spans="2:9" x14ac:dyDescent="0.25">
      <c r="B120" s="164"/>
      <c r="C120" s="10"/>
      <c r="D120" s="39"/>
      <c r="E120" s="39"/>
      <c r="F120" s="39"/>
      <c r="G120" s="39"/>
      <c r="H120" s="179"/>
      <c r="I120" s="39"/>
    </row>
    <row r="121" spans="2:9" x14ac:dyDescent="0.25">
      <c r="B121" s="164"/>
      <c r="C121" s="10"/>
      <c r="D121" s="39"/>
      <c r="E121" s="39"/>
      <c r="F121" s="39"/>
      <c r="G121" s="39"/>
      <c r="H121" s="179"/>
      <c r="I121" s="39"/>
    </row>
    <row r="122" spans="2:9" x14ac:dyDescent="0.25">
      <c r="B122" s="164"/>
      <c r="C122" s="10"/>
      <c r="D122" s="39"/>
      <c r="E122" s="39"/>
      <c r="F122" s="39"/>
      <c r="G122" s="39"/>
      <c r="H122" s="179"/>
      <c r="I122" s="39"/>
    </row>
    <row r="123" spans="2:9" x14ac:dyDescent="0.25">
      <c r="B123" s="164"/>
      <c r="C123" s="10"/>
      <c r="D123" s="39"/>
      <c r="E123" s="39"/>
      <c r="F123" s="39"/>
      <c r="G123" s="39"/>
      <c r="H123" s="179"/>
      <c r="I123" s="39"/>
    </row>
    <row r="124" spans="2:9" x14ac:dyDescent="0.25">
      <c r="B124" s="164"/>
      <c r="C124" s="10"/>
      <c r="D124" s="39"/>
      <c r="E124" s="39"/>
      <c r="F124" s="39"/>
      <c r="G124" s="39"/>
      <c r="H124" s="179"/>
      <c r="I124" s="39"/>
    </row>
    <row r="125" spans="2:9" x14ac:dyDescent="0.25">
      <c r="B125" s="164"/>
      <c r="C125" s="10"/>
      <c r="D125" s="39"/>
      <c r="E125" s="39"/>
      <c r="F125" s="39"/>
      <c r="G125" s="39"/>
      <c r="H125" s="179"/>
      <c r="I125" s="39"/>
    </row>
    <row r="126" spans="2:9" x14ac:dyDescent="0.25">
      <c r="B126" s="164"/>
      <c r="C126" s="10"/>
      <c r="D126" s="39"/>
      <c r="E126" s="39"/>
      <c r="F126" s="39"/>
      <c r="G126" s="39"/>
      <c r="H126" s="179"/>
      <c r="I126" s="39"/>
    </row>
    <row r="127" spans="2:9" x14ac:dyDescent="0.25">
      <c r="B127" s="164"/>
      <c r="C127" s="10"/>
      <c r="D127" s="39"/>
      <c r="E127" s="39"/>
      <c r="F127" s="39"/>
      <c r="G127" s="39"/>
      <c r="H127" s="179"/>
      <c r="I127" s="39"/>
    </row>
    <row r="128" spans="2:9" x14ac:dyDescent="0.25">
      <c r="B128" s="164"/>
      <c r="C128" s="10"/>
      <c r="D128" s="39"/>
      <c r="E128" s="39"/>
      <c r="F128" s="39"/>
      <c r="G128" s="39"/>
      <c r="H128" s="179"/>
      <c r="I128" s="39"/>
    </row>
    <row r="129" spans="2:9" x14ac:dyDescent="0.25">
      <c r="B129" s="164"/>
      <c r="C129" s="10"/>
      <c r="D129" s="39"/>
      <c r="E129" s="39"/>
      <c r="F129" s="39"/>
      <c r="G129" s="39"/>
      <c r="H129" s="179"/>
      <c r="I129" s="39"/>
    </row>
    <row r="130" spans="2:9" x14ac:dyDescent="0.25">
      <c r="B130" s="164"/>
      <c r="C130" s="10"/>
      <c r="D130" s="39"/>
      <c r="E130" s="39"/>
      <c r="F130" s="39"/>
      <c r="G130" s="39"/>
      <c r="H130" s="179"/>
      <c r="I130" s="39"/>
    </row>
    <row r="131" spans="2:9" x14ac:dyDescent="0.25">
      <c r="B131" s="164"/>
      <c r="C131" s="10"/>
      <c r="D131" s="39"/>
      <c r="E131" s="39"/>
      <c r="F131" s="39"/>
      <c r="G131" s="39"/>
      <c r="H131" s="179"/>
      <c r="I131" s="39"/>
    </row>
    <row r="132" spans="2:9" x14ac:dyDescent="0.25">
      <c r="B132" s="164"/>
      <c r="C132" s="10"/>
      <c r="D132" s="39"/>
      <c r="E132" s="39"/>
      <c r="F132" s="39"/>
      <c r="G132" s="39"/>
      <c r="H132" s="179"/>
      <c r="I132" s="39"/>
    </row>
    <row r="133" spans="2:9" x14ac:dyDescent="0.25">
      <c r="B133" s="164"/>
      <c r="C133" s="10"/>
      <c r="D133" s="39"/>
      <c r="E133" s="39"/>
      <c r="F133" s="39"/>
      <c r="G133" s="39"/>
      <c r="H133" s="179"/>
      <c r="I133" s="39"/>
    </row>
    <row r="134" spans="2:9" x14ac:dyDescent="0.25">
      <c r="B134" s="164"/>
      <c r="C134" s="10"/>
      <c r="D134" s="39"/>
      <c r="E134" s="39"/>
      <c r="F134" s="39"/>
      <c r="G134" s="39"/>
      <c r="H134" s="179"/>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395" priority="87">
      <formula>F29&gt;0</formula>
    </cfRule>
    <cfRule type="expression" dxfId="394" priority="88">
      <formula>F29&lt;0</formula>
    </cfRule>
  </conditionalFormatting>
  <conditionalFormatting sqref="F57:F64 F66">
    <cfRule type="expression" dxfId="393" priority="83">
      <formula>F57&gt;0</formula>
    </cfRule>
    <cfRule type="expression" dxfId="392" priority="84">
      <formula>F57&lt;0</formula>
    </cfRule>
  </conditionalFormatting>
  <conditionalFormatting sqref="F57:F64 F66">
    <cfRule type="expression" dxfId="391" priority="85">
      <formula>F57&gt;0</formula>
    </cfRule>
    <cfRule type="expression" dxfId="390" priority="86">
      <formula>F57&lt;0</formula>
    </cfRule>
  </conditionalFormatting>
  <conditionalFormatting sqref="H57:H64 H66">
    <cfRule type="expression" dxfId="389" priority="81">
      <formula>H57&gt;0</formula>
    </cfRule>
    <cfRule type="expression" dxfId="388" priority="82">
      <formula>H57&lt;0</formula>
    </cfRule>
  </conditionalFormatting>
  <conditionalFormatting sqref="Q7">
    <cfRule type="expression" dxfId="387" priority="63">
      <formula>Q7&gt;0</formula>
    </cfRule>
    <cfRule type="expression" dxfId="386" priority="64">
      <formula>Q7&lt;0</formula>
    </cfRule>
  </conditionalFormatting>
  <conditionalFormatting sqref="Q8">
    <cfRule type="expression" dxfId="385" priority="61">
      <formula>Q8&gt;0</formula>
    </cfRule>
    <cfRule type="expression" dxfId="384" priority="62">
      <formula>Q8&lt;0</formula>
    </cfRule>
  </conditionalFormatting>
  <conditionalFormatting sqref="F93:F97 H93:H97 H99:H124 F99:F124">
    <cfRule type="expression" dxfId="383" priority="33">
      <formula>F93&gt;0</formula>
    </cfRule>
    <cfRule type="expression" dxfId="382" priority="34">
      <formula>F93&lt;0</formula>
    </cfRule>
  </conditionalFormatting>
  <conditionalFormatting sqref="F125:F132 F134">
    <cfRule type="expression" dxfId="381" priority="31">
      <formula>F125&gt;0</formula>
    </cfRule>
    <cfRule type="expression" dxfId="380" priority="32">
      <formula>F125&lt;0</formula>
    </cfRule>
  </conditionalFormatting>
  <conditionalFormatting sqref="M67">
    <cfRule type="expression" dxfId="379" priority="43">
      <formula>M67&gt;0</formula>
    </cfRule>
    <cfRule type="expression" dxfId="378" priority="44">
      <formula>M67&lt;0</formula>
    </cfRule>
  </conditionalFormatting>
  <conditionalFormatting sqref="F65">
    <cfRule type="expression" dxfId="377" priority="39">
      <formula>F65&gt;0</formula>
    </cfRule>
    <cfRule type="expression" dxfId="376" priority="40">
      <formula>F65&lt;0</formula>
    </cfRule>
  </conditionalFormatting>
  <conditionalFormatting sqref="F65">
    <cfRule type="expression" dxfId="375" priority="41">
      <formula>F65&gt;0</formula>
    </cfRule>
    <cfRule type="expression" dxfId="374" priority="42">
      <formula>F65&lt;0</formula>
    </cfRule>
  </conditionalFormatting>
  <conditionalFormatting sqref="H65">
    <cfRule type="expression" dxfId="373" priority="37">
      <formula>H65&gt;0</formula>
    </cfRule>
    <cfRule type="expression" dxfId="372" priority="38">
      <formula>H65&lt;0</formula>
    </cfRule>
  </conditionalFormatting>
  <conditionalFormatting sqref="F125:F132 F134">
    <cfRule type="expression" dxfId="371" priority="29">
      <formula>F125&gt;0</formula>
    </cfRule>
    <cfRule type="expression" dxfId="370" priority="30">
      <formula>F125&lt;0</formula>
    </cfRule>
  </conditionalFormatting>
  <conditionalFormatting sqref="H125:H132 H134">
    <cfRule type="expression" dxfId="369" priority="27">
      <formula>H125&gt;0</formula>
    </cfRule>
    <cfRule type="expression" dxfId="368" priority="28">
      <formula>H125&lt;0</formula>
    </cfRule>
  </conditionalFormatting>
  <conditionalFormatting sqref="F92">
    <cfRule type="expression" dxfId="367" priority="25">
      <formula>F92&gt;0</formula>
    </cfRule>
    <cfRule type="expression" dxfId="366" priority="26">
      <formula>F92&lt;0</formula>
    </cfRule>
  </conditionalFormatting>
  <conditionalFormatting sqref="H92">
    <cfRule type="expression" dxfId="365" priority="23">
      <formula>H92&gt;0</formula>
    </cfRule>
    <cfRule type="expression" dxfId="364" priority="24">
      <formula>H92&lt;0</formula>
    </cfRule>
  </conditionalFormatting>
  <conditionalFormatting sqref="F133">
    <cfRule type="expression" dxfId="363" priority="19">
      <formula>F133&gt;0</formula>
    </cfRule>
    <cfRule type="expression" dxfId="362" priority="20">
      <formula>F133&lt;0</formula>
    </cfRule>
  </conditionalFormatting>
  <conditionalFormatting sqref="F133">
    <cfRule type="expression" dxfId="361" priority="21">
      <formula>F133&gt;0</formula>
    </cfRule>
    <cfRule type="expression" dxfId="360" priority="22">
      <formula>F133&lt;0</formula>
    </cfRule>
  </conditionalFormatting>
  <conditionalFormatting sqref="H133">
    <cfRule type="expression" dxfId="359" priority="17">
      <formula>H133&gt;0</formula>
    </cfRule>
    <cfRule type="expression" dxfId="358" priority="18">
      <formula>H133&lt;0</formula>
    </cfRule>
  </conditionalFormatting>
  <conditionalFormatting sqref="F98 H98">
    <cfRule type="expression" dxfId="357" priority="15">
      <formula>F98&gt;0</formula>
    </cfRule>
    <cfRule type="expression" dxfId="356" priority="16">
      <formula>F98&lt;0</formula>
    </cfRule>
  </conditionalFormatting>
  <conditionalFormatting sqref="J25:J66">
    <cfRule type="expression" dxfId="355" priority="13">
      <formula>J25&gt;0</formula>
    </cfRule>
    <cfRule type="expression" dxfId="354" priority="14">
      <formula>J25&lt;0</formula>
    </cfRule>
  </conditionalFormatting>
  <conditionalFormatting sqref="K41 K45:K66">
    <cfRule type="expression" dxfId="353" priority="11">
      <formula>K41&gt;0</formula>
    </cfRule>
    <cfRule type="expression" dxfId="352" priority="12">
      <formula>K41&lt;0</formula>
    </cfRule>
  </conditionalFormatting>
  <conditionalFormatting sqref="L25">
    <cfRule type="expression" dxfId="351" priority="9">
      <formula>L25&gt;0</formula>
    </cfRule>
    <cfRule type="expression" dxfId="350" priority="10">
      <formula>L25&lt;0</formula>
    </cfRule>
  </conditionalFormatting>
  <conditionalFormatting sqref="F25:F28">
    <cfRule type="expression" dxfId="349" priority="7">
      <formula>F25&gt;0</formula>
    </cfRule>
    <cfRule type="expression" dxfId="348" priority="8">
      <formula>F25&lt;0</formula>
    </cfRule>
  </conditionalFormatting>
  <conditionalFormatting sqref="H25:H28">
    <cfRule type="expression" dxfId="347" priority="5">
      <formula>H25&gt;0</formula>
    </cfRule>
    <cfRule type="expression" dxfId="346"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8">
        <v>43140</v>
      </c>
      <c r="C2" s="7">
        <v>100</v>
      </c>
      <c r="D2" s="43">
        <v>49.58</v>
      </c>
      <c r="E2" s="43">
        <v>0</v>
      </c>
      <c r="F2" s="43">
        <f t="shared" ref="F2:F8" si="0">C2*D2+E2</f>
        <v>4958</v>
      </c>
      <c r="G2" s="368">
        <v>43140</v>
      </c>
      <c r="H2" s="7">
        <v>100</v>
      </c>
      <c r="I2" s="43">
        <v>55.78</v>
      </c>
      <c r="J2" s="43">
        <v>0.13</v>
      </c>
      <c r="K2" s="43">
        <f t="shared" ref="K2:K7" si="1">H2*I2-J2</f>
        <v>5577.87</v>
      </c>
      <c r="L2" s="72">
        <v>43176</v>
      </c>
      <c r="M2" s="43">
        <v>30.5</v>
      </c>
      <c r="O2" s="11" t="s">
        <v>57</v>
      </c>
      <c r="Q2">
        <f>C29-H29</f>
        <v>0</v>
      </c>
      <c r="T2" s="1" t="s">
        <v>196</v>
      </c>
    </row>
    <row r="3" spans="1:21" x14ac:dyDescent="0.25">
      <c r="A3" s="22" t="s">
        <v>71</v>
      </c>
      <c r="B3" s="368">
        <v>43229</v>
      </c>
      <c r="C3" s="7">
        <v>50</v>
      </c>
      <c r="D3" s="43">
        <v>51.55</v>
      </c>
      <c r="E3" s="43">
        <v>0</v>
      </c>
      <c r="F3" s="43">
        <f t="shared" si="0"/>
        <v>2577.5</v>
      </c>
      <c r="G3" s="368">
        <v>43291</v>
      </c>
      <c r="H3" s="7">
        <v>50</v>
      </c>
      <c r="I3" s="43">
        <v>50.62</v>
      </c>
      <c r="J3" s="43">
        <v>0.03</v>
      </c>
      <c r="K3" s="43">
        <f t="shared" si="1"/>
        <v>2530.9699999999998</v>
      </c>
      <c r="L3" s="72">
        <v>43252</v>
      </c>
      <c r="M3" s="43">
        <v>30.5</v>
      </c>
      <c r="O3" s="11" t="s">
        <v>58</v>
      </c>
      <c r="Q3" s="178">
        <f>IF(Q2=0, Q4, (F29-K29-M29)/Q2)</f>
        <v>50.27</v>
      </c>
      <c r="T3" s="29">
        <v>42565</v>
      </c>
      <c r="U3" t="s">
        <v>227</v>
      </c>
    </row>
    <row r="4" spans="1:21" x14ac:dyDescent="0.25">
      <c r="B4" s="368">
        <v>43229</v>
      </c>
      <c r="C4" s="7">
        <v>50</v>
      </c>
      <c r="D4" s="43">
        <v>51.55</v>
      </c>
      <c r="E4" s="43">
        <v>0</v>
      </c>
      <c r="F4" s="43">
        <f t="shared" si="0"/>
        <v>2577.5</v>
      </c>
      <c r="G4" s="368">
        <v>43298</v>
      </c>
      <c r="H4" s="80">
        <v>50</v>
      </c>
      <c r="I4" s="43">
        <v>51.75</v>
      </c>
      <c r="J4" s="43">
        <v>0.03</v>
      </c>
      <c r="K4" s="43">
        <f t="shared" si="1"/>
        <v>2587.4699999999998</v>
      </c>
      <c r="L4" s="72">
        <v>43328</v>
      </c>
      <c r="M4" s="43">
        <v>35</v>
      </c>
      <c r="O4" s="11" t="s">
        <v>66</v>
      </c>
      <c r="Q4" s="172">
        <v>50.27</v>
      </c>
      <c r="R4" s="424">
        <v>-5.5999999999999999E-3</v>
      </c>
      <c r="T4" s="29">
        <v>42568</v>
      </c>
      <c r="U4" t="s">
        <v>236</v>
      </c>
    </row>
    <row r="5" spans="1:21" x14ac:dyDescent="0.25">
      <c r="A5" t="s">
        <v>1176</v>
      </c>
      <c r="B5" s="368">
        <v>43278</v>
      </c>
      <c r="C5" s="7">
        <v>50</v>
      </c>
      <c r="D5" s="43">
        <v>49.88</v>
      </c>
      <c r="E5" s="43">
        <v>0</v>
      </c>
      <c r="F5" s="43">
        <f t="shared" si="0"/>
        <v>2494</v>
      </c>
      <c r="G5" s="368">
        <v>43299</v>
      </c>
      <c r="H5" s="80">
        <v>50</v>
      </c>
      <c r="I5" s="43">
        <v>52.5</v>
      </c>
      <c r="J5" s="43">
        <v>0.03</v>
      </c>
      <c r="K5" s="43">
        <f t="shared" si="1"/>
        <v>2624.97</v>
      </c>
      <c r="L5" s="72">
        <v>43432</v>
      </c>
      <c r="M5" s="43">
        <v>35</v>
      </c>
      <c r="O5" s="11" t="s">
        <v>67</v>
      </c>
      <c r="Q5" s="3">
        <f>Q4*Q2</f>
        <v>0</v>
      </c>
      <c r="T5" s="29">
        <v>42592</v>
      </c>
      <c r="U5" t="s">
        <v>254</v>
      </c>
    </row>
    <row r="6" spans="1:21" x14ac:dyDescent="0.25">
      <c r="B6" s="368">
        <v>43279</v>
      </c>
      <c r="C6" s="7">
        <v>50</v>
      </c>
      <c r="D6" s="43">
        <v>49.08</v>
      </c>
      <c r="E6" s="43">
        <v>0</v>
      </c>
      <c r="F6" s="43">
        <f t="shared" si="0"/>
        <v>2454</v>
      </c>
      <c r="G6" s="368">
        <v>43327</v>
      </c>
      <c r="H6" s="80">
        <v>100</v>
      </c>
      <c r="I6" s="43">
        <v>55.48</v>
      </c>
      <c r="J6" s="43">
        <v>7.0000000000000007E-2</v>
      </c>
      <c r="K6" s="43">
        <f t="shared" si="1"/>
        <v>5547.93</v>
      </c>
      <c r="L6" s="4"/>
      <c r="M6" s="4"/>
      <c r="O6" s="11" t="s">
        <v>64</v>
      </c>
      <c r="Q6" s="2">
        <f>Q3*Q2</f>
        <v>0</v>
      </c>
      <c r="T6" s="29">
        <v>42647</v>
      </c>
      <c r="U6" t="s">
        <v>258</v>
      </c>
    </row>
    <row r="7" spans="1:21" x14ac:dyDescent="0.25">
      <c r="B7" s="368">
        <v>43292</v>
      </c>
      <c r="C7" s="7">
        <v>50</v>
      </c>
      <c r="D7" s="43">
        <v>49.02</v>
      </c>
      <c r="E7" s="43">
        <v>0</v>
      </c>
      <c r="F7" s="43">
        <f t="shared" si="0"/>
        <v>2451</v>
      </c>
      <c r="G7" s="368">
        <v>43427</v>
      </c>
      <c r="H7" s="80">
        <v>100</v>
      </c>
      <c r="I7" s="43">
        <v>57.29</v>
      </c>
      <c r="J7" s="43">
        <v>7.0000000000000007E-2</v>
      </c>
      <c r="K7" s="43">
        <f t="shared" si="1"/>
        <v>5728.93</v>
      </c>
      <c r="L7" s="4"/>
      <c r="M7" s="4"/>
      <c r="O7" s="11" t="s">
        <v>177</v>
      </c>
      <c r="Q7" s="2">
        <f>Q10+Q8</f>
        <v>3427.6099999999965</v>
      </c>
      <c r="R7">
        <v>0</v>
      </c>
    </row>
    <row r="8" spans="1:21" x14ac:dyDescent="0.25">
      <c r="B8" s="368">
        <v>43383</v>
      </c>
      <c r="C8" s="7">
        <v>100</v>
      </c>
      <c r="D8" s="43">
        <v>49.88</v>
      </c>
      <c r="E8" s="43">
        <v>0</v>
      </c>
      <c r="F8" s="43">
        <f t="shared" si="0"/>
        <v>4988</v>
      </c>
      <c r="G8" s="72"/>
      <c r="H8" s="161"/>
      <c r="I8" s="3"/>
      <c r="J8" s="3"/>
      <c r="K8" s="3"/>
      <c r="L8" s="4"/>
      <c r="M8" s="4"/>
      <c r="O8" s="11" t="s">
        <v>179</v>
      </c>
      <c r="P8" s="33"/>
      <c r="Q8" s="2">
        <f>K29+M29-F29+Q2*Q4</f>
        <v>2229.1399999999994</v>
      </c>
      <c r="R8" s="345"/>
      <c r="T8" s="29">
        <v>43202</v>
      </c>
      <c r="U8" t="s">
        <v>972</v>
      </c>
    </row>
    <row r="9" spans="1:21" x14ac:dyDescent="0.25">
      <c r="B9" s="72"/>
      <c r="C9" s="4"/>
      <c r="D9" s="3"/>
      <c r="E9" s="3"/>
      <c r="F9" s="3"/>
      <c r="G9" s="213"/>
      <c r="H9" s="4"/>
      <c r="I9" s="3"/>
      <c r="J9" s="3"/>
      <c r="K9" s="3"/>
      <c r="L9" s="4"/>
      <c r="M9" s="4"/>
      <c r="O9" s="11" t="s">
        <v>204</v>
      </c>
      <c r="Q9" s="134">
        <f>IF(Q2=0, 0, Q8/Q6)</f>
        <v>0</v>
      </c>
      <c r="T9" s="29"/>
      <c r="U9" s="405" t="s">
        <v>973</v>
      </c>
    </row>
    <row r="10" spans="1:21" x14ac:dyDescent="0.25">
      <c r="B10" s="72"/>
      <c r="C10" s="4"/>
      <c r="D10" s="3"/>
      <c r="E10" s="3"/>
      <c r="F10" s="3"/>
      <c r="G10" s="72"/>
      <c r="H10" s="310"/>
      <c r="I10" s="73"/>
      <c r="J10" s="73"/>
      <c r="K10" s="73"/>
      <c r="L10" s="4"/>
      <c r="M10" s="4"/>
      <c r="O10" s="11" t="s">
        <v>203</v>
      </c>
      <c r="P10" s="33"/>
      <c r="Q10" s="2">
        <f>M104 + M126</f>
        <v>1198.4699999999971</v>
      </c>
      <c r="T10" s="29"/>
    </row>
    <row r="11" spans="1:21" x14ac:dyDescent="0.25">
      <c r="B11" s="72"/>
      <c r="C11" s="4"/>
      <c r="D11" s="3"/>
      <c r="E11" s="3"/>
      <c r="F11" s="3"/>
      <c r="G11" s="72"/>
      <c r="H11" s="161"/>
      <c r="I11" s="3"/>
      <c r="J11" s="3"/>
      <c r="K11" s="73"/>
      <c r="L11" s="4"/>
      <c r="M11" s="4"/>
      <c r="O11" s="11" t="s">
        <v>175</v>
      </c>
      <c r="P11" s="33"/>
      <c r="Q11" s="134">
        <f>R11*4/Q4</f>
        <v>2.4268947682514419E-2</v>
      </c>
      <c r="R11">
        <f>0.305</f>
        <v>0.30499999999999999</v>
      </c>
      <c r="T11" s="29">
        <v>43257</v>
      </c>
      <c r="U11" t="s">
        <v>1091</v>
      </c>
    </row>
    <row r="12" spans="1:21" x14ac:dyDescent="0.25">
      <c r="B12" s="72"/>
      <c r="C12" s="4"/>
      <c r="D12" s="3"/>
      <c r="E12" s="3"/>
      <c r="F12" s="3"/>
      <c r="G12" s="72"/>
      <c r="H12" s="161"/>
      <c r="I12" s="3"/>
      <c r="J12" s="3"/>
      <c r="K12" s="3"/>
      <c r="L12" s="4"/>
      <c r="M12" s="4"/>
      <c r="O12" s="11" t="s">
        <v>969</v>
      </c>
      <c r="Q12" s="1"/>
      <c r="T12" s="29"/>
    </row>
    <row r="13" spans="1:21" x14ac:dyDescent="0.25">
      <c r="B13" s="72"/>
      <c r="C13" s="4"/>
      <c r="D13" s="3"/>
      <c r="E13" s="3"/>
      <c r="F13" s="3"/>
      <c r="G13" s="72"/>
      <c r="H13" s="161"/>
      <c r="I13" s="3"/>
      <c r="J13" s="3"/>
      <c r="K13" s="3"/>
      <c r="L13" s="4"/>
      <c r="M13" s="4"/>
      <c r="O13" s="11" t="s">
        <v>947</v>
      </c>
      <c r="Q13" s="2">
        <f>Q4/(5.35+5.7)*2</f>
        <v>9.0986425339366512</v>
      </c>
      <c r="T13" s="29">
        <v>43288</v>
      </c>
      <c r="U13" t="s">
        <v>1140</v>
      </c>
    </row>
    <row r="14" spans="1:21" x14ac:dyDescent="0.25">
      <c r="B14" s="72"/>
      <c r="C14" s="4"/>
      <c r="D14" s="3"/>
      <c r="E14" s="3"/>
      <c r="F14" s="3"/>
      <c r="G14" s="72"/>
      <c r="H14" s="161"/>
      <c r="I14" s="3"/>
      <c r="J14" s="3"/>
      <c r="K14" s="3"/>
      <c r="L14" s="4"/>
      <c r="M14" s="4"/>
      <c r="T14" s="29"/>
      <c r="U14" t="s">
        <v>1142</v>
      </c>
    </row>
    <row r="15" spans="1:21" x14ac:dyDescent="0.25">
      <c r="B15" s="72"/>
      <c r="C15" s="4"/>
      <c r="D15" s="3"/>
      <c r="E15" s="3"/>
      <c r="F15" s="3"/>
      <c r="G15" s="72"/>
      <c r="H15" s="161"/>
      <c r="I15" s="3"/>
      <c r="J15" s="3"/>
      <c r="K15" s="3"/>
      <c r="L15" s="4"/>
      <c r="M15" s="4"/>
      <c r="T15" s="29"/>
      <c r="U15" t="s">
        <v>1141</v>
      </c>
    </row>
    <row r="16" spans="1:21" x14ac:dyDescent="0.25">
      <c r="B16" s="72"/>
      <c r="C16" s="4"/>
      <c r="D16" s="3"/>
      <c r="E16" s="3"/>
      <c r="F16" s="3"/>
      <c r="G16" s="72"/>
      <c r="H16" s="161"/>
      <c r="I16" s="3"/>
      <c r="J16" s="3"/>
      <c r="K16" s="3"/>
      <c r="L16" s="4"/>
      <c r="M16" s="4"/>
      <c r="T16" s="29"/>
      <c r="U16" t="s">
        <v>1143</v>
      </c>
    </row>
    <row r="17" spans="1:21" x14ac:dyDescent="0.25">
      <c r="B17" s="72"/>
      <c r="C17" s="4"/>
      <c r="D17" s="3"/>
      <c r="E17" s="3"/>
      <c r="F17" s="3"/>
      <c r="G17" s="4"/>
      <c r="H17" s="4"/>
      <c r="I17" s="3"/>
      <c r="J17" s="3"/>
      <c r="K17" s="3"/>
      <c r="L17" s="4"/>
      <c r="M17" s="4"/>
      <c r="T17" s="29"/>
      <c r="U17" t="s">
        <v>1144</v>
      </c>
    </row>
    <row r="18" spans="1:21" x14ac:dyDescent="0.25">
      <c r="B18" s="72"/>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1145</v>
      </c>
    </row>
    <row r="21" spans="1:21" x14ac:dyDescent="0.25">
      <c r="B21" s="4"/>
      <c r="C21" s="4"/>
      <c r="D21" s="3"/>
      <c r="E21" s="3"/>
      <c r="F21" s="3"/>
      <c r="G21" s="4"/>
      <c r="H21" s="4"/>
      <c r="I21" s="3"/>
      <c r="J21" s="3"/>
      <c r="K21" s="3"/>
      <c r="L21" s="4"/>
      <c r="M21" s="4"/>
      <c r="U21" t="s">
        <v>1164</v>
      </c>
    </row>
    <row r="23" spans="1:21" x14ac:dyDescent="0.25">
      <c r="T23" s="693">
        <v>43298</v>
      </c>
      <c r="U23" t="s">
        <v>1175</v>
      </c>
    </row>
    <row r="24" spans="1:21" x14ac:dyDescent="0.25">
      <c r="T24" s="708"/>
    </row>
    <row r="25" spans="1:21" x14ac:dyDescent="0.25">
      <c r="T25" s="693">
        <v>43307</v>
      </c>
      <c r="U25" t="s">
        <v>1171</v>
      </c>
    </row>
    <row r="26" spans="1:21" x14ac:dyDescent="0.25">
      <c r="T26" s="67"/>
    </row>
    <row r="28" spans="1:21" x14ac:dyDescent="0.25">
      <c r="H28" s="70"/>
    </row>
    <row r="29" spans="1:21" x14ac:dyDescent="0.25">
      <c r="A29" s="31" t="s">
        <v>81</v>
      </c>
      <c r="B29" s="14"/>
      <c r="C29" s="14">
        <f>SUM(C2:C19)</f>
        <v>450</v>
      </c>
      <c r="D29" s="18"/>
      <c r="E29" s="18"/>
      <c r="F29" s="18">
        <f>SUM(F2:F19)</f>
        <v>22500</v>
      </c>
      <c r="G29" s="14"/>
      <c r="H29" s="71">
        <f>SUM(H2:H28)</f>
        <v>450</v>
      </c>
      <c r="I29" s="18"/>
      <c r="J29" s="18"/>
      <c r="K29" s="18">
        <f>SUM(K2:K28)</f>
        <v>24598.14</v>
      </c>
      <c r="L29" s="14"/>
      <c r="M29" s="18">
        <f>SUM(M2:M28)</f>
        <v>131</v>
      </c>
    </row>
    <row r="30" spans="1:21" ht="15.75" thickBot="1" x14ac:dyDescent="0.3">
      <c r="A30" s="277" t="s">
        <v>191</v>
      </c>
      <c r="B30" s="278"/>
      <c r="C30" s="279">
        <f>SumByColor($A$30,C2:C28)</f>
        <v>450</v>
      </c>
      <c r="D30" s="279"/>
      <c r="E30" s="279"/>
      <c r="F30" s="280">
        <f>SumByColor($A$30,F2:F28)</f>
        <v>22501</v>
      </c>
      <c r="G30" s="279"/>
      <c r="H30" s="279">
        <f>SumByColor($A$30,H2:H28)</f>
        <v>450</v>
      </c>
      <c r="I30" s="279"/>
      <c r="J30" s="279"/>
      <c r="K30" s="280">
        <f>SumByColor($A$30,K2:K28)</f>
        <v>24598</v>
      </c>
      <c r="L30" s="279"/>
      <c r="M30" s="280">
        <f>SumByColor($A$30,M2:M28)</f>
        <v>130</v>
      </c>
    </row>
    <row r="35" spans="1:17" x14ac:dyDescent="0.25">
      <c r="B35" s="162" t="s">
        <v>113</v>
      </c>
      <c r="C35" s="162" t="s">
        <v>145</v>
      </c>
      <c r="D35" s="163" t="s">
        <v>144</v>
      </c>
      <c r="E35" s="165" t="s">
        <v>146</v>
      </c>
      <c r="F35" s="165" t="s">
        <v>65</v>
      </c>
      <c r="G35" s="177" t="s">
        <v>150</v>
      </c>
      <c r="H35" s="177" t="s">
        <v>88</v>
      </c>
      <c r="I35" s="177" t="s">
        <v>153</v>
      </c>
      <c r="J35" s="177" t="s">
        <v>149</v>
      </c>
    </row>
    <row r="36" spans="1:17" x14ac:dyDescent="0.25">
      <c r="B36" s="164">
        <v>43140</v>
      </c>
      <c r="C36" s="10">
        <v>100</v>
      </c>
      <c r="D36" s="171">
        <v>49.58</v>
      </c>
      <c r="E36" s="39">
        <v>50.46</v>
      </c>
      <c r="F36" s="39">
        <f>C36*(E36-D36)</f>
        <v>88.000000000000256</v>
      </c>
      <c r="G36" s="39">
        <f>D36*C36</f>
        <v>4958</v>
      </c>
      <c r="H36" s="179">
        <f>(E36-D36)/D36</f>
        <v>1.7749092375958099E-2</v>
      </c>
      <c r="I36" s="39"/>
      <c r="J36" s="39"/>
    </row>
    <row r="37" spans="1:17" x14ac:dyDescent="0.25">
      <c r="B37" s="164">
        <v>43172</v>
      </c>
      <c r="C37" s="10">
        <v>100</v>
      </c>
      <c r="D37" s="171">
        <v>49.58</v>
      </c>
      <c r="E37" s="39">
        <v>56.59</v>
      </c>
      <c r="F37" s="39">
        <f>C37*(E37-D37)</f>
        <v>701.00000000000045</v>
      </c>
      <c r="G37" s="39">
        <f>D37*C37</f>
        <v>4958</v>
      </c>
      <c r="H37" s="179">
        <f>(E37-D37)/D37</f>
        <v>0.14138765631302955</v>
      </c>
      <c r="I37" s="39"/>
      <c r="J37" s="39"/>
    </row>
    <row r="38" spans="1:17" x14ac:dyDescent="0.25">
      <c r="B38" s="164">
        <v>43184</v>
      </c>
      <c r="C38" s="10">
        <v>100</v>
      </c>
      <c r="D38" s="171">
        <v>49.58</v>
      </c>
      <c r="E38" s="39">
        <v>53.9</v>
      </c>
      <c r="F38" s="39">
        <f>C38*(E38-D38)</f>
        <v>432</v>
      </c>
      <c r="G38" s="39">
        <f>D38*C38</f>
        <v>4958</v>
      </c>
      <c r="H38" s="179">
        <f>(E38-D38)/D38</f>
        <v>8.7131908027430427E-2</v>
      </c>
      <c r="I38" s="39"/>
      <c r="J38" s="39">
        <v>1661</v>
      </c>
    </row>
    <row r="39" spans="1:17" x14ac:dyDescent="0.25">
      <c r="B39" s="164">
        <v>43185</v>
      </c>
      <c r="C39" s="10">
        <v>100</v>
      </c>
      <c r="D39" s="171">
        <v>49.58</v>
      </c>
      <c r="E39" s="39">
        <v>55.06</v>
      </c>
      <c r="F39" s="39">
        <f t="shared" ref="F39:F51" si="2">C39*(E39-D39)</f>
        <v>548.00000000000045</v>
      </c>
      <c r="G39" s="39">
        <f>D39*C39</f>
        <v>4958</v>
      </c>
      <c r="H39" s="179">
        <f>(E39-D39)/D39</f>
        <v>0.11052843888664793</v>
      </c>
      <c r="I39" s="39"/>
      <c r="J39" s="39">
        <v>1777</v>
      </c>
    </row>
    <row r="40" spans="1:17" x14ac:dyDescent="0.25">
      <c r="B40" s="164"/>
      <c r="C40" s="10"/>
      <c r="D40" s="39"/>
      <c r="E40" s="39"/>
      <c r="F40" s="39"/>
      <c r="G40" s="39"/>
      <c r="H40" s="179"/>
      <c r="I40" s="39"/>
      <c r="J40" s="39"/>
    </row>
    <row r="41" spans="1:17" x14ac:dyDescent="0.25">
      <c r="A41">
        <v>0</v>
      </c>
      <c r="B41" s="164">
        <v>43229</v>
      </c>
      <c r="C41" s="185">
        <v>100</v>
      </c>
      <c r="D41" s="186">
        <v>45.046300000000002</v>
      </c>
      <c r="E41" s="39">
        <v>51.62</v>
      </c>
      <c r="F41" s="39">
        <f t="shared" si="2"/>
        <v>657.36999999999955</v>
      </c>
      <c r="G41" s="39">
        <f>D41*C41</f>
        <v>4504.63</v>
      </c>
      <c r="H41" s="179">
        <f>(E41-D41)/D41</f>
        <v>0.14593207433240898</v>
      </c>
      <c r="I41" s="39"/>
      <c r="J41" s="39">
        <v>1856</v>
      </c>
      <c r="Q41" s="2"/>
    </row>
    <row r="42" spans="1:17" ht="20.25" thickBot="1" x14ac:dyDescent="0.35">
      <c r="B42" s="164">
        <v>43252</v>
      </c>
      <c r="C42" s="10">
        <v>100</v>
      </c>
      <c r="D42" s="39">
        <v>44.741</v>
      </c>
      <c r="E42" s="39">
        <v>54.42</v>
      </c>
      <c r="F42" s="39">
        <f t="shared" si="2"/>
        <v>967.9000000000002</v>
      </c>
      <c r="G42" s="39">
        <f t="shared" ref="G42:G51" si="3">D42*C42</f>
        <v>4474.1000000000004</v>
      </c>
      <c r="H42" s="179">
        <f t="shared" ref="H42:H51" si="4">(E42-D42)/D42</f>
        <v>0.21633401130953717</v>
      </c>
      <c r="I42" s="39"/>
      <c r="J42" s="39">
        <v>2166</v>
      </c>
      <c r="O42" s="884" t="s">
        <v>78</v>
      </c>
      <c r="P42" s="884"/>
      <c r="Q42" s="2"/>
    </row>
    <row r="43" spans="1:17" ht="15.75" thickTop="1" x14ac:dyDescent="0.25">
      <c r="A43">
        <v>100</v>
      </c>
      <c r="B43" s="164">
        <v>43276</v>
      </c>
      <c r="C43" s="10">
        <v>100</v>
      </c>
      <c r="D43" s="39">
        <v>44.74</v>
      </c>
      <c r="E43" s="39">
        <v>51.3</v>
      </c>
      <c r="F43" s="39">
        <f t="shared" si="2"/>
        <v>655.99999999999955</v>
      </c>
      <c r="G43" s="39">
        <f t="shared" si="3"/>
        <v>4474</v>
      </c>
      <c r="H43" s="179">
        <f t="shared" si="4"/>
        <v>0.1466249441215913</v>
      </c>
      <c r="I43" s="39"/>
      <c r="J43" s="39">
        <v>1855</v>
      </c>
      <c r="O43" s="81">
        <v>1.1000000000000001</v>
      </c>
      <c r="P43" s="81">
        <f>O43*$Q$4</f>
        <v>55.297000000000011</v>
      </c>
      <c r="Q43" s="2"/>
    </row>
    <row r="44" spans="1:17" x14ac:dyDescent="0.25">
      <c r="A44">
        <v>100</v>
      </c>
      <c r="B44" s="164">
        <v>43278</v>
      </c>
      <c r="C44" s="10">
        <v>150</v>
      </c>
      <c r="D44" s="39">
        <v>46.4542</v>
      </c>
      <c r="E44" s="39">
        <v>49.89</v>
      </c>
      <c r="F44" s="39">
        <f t="shared" si="2"/>
        <v>515.37000000000012</v>
      </c>
      <c r="G44" s="39">
        <f t="shared" si="3"/>
        <v>6968.13</v>
      </c>
      <c r="H44" s="179">
        <f t="shared" si="4"/>
        <v>7.3961019670987782E-2</v>
      </c>
      <c r="I44" s="39"/>
      <c r="J44" s="39">
        <v>1714</v>
      </c>
      <c r="O44" s="81">
        <v>1.0900000000000001</v>
      </c>
      <c r="P44" s="81">
        <f t="shared" ref="P44:P63" si="5">O44*$Q$4</f>
        <v>54.794300000000007</v>
      </c>
      <c r="Q44" s="2"/>
    </row>
    <row r="45" spans="1:17" x14ac:dyDescent="0.25">
      <c r="A45">
        <v>100</v>
      </c>
      <c r="B45" s="164">
        <v>43279</v>
      </c>
      <c r="C45" s="10">
        <v>200</v>
      </c>
      <c r="D45" s="39">
        <v>47.110700000000001</v>
      </c>
      <c r="E45" s="39">
        <v>49.8</v>
      </c>
      <c r="F45" s="39">
        <f t="shared" si="2"/>
        <v>537.85999999999922</v>
      </c>
      <c r="G45" s="39">
        <f t="shared" si="3"/>
        <v>9422.14</v>
      </c>
      <c r="H45" s="179">
        <f t="shared" si="4"/>
        <v>5.7084696257962537E-2</v>
      </c>
      <c r="I45" s="39"/>
      <c r="J45" s="39">
        <v>1736</v>
      </c>
      <c r="O45" s="81">
        <v>1.08</v>
      </c>
      <c r="P45" s="81">
        <f t="shared" si="5"/>
        <v>54.29160000000001</v>
      </c>
      <c r="Q45" s="2"/>
    </row>
    <row r="46" spans="1:17" x14ac:dyDescent="0.25">
      <c r="A46">
        <v>100</v>
      </c>
      <c r="B46" s="164">
        <v>43283</v>
      </c>
      <c r="C46" s="7">
        <v>200</v>
      </c>
      <c r="D46" s="43">
        <v>47.110700000000001</v>
      </c>
      <c r="E46" s="39">
        <v>49.92</v>
      </c>
      <c r="F46" s="39">
        <f t="shared" si="2"/>
        <v>561.86000000000013</v>
      </c>
      <c r="G46" s="39">
        <f t="shared" si="3"/>
        <v>9422.14</v>
      </c>
      <c r="H46" s="179">
        <f t="shared" si="4"/>
        <v>5.9631888297138447E-2</v>
      </c>
      <c r="I46" s="39"/>
      <c r="J46" s="39">
        <v>1760</v>
      </c>
      <c r="O46" s="81">
        <v>1.07</v>
      </c>
      <c r="P46" s="81">
        <f t="shared" si="5"/>
        <v>53.788900000000005</v>
      </c>
      <c r="Q46" s="2"/>
    </row>
    <row r="47" spans="1:17" x14ac:dyDescent="0.25">
      <c r="A47">
        <v>50</v>
      </c>
      <c r="B47" s="164">
        <v>43291</v>
      </c>
      <c r="C47" s="10">
        <v>150</v>
      </c>
      <c r="D47" s="39">
        <v>45.941099999999999</v>
      </c>
      <c r="E47" s="39">
        <v>50.62</v>
      </c>
      <c r="F47" s="39">
        <f t="shared" si="2"/>
        <v>701.83499999999981</v>
      </c>
      <c r="G47" s="39">
        <f t="shared" si="3"/>
        <v>6891.165</v>
      </c>
      <c r="H47" s="179">
        <f t="shared" si="4"/>
        <v>0.10184562407082109</v>
      </c>
      <c r="I47" s="39"/>
      <c r="J47" s="39">
        <v>1900</v>
      </c>
      <c r="O47" s="81">
        <v>1.06</v>
      </c>
      <c r="P47" s="81">
        <f t="shared" si="5"/>
        <v>53.286200000000008</v>
      </c>
      <c r="Q47" s="2"/>
    </row>
    <row r="48" spans="1:17" x14ac:dyDescent="0.25">
      <c r="A48">
        <v>50</v>
      </c>
      <c r="B48" s="164">
        <v>43292</v>
      </c>
      <c r="C48" s="7">
        <v>200</v>
      </c>
      <c r="D48" s="43">
        <v>46.71</v>
      </c>
      <c r="E48" s="39">
        <v>49.36</v>
      </c>
      <c r="F48" s="39">
        <f t="shared" si="2"/>
        <v>529.99999999999977</v>
      </c>
      <c r="G48" s="39">
        <f t="shared" si="3"/>
        <v>9342</v>
      </c>
      <c r="H48" s="179">
        <f t="shared" si="4"/>
        <v>5.6733033611646298E-2</v>
      </c>
      <c r="I48" s="39"/>
      <c r="J48" s="39">
        <v>1728</v>
      </c>
      <c r="O48" s="81">
        <v>1.05</v>
      </c>
      <c r="P48" s="81">
        <f t="shared" si="5"/>
        <v>52.783500000000004</v>
      </c>
      <c r="Q48" s="2"/>
    </row>
    <row r="49" spans="1:17" x14ac:dyDescent="0.25">
      <c r="A49">
        <v>50</v>
      </c>
      <c r="B49" s="164">
        <v>43295</v>
      </c>
      <c r="C49" s="218">
        <v>200</v>
      </c>
      <c r="D49" s="273">
        <v>46.71</v>
      </c>
      <c r="E49" s="39">
        <v>50.77</v>
      </c>
      <c r="F49" s="39">
        <f t="shared" si="2"/>
        <v>812.00000000000045</v>
      </c>
      <c r="G49" s="39">
        <f t="shared" si="3"/>
        <v>9342</v>
      </c>
      <c r="H49" s="179">
        <f t="shared" si="4"/>
        <v>8.6919289231428012E-2</v>
      </c>
      <c r="I49" s="39"/>
      <c r="J49" s="39">
        <v>2010</v>
      </c>
      <c r="O49" s="81">
        <v>1.04</v>
      </c>
      <c r="P49" s="81">
        <f t="shared" si="5"/>
        <v>52.280800000000006</v>
      </c>
      <c r="Q49" s="2"/>
    </row>
    <row r="50" spans="1:17" x14ac:dyDescent="0.25">
      <c r="A50">
        <v>0</v>
      </c>
      <c r="B50" s="164">
        <v>43298</v>
      </c>
      <c r="C50" s="218">
        <v>150</v>
      </c>
      <c r="D50" s="273">
        <v>45.031300000000002</v>
      </c>
      <c r="E50" s="39">
        <v>51.14</v>
      </c>
      <c r="F50" s="39">
        <f t="shared" si="2"/>
        <v>916.30499999999984</v>
      </c>
      <c r="G50" s="39">
        <f t="shared" si="3"/>
        <v>6754.6950000000006</v>
      </c>
      <c r="H50" s="179">
        <f t="shared" si="4"/>
        <v>0.13565453362439012</v>
      </c>
      <c r="I50" s="39"/>
      <c r="J50" s="39">
        <v>2114.7800000000002</v>
      </c>
      <c r="O50" s="81">
        <v>1.03</v>
      </c>
      <c r="P50" s="81">
        <f t="shared" si="5"/>
        <v>51.778100000000002</v>
      </c>
      <c r="Q50" s="2"/>
    </row>
    <row r="51" spans="1:17" x14ac:dyDescent="0.25">
      <c r="A51" t="s">
        <v>1177</v>
      </c>
      <c r="B51" s="164">
        <v>43299</v>
      </c>
      <c r="C51" s="10">
        <v>100</v>
      </c>
      <c r="D51" s="39">
        <v>41.297199999999997</v>
      </c>
      <c r="E51" s="39">
        <v>52.5</v>
      </c>
      <c r="F51" s="39">
        <f t="shared" si="2"/>
        <v>1120.2800000000004</v>
      </c>
      <c r="G51" s="39">
        <f t="shared" si="3"/>
        <v>4129.7199999999993</v>
      </c>
      <c r="H51" s="179">
        <f t="shared" si="4"/>
        <v>0.27127262865279012</v>
      </c>
      <c r="I51" s="39"/>
      <c r="J51" s="39">
        <v>2319</v>
      </c>
      <c r="O51" s="81">
        <v>1.02</v>
      </c>
      <c r="P51" s="81">
        <f>O51*$Q$4</f>
        <v>51.275400000000005</v>
      </c>
      <c r="Q51" s="2"/>
    </row>
    <row r="52" spans="1:17" x14ac:dyDescent="0.25">
      <c r="A52">
        <v>50</v>
      </c>
      <c r="B52" s="164">
        <v>43316</v>
      </c>
      <c r="C52" s="10">
        <v>100</v>
      </c>
      <c r="D52" s="39">
        <v>41.297199999999997</v>
      </c>
      <c r="E52" s="39">
        <v>54.26</v>
      </c>
      <c r="F52" s="39">
        <f>C52*(E52-D52)</f>
        <v>1296.2800000000002</v>
      </c>
      <c r="G52" s="39">
        <f>D52*C52</f>
        <v>4129.7199999999993</v>
      </c>
      <c r="H52" s="179">
        <f>(E52-D52)/D52</f>
        <v>0.31389053010857887</v>
      </c>
      <c r="I52" s="39"/>
      <c r="J52" s="39">
        <v>2495</v>
      </c>
      <c r="O52" s="81">
        <v>1.01</v>
      </c>
      <c r="P52" s="81">
        <f t="shared" si="5"/>
        <v>50.7727</v>
      </c>
      <c r="Q52" s="2"/>
    </row>
    <row r="53" spans="1:17" x14ac:dyDescent="0.25">
      <c r="A53">
        <v>0</v>
      </c>
      <c r="B53" s="164">
        <v>43327</v>
      </c>
      <c r="C53" s="10">
        <v>0</v>
      </c>
      <c r="D53" s="39">
        <v>41.3</v>
      </c>
      <c r="E53" s="39">
        <v>55.23</v>
      </c>
      <c r="F53" s="39">
        <f>C53*(E53-D53)</f>
        <v>0</v>
      </c>
      <c r="G53" s="39">
        <f>D53*C53</f>
        <v>0</v>
      </c>
      <c r="H53" s="179">
        <f>(E53-D53)/D53</f>
        <v>0.33728813559322035</v>
      </c>
      <c r="I53" s="39"/>
      <c r="J53" s="39"/>
      <c r="O53" s="81">
        <v>1</v>
      </c>
      <c r="P53" s="81">
        <f t="shared" si="5"/>
        <v>50.27</v>
      </c>
      <c r="Q53" s="2"/>
    </row>
    <row r="54" spans="1:17" x14ac:dyDescent="0.25">
      <c r="A54">
        <v>0</v>
      </c>
      <c r="B54" s="164">
        <v>43383</v>
      </c>
      <c r="C54" s="185">
        <v>100</v>
      </c>
      <c r="D54" s="186">
        <v>35.347900000000003</v>
      </c>
      <c r="E54" s="39">
        <v>49.71</v>
      </c>
      <c r="F54" s="39">
        <f>C54*(E54-D54)</f>
        <v>1436.2099999999998</v>
      </c>
      <c r="G54" s="39">
        <f>D54*C54</f>
        <v>3534.7900000000004</v>
      </c>
      <c r="H54" s="179">
        <f>(E54-D54)/D54</f>
        <v>0.40630702248224071</v>
      </c>
      <c r="I54" s="39"/>
      <c r="J54" s="778">
        <f>F54+$Q$10</f>
        <v>2634.6799999999967</v>
      </c>
      <c r="O54" s="81">
        <v>0.99</v>
      </c>
      <c r="P54" s="81">
        <f t="shared" si="5"/>
        <v>49.767300000000006</v>
      </c>
    </row>
    <row r="55" spans="1:17" x14ac:dyDescent="0.25">
      <c r="A55">
        <v>0</v>
      </c>
      <c r="B55" s="164">
        <v>43427</v>
      </c>
      <c r="C55" s="218">
        <v>0</v>
      </c>
      <c r="D55" s="273">
        <v>35.35</v>
      </c>
      <c r="E55" s="273">
        <v>57.29</v>
      </c>
      <c r="F55" s="39">
        <f>C55*(E55-D55)</f>
        <v>0</v>
      </c>
      <c r="G55" s="39">
        <f>D55*C55</f>
        <v>0</v>
      </c>
      <c r="H55" s="179">
        <f>(E55-D55)/D55</f>
        <v>0.62065063649222052</v>
      </c>
      <c r="I55" s="39"/>
      <c r="J55" s="778">
        <v>3392.61</v>
      </c>
      <c r="O55" s="81">
        <v>0.98</v>
      </c>
      <c r="P55" s="81">
        <f t="shared" si="5"/>
        <v>49.264600000000002</v>
      </c>
    </row>
    <row r="56" spans="1:17" x14ac:dyDescent="0.25">
      <c r="B56" s="164">
        <v>43432</v>
      </c>
      <c r="C56" s="10"/>
      <c r="D56" s="39"/>
      <c r="E56" s="39"/>
      <c r="F56" s="39"/>
      <c r="G56" s="39"/>
      <c r="H56" s="179"/>
      <c r="I56" s="39" t="s">
        <v>184</v>
      </c>
      <c r="J56" s="778">
        <v>3427.61</v>
      </c>
      <c r="O56" s="81">
        <v>0.97</v>
      </c>
      <c r="P56" s="81">
        <f t="shared" si="5"/>
        <v>48.761900000000004</v>
      </c>
    </row>
    <row r="57" spans="1:17" x14ac:dyDescent="0.25">
      <c r="B57" s="164"/>
      <c r="C57" s="10"/>
      <c r="D57" s="39"/>
      <c r="E57" s="39"/>
      <c r="F57" s="39"/>
      <c r="G57" s="39"/>
      <c r="H57" s="179"/>
      <c r="I57" s="39"/>
      <c r="J57" s="39"/>
      <c r="O57" s="81">
        <v>0.96</v>
      </c>
      <c r="P57" s="81">
        <f t="shared" si="5"/>
        <v>48.2592</v>
      </c>
    </row>
    <row r="58" spans="1:17" x14ac:dyDescent="0.25">
      <c r="B58" s="164"/>
      <c r="C58" s="10"/>
      <c r="D58" s="39"/>
      <c r="E58" s="39"/>
      <c r="F58" s="39"/>
      <c r="G58" s="39"/>
      <c r="H58" s="179"/>
      <c r="I58" s="39"/>
      <c r="J58" s="39"/>
      <c r="O58" s="81">
        <v>0.95</v>
      </c>
      <c r="P58" s="81">
        <f t="shared" si="5"/>
        <v>47.756500000000003</v>
      </c>
    </row>
    <row r="59" spans="1:17" x14ac:dyDescent="0.25">
      <c r="B59" s="164"/>
      <c r="C59" s="10"/>
      <c r="D59" s="39"/>
      <c r="E59" s="39"/>
      <c r="F59" s="39"/>
      <c r="G59" s="39"/>
      <c r="H59" s="179"/>
      <c r="I59" s="39"/>
      <c r="J59" s="39"/>
      <c r="O59" s="81">
        <v>0.94</v>
      </c>
      <c r="P59" s="81">
        <f t="shared" si="5"/>
        <v>47.253799999999998</v>
      </c>
    </row>
    <row r="60" spans="1:17" x14ac:dyDescent="0.25">
      <c r="B60" s="164"/>
      <c r="C60" s="10"/>
      <c r="D60" s="39"/>
      <c r="E60" s="39"/>
      <c r="F60" s="39"/>
      <c r="G60" s="39"/>
      <c r="H60" s="179"/>
      <c r="I60" s="39"/>
      <c r="J60" s="39"/>
      <c r="O60" s="81">
        <v>0.93</v>
      </c>
      <c r="P60" s="81">
        <f t="shared" si="5"/>
        <v>46.751100000000008</v>
      </c>
    </row>
    <row r="61" spans="1:17" x14ac:dyDescent="0.25">
      <c r="B61" s="164"/>
      <c r="C61" s="10"/>
      <c r="D61" s="39"/>
      <c r="E61" s="39"/>
      <c r="F61" s="39"/>
      <c r="G61" s="39"/>
      <c r="H61" s="179"/>
      <c r="I61" s="39"/>
      <c r="J61" s="39"/>
      <c r="O61" s="81">
        <v>0.92</v>
      </c>
      <c r="P61" s="81">
        <f t="shared" si="5"/>
        <v>46.248400000000004</v>
      </c>
    </row>
    <row r="62" spans="1:17" x14ac:dyDescent="0.25">
      <c r="B62" s="164"/>
      <c r="C62" s="10"/>
      <c r="D62" s="39"/>
      <c r="E62" s="39"/>
      <c r="F62" s="39"/>
      <c r="G62" s="39"/>
      <c r="H62" s="179"/>
      <c r="I62" s="39"/>
      <c r="J62" s="39"/>
      <c r="O62" s="81">
        <v>0.91</v>
      </c>
      <c r="P62" s="81">
        <f t="shared" si="5"/>
        <v>45.745700000000006</v>
      </c>
    </row>
    <row r="63" spans="1:17" x14ac:dyDescent="0.25">
      <c r="B63" s="164"/>
      <c r="C63" s="10"/>
      <c r="D63" s="39"/>
      <c r="E63" s="39"/>
      <c r="F63" s="39"/>
      <c r="G63" s="39"/>
      <c r="H63" s="179"/>
      <c r="I63" s="39"/>
      <c r="J63" s="39"/>
      <c r="O63" s="81">
        <v>0.9</v>
      </c>
      <c r="P63" s="81">
        <f t="shared" si="5"/>
        <v>45.243000000000002</v>
      </c>
    </row>
    <row r="64" spans="1:17" x14ac:dyDescent="0.25">
      <c r="B64" s="164"/>
      <c r="C64" s="10"/>
      <c r="D64" s="39"/>
      <c r="E64" s="39"/>
      <c r="F64" s="39"/>
      <c r="G64" s="39"/>
      <c r="H64" s="179"/>
      <c r="I64" s="39"/>
      <c r="J64" s="39"/>
    </row>
    <row r="65" spans="2:10" x14ac:dyDescent="0.25">
      <c r="B65" s="164"/>
      <c r="C65" s="10"/>
      <c r="D65" s="39"/>
      <c r="E65" s="39"/>
      <c r="F65" s="39"/>
      <c r="G65" s="39"/>
      <c r="H65" s="179"/>
      <c r="I65" s="39"/>
      <c r="J65" s="39"/>
    </row>
    <row r="66" spans="2:10" x14ac:dyDescent="0.25">
      <c r="B66" s="164"/>
      <c r="C66" s="10"/>
      <c r="D66" s="39"/>
      <c r="E66" s="39"/>
      <c r="F66" s="39"/>
      <c r="G66" s="39"/>
      <c r="H66" s="179"/>
      <c r="I66" s="39"/>
      <c r="J66" s="39"/>
    </row>
    <row r="67" spans="2:10" x14ac:dyDescent="0.25">
      <c r="B67" s="164"/>
      <c r="C67" s="10"/>
      <c r="D67" s="39"/>
      <c r="E67" s="39"/>
      <c r="F67" s="39"/>
      <c r="G67" s="39"/>
      <c r="H67" s="179"/>
      <c r="I67" s="39"/>
      <c r="J67" s="39"/>
    </row>
    <row r="68" spans="2:10" x14ac:dyDescent="0.25">
      <c r="B68" s="164"/>
      <c r="C68" s="10"/>
      <c r="D68" s="39"/>
      <c r="E68" s="39"/>
      <c r="F68" s="39"/>
      <c r="G68" s="39"/>
      <c r="H68" s="179"/>
      <c r="I68" s="39"/>
      <c r="J68" s="39"/>
    </row>
    <row r="69" spans="2:10" x14ac:dyDescent="0.25">
      <c r="B69" s="164"/>
      <c r="C69" s="10"/>
      <c r="D69" s="39"/>
      <c r="E69" s="39"/>
      <c r="F69" s="39"/>
      <c r="G69" s="39"/>
      <c r="H69" s="179"/>
      <c r="I69" s="39"/>
      <c r="J69" s="39"/>
    </row>
    <row r="70" spans="2:10" x14ac:dyDescent="0.25">
      <c r="B70" s="164"/>
      <c r="C70" s="10"/>
      <c r="D70" s="39"/>
      <c r="E70" s="39"/>
      <c r="F70" s="39"/>
      <c r="G70" s="39"/>
      <c r="H70" s="179"/>
      <c r="I70" s="39"/>
      <c r="J70" s="39"/>
    </row>
    <row r="71" spans="2:10" x14ac:dyDescent="0.25">
      <c r="B71" s="164"/>
      <c r="C71" s="10"/>
      <c r="D71" s="39"/>
      <c r="E71" s="39"/>
      <c r="F71" s="39"/>
      <c r="G71" s="39"/>
      <c r="H71" s="179"/>
      <c r="I71" s="39"/>
      <c r="J71" s="39"/>
    </row>
    <row r="72" spans="2:10" x14ac:dyDescent="0.25">
      <c r="B72" s="164"/>
      <c r="C72" s="10"/>
      <c r="D72" s="39"/>
      <c r="E72" s="39"/>
      <c r="F72" s="39"/>
      <c r="G72" s="39"/>
      <c r="H72" s="179"/>
      <c r="I72" s="39"/>
      <c r="J72" s="39"/>
    </row>
    <row r="73" spans="2:10" x14ac:dyDescent="0.25">
      <c r="B73" s="164"/>
      <c r="C73" s="10"/>
      <c r="D73" s="39"/>
      <c r="E73" s="39"/>
      <c r="F73" s="39"/>
      <c r="G73" s="39"/>
      <c r="H73" s="179"/>
      <c r="I73" s="39"/>
      <c r="J73" s="39"/>
    </row>
    <row r="74" spans="2:10" x14ac:dyDescent="0.25">
      <c r="B74" s="164"/>
      <c r="C74" s="10"/>
      <c r="D74" s="39"/>
      <c r="E74" s="39"/>
      <c r="F74" s="39"/>
      <c r="G74" s="39"/>
      <c r="H74" s="179"/>
      <c r="I74" s="39"/>
      <c r="J74" s="39"/>
    </row>
    <row r="75" spans="2:10" x14ac:dyDescent="0.25">
      <c r="B75" s="164"/>
      <c r="C75" s="10"/>
      <c r="D75" s="39"/>
      <c r="E75" s="39"/>
      <c r="F75" s="39"/>
      <c r="G75" s="39"/>
      <c r="H75" s="179"/>
      <c r="I75" s="39"/>
      <c r="J75" s="39"/>
    </row>
    <row r="76" spans="2:10" x14ac:dyDescent="0.25">
      <c r="B76" s="164"/>
      <c r="C76" s="10"/>
      <c r="D76" s="39"/>
      <c r="E76" s="39"/>
      <c r="F76" s="39"/>
      <c r="G76" s="39"/>
      <c r="H76" s="179"/>
      <c r="I76" s="39"/>
      <c r="J76" s="39"/>
    </row>
    <row r="77" spans="2:10" x14ac:dyDescent="0.25">
      <c r="B77" s="164"/>
      <c r="C77" s="10"/>
      <c r="D77" s="39"/>
      <c r="E77" s="39"/>
      <c r="F77" s="39"/>
      <c r="G77" s="39"/>
      <c r="H77" s="179"/>
      <c r="I77" s="39"/>
      <c r="J77" s="39"/>
    </row>
    <row r="78" spans="2:10" x14ac:dyDescent="0.25">
      <c r="B78" s="164"/>
      <c r="C78" s="10"/>
      <c r="D78" s="39"/>
      <c r="E78" s="39"/>
      <c r="F78" s="39"/>
      <c r="G78" s="39"/>
      <c r="H78" s="179"/>
      <c r="I78" s="39"/>
      <c r="J78" s="39"/>
    </row>
    <row r="79" spans="2:10" x14ac:dyDescent="0.25">
      <c r="B79" s="164"/>
      <c r="C79" s="10"/>
      <c r="D79" s="39"/>
      <c r="E79" s="39"/>
      <c r="F79" s="39"/>
      <c r="G79" s="39"/>
      <c r="H79" s="179"/>
      <c r="I79" s="39"/>
      <c r="J79" s="39"/>
    </row>
    <row r="80" spans="2:10" x14ac:dyDescent="0.25">
      <c r="B80" s="164"/>
      <c r="C80" s="10"/>
      <c r="D80" s="39"/>
      <c r="E80" s="39"/>
      <c r="F80" s="39"/>
      <c r="G80" s="39"/>
      <c r="H80" s="179"/>
      <c r="I80" s="39"/>
      <c r="J80" s="39"/>
    </row>
    <row r="81" spans="2:10" x14ac:dyDescent="0.25">
      <c r="B81" s="164"/>
      <c r="C81" s="10"/>
      <c r="D81" s="39"/>
      <c r="E81" s="39"/>
      <c r="F81" s="39"/>
      <c r="G81" s="39"/>
      <c r="H81" s="179"/>
      <c r="I81" s="39"/>
      <c r="J81" s="39"/>
    </row>
    <row r="82" spans="2:10" x14ac:dyDescent="0.25">
      <c r="B82" s="164"/>
      <c r="C82" s="10"/>
      <c r="D82" s="39"/>
      <c r="E82" s="39"/>
      <c r="F82" s="39"/>
      <c r="G82" s="39"/>
      <c r="H82" s="179"/>
      <c r="I82" s="39"/>
      <c r="J82" s="39"/>
    </row>
    <row r="83" spans="2:10" x14ac:dyDescent="0.25">
      <c r="B83" s="164"/>
      <c r="C83" s="10"/>
      <c r="D83" s="39"/>
      <c r="E83" s="39"/>
      <c r="F83" s="39"/>
      <c r="G83" s="39"/>
      <c r="H83" s="179"/>
      <c r="I83" s="39"/>
      <c r="J83" s="39"/>
    </row>
    <row r="84" spans="2:10" x14ac:dyDescent="0.25">
      <c r="B84" s="164"/>
      <c r="C84" s="10"/>
      <c r="D84" s="39"/>
      <c r="E84" s="39"/>
      <c r="F84" s="39"/>
      <c r="G84" s="39"/>
      <c r="H84" s="179"/>
      <c r="I84" s="39"/>
      <c r="J84" s="39"/>
    </row>
    <row r="85" spans="2:10" x14ac:dyDescent="0.25">
      <c r="B85" s="164"/>
      <c r="C85" s="10"/>
      <c r="D85" s="39"/>
      <c r="E85" s="39"/>
      <c r="F85" s="39"/>
      <c r="G85" s="39"/>
      <c r="H85" s="179"/>
      <c r="I85" s="39"/>
      <c r="J85" s="39"/>
    </row>
    <row r="86" spans="2:10" x14ac:dyDescent="0.25">
      <c r="B86" s="164"/>
      <c r="C86" s="10"/>
      <c r="D86" s="39"/>
      <c r="E86" s="39"/>
      <c r="F86" s="39"/>
      <c r="G86" s="39"/>
      <c r="H86" s="179"/>
      <c r="I86" s="39"/>
      <c r="J86" s="39"/>
    </row>
    <row r="87" spans="2:10" x14ac:dyDescent="0.25">
      <c r="B87" s="164"/>
      <c r="C87" s="10"/>
      <c r="D87" s="39"/>
      <c r="E87" s="39"/>
      <c r="F87" s="39"/>
      <c r="G87" s="39"/>
      <c r="H87" s="179"/>
      <c r="I87" s="39"/>
      <c r="J87" s="39"/>
    </row>
    <row r="88" spans="2:10" x14ac:dyDescent="0.25">
      <c r="B88" s="164"/>
      <c r="C88" s="10"/>
      <c r="D88" s="39"/>
      <c r="E88" s="39"/>
      <c r="F88" s="39"/>
      <c r="G88" s="39"/>
      <c r="H88" s="179"/>
      <c r="I88" s="39"/>
      <c r="J88" s="39"/>
    </row>
    <row r="89" spans="2:10" x14ac:dyDescent="0.25">
      <c r="B89" s="164"/>
      <c r="C89" s="10"/>
      <c r="D89" s="39"/>
      <c r="E89" s="39"/>
      <c r="F89" s="39"/>
      <c r="G89" s="39"/>
      <c r="H89" s="179"/>
      <c r="I89" s="39"/>
      <c r="J89" s="39"/>
    </row>
    <row r="90" spans="2:10" x14ac:dyDescent="0.25">
      <c r="B90" s="164"/>
      <c r="C90" s="10"/>
      <c r="D90" s="39"/>
      <c r="E90" s="39"/>
      <c r="F90" s="39"/>
      <c r="G90" s="39"/>
      <c r="H90" s="179"/>
      <c r="I90" s="39"/>
      <c r="J90" s="39"/>
    </row>
    <row r="91" spans="2:10" x14ac:dyDescent="0.25">
      <c r="B91" s="164"/>
      <c r="C91" s="10"/>
      <c r="D91" s="39"/>
      <c r="E91" s="39"/>
      <c r="F91" s="39"/>
      <c r="G91" s="39"/>
      <c r="H91" s="179"/>
      <c r="I91" s="39"/>
      <c r="J91" s="39"/>
    </row>
    <row r="92" spans="2:10" x14ac:dyDescent="0.25">
      <c r="B92" s="433"/>
      <c r="C92" s="162"/>
      <c r="D92" s="163"/>
      <c r="E92" s="163"/>
      <c r="F92" s="163"/>
      <c r="G92" s="163"/>
      <c r="H92" s="434"/>
      <c r="I92" s="163"/>
      <c r="J92" s="163"/>
    </row>
    <row r="93" spans="2:10" x14ac:dyDescent="0.25">
      <c r="B93" s="164"/>
      <c r="C93" s="10"/>
      <c r="D93" s="39"/>
      <c r="E93" s="39"/>
      <c r="F93" s="39"/>
      <c r="G93" s="39"/>
      <c r="H93" s="179"/>
      <c r="I93" s="39"/>
      <c r="J93" s="39"/>
    </row>
    <row r="94" spans="2:10" x14ac:dyDescent="0.25">
      <c r="B94" s="164"/>
      <c r="C94" s="10"/>
      <c r="D94" s="39"/>
      <c r="E94" s="39"/>
      <c r="F94" s="39"/>
      <c r="G94" s="39"/>
      <c r="H94" s="179"/>
      <c r="I94" s="39"/>
      <c r="J94" s="39"/>
    </row>
    <row r="95" spans="2:10" x14ac:dyDescent="0.25">
      <c r="B95" s="164"/>
      <c r="C95" s="10"/>
      <c r="D95" s="39"/>
      <c r="E95" s="39"/>
      <c r="F95" s="39"/>
      <c r="G95" s="39"/>
      <c r="H95" s="179"/>
      <c r="I95" s="39"/>
      <c r="J95" s="39"/>
    </row>
    <row r="96" spans="2:10" x14ac:dyDescent="0.25">
      <c r="B96" s="164"/>
      <c r="C96" s="10"/>
      <c r="D96" s="39"/>
      <c r="E96" s="39"/>
      <c r="F96" s="39"/>
      <c r="G96" s="39"/>
      <c r="H96" s="179"/>
      <c r="I96" s="39"/>
      <c r="J96" s="39"/>
    </row>
    <row r="97" spans="1:13" x14ac:dyDescent="0.25">
      <c r="B97" s="164"/>
      <c r="C97" s="10"/>
      <c r="D97" s="39"/>
      <c r="E97" s="39"/>
      <c r="F97" s="39"/>
      <c r="G97" s="39"/>
      <c r="H97" s="179"/>
      <c r="I97" s="39"/>
      <c r="J97" s="39"/>
    </row>
    <row r="98" spans="1:13" x14ac:dyDescent="0.25">
      <c r="B98" s="164"/>
      <c r="C98" s="10"/>
      <c r="D98" s="39"/>
      <c r="E98" s="39"/>
      <c r="F98" s="39"/>
      <c r="G98" s="39"/>
      <c r="H98" s="179"/>
      <c r="I98" s="39"/>
      <c r="J98" s="39"/>
    </row>
    <row r="99" spans="1:13" x14ac:dyDescent="0.25">
      <c r="B99" s="164"/>
      <c r="C99" s="10"/>
      <c r="D99" s="39"/>
      <c r="E99" s="39"/>
      <c r="F99" s="39"/>
      <c r="G99" s="39"/>
      <c r="H99" s="179"/>
      <c r="I99" s="39"/>
      <c r="J99" s="39"/>
    </row>
    <row r="100" spans="1:13" x14ac:dyDescent="0.25">
      <c r="B100" s="164"/>
      <c r="C100" s="10"/>
      <c r="D100" s="39"/>
      <c r="E100" s="39"/>
      <c r="F100" s="39"/>
      <c r="G100" s="39"/>
      <c r="H100" s="179"/>
      <c r="I100" s="39"/>
      <c r="J100" s="39"/>
    </row>
    <row r="101" spans="1:13" x14ac:dyDescent="0.25">
      <c r="B101" s="164"/>
      <c r="C101" s="10"/>
      <c r="D101" s="39"/>
      <c r="E101" s="39"/>
      <c r="F101" s="39"/>
      <c r="G101" s="39"/>
      <c r="H101" s="179"/>
      <c r="I101" s="39"/>
      <c r="J101" s="39"/>
    </row>
    <row r="102" spans="1:13" x14ac:dyDescent="0.25">
      <c r="B102" s="164"/>
      <c r="C102" s="10"/>
      <c r="D102" s="39"/>
      <c r="E102" s="39"/>
      <c r="F102" s="39"/>
      <c r="G102" s="39"/>
      <c r="H102" s="179"/>
      <c r="I102" s="39"/>
      <c r="J102" s="39"/>
    </row>
    <row r="104" spans="1:13" x14ac:dyDescent="0.25">
      <c r="L104" t="s">
        <v>203</v>
      </c>
      <c r="M104" s="365">
        <f>M122+K122-F122</f>
        <v>205.01999999999998</v>
      </c>
    </row>
    <row r="105" spans="1:13" x14ac:dyDescent="0.25">
      <c r="A105" s="199" t="s">
        <v>1</v>
      </c>
      <c r="B105" s="199" t="s">
        <v>2</v>
      </c>
      <c r="C105" s="199" t="s">
        <v>4</v>
      </c>
      <c r="D105" s="200" t="s">
        <v>5</v>
      </c>
      <c r="E105" s="200" t="s">
        <v>94</v>
      </c>
      <c r="F105" s="200" t="s">
        <v>60</v>
      </c>
      <c r="G105" s="199" t="s">
        <v>3</v>
      </c>
      <c r="H105" s="199" t="s">
        <v>6</v>
      </c>
      <c r="I105" s="200" t="s">
        <v>7</v>
      </c>
      <c r="J105" s="200" t="s">
        <v>95</v>
      </c>
      <c r="K105" s="200" t="s">
        <v>61</v>
      </c>
      <c r="L105" s="199" t="s">
        <v>37</v>
      </c>
      <c r="M105" s="199" t="s">
        <v>38</v>
      </c>
    </row>
    <row r="106" spans="1:13" x14ac:dyDescent="0.25">
      <c r="A106" s="201" t="s">
        <v>32</v>
      </c>
      <c r="B106" s="202">
        <v>42405</v>
      </c>
      <c r="C106" s="197">
        <v>30</v>
      </c>
      <c r="D106" s="198">
        <v>41.95</v>
      </c>
      <c r="E106" s="198">
        <v>0</v>
      </c>
      <c r="F106" s="198">
        <f>D106*C106+E106</f>
        <v>1258.5</v>
      </c>
      <c r="G106" s="202">
        <v>42445</v>
      </c>
      <c r="H106" s="203">
        <v>30</v>
      </c>
      <c r="I106" s="198">
        <v>48.65</v>
      </c>
      <c r="J106" s="198">
        <v>0.03</v>
      </c>
      <c r="K106" s="198">
        <f>H106*I106-J106</f>
        <v>1459.47</v>
      </c>
      <c r="L106" s="202">
        <v>42438</v>
      </c>
      <c r="M106" s="197">
        <v>4.05</v>
      </c>
    </row>
    <row r="107" spans="1:13" x14ac:dyDescent="0.25">
      <c r="A107" s="204" t="s">
        <v>71</v>
      </c>
      <c r="B107" s="202"/>
      <c r="C107" s="197"/>
      <c r="D107" s="198"/>
      <c r="E107" s="198"/>
      <c r="F107" s="198"/>
      <c r="G107" s="202"/>
      <c r="H107" s="203"/>
      <c r="I107" s="198"/>
      <c r="J107" s="198"/>
      <c r="K107" s="198"/>
      <c r="L107" s="202"/>
      <c r="M107" s="198"/>
    </row>
    <row r="108" spans="1:13" x14ac:dyDescent="0.25">
      <c r="A108" s="197"/>
      <c r="B108" s="202"/>
      <c r="C108" s="197"/>
      <c r="D108" s="198"/>
      <c r="E108" s="198"/>
      <c r="F108" s="198"/>
      <c r="G108" s="202"/>
      <c r="H108" s="203"/>
      <c r="I108" s="198"/>
      <c r="J108" s="198"/>
      <c r="K108" s="198"/>
      <c r="L108" s="197"/>
      <c r="M108" s="197"/>
    </row>
    <row r="109" spans="1:13" x14ac:dyDescent="0.25">
      <c r="A109" s="197"/>
      <c r="B109" s="202"/>
      <c r="C109" s="197"/>
      <c r="D109" s="198"/>
      <c r="E109" s="198"/>
      <c r="F109" s="198"/>
      <c r="G109" s="202"/>
      <c r="H109" s="203"/>
      <c r="I109" s="198"/>
      <c r="J109" s="198"/>
      <c r="K109" s="198"/>
      <c r="L109" s="197"/>
      <c r="M109" s="197"/>
    </row>
    <row r="110" spans="1:13" x14ac:dyDescent="0.25">
      <c r="A110" s="197"/>
      <c r="B110" s="202"/>
      <c r="C110" s="197"/>
      <c r="D110" s="198"/>
      <c r="E110" s="198"/>
      <c r="F110" s="198"/>
      <c r="G110" s="197"/>
      <c r="H110" s="203"/>
      <c r="I110" s="198"/>
      <c r="J110" s="198"/>
      <c r="K110" s="198"/>
      <c r="L110" s="197"/>
      <c r="M110" s="197"/>
    </row>
    <row r="111" spans="1:13" x14ac:dyDescent="0.25">
      <c r="A111" s="197"/>
      <c r="B111" s="202"/>
      <c r="C111" s="197"/>
      <c r="D111" s="198"/>
      <c r="E111" s="198"/>
      <c r="F111" s="198"/>
      <c r="G111" s="197"/>
      <c r="H111" s="203"/>
      <c r="I111" s="198"/>
      <c r="J111" s="198"/>
      <c r="K111" s="198"/>
      <c r="L111" s="197"/>
      <c r="M111" s="197"/>
    </row>
    <row r="112" spans="1:13" x14ac:dyDescent="0.25">
      <c r="A112" s="197"/>
      <c r="B112" s="202"/>
      <c r="C112" s="197"/>
      <c r="D112" s="198"/>
      <c r="E112" s="198"/>
      <c r="F112" s="198"/>
      <c r="G112" s="197"/>
      <c r="H112" s="203"/>
      <c r="I112" s="198"/>
      <c r="J112" s="198"/>
      <c r="K112" s="198"/>
      <c r="L112" s="197"/>
      <c r="M112" s="197"/>
    </row>
    <row r="113" spans="1:13" x14ac:dyDescent="0.25">
      <c r="A113" s="197"/>
      <c r="B113" s="202"/>
      <c r="C113" s="197"/>
      <c r="D113" s="198"/>
      <c r="E113" s="198"/>
      <c r="F113" s="198"/>
      <c r="G113" s="197"/>
      <c r="H113" s="203"/>
      <c r="I113" s="198"/>
      <c r="J113" s="198"/>
      <c r="K113" s="198"/>
      <c r="L113" s="197"/>
      <c r="M113" s="197"/>
    </row>
    <row r="114" spans="1:13" x14ac:dyDescent="0.25">
      <c r="A114" s="197"/>
      <c r="B114" s="197"/>
      <c r="C114" s="197"/>
      <c r="D114" s="198"/>
      <c r="E114" s="198"/>
      <c r="F114" s="198"/>
      <c r="G114" s="197"/>
      <c r="H114" s="197"/>
      <c r="I114" s="198"/>
      <c r="J114" s="198"/>
      <c r="K114" s="198"/>
      <c r="L114" s="197"/>
      <c r="M114" s="197"/>
    </row>
    <row r="115" spans="1:13" x14ac:dyDescent="0.25">
      <c r="A115" s="197"/>
      <c r="B115" s="197"/>
      <c r="C115" s="197"/>
      <c r="D115" s="198"/>
      <c r="E115" s="198"/>
      <c r="F115" s="198"/>
      <c r="G115" s="197"/>
      <c r="H115" s="197"/>
      <c r="I115" s="198"/>
      <c r="J115" s="198"/>
      <c r="K115" s="198"/>
      <c r="L115" s="197"/>
      <c r="M115" s="197"/>
    </row>
    <row r="116" spans="1:13" x14ac:dyDescent="0.25">
      <c r="A116" s="197"/>
      <c r="B116" s="197"/>
      <c r="C116" s="197"/>
      <c r="D116" s="198"/>
      <c r="E116" s="198"/>
      <c r="F116" s="198"/>
      <c r="G116" s="197"/>
      <c r="H116" s="197"/>
      <c r="I116" s="198"/>
      <c r="J116" s="198"/>
      <c r="K116" s="198"/>
      <c r="L116" s="197"/>
      <c r="M116" s="197"/>
    </row>
    <row r="117" spans="1:13" x14ac:dyDescent="0.25">
      <c r="A117" s="197"/>
      <c r="B117" s="197"/>
      <c r="C117" s="197"/>
      <c r="D117" s="198"/>
      <c r="E117" s="198"/>
      <c r="F117" s="198"/>
      <c r="G117" s="197"/>
      <c r="H117" s="197"/>
      <c r="I117" s="198"/>
      <c r="J117" s="198"/>
      <c r="K117" s="198"/>
      <c r="L117" s="197"/>
      <c r="M117" s="197"/>
    </row>
    <row r="118" spans="1:13" x14ac:dyDescent="0.25">
      <c r="A118" s="197"/>
      <c r="B118" s="197"/>
      <c r="C118" s="197"/>
      <c r="D118" s="198"/>
      <c r="E118" s="198"/>
      <c r="F118" s="198"/>
      <c r="G118" s="197"/>
      <c r="H118" s="197"/>
      <c r="I118" s="198"/>
      <c r="J118" s="198"/>
      <c r="K118" s="198"/>
      <c r="L118" s="197"/>
      <c r="M118" s="197"/>
    </row>
    <row r="119" spans="1:13" x14ac:dyDescent="0.25">
      <c r="A119" s="197"/>
      <c r="B119" s="197"/>
      <c r="C119" s="197"/>
      <c r="D119" s="198"/>
      <c r="E119" s="198"/>
      <c r="F119" s="198"/>
      <c r="G119" s="197"/>
      <c r="H119" s="197"/>
      <c r="I119" s="198"/>
      <c r="J119" s="198"/>
      <c r="K119" s="198"/>
      <c r="L119" s="197"/>
      <c r="M119" s="197"/>
    </row>
    <row r="120" spans="1:13" x14ac:dyDescent="0.25">
      <c r="A120" s="197"/>
      <c r="B120" s="197"/>
      <c r="C120" s="197"/>
      <c r="D120" s="198"/>
      <c r="E120" s="198"/>
      <c r="F120" s="198"/>
      <c r="G120" s="197"/>
      <c r="H120" s="197"/>
      <c r="I120" s="198"/>
      <c r="J120" s="198"/>
      <c r="K120" s="198"/>
      <c r="L120" s="197"/>
      <c r="M120" s="197"/>
    </row>
    <row r="121" spans="1:13" x14ac:dyDescent="0.25">
      <c r="A121" s="197"/>
      <c r="B121" s="197"/>
      <c r="C121" s="197"/>
      <c r="D121" s="198"/>
      <c r="E121" s="198"/>
      <c r="F121" s="198"/>
      <c r="G121" s="197"/>
      <c r="H121" s="203"/>
      <c r="I121" s="198"/>
      <c r="J121" s="198"/>
      <c r="K121" s="198"/>
      <c r="L121" s="197"/>
      <c r="M121" s="197"/>
    </row>
    <row r="122" spans="1:13" x14ac:dyDescent="0.25">
      <c r="A122" s="31" t="s">
        <v>81</v>
      </c>
      <c r="B122" s="14"/>
      <c r="C122" s="14">
        <f>SUM(C106:C114)</f>
        <v>30</v>
      </c>
      <c r="D122" s="18"/>
      <c r="E122" s="18"/>
      <c r="F122" s="18">
        <f>SUM(F106:F114)</f>
        <v>1258.5</v>
      </c>
      <c r="G122" s="14"/>
      <c r="H122" s="71">
        <f>SUM(H106:H110)</f>
        <v>30</v>
      </c>
      <c r="I122" s="18"/>
      <c r="J122" s="18"/>
      <c r="K122" s="18">
        <f>SUM(K106:K110)</f>
        <v>1459.47</v>
      </c>
      <c r="L122" s="14"/>
      <c r="M122" s="18">
        <f>SUM(M106:M121)</f>
        <v>4.05</v>
      </c>
    </row>
    <row r="126" spans="1:13" x14ac:dyDescent="0.25">
      <c r="L126" t="s">
        <v>65</v>
      </c>
      <c r="M126" s="365">
        <f>M155+K155-F155</f>
        <v>993.44999999999709</v>
      </c>
    </row>
    <row r="127" spans="1:13" x14ac:dyDescent="0.25">
      <c r="A127" s="199" t="s">
        <v>1</v>
      </c>
      <c r="B127" s="199" t="s">
        <v>2</v>
      </c>
      <c r="C127" s="199" t="s">
        <v>4</v>
      </c>
      <c r="D127" s="200" t="s">
        <v>5</v>
      </c>
      <c r="E127" s="200" t="s">
        <v>94</v>
      </c>
      <c r="F127" s="200" t="s">
        <v>60</v>
      </c>
      <c r="G127" s="199" t="s">
        <v>3</v>
      </c>
      <c r="H127" s="199" t="s">
        <v>6</v>
      </c>
      <c r="I127" s="200" t="s">
        <v>7</v>
      </c>
      <c r="J127" s="200" t="s">
        <v>95</v>
      </c>
      <c r="K127" s="200" t="s">
        <v>61</v>
      </c>
      <c r="L127" s="199" t="s">
        <v>37</v>
      </c>
      <c r="M127" s="199" t="s">
        <v>38</v>
      </c>
    </row>
    <row r="128" spans="1:13" x14ac:dyDescent="0.25">
      <c r="A128" s="201" t="s">
        <v>32</v>
      </c>
      <c r="B128" s="202">
        <v>42467</v>
      </c>
      <c r="C128" s="197">
        <v>50</v>
      </c>
      <c r="D128" s="198">
        <v>45.5</v>
      </c>
      <c r="E128" s="198">
        <v>0</v>
      </c>
      <c r="F128" s="198">
        <f t="shared" ref="F128:F139" si="6">D128*C128+E128</f>
        <v>2275</v>
      </c>
      <c r="G128" s="197"/>
      <c r="H128" s="197"/>
      <c r="I128" s="198"/>
      <c r="J128" s="198"/>
      <c r="K128" s="198"/>
      <c r="L128" s="202">
        <v>42522</v>
      </c>
      <c r="M128" s="198">
        <v>33.75</v>
      </c>
    </row>
    <row r="129" spans="1:13" x14ac:dyDescent="0.25">
      <c r="A129" s="204" t="s">
        <v>71</v>
      </c>
      <c r="B129" s="202">
        <v>42482</v>
      </c>
      <c r="C129" s="197">
        <v>50</v>
      </c>
      <c r="D129" s="198">
        <v>43.65</v>
      </c>
      <c r="E129" s="198">
        <v>0</v>
      </c>
      <c r="F129" s="198">
        <f t="shared" si="6"/>
        <v>2182.5</v>
      </c>
      <c r="G129" s="202">
        <v>42507</v>
      </c>
      <c r="H129" s="203">
        <v>100</v>
      </c>
      <c r="I129" s="198">
        <v>43.59</v>
      </c>
      <c r="J129" s="198">
        <v>0.1</v>
      </c>
      <c r="K129" s="198">
        <f>H129*I129-J129</f>
        <v>4358.8999999999996</v>
      </c>
      <c r="L129" s="202">
        <v>42615</v>
      </c>
      <c r="M129" s="198">
        <v>81</v>
      </c>
    </row>
    <row r="130" spans="1:13" x14ac:dyDescent="0.25">
      <c r="A130" s="197"/>
      <c r="B130" s="202">
        <v>42486</v>
      </c>
      <c r="C130" s="197">
        <v>50</v>
      </c>
      <c r="D130" s="198">
        <v>43.25</v>
      </c>
      <c r="E130" s="198">
        <v>0</v>
      </c>
      <c r="F130" s="198">
        <f t="shared" si="6"/>
        <v>2162.5</v>
      </c>
      <c r="G130" s="202">
        <v>42509</v>
      </c>
      <c r="H130" s="203">
        <v>50</v>
      </c>
      <c r="I130" s="198">
        <v>43.12</v>
      </c>
      <c r="J130" s="198">
        <v>0.05</v>
      </c>
      <c r="K130" s="198">
        <f>H130*I130-J130</f>
        <v>2155.9499999999998</v>
      </c>
      <c r="L130" s="197"/>
      <c r="M130" s="197"/>
    </row>
    <row r="131" spans="1:13" x14ac:dyDescent="0.25">
      <c r="A131" s="197"/>
      <c r="B131" s="202">
        <v>42489</v>
      </c>
      <c r="C131" s="197">
        <v>50</v>
      </c>
      <c r="D131" s="198">
        <v>41.95</v>
      </c>
      <c r="E131" s="198">
        <v>0</v>
      </c>
      <c r="F131" s="198">
        <f t="shared" si="6"/>
        <v>2097.5</v>
      </c>
      <c r="G131" s="202">
        <v>42515</v>
      </c>
      <c r="H131" s="203">
        <v>50</v>
      </c>
      <c r="I131" s="198">
        <v>43.96</v>
      </c>
      <c r="J131" s="198">
        <v>0.05</v>
      </c>
      <c r="K131" s="198">
        <f>H131*I131-J131</f>
        <v>2197.9499999999998</v>
      </c>
      <c r="L131" s="197"/>
      <c r="M131" s="197"/>
    </row>
    <row r="132" spans="1:13" x14ac:dyDescent="0.25">
      <c r="A132" s="197"/>
      <c r="B132" s="202">
        <v>42489</v>
      </c>
      <c r="C132" s="197">
        <v>50</v>
      </c>
      <c r="D132" s="198">
        <v>41.39</v>
      </c>
      <c r="E132" s="198">
        <v>0</v>
      </c>
      <c r="F132" s="198">
        <f t="shared" si="6"/>
        <v>2069.5</v>
      </c>
      <c r="G132" s="197"/>
      <c r="H132" s="197"/>
      <c r="I132" s="198"/>
      <c r="J132" s="198"/>
      <c r="K132" s="198"/>
      <c r="L132" s="197"/>
      <c r="M132" s="197"/>
    </row>
    <row r="133" spans="1:13" x14ac:dyDescent="0.25">
      <c r="A133" s="197"/>
      <c r="B133" s="202">
        <v>42509</v>
      </c>
      <c r="C133" s="197">
        <v>50</v>
      </c>
      <c r="D133" s="198">
        <v>42.59</v>
      </c>
      <c r="E133" s="198">
        <v>0</v>
      </c>
      <c r="F133" s="198">
        <f t="shared" si="6"/>
        <v>2129.5</v>
      </c>
      <c r="G133" s="202">
        <v>42545</v>
      </c>
      <c r="H133" s="203">
        <v>100</v>
      </c>
      <c r="I133" s="198">
        <v>37.01</v>
      </c>
      <c r="J133" s="198">
        <v>0.57999999999999996</v>
      </c>
      <c r="K133" s="198">
        <f>H133*I133-J133</f>
        <v>3700.42</v>
      </c>
      <c r="L133" s="197"/>
      <c r="M133" s="197"/>
    </row>
    <row r="134" spans="1:13" x14ac:dyDescent="0.25">
      <c r="A134" s="197"/>
      <c r="B134" s="202">
        <v>42509</v>
      </c>
      <c r="C134" s="197">
        <v>50</v>
      </c>
      <c r="D134" s="198">
        <v>42.59</v>
      </c>
      <c r="E134" s="198">
        <v>0</v>
      </c>
      <c r="F134" s="198">
        <f t="shared" si="6"/>
        <v>2129.5</v>
      </c>
      <c r="G134" s="202">
        <v>42563</v>
      </c>
      <c r="H134" s="203">
        <v>100</v>
      </c>
      <c r="I134" s="198">
        <v>39.340000000000003</v>
      </c>
      <c r="J134" s="198">
        <v>0.09</v>
      </c>
      <c r="K134" s="198">
        <f>H134*I134-J134</f>
        <v>3933.9100000000003</v>
      </c>
      <c r="L134" s="197"/>
      <c r="M134" s="197"/>
    </row>
    <row r="135" spans="1:13" x14ac:dyDescent="0.25">
      <c r="A135" s="197"/>
      <c r="B135" s="202">
        <v>42515</v>
      </c>
      <c r="C135" s="197">
        <v>50</v>
      </c>
      <c r="D135" s="198">
        <v>43.45</v>
      </c>
      <c r="E135" s="198">
        <v>0</v>
      </c>
      <c r="F135" s="198">
        <f t="shared" si="6"/>
        <v>2172.5</v>
      </c>
      <c r="G135" s="431"/>
      <c r="H135" s="197"/>
      <c r="I135" s="198"/>
      <c r="J135" s="198"/>
      <c r="K135" s="198"/>
      <c r="L135" s="197"/>
      <c r="M135" s="197"/>
    </row>
    <row r="136" spans="1:13" x14ac:dyDescent="0.25">
      <c r="A136" s="197"/>
      <c r="B136" s="202">
        <v>42535</v>
      </c>
      <c r="C136" s="197">
        <v>100</v>
      </c>
      <c r="D136" s="198">
        <v>39.85</v>
      </c>
      <c r="E136" s="198">
        <v>0</v>
      </c>
      <c r="F136" s="198">
        <f t="shared" si="6"/>
        <v>3985</v>
      </c>
      <c r="G136" s="202">
        <v>42566</v>
      </c>
      <c r="H136" s="328">
        <v>100</v>
      </c>
      <c r="I136" s="290">
        <v>40.479999999999997</v>
      </c>
      <c r="J136" s="290">
        <v>0.09</v>
      </c>
      <c r="K136" s="290">
        <f t="shared" ref="K136:K142" si="7">H136*I136-J136</f>
        <v>4047.9099999999994</v>
      </c>
      <c r="L136" s="197"/>
      <c r="M136" s="197"/>
    </row>
    <row r="137" spans="1:13" x14ac:dyDescent="0.25">
      <c r="A137" s="197"/>
      <c r="B137" s="202">
        <v>42537</v>
      </c>
      <c r="C137" s="197">
        <v>100</v>
      </c>
      <c r="D137" s="198">
        <v>37.85</v>
      </c>
      <c r="E137" s="198">
        <v>0</v>
      </c>
      <c r="F137" s="198">
        <f t="shared" si="6"/>
        <v>3785</v>
      </c>
      <c r="G137" s="202">
        <v>42571</v>
      </c>
      <c r="H137" s="203">
        <v>100</v>
      </c>
      <c r="I137" s="198">
        <v>41.08</v>
      </c>
      <c r="J137" s="198">
        <v>0.09</v>
      </c>
      <c r="K137" s="290">
        <f t="shared" si="7"/>
        <v>4107.91</v>
      </c>
      <c r="L137" s="197"/>
      <c r="M137" s="197"/>
    </row>
    <row r="138" spans="1:13" x14ac:dyDescent="0.25">
      <c r="A138" s="197"/>
      <c r="B138" s="202">
        <v>42545</v>
      </c>
      <c r="C138" s="197">
        <v>50</v>
      </c>
      <c r="D138" s="198">
        <v>36.01</v>
      </c>
      <c r="E138" s="198">
        <v>0</v>
      </c>
      <c r="F138" s="198">
        <f t="shared" si="6"/>
        <v>1800.5</v>
      </c>
      <c r="G138" s="202">
        <v>42580</v>
      </c>
      <c r="H138" s="203">
        <v>50</v>
      </c>
      <c r="I138" s="198">
        <v>39.78</v>
      </c>
      <c r="J138" s="198">
        <v>0.04</v>
      </c>
      <c r="K138" s="198">
        <f t="shared" si="7"/>
        <v>1988.96</v>
      </c>
      <c r="L138" s="197"/>
      <c r="M138" s="197"/>
    </row>
    <row r="139" spans="1:13" x14ac:dyDescent="0.25">
      <c r="A139" s="197"/>
      <c r="B139" s="202">
        <v>42545</v>
      </c>
      <c r="C139" s="197">
        <v>50</v>
      </c>
      <c r="D139" s="198">
        <v>36.01</v>
      </c>
      <c r="E139" s="198">
        <v>0</v>
      </c>
      <c r="F139" s="198">
        <f t="shared" si="6"/>
        <v>1800.5</v>
      </c>
      <c r="G139" s="202">
        <v>42620</v>
      </c>
      <c r="H139" s="203">
        <v>50</v>
      </c>
      <c r="I139" s="198">
        <v>38.18</v>
      </c>
      <c r="J139" s="198">
        <v>0.04</v>
      </c>
      <c r="K139" s="198">
        <f t="shared" si="7"/>
        <v>1908.96</v>
      </c>
      <c r="L139" s="197"/>
      <c r="M139" s="197"/>
    </row>
    <row r="140" spans="1:13" x14ac:dyDescent="0.25">
      <c r="A140" s="197"/>
      <c r="B140" s="202">
        <v>42545</v>
      </c>
      <c r="C140" s="197">
        <v>100</v>
      </c>
      <c r="D140" s="198">
        <v>36.01</v>
      </c>
      <c r="E140" s="198">
        <v>0</v>
      </c>
      <c r="F140" s="198">
        <f>D140*C140+E140</f>
        <v>3601</v>
      </c>
      <c r="G140" s="202">
        <v>42620</v>
      </c>
      <c r="H140" s="203">
        <v>50</v>
      </c>
      <c r="I140" s="198">
        <v>38.880000000000003</v>
      </c>
      <c r="J140" s="198">
        <v>0.04</v>
      </c>
      <c r="K140" s="198">
        <f t="shared" si="7"/>
        <v>1943.9600000000003</v>
      </c>
      <c r="L140" s="197"/>
      <c r="M140" s="197"/>
    </row>
    <row r="141" spans="1:13" x14ac:dyDescent="0.25">
      <c r="A141" s="197"/>
      <c r="B141" s="202">
        <v>42548</v>
      </c>
      <c r="C141" s="197">
        <v>100</v>
      </c>
      <c r="D141" s="198">
        <v>33.880000000000003</v>
      </c>
      <c r="E141" s="198">
        <v>0</v>
      </c>
      <c r="F141" s="198">
        <f>D141*C141+E141</f>
        <v>3388.0000000000005</v>
      </c>
      <c r="G141" s="202">
        <v>42620</v>
      </c>
      <c r="H141" s="203">
        <v>50</v>
      </c>
      <c r="I141" s="198">
        <v>39.090000000000003</v>
      </c>
      <c r="J141" s="198">
        <v>-0.09</v>
      </c>
      <c r="K141" s="198">
        <f t="shared" si="7"/>
        <v>1954.5900000000001</v>
      </c>
      <c r="L141" s="197"/>
      <c r="M141" s="197"/>
    </row>
    <row r="142" spans="1:13" x14ac:dyDescent="0.25">
      <c r="A142" s="197"/>
      <c r="B142" s="202">
        <v>42572</v>
      </c>
      <c r="C142" s="197">
        <v>50</v>
      </c>
      <c r="D142" s="198">
        <v>38.58</v>
      </c>
      <c r="E142" s="198">
        <v>0</v>
      </c>
      <c r="F142" s="198">
        <f>D142*C142+E142</f>
        <v>1929</v>
      </c>
      <c r="G142" s="202">
        <v>42641</v>
      </c>
      <c r="H142" s="203">
        <v>250</v>
      </c>
      <c r="I142" s="198">
        <v>39.68</v>
      </c>
      <c r="J142" s="198">
        <v>0.22</v>
      </c>
      <c r="K142" s="198">
        <f t="shared" si="7"/>
        <v>9919.7800000000007</v>
      </c>
      <c r="L142" s="197"/>
      <c r="M142" s="197"/>
    </row>
    <row r="143" spans="1:13" x14ac:dyDescent="0.25">
      <c r="A143" s="197"/>
      <c r="B143" s="202">
        <v>42580</v>
      </c>
      <c r="C143" s="197">
        <v>50</v>
      </c>
      <c r="D143" s="198">
        <v>38.979999999999997</v>
      </c>
      <c r="E143" s="198">
        <v>0</v>
      </c>
      <c r="F143" s="198">
        <f>D143*C143+E143</f>
        <v>1948.9999999999998</v>
      </c>
      <c r="G143" s="197"/>
      <c r="H143" s="197"/>
      <c r="I143" s="198"/>
      <c r="J143" s="198"/>
      <c r="K143" s="198"/>
      <c r="L143" s="197"/>
      <c r="M143" s="197"/>
    </row>
    <row r="144" spans="1:13" x14ac:dyDescent="0.25">
      <c r="A144" s="197"/>
      <c r="B144" s="202">
        <v>42584</v>
      </c>
      <c r="C144" s="197">
        <v>50</v>
      </c>
      <c r="D144" s="198">
        <v>37.68</v>
      </c>
      <c r="E144" s="198">
        <v>0</v>
      </c>
      <c r="F144" s="198">
        <f>D144*C144+E144</f>
        <v>1884</v>
      </c>
      <c r="G144" s="197"/>
      <c r="H144" s="197"/>
      <c r="I144" s="198"/>
      <c r="J144" s="198"/>
      <c r="K144" s="198"/>
      <c r="L144" s="197"/>
      <c r="M144" s="197"/>
    </row>
    <row r="145" spans="1:13" x14ac:dyDescent="0.25">
      <c r="A145" s="197"/>
      <c r="B145" s="197"/>
      <c r="C145" s="197"/>
      <c r="D145" s="198"/>
      <c r="E145" s="198"/>
      <c r="F145" s="198"/>
      <c r="G145" s="197"/>
      <c r="H145" s="197"/>
      <c r="I145" s="198"/>
      <c r="J145" s="198"/>
      <c r="K145" s="198"/>
      <c r="L145" s="197"/>
      <c r="M145" s="197"/>
    </row>
    <row r="146" spans="1:13" x14ac:dyDescent="0.25">
      <c r="A146" s="197"/>
      <c r="B146" s="197"/>
      <c r="C146" s="197"/>
      <c r="D146" s="198"/>
      <c r="E146" s="198"/>
      <c r="F146" s="198"/>
      <c r="G146" s="197"/>
      <c r="H146" s="197"/>
      <c r="I146" s="198"/>
      <c r="J146" s="198"/>
      <c r="K146" s="198"/>
      <c r="L146" s="197"/>
      <c r="M146" s="197"/>
    </row>
    <row r="147" spans="1:13" x14ac:dyDescent="0.25">
      <c r="A147" s="197"/>
      <c r="B147" s="197"/>
      <c r="C147" s="197"/>
      <c r="D147" s="198"/>
      <c r="E147" s="198"/>
      <c r="F147" s="198"/>
      <c r="G147" s="197"/>
      <c r="H147" s="197"/>
      <c r="I147" s="198"/>
      <c r="J147" s="198"/>
      <c r="K147" s="198"/>
      <c r="L147" s="197"/>
      <c r="M147" s="197"/>
    </row>
    <row r="148" spans="1:13" x14ac:dyDescent="0.25">
      <c r="A148" s="197"/>
      <c r="B148" s="197"/>
      <c r="C148" s="197"/>
      <c r="D148" s="198"/>
      <c r="E148" s="198"/>
      <c r="F148" s="198"/>
      <c r="G148" s="197"/>
      <c r="H148" s="197"/>
      <c r="I148" s="198"/>
      <c r="J148" s="198"/>
      <c r="K148" s="198"/>
      <c r="L148" s="197"/>
      <c r="M148" s="197"/>
    </row>
    <row r="149" spans="1:13" x14ac:dyDescent="0.25">
      <c r="A149" s="197"/>
      <c r="B149" s="197"/>
      <c r="C149" s="197"/>
      <c r="D149" s="198"/>
      <c r="E149" s="198"/>
      <c r="F149" s="198"/>
      <c r="G149" s="197"/>
      <c r="H149" s="197"/>
      <c r="I149" s="198"/>
      <c r="J149" s="198"/>
      <c r="K149" s="198"/>
      <c r="L149" s="197"/>
      <c r="M149" s="197"/>
    </row>
    <row r="150" spans="1:13" x14ac:dyDescent="0.25">
      <c r="A150" s="197"/>
      <c r="B150" s="197"/>
      <c r="C150" s="197"/>
      <c r="D150" s="198"/>
      <c r="E150" s="198"/>
      <c r="F150" s="198"/>
      <c r="G150" s="197"/>
      <c r="H150" s="197"/>
      <c r="I150" s="198"/>
      <c r="J150" s="198"/>
      <c r="K150" s="198"/>
      <c r="L150" s="197"/>
      <c r="M150" s="197"/>
    </row>
    <row r="151" spans="1:13" x14ac:dyDescent="0.25">
      <c r="A151" s="197"/>
      <c r="B151" s="197"/>
      <c r="C151" s="197"/>
      <c r="D151" s="198"/>
      <c r="E151" s="198"/>
      <c r="F151" s="198"/>
      <c r="G151" s="197"/>
      <c r="H151" s="197"/>
      <c r="I151" s="198"/>
      <c r="J151" s="198"/>
      <c r="K151" s="198"/>
      <c r="L151" s="197"/>
      <c r="M151" s="197"/>
    </row>
    <row r="152" spans="1:13" x14ac:dyDescent="0.25">
      <c r="A152" s="197"/>
      <c r="B152" s="197"/>
      <c r="C152" s="197"/>
      <c r="D152" s="198"/>
      <c r="E152" s="198"/>
      <c r="F152" s="198"/>
      <c r="G152" s="197"/>
      <c r="H152" s="197"/>
      <c r="I152" s="198"/>
      <c r="J152" s="198"/>
      <c r="K152" s="198"/>
      <c r="L152" s="197"/>
      <c r="M152" s="197"/>
    </row>
    <row r="153" spans="1:13" x14ac:dyDescent="0.25">
      <c r="A153" s="197"/>
      <c r="B153" s="197"/>
      <c r="C153" s="197"/>
      <c r="D153" s="198"/>
      <c r="E153" s="198"/>
      <c r="F153" s="198"/>
      <c r="G153" s="197"/>
      <c r="H153" s="197"/>
      <c r="I153" s="198"/>
      <c r="J153" s="198"/>
      <c r="K153" s="198"/>
      <c r="L153" s="197"/>
      <c r="M153" s="197"/>
    </row>
    <row r="154" spans="1:13" x14ac:dyDescent="0.25">
      <c r="A154" s="197"/>
      <c r="B154" s="197"/>
      <c r="C154" s="197"/>
      <c r="D154" s="198"/>
      <c r="E154" s="198"/>
      <c r="F154" s="198"/>
      <c r="G154" s="197"/>
      <c r="H154" s="203"/>
      <c r="I154" s="198"/>
      <c r="J154" s="198"/>
      <c r="K154" s="198"/>
      <c r="L154" s="197"/>
      <c r="M154" s="197"/>
    </row>
    <row r="155" spans="1:13" x14ac:dyDescent="0.25">
      <c r="A155" s="31" t="s">
        <v>81</v>
      </c>
      <c r="B155" s="14"/>
      <c r="C155" s="14">
        <f>SUM(C128:C145)</f>
        <v>1050</v>
      </c>
      <c r="D155" s="18"/>
      <c r="E155" s="18"/>
      <c r="F155" s="18">
        <f>SUM(F128:F145)</f>
        <v>41340.5</v>
      </c>
      <c r="G155" s="14"/>
      <c r="H155" s="71">
        <f>SUM(H128:H154)</f>
        <v>1050</v>
      </c>
      <c r="I155" s="18"/>
      <c r="J155" s="18"/>
      <c r="K155" s="18">
        <f>SUM(K128:K154)</f>
        <v>42219.199999999997</v>
      </c>
      <c r="L155" s="14"/>
      <c r="M155" s="18">
        <f>SUM(M128:M154)</f>
        <v>114.75</v>
      </c>
    </row>
    <row r="156" spans="1:13" ht="15.75" thickBot="1" x14ac:dyDescent="0.3">
      <c r="A156" s="373" t="s">
        <v>191</v>
      </c>
      <c r="B156" s="374"/>
      <c r="C156" s="375">
        <f>SumByColor($A$30,C128:C154)</f>
        <v>0</v>
      </c>
      <c r="D156" s="375"/>
      <c r="E156" s="375"/>
      <c r="F156" s="376">
        <f>SumByColor($A$30,F128:F154)</f>
        <v>0</v>
      </c>
      <c r="G156" s="375"/>
      <c r="H156" s="375">
        <f>SumByColor($A$30,H129:H154)</f>
        <v>0</v>
      </c>
      <c r="I156" s="375"/>
      <c r="J156" s="375"/>
      <c r="K156" s="376">
        <f>SumByColor($A$30,K129:K154)</f>
        <v>0</v>
      </c>
      <c r="L156" s="375"/>
      <c r="M156" s="376">
        <f>SumByColor($A$30,M128:M154)</f>
        <v>0</v>
      </c>
    </row>
    <row r="159" spans="1:13" x14ac:dyDescent="0.25">
      <c r="B159" s="205" t="s">
        <v>113</v>
      </c>
      <c r="C159" s="205" t="s">
        <v>145</v>
      </c>
      <c r="D159" s="206" t="s">
        <v>144</v>
      </c>
      <c r="E159" s="207" t="s">
        <v>146</v>
      </c>
      <c r="F159" s="207" t="s">
        <v>65</v>
      </c>
      <c r="G159" s="209" t="s">
        <v>150</v>
      </c>
      <c r="H159" s="209" t="s">
        <v>88</v>
      </c>
      <c r="I159" s="209" t="s">
        <v>153</v>
      </c>
    </row>
    <row r="160" spans="1:13" x14ac:dyDescent="0.25">
      <c r="B160" s="202">
        <v>42524</v>
      </c>
      <c r="C160" s="197">
        <v>200</v>
      </c>
      <c r="D160" s="432">
        <v>42.3598</v>
      </c>
      <c r="E160" s="198">
        <v>41.755000000000003</v>
      </c>
      <c r="F160" s="198">
        <f t="shared" ref="F160:F212" si="8">C160*(E160-D160)</f>
        <v>-120.95999999999947</v>
      </c>
      <c r="G160" s="198">
        <f>D160*C160</f>
        <v>8471.9599999999991</v>
      </c>
      <c r="H160" s="212">
        <f>(E160-D160)/D160</f>
        <v>-1.4277687807779955E-2</v>
      </c>
      <c r="I160" s="198"/>
    </row>
    <row r="161" spans="2:9" x14ac:dyDescent="0.25">
      <c r="B161" s="202">
        <v>42527</v>
      </c>
      <c r="C161" s="197">
        <v>200</v>
      </c>
      <c r="D161" s="198">
        <v>42.3598</v>
      </c>
      <c r="E161" s="198">
        <v>41.28</v>
      </c>
      <c r="F161" s="198">
        <f t="shared" si="8"/>
        <v>-215.95999999999975</v>
      </c>
      <c r="G161" s="198">
        <f>D161*C161</f>
        <v>8471.9599999999991</v>
      </c>
      <c r="H161" s="212">
        <f>(E161-D161)/D161</f>
        <v>-2.5491149627713039E-2</v>
      </c>
      <c r="I161" s="198"/>
    </row>
    <row r="162" spans="2:9" x14ac:dyDescent="0.25">
      <c r="B162" s="202">
        <v>42533</v>
      </c>
      <c r="C162" s="197">
        <v>200</v>
      </c>
      <c r="D162" s="198">
        <v>42.36</v>
      </c>
      <c r="E162" s="198">
        <v>42.04</v>
      </c>
      <c r="F162" s="198">
        <f t="shared" si="8"/>
        <v>-64.000000000000057</v>
      </c>
      <c r="G162" s="198">
        <f>D162*C162</f>
        <v>8472</v>
      </c>
      <c r="H162" s="212">
        <f>(E162-D162)/D162</f>
        <v>-7.5542965061378723E-3</v>
      </c>
      <c r="I162" s="198"/>
    </row>
    <row r="163" spans="2:9" x14ac:dyDescent="0.25">
      <c r="B163" s="202">
        <v>42534</v>
      </c>
      <c r="C163" s="197">
        <v>200</v>
      </c>
      <c r="D163" s="198">
        <v>42.3598</v>
      </c>
      <c r="E163" s="198">
        <v>40.57</v>
      </c>
      <c r="F163" s="198">
        <f t="shared" si="8"/>
        <v>-357.95999999999992</v>
      </c>
      <c r="G163" s="198">
        <f t="shared" ref="G163:G212" si="9">D163*C163</f>
        <v>8471.9599999999991</v>
      </c>
      <c r="H163" s="212">
        <f t="shared" ref="H163:H212" si="10">(E163-D163)/D163</f>
        <v>-4.2252324137507721E-2</v>
      </c>
      <c r="I163" s="198"/>
    </row>
    <row r="164" spans="2:9" x14ac:dyDescent="0.25">
      <c r="B164" s="202">
        <v>42535</v>
      </c>
      <c r="C164" s="197">
        <v>300</v>
      </c>
      <c r="D164" s="198">
        <v>41.523200000000003</v>
      </c>
      <c r="E164" s="198">
        <v>39.11</v>
      </c>
      <c r="F164" s="198">
        <f t="shared" si="8"/>
        <v>-723.96000000000095</v>
      </c>
      <c r="G164" s="198">
        <f t="shared" si="9"/>
        <v>12456.960000000001</v>
      </c>
      <c r="H164" s="212">
        <f t="shared" si="10"/>
        <v>-5.8116908138101185E-2</v>
      </c>
      <c r="I164" s="198"/>
    </row>
    <row r="165" spans="2:9" x14ac:dyDescent="0.25">
      <c r="B165" s="202">
        <v>42537</v>
      </c>
      <c r="C165" s="197">
        <v>400</v>
      </c>
      <c r="D165" s="198">
        <v>40.604900000000001</v>
      </c>
      <c r="E165" s="198">
        <v>38.020000000000003</v>
      </c>
      <c r="F165" s="198">
        <f t="shared" si="8"/>
        <v>-1033.9599999999991</v>
      </c>
      <c r="G165" s="198">
        <f t="shared" si="9"/>
        <v>16241.960000000001</v>
      </c>
      <c r="H165" s="212">
        <f t="shared" si="10"/>
        <v>-6.3659804604862896E-2</v>
      </c>
      <c r="I165" s="198"/>
    </row>
    <row r="166" spans="2:9" x14ac:dyDescent="0.25">
      <c r="B166" s="202">
        <v>42542</v>
      </c>
      <c r="C166" s="197">
        <v>400</v>
      </c>
      <c r="D166" s="198">
        <v>40.604900000000001</v>
      </c>
      <c r="E166" s="198">
        <v>38.67</v>
      </c>
      <c r="F166" s="198">
        <f t="shared" si="8"/>
        <v>-773.95999999999958</v>
      </c>
      <c r="G166" s="198">
        <f t="shared" si="9"/>
        <v>16241.960000000001</v>
      </c>
      <c r="H166" s="212">
        <f t="shared" si="10"/>
        <v>-4.7651884378486317E-2</v>
      </c>
      <c r="I166" s="198"/>
    </row>
    <row r="167" spans="2:9" x14ac:dyDescent="0.25">
      <c r="B167" s="202">
        <v>42545</v>
      </c>
      <c r="C167" s="197">
        <v>500</v>
      </c>
      <c r="D167" s="198">
        <v>39.685899999999997</v>
      </c>
      <c r="E167" s="198">
        <v>38.31</v>
      </c>
      <c r="F167" s="198">
        <f t="shared" si="8"/>
        <v>-687.9499999999972</v>
      </c>
      <c r="G167" s="198">
        <f t="shared" si="9"/>
        <v>19842.949999999997</v>
      </c>
      <c r="H167" s="212">
        <f t="shared" si="10"/>
        <v>-3.466974416606388E-2</v>
      </c>
      <c r="I167" s="198"/>
    </row>
    <row r="168" spans="2:9" x14ac:dyDescent="0.25">
      <c r="B168" s="202">
        <v>42545</v>
      </c>
      <c r="C168" s="197">
        <v>500</v>
      </c>
      <c r="D168" s="198">
        <v>39.487099999999998</v>
      </c>
      <c r="E168" s="198">
        <v>35.18</v>
      </c>
      <c r="F168" s="198">
        <f t="shared" si="8"/>
        <v>-2153.5499999999993</v>
      </c>
      <c r="G168" s="198">
        <f t="shared" si="9"/>
        <v>19743.55</v>
      </c>
      <c r="H168" s="212">
        <f t="shared" si="10"/>
        <v>-0.10907612865973948</v>
      </c>
      <c r="I168" s="198"/>
    </row>
    <row r="169" spans="2:9" x14ac:dyDescent="0.25">
      <c r="B169" s="202">
        <v>42548</v>
      </c>
      <c r="C169" s="197">
        <v>600</v>
      </c>
      <c r="D169" s="198">
        <v>38.552599999999998</v>
      </c>
      <c r="E169" s="198">
        <v>33.36</v>
      </c>
      <c r="F169" s="198">
        <f t="shared" si="8"/>
        <v>-3115.5599999999995</v>
      </c>
      <c r="G169" s="198">
        <f t="shared" si="9"/>
        <v>23131.559999999998</v>
      </c>
      <c r="H169" s="212">
        <f t="shared" si="10"/>
        <v>-0.13468871100781787</v>
      </c>
      <c r="I169" s="198"/>
    </row>
    <row r="170" spans="2:9" x14ac:dyDescent="0.25">
      <c r="B170" s="202">
        <v>42549</v>
      </c>
      <c r="C170" s="197">
        <v>600</v>
      </c>
      <c r="D170" s="198">
        <v>38.552599999999998</v>
      </c>
      <c r="E170" s="198">
        <v>34.67</v>
      </c>
      <c r="F170" s="198">
        <f t="shared" si="8"/>
        <v>-2329.5599999999977</v>
      </c>
      <c r="G170" s="198">
        <f t="shared" si="9"/>
        <v>23131.559999999998</v>
      </c>
      <c r="H170" s="212">
        <f t="shared" si="10"/>
        <v>-0.10070916099043895</v>
      </c>
      <c r="I170" s="198"/>
    </row>
    <row r="171" spans="2:9" x14ac:dyDescent="0.25">
      <c r="B171" s="202">
        <v>42552</v>
      </c>
      <c r="C171" s="197">
        <v>600</v>
      </c>
      <c r="D171" s="198">
        <v>38.552599999999998</v>
      </c>
      <c r="E171" s="198">
        <v>36.770000000000003</v>
      </c>
      <c r="F171" s="198">
        <f t="shared" si="8"/>
        <v>-1069.559999999997</v>
      </c>
      <c r="G171" s="198">
        <f t="shared" si="9"/>
        <v>23131.559999999998</v>
      </c>
      <c r="H171" s="212">
        <f t="shared" si="10"/>
        <v>-4.6238126611434643E-2</v>
      </c>
      <c r="I171" s="198"/>
    </row>
    <row r="172" spans="2:9" x14ac:dyDescent="0.25">
      <c r="B172" s="202">
        <v>42556</v>
      </c>
      <c r="C172" s="211">
        <v>600</v>
      </c>
      <c r="D172" s="290">
        <v>38.552599999999998</v>
      </c>
      <c r="E172" s="198">
        <v>35.619999999999997</v>
      </c>
      <c r="F172" s="198">
        <f t="shared" si="8"/>
        <v>-1759.5600000000004</v>
      </c>
      <c r="G172" s="198">
        <f t="shared" si="9"/>
        <v>23131.559999999998</v>
      </c>
      <c r="H172" s="212">
        <f t="shared" si="10"/>
        <v>-7.6067502580889512E-2</v>
      </c>
      <c r="I172" s="198"/>
    </row>
    <row r="173" spans="2:9" x14ac:dyDescent="0.25">
      <c r="B173" s="202">
        <v>42559</v>
      </c>
      <c r="C173" s="211">
        <v>600</v>
      </c>
      <c r="D173" s="290">
        <v>38.552599999999998</v>
      </c>
      <c r="E173" s="198">
        <v>37.369999999999997</v>
      </c>
      <c r="F173" s="198">
        <f t="shared" si="8"/>
        <v>-709.5600000000004</v>
      </c>
      <c r="G173" s="198">
        <f t="shared" si="9"/>
        <v>23131.559999999998</v>
      </c>
      <c r="H173" s="212">
        <f t="shared" si="10"/>
        <v>-3.0674973931719283E-2</v>
      </c>
      <c r="I173" s="198"/>
    </row>
    <row r="174" spans="2:9" x14ac:dyDescent="0.25">
      <c r="B174" s="202">
        <v>42562</v>
      </c>
      <c r="C174" s="211">
        <v>600</v>
      </c>
      <c r="D174" s="290">
        <v>38.552599999999998</v>
      </c>
      <c r="E174" s="198">
        <v>38.119999999999997</v>
      </c>
      <c r="F174" s="198">
        <f t="shared" si="8"/>
        <v>-259.56000000000046</v>
      </c>
      <c r="G174" s="198">
        <f t="shared" si="9"/>
        <v>23131.559999999998</v>
      </c>
      <c r="H174" s="212">
        <f t="shared" si="10"/>
        <v>-1.1221033082074899E-2</v>
      </c>
      <c r="I174" s="198"/>
    </row>
    <row r="175" spans="2:9" x14ac:dyDescent="0.25">
      <c r="B175" s="202">
        <v>42563</v>
      </c>
      <c r="C175" s="197">
        <v>500</v>
      </c>
      <c r="D175" s="198">
        <v>38.395200000000003</v>
      </c>
      <c r="E175" s="198">
        <v>40.21</v>
      </c>
      <c r="F175" s="198">
        <f t="shared" si="8"/>
        <v>907.39999999999907</v>
      </c>
      <c r="G175" s="198">
        <f t="shared" si="9"/>
        <v>19197.600000000002</v>
      </c>
      <c r="H175" s="212">
        <f t="shared" si="10"/>
        <v>4.7266324957286276E-2</v>
      </c>
      <c r="I175" s="198"/>
    </row>
    <row r="176" spans="2:9" x14ac:dyDescent="0.25">
      <c r="B176" s="202">
        <v>42566</v>
      </c>
      <c r="C176" s="197">
        <v>400</v>
      </c>
      <c r="D176" s="198">
        <v>37.874299999999998</v>
      </c>
      <c r="E176" s="198">
        <v>39.979999999999997</v>
      </c>
      <c r="F176" s="198">
        <f t="shared" si="8"/>
        <v>842.27999999999952</v>
      </c>
      <c r="G176" s="198">
        <f t="shared" si="9"/>
        <v>15149.72</v>
      </c>
      <c r="H176" s="212">
        <f t="shared" si="10"/>
        <v>5.559706714051478E-2</v>
      </c>
      <c r="I176" s="198"/>
    </row>
    <row r="177" spans="2:9" x14ac:dyDescent="0.25">
      <c r="B177" s="202">
        <v>42569</v>
      </c>
      <c r="C177" s="197">
        <v>400</v>
      </c>
      <c r="D177" s="198">
        <v>37.874299999999998</v>
      </c>
      <c r="E177" s="198">
        <v>40.1</v>
      </c>
      <c r="F177" s="198">
        <f t="shared" si="8"/>
        <v>890.28000000000134</v>
      </c>
      <c r="G177" s="198">
        <f t="shared" si="9"/>
        <v>15149.72</v>
      </c>
      <c r="H177" s="212">
        <f t="shared" si="10"/>
        <v>5.8765442529631E-2</v>
      </c>
      <c r="I177" s="198"/>
    </row>
    <row r="178" spans="2:9" x14ac:dyDescent="0.25">
      <c r="B178" s="202">
        <v>42570</v>
      </c>
      <c r="C178" s="197">
        <v>400</v>
      </c>
      <c r="D178" s="198">
        <v>37.874299999999998</v>
      </c>
      <c r="E178" s="198">
        <v>40.53</v>
      </c>
      <c r="F178" s="198">
        <f t="shared" si="8"/>
        <v>1062.2800000000011</v>
      </c>
      <c r="G178" s="198">
        <f t="shared" si="9"/>
        <v>15149.72</v>
      </c>
      <c r="H178" s="212">
        <f t="shared" si="10"/>
        <v>7.0118787673963692E-2</v>
      </c>
      <c r="I178" s="198"/>
    </row>
    <row r="179" spans="2:9" x14ac:dyDescent="0.25">
      <c r="B179" s="202">
        <v>42571</v>
      </c>
      <c r="C179" s="211">
        <v>300</v>
      </c>
      <c r="D179" s="290">
        <v>36.805999999999997</v>
      </c>
      <c r="E179" s="290">
        <v>40.21</v>
      </c>
      <c r="F179" s="198">
        <f t="shared" si="8"/>
        <v>1021.2000000000011</v>
      </c>
      <c r="G179" s="198">
        <f t="shared" si="9"/>
        <v>11041.8</v>
      </c>
      <c r="H179" s="212">
        <f t="shared" si="10"/>
        <v>9.2484920936803883E-2</v>
      </c>
      <c r="I179" s="198"/>
    </row>
    <row r="180" spans="2:9" x14ac:dyDescent="0.25">
      <c r="B180" s="202">
        <v>42572</v>
      </c>
      <c r="C180" s="197">
        <v>350</v>
      </c>
      <c r="D180" s="198">
        <v>37.059399999999997</v>
      </c>
      <c r="E180" s="198">
        <v>38.520000000000003</v>
      </c>
      <c r="F180" s="198">
        <f t="shared" si="8"/>
        <v>511.21000000000231</v>
      </c>
      <c r="G180" s="198">
        <f t="shared" si="9"/>
        <v>12970.789999999999</v>
      </c>
      <c r="H180" s="212">
        <f t="shared" si="10"/>
        <v>3.9412402791194859E-2</v>
      </c>
      <c r="I180" s="198"/>
    </row>
    <row r="181" spans="2:9" x14ac:dyDescent="0.25">
      <c r="B181" s="202">
        <v>42575</v>
      </c>
      <c r="C181" s="197">
        <v>350</v>
      </c>
      <c r="D181" s="198">
        <v>37.059399999999997</v>
      </c>
      <c r="E181" s="198">
        <v>38.96</v>
      </c>
      <c r="F181" s="198">
        <f t="shared" si="8"/>
        <v>665.21000000000151</v>
      </c>
      <c r="G181" s="198">
        <f t="shared" si="9"/>
        <v>12970.789999999999</v>
      </c>
      <c r="H181" s="212">
        <f t="shared" si="10"/>
        <v>5.1285233975725576E-2</v>
      </c>
      <c r="I181" s="198"/>
    </row>
    <row r="182" spans="2:9" x14ac:dyDescent="0.25">
      <c r="B182" s="202">
        <v>42577</v>
      </c>
      <c r="C182" s="197">
        <v>350</v>
      </c>
      <c r="D182" s="198">
        <v>37.059399999999997</v>
      </c>
      <c r="E182" s="198">
        <v>39.03</v>
      </c>
      <c r="F182" s="198">
        <f t="shared" si="8"/>
        <v>689.71000000000163</v>
      </c>
      <c r="G182" s="198">
        <f t="shared" si="9"/>
        <v>12970.789999999999</v>
      </c>
      <c r="H182" s="212">
        <f t="shared" si="10"/>
        <v>5.3174093482355481E-2</v>
      </c>
      <c r="I182" s="198"/>
    </row>
    <row r="183" spans="2:9" x14ac:dyDescent="0.25">
      <c r="B183" s="202">
        <v>42580</v>
      </c>
      <c r="C183" s="197">
        <v>300</v>
      </c>
      <c r="D183" s="198">
        <v>36.606099999999998</v>
      </c>
      <c r="E183" s="198">
        <v>39.659999999999997</v>
      </c>
      <c r="F183" s="198">
        <f t="shared" si="8"/>
        <v>916.16999999999962</v>
      </c>
      <c r="G183" s="198">
        <f t="shared" si="9"/>
        <v>10981.83</v>
      </c>
      <c r="H183" s="212">
        <f t="shared" si="10"/>
        <v>8.3425986379319264E-2</v>
      </c>
      <c r="I183" s="198">
        <v>36</v>
      </c>
    </row>
    <row r="184" spans="2:9" x14ac:dyDescent="0.25">
      <c r="B184" s="202">
        <v>42580</v>
      </c>
      <c r="C184" s="197">
        <v>350</v>
      </c>
      <c r="D184" s="198">
        <v>36.945300000000003</v>
      </c>
      <c r="E184" s="198">
        <v>38.75</v>
      </c>
      <c r="F184" s="198">
        <f t="shared" si="8"/>
        <v>631.64499999999884</v>
      </c>
      <c r="G184" s="198">
        <f t="shared" si="9"/>
        <v>12930.855000000001</v>
      </c>
      <c r="H184" s="212">
        <f t="shared" si="10"/>
        <v>4.8847891342065075E-2</v>
      </c>
      <c r="I184" s="198"/>
    </row>
    <row r="185" spans="2:9" x14ac:dyDescent="0.25">
      <c r="B185" s="202">
        <v>42584</v>
      </c>
      <c r="C185" s="197">
        <v>400</v>
      </c>
      <c r="D185" s="198">
        <v>37.037100000000002</v>
      </c>
      <c r="E185" s="198">
        <v>36.39</v>
      </c>
      <c r="F185" s="198">
        <f t="shared" si="8"/>
        <v>-258.84000000000071</v>
      </c>
      <c r="G185" s="198">
        <f t="shared" si="9"/>
        <v>14814.84</v>
      </c>
      <c r="H185" s="212">
        <f t="shared" si="10"/>
        <v>-1.747167029816054E-2</v>
      </c>
      <c r="I185" s="198">
        <v>36.5</v>
      </c>
    </row>
    <row r="186" spans="2:9" x14ac:dyDescent="0.25">
      <c r="B186" s="202">
        <v>42597</v>
      </c>
      <c r="C186" s="197">
        <v>400</v>
      </c>
      <c r="D186" s="198">
        <v>37.037100000000002</v>
      </c>
      <c r="E186" s="198">
        <v>36.92</v>
      </c>
      <c r="F186" s="198">
        <f t="shared" si="8"/>
        <v>-46.840000000000259</v>
      </c>
      <c r="G186" s="198">
        <f t="shared" si="9"/>
        <v>14814.84</v>
      </c>
      <c r="H186" s="212">
        <f t="shared" si="10"/>
        <v>-3.1616946251191544E-3</v>
      </c>
      <c r="I186" s="198"/>
    </row>
    <row r="187" spans="2:9" x14ac:dyDescent="0.25">
      <c r="B187" s="202">
        <v>42599</v>
      </c>
      <c r="C187" s="197">
        <v>400</v>
      </c>
      <c r="D187" s="198">
        <v>37.037100000000002</v>
      </c>
      <c r="E187" s="198">
        <v>37.51</v>
      </c>
      <c r="F187" s="198">
        <f t="shared" si="8"/>
        <v>189.15999999999826</v>
      </c>
      <c r="G187" s="198">
        <f t="shared" si="9"/>
        <v>14814.84</v>
      </c>
      <c r="H187" s="212">
        <f t="shared" si="10"/>
        <v>1.2768278293926781E-2</v>
      </c>
      <c r="I187" s="198"/>
    </row>
    <row r="188" spans="2:9" x14ac:dyDescent="0.25">
      <c r="B188" s="202">
        <v>42600</v>
      </c>
      <c r="C188" s="197">
        <v>400</v>
      </c>
      <c r="D188" s="198">
        <v>37.037100000000002</v>
      </c>
      <c r="E188" s="198">
        <v>37.07</v>
      </c>
      <c r="F188" s="198">
        <f t="shared" si="8"/>
        <v>13.159999999999172</v>
      </c>
      <c r="G188" s="198">
        <f t="shared" si="9"/>
        <v>14814.84</v>
      </c>
      <c r="H188" s="212">
        <f t="shared" si="10"/>
        <v>8.8829848989251125E-4</v>
      </c>
      <c r="I188" s="198"/>
    </row>
    <row r="189" spans="2:9" x14ac:dyDescent="0.25">
      <c r="B189" s="202">
        <v>42601</v>
      </c>
      <c r="C189" s="197">
        <v>400</v>
      </c>
      <c r="D189" s="198">
        <v>37.037100000000002</v>
      </c>
      <c r="E189" s="198">
        <v>36.770000000000003</v>
      </c>
      <c r="F189" s="198">
        <f t="shared" si="8"/>
        <v>-106.83999999999969</v>
      </c>
      <c r="G189" s="198">
        <f t="shared" si="9"/>
        <v>14814.84</v>
      </c>
      <c r="H189" s="212">
        <f t="shared" si="10"/>
        <v>-7.2116877401308208E-3</v>
      </c>
      <c r="I189" s="198"/>
    </row>
    <row r="190" spans="2:9" x14ac:dyDescent="0.25">
      <c r="B190" s="202">
        <v>42604</v>
      </c>
      <c r="C190" s="197">
        <v>400</v>
      </c>
      <c r="D190" s="198">
        <v>37.037100000000002</v>
      </c>
      <c r="E190" s="198">
        <v>36.61</v>
      </c>
      <c r="F190" s="198">
        <f t="shared" si="8"/>
        <v>-170.84000000000117</v>
      </c>
      <c r="G190" s="198">
        <f t="shared" si="9"/>
        <v>14814.84</v>
      </c>
      <c r="H190" s="212">
        <f t="shared" si="10"/>
        <v>-1.1531680396143405E-2</v>
      </c>
      <c r="I190" s="198"/>
    </row>
    <row r="191" spans="2:9" x14ac:dyDescent="0.25">
      <c r="B191" s="202">
        <v>42605</v>
      </c>
      <c r="C191" s="197">
        <v>400</v>
      </c>
      <c r="D191" s="198">
        <v>37.037100000000002</v>
      </c>
      <c r="E191" s="198">
        <v>36.69</v>
      </c>
      <c r="F191" s="198">
        <f t="shared" si="8"/>
        <v>-138.84000000000185</v>
      </c>
      <c r="G191" s="198">
        <f t="shared" si="9"/>
        <v>14814.84</v>
      </c>
      <c r="H191" s="212">
        <f t="shared" si="10"/>
        <v>-9.3716840681372093E-3</v>
      </c>
      <c r="I191" s="198"/>
    </row>
    <row r="192" spans="2:9" x14ac:dyDescent="0.25">
      <c r="B192" s="202">
        <v>42606</v>
      </c>
      <c r="C192" s="197">
        <v>400</v>
      </c>
      <c r="D192" s="198">
        <v>37.037100000000002</v>
      </c>
      <c r="E192" s="198">
        <v>36.770000000000003</v>
      </c>
      <c r="F192" s="198">
        <f t="shared" si="8"/>
        <v>-106.83999999999969</v>
      </c>
      <c r="G192" s="198">
        <f t="shared" si="9"/>
        <v>14814.84</v>
      </c>
      <c r="H192" s="212">
        <f t="shared" si="10"/>
        <v>-7.2116877401308208E-3</v>
      </c>
      <c r="I192" s="198"/>
    </row>
    <row r="193" spans="2:9" x14ac:dyDescent="0.25">
      <c r="B193" s="202">
        <v>42607</v>
      </c>
      <c r="C193" s="197">
        <v>400</v>
      </c>
      <c r="D193" s="198">
        <v>37.037100000000002</v>
      </c>
      <c r="E193" s="198">
        <v>36.47</v>
      </c>
      <c r="F193" s="198">
        <f t="shared" si="8"/>
        <v>-226.8400000000014</v>
      </c>
      <c r="G193" s="198">
        <f t="shared" si="9"/>
        <v>14814.84</v>
      </c>
      <c r="H193" s="212">
        <f t="shared" si="10"/>
        <v>-1.5311673970154344E-2</v>
      </c>
      <c r="I193" s="198"/>
    </row>
    <row r="194" spans="2:9" x14ac:dyDescent="0.25">
      <c r="B194" s="202">
        <v>42611</v>
      </c>
      <c r="C194" s="197">
        <v>400</v>
      </c>
      <c r="D194" s="198">
        <v>37.037100000000002</v>
      </c>
      <c r="E194" s="198">
        <v>36.549999999999997</v>
      </c>
      <c r="F194" s="198">
        <f t="shared" si="8"/>
        <v>-194.84000000000208</v>
      </c>
      <c r="G194" s="198">
        <f t="shared" si="9"/>
        <v>14814.84</v>
      </c>
      <c r="H194" s="212">
        <f t="shared" si="10"/>
        <v>-1.3151677642148148E-2</v>
      </c>
      <c r="I194" s="198"/>
    </row>
    <row r="195" spans="2:9" x14ac:dyDescent="0.25">
      <c r="B195" s="202">
        <v>42612</v>
      </c>
      <c r="C195" s="197">
        <v>400</v>
      </c>
      <c r="D195" s="198">
        <v>37.037100000000002</v>
      </c>
      <c r="E195" s="198">
        <v>37.159999999999997</v>
      </c>
      <c r="F195" s="198">
        <f t="shared" si="8"/>
        <v>49.159999999997694</v>
      </c>
      <c r="G195" s="198">
        <f t="shared" si="9"/>
        <v>14814.84</v>
      </c>
      <c r="H195" s="212">
        <f t="shared" si="10"/>
        <v>3.3182943588994339E-3</v>
      </c>
      <c r="I195" s="198"/>
    </row>
    <row r="196" spans="2:9" x14ac:dyDescent="0.25">
      <c r="B196" s="202">
        <v>42614</v>
      </c>
      <c r="C196" s="197">
        <v>400</v>
      </c>
      <c r="D196" s="198">
        <v>37.037100000000002</v>
      </c>
      <c r="E196" s="198">
        <v>36.82</v>
      </c>
      <c r="F196" s="198">
        <f t="shared" si="8"/>
        <v>-86.840000000000828</v>
      </c>
      <c r="G196" s="198">
        <f t="shared" si="9"/>
        <v>14814.84</v>
      </c>
      <c r="H196" s="212">
        <f t="shared" si="10"/>
        <v>-5.8616900351269961E-3</v>
      </c>
      <c r="I196" s="198"/>
    </row>
    <row r="197" spans="2:9" x14ac:dyDescent="0.25">
      <c r="B197" s="202">
        <v>42615</v>
      </c>
      <c r="C197" s="197">
        <v>400</v>
      </c>
      <c r="D197" s="198">
        <v>37.037100000000002</v>
      </c>
      <c r="E197" s="198">
        <v>37.17</v>
      </c>
      <c r="F197" s="198">
        <f t="shared" si="8"/>
        <v>53.159999999999741</v>
      </c>
      <c r="G197" s="198">
        <f t="shared" si="9"/>
        <v>14814.84</v>
      </c>
      <c r="H197" s="212">
        <f t="shared" si="10"/>
        <v>3.5882938999003524E-3</v>
      </c>
      <c r="I197" s="198"/>
    </row>
    <row r="198" spans="2:9" x14ac:dyDescent="0.25">
      <c r="B198" s="202">
        <v>42615</v>
      </c>
      <c r="C198" s="197">
        <v>400</v>
      </c>
      <c r="D198" s="198">
        <v>36.834600000000002</v>
      </c>
      <c r="E198" s="198">
        <v>37.17</v>
      </c>
      <c r="F198" s="198">
        <f t="shared" si="8"/>
        <v>134.15999999999997</v>
      </c>
      <c r="G198" s="198">
        <f t="shared" si="9"/>
        <v>14733.84</v>
      </c>
      <c r="H198" s="212">
        <f t="shared" si="10"/>
        <v>9.1055692202440079E-3</v>
      </c>
      <c r="I198" s="198" t="s">
        <v>255</v>
      </c>
    </row>
    <row r="199" spans="2:9" x14ac:dyDescent="0.25">
      <c r="B199" s="202">
        <v>42619</v>
      </c>
      <c r="C199" s="197">
        <v>400</v>
      </c>
      <c r="D199" s="198">
        <v>36.834600000000002</v>
      </c>
      <c r="E199" s="198">
        <v>36.82</v>
      </c>
      <c r="F199" s="198">
        <f t="shared" si="8"/>
        <v>-5.8400000000006003</v>
      </c>
      <c r="G199" s="198">
        <f t="shared" si="9"/>
        <v>14733.84</v>
      </c>
      <c r="H199" s="212">
        <f t="shared" si="10"/>
        <v>-3.9636645979599343E-4</v>
      </c>
      <c r="I199" s="198"/>
    </row>
    <row r="200" spans="2:9" x14ac:dyDescent="0.25">
      <c r="B200" s="202">
        <v>42620</v>
      </c>
      <c r="C200" s="197">
        <v>350</v>
      </c>
      <c r="D200" s="198">
        <v>36.642400000000002</v>
      </c>
      <c r="E200" s="198">
        <v>38.9</v>
      </c>
      <c r="F200" s="198">
        <f t="shared" si="8"/>
        <v>790.15999999999872</v>
      </c>
      <c r="G200" s="198">
        <f t="shared" si="9"/>
        <v>12824.84</v>
      </c>
      <c r="H200" s="212">
        <f t="shared" si="10"/>
        <v>6.1611684824138056E-2</v>
      </c>
      <c r="I200" s="198"/>
    </row>
    <row r="201" spans="2:9" x14ac:dyDescent="0.25">
      <c r="B201" s="202">
        <v>42620</v>
      </c>
      <c r="C201" s="197">
        <v>300</v>
      </c>
      <c r="D201" s="198">
        <v>36.269399999999997</v>
      </c>
      <c r="E201" s="198">
        <v>38.9</v>
      </c>
      <c r="F201" s="198">
        <f t="shared" si="8"/>
        <v>789.18000000000029</v>
      </c>
      <c r="G201" s="198">
        <f t="shared" si="9"/>
        <v>10880.82</v>
      </c>
      <c r="H201" s="212">
        <f t="shared" si="10"/>
        <v>7.2529460095838397E-2</v>
      </c>
      <c r="I201" s="198">
        <v>36</v>
      </c>
    </row>
    <row r="202" spans="2:9" x14ac:dyDescent="0.25">
      <c r="B202" s="202">
        <v>42620</v>
      </c>
      <c r="C202" s="197">
        <v>250</v>
      </c>
      <c r="D202" s="198">
        <v>35.705300000000001</v>
      </c>
      <c r="E202" s="198">
        <v>38.9</v>
      </c>
      <c r="F202" s="198">
        <f t="shared" si="8"/>
        <v>798.67499999999939</v>
      </c>
      <c r="G202" s="198">
        <f t="shared" si="9"/>
        <v>8926.3250000000007</v>
      </c>
      <c r="H202" s="212">
        <f t="shared" si="10"/>
        <v>8.9474111686500254E-2</v>
      </c>
      <c r="I202" s="198"/>
    </row>
    <row r="203" spans="2:9" x14ac:dyDescent="0.25">
      <c r="B203" s="202">
        <v>42622</v>
      </c>
      <c r="C203" s="197">
        <v>250</v>
      </c>
      <c r="D203" s="198">
        <v>35.705300000000001</v>
      </c>
      <c r="E203" s="198">
        <v>37.75</v>
      </c>
      <c r="F203" s="198">
        <f t="shared" si="8"/>
        <v>511.17499999999973</v>
      </c>
      <c r="G203" s="198">
        <f t="shared" si="9"/>
        <v>8926.3250000000007</v>
      </c>
      <c r="H203" s="212">
        <f t="shared" si="10"/>
        <v>5.7266008127644881E-2</v>
      </c>
      <c r="I203" s="198"/>
    </row>
    <row r="204" spans="2:9" x14ac:dyDescent="0.25">
      <c r="B204" s="202">
        <v>42625</v>
      </c>
      <c r="C204" s="197">
        <v>250</v>
      </c>
      <c r="D204" s="198">
        <v>35.705300000000001</v>
      </c>
      <c r="E204" s="198">
        <v>38.44</v>
      </c>
      <c r="F204" s="198">
        <f t="shared" si="8"/>
        <v>683.67499999999916</v>
      </c>
      <c r="G204" s="198">
        <f t="shared" si="9"/>
        <v>8926.3250000000007</v>
      </c>
      <c r="H204" s="212">
        <f t="shared" si="10"/>
        <v>7.6590870262958063E-2</v>
      </c>
      <c r="I204" s="198"/>
    </row>
    <row r="205" spans="2:9" x14ac:dyDescent="0.25">
      <c r="B205" s="202">
        <v>42627</v>
      </c>
      <c r="C205" s="197">
        <v>250</v>
      </c>
      <c r="D205" s="198">
        <v>35.705300000000001</v>
      </c>
      <c r="E205" s="198">
        <v>37.119999999999997</v>
      </c>
      <c r="F205" s="198">
        <f t="shared" si="8"/>
        <v>353.67499999999905</v>
      </c>
      <c r="G205" s="198">
        <f t="shared" si="9"/>
        <v>8926.3250000000007</v>
      </c>
      <c r="H205" s="212">
        <f t="shared" si="10"/>
        <v>3.9621568786706633E-2</v>
      </c>
      <c r="I205" s="198"/>
    </row>
    <row r="206" spans="2:9" x14ac:dyDescent="0.25">
      <c r="B206" s="202">
        <v>42629</v>
      </c>
      <c r="C206" s="197">
        <v>250</v>
      </c>
      <c r="D206" s="198">
        <v>35.705300000000001</v>
      </c>
      <c r="E206" s="198">
        <v>36.770000000000003</v>
      </c>
      <c r="F206" s="198">
        <f t="shared" si="8"/>
        <v>266.17500000000052</v>
      </c>
      <c r="G206" s="198">
        <f t="shared" si="9"/>
        <v>8926.3250000000007</v>
      </c>
      <c r="H206" s="212">
        <f t="shared" si="10"/>
        <v>2.9819102486185578E-2</v>
      </c>
      <c r="I206" s="198"/>
    </row>
    <row r="207" spans="2:9" x14ac:dyDescent="0.25">
      <c r="B207" s="202">
        <v>42632</v>
      </c>
      <c r="C207" s="197">
        <v>250</v>
      </c>
      <c r="D207" s="198">
        <v>35.705300000000001</v>
      </c>
      <c r="E207" s="198">
        <v>37.57</v>
      </c>
      <c r="F207" s="198">
        <f t="shared" si="8"/>
        <v>466.17499999999978</v>
      </c>
      <c r="G207" s="198">
        <f t="shared" si="9"/>
        <v>8926.3250000000007</v>
      </c>
      <c r="H207" s="212">
        <f t="shared" si="10"/>
        <v>5.2224739744519695E-2</v>
      </c>
      <c r="I207" s="198"/>
    </row>
    <row r="208" spans="2:9" x14ac:dyDescent="0.25">
      <c r="B208" s="202">
        <v>42633</v>
      </c>
      <c r="C208" s="197">
        <v>250</v>
      </c>
      <c r="D208" s="198">
        <v>35.705300000000001</v>
      </c>
      <c r="E208" s="198">
        <v>38.049999999999997</v>
      </c>
      <c r="F208" s="198">
        <f t="shared" si="8"/>
        <v>586.17499999999905</v>
      </c>
      <c r="G208" s="198">
        <f t="shared" si="9"/>
        <v>8926.3250000000007</v>
      </c>
      <c r="H208" s="212">
        <f t="shared" si="10"/>
        <v>6.5668122099520124E-2</v>
      </c>
      <c r="I208" s="198"/>
    </row>
    <row r="209" spans="2:9" x14ac:dyDescent="0.25">
      <c r="B209" s="202">
        <v>42635</v>
      </c>
      <c r="C209" s="197">
        <v>250</v>
      </c>
      <c r="D209" s="198">
        <v>35.705300000000001</v>
      </c>
      <c r="E209" s="198">
        <v>38.5</v>
      </c>
      <c r="F209" s="198">
        <f t="shared" si="8"/>
        <v>698.67499999999973</v>
      </c>
      <c r="G209" s="198">
        <f t="shared" si="9"/>
        <v>8926.3250000000007</v>
      </c>
      <c r="H209" s="212">
        <f t="shared" si="10"/>
        <v>7.8271293057333186E-2</v>
      </c>
      <c r="I209" s="198"/>
    </row>
    <row r="210" spans="2:9" x14ac:dyDescent="0.25">
      <c r="B210" s="202">
        <v>42636</v>
      </c>
      <c r="C210" s="197">
        <v>250</v>
      </c>
      <c r="D210" s="198">
        <v>35.705300000000001</v>
      </c>
      <c r="E210" s="198">
        <v>38.78</v>
      </c>
      <c r="F210" s="198">
        <f t="shared" si="8"/>
        <v>768.67499999999995</v>
      </c>
      <c r="G210" s="198">
        <f t="shared" si="9"/>
        <v>8926.3250000000007</v>
      </c>
      <c r="H210" s="212">
        <f t="shared" si="10"/>
        <v>8.6113266097750191E-2</v>
      </c>
      <c r="I210" s="198"/>
    </row>
    <row r="211" spans="2:9" x14ac:dyDescent="0.25">
      <c r="B211" s="202">
        <v>42639</v>
      </c>
      <c r="C211" s="197">
        <v>250</v>
      </c>
      <c r="D211" s="198">
        <v>35.705300000000001</v>
      </c>
      <c r="E211" s="198">
        <v>38.04</v>
      </c>
      <c r="F211" s="198">
        <f t="shared" si="8"/>
        <v>583.6749999999995</v>
      </c>
      <c r="G211" s="198">
        <f t="shared" si="9"/>
        <v>8926.3250000000007</v>
      </c>
      <c r="H211" s="212">
        <f t="shared" si="10"/>
        <v>6.5388051633791008E-2</v>
      </c>
      <c r="I211" s="198"/>
    </row>
    <row r="212" spans="2:9" x14ac:dyDescent="0.25">
      <c r="B212" s="202">
        <v>42640</v>
      </c>
      <c r="C212" s="197">
        <v>250</v>
      </c>
      <c r="D212" s="198">
        <v>35.705300000000001</v>
      </c>
      <c r="E212" s="198">
        <v>39.21</v>
      </c>
      <c r="F212" s="198">
        <f t="shared" si="8"/>
        <v>876.17499999999995</v>
      </c>
      <c r="G212" s="198">
        <f t="shared" si="9"/>
        <v>8926.3250000000007</v>
      </c>
      <c r="H212" s="212">
        <f t="shared" si="10"/>
        <v>9.8156296124104814E-2</v>
      </c>
      <c r="I212" s="198"/>
    </row>
    <row r="213" spans="2:9" x14ac:dyDescent="0.25">
      <c r="B213" s="202">
        <v>42641</v>
      </c>
      <c r="C213" s="197">
        <v>0</v>
      </c>
      <c r="D213" s="198"/>
      <c r="E213" s="198"/>
      <c r="F213" s="198">
        <v>993.45</v>
      </c>
      <c r="G213" s="198"/>
      <c r="H213" s="212"/>
      <c r="I213" s="198"/>
    </row>
    <row r="214" spans="2:9" x14ac:dyDescent="0.25">
      <c r="B214" s="164"/>
      <c r="C214" s="10"/>
      <c r="D214" s="39"/>
      <c r="E214" s="39"/>
      <c r="F214" s="39"/>
      <c r="G214" s="39"/>
      <c r="H214" s="179"/>
      <c r="I214" s="39"/>
    </row>
    <row r="215" spans="2:9" x14ac:dyDescent="0.25">
      <c r="B215" s="164"/>
      <c r="C215" s="10"/>
      <c r="D215" s="39"/>
      <c r="E215" s="39"/>
      <c r="F215" s="39"/>
      <c r="G215" s="39"/>
      <c r="H215" s="179"/>
      <c r="I215" s="39"/>
    </row>
    <row r="216" spans="2:9" x14ac:dyDescent="0.25">
      <c r="B216" s="433"/>
      <c r="C216" s="162"/>
      <c r="D216" s="163"/>
      <c r="E216" s="163"/>
      <c r="F216" s="163"/>
      <c r="G216" s="163"/>
      <c r="H216" s="434"/>
      <c r="I216" s="163"/>
    </row>
    <row r="217" spans="2:9" x14ac:dyDescent="0.25">
      <c r="B217" s="164"/>
      <c r="C217" s="10"/>
      <c r="D217" s="39"/>
      <c r="E217" s="39"/>
      <c r="F217" s="39"/>
      <c r="G217" s="39"/>
      <c r="H217" s="179"/>
      <c r="I217" s="39"/>
    </row>
    <row r="218" spans="2:9" x14ac:dyDescent="0.25">
      <c r="B218" s="164"/>
      <c r="C218" s="10"/>
      <c r="D218" s="39"/>
      <c r="E218" s="39"/>
      <c r="F218" s="39"/>
      <c r="G218" s="39"/>
      <c r="H218" s="179"/>
      <c r="I218" s="39"/>
    </row>
    <row r="219" spans="2:9" x14ac:dyDescent="0.25">
      <c r="B219" s="164"/>
      <c r="C219" s="10"/>
      <c r="D219" s="39"/>
      <c r="E219" s="39"/>
      <c r="F219" s="39"/>
      <c r="G219" s="39"/>
      <c r="H219" s="179"/>
      <c r="I219" s="39"/>
    </row>
    <row r="220" spans="2:9" x14ac:dyDescent="0.25">
      <c r="B220" s="164"/>
      <c r="C220" s="10"/>
      <c r="D220" s="39"/>
      <c r="E220" s="39"/>
      <c r="F220" s="39"/>
      <c r="G220" s="39"/>
      <c r="H220" s="179"/>
      <c r="I220" s="39"/>
    </row>
    <row r="221" spans="2:9" x14ac:dyDescent="0.25">
      <c r="B221" s="164"/>
      <c r="C221" s="10"/>
      <c r="D221" s="39"/>
      <c r="E221" s="39"/>
      <c r="F221" s="39"/>
      <c r="G221" s="39"/>
      <c r="H221" s="179"/>
      <c r="I221" s="39"/>
    </row>
    <row r="222" spans="2:9" x14ac:dyDescent="0.25">
      <c r="B222" s="164"/>
      <c r="C222" s="10"/>
      <c r="D222" s="39"/>
      <c r="E222" s="39"/>
      <c r="F222" s="39"/>
      <c r="G222" s="39"/>
      <c r="H222" s="179"/>
      <c r="I222" s="39"/>
    </row>
    <row r="223" spans="2:9" x14ac:dyDescent="0.25">
      <c r="B223" s="164"/>
      <c r="C223" s="10"/>
      <c r="D223" s="39"/>
      <c r="E223" s="39"/>
      <c r="F223" s="39"/>
      <c r="G223" s="39"/>
      <c r="H223" s="179"/>
      <c r="I223" s="39"/>
    </row>
    <row r="224" spans="2:9" x14ac:dyDescent="0.25">
      <c r="B224" s="164"/>
      <c r="C224" s="10"/>
      <c r="D224" s="39"/>
      <c r="E224" s="39"/>
      <c r="F224" s="39"/>
      <c r="G224" s="39"/>
      <c r="H224" s="179"/>
      <c r="I224" s="39"/>
    </row>
    <row r="225" spans="2:9" x14ac:dyDescent="0.25">
      <c r="B225" s="164"/>
      <c r="C225" s="10"/>
      <c r="D225" s="39"/>
      <c r="E225" s="39"/>
      <c r="F225" s="39"/>
      <c r="G225" s="39"/>
      <c r="H225" s="179"/>
      <c r="I225" s="39"/>
    </row>
    <row r="226" spans="2:9" x14ac:dyDescent="0.25">
      <c r="B226" s="164"/>
      <c r="C226" s="10"/>
      <c r="D226" s="39"/>
      <c r="E226" s="39"/>
      <c r="F226" s="39"/>
      <c r="G226" s="39"/>
      <c r="H226" s="179"/>
      <c r="I226" s="39"/>
    </row>
  </sheetData>
  <mergeCells count="1">
    <mergeCell ref="O42:P42"/>
  </mergeCells>
  <conditionalFormatting sqref="F61:F91 F93:F102 F45:F59">
    <cfRule type="expression" dxfId="345" priority="65">
      <formula>F45&gt;0</formula>
    </cfRule>
    <cfRule type="expression" dxfId="344"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343" priority="67">
      <formula>F44&gt;0</formula>
    </cfRule>
    <cfRule type="expression" dxfId="342" priority="68">
      <formula>F44&lt;0</formula>
    </cfRule>
  </conditionalFormatting>
  <conditionalFormatting sqref="F61:F91 F93:F102 F45:F59">
    <cfRule type="expression" dxfId="341" priority="63">
      <formula>F45&gt;0</formula>
    </cfRule>
    <cfRule type="expression" dxfId="340" priority="64">
      <formula>F45&lt;0</formula>
    </cfRule>
  </conditionalFormatting>
  <conditionalFormatting sqref="H61:H91 H93:H102 H43:H59">
    <cfRule type="expression" dxfId="339" priority="61">
      <formula>H43&gt;0</formula>
    </cfRule>
    <cfRule type="expression" dxfId="338" priority="62">
      <formula>H43&lt;0</formula>
    </cfRule>
  </conditionalFormatting>
  <conditionalFormatting sqref="F36:F43">
    <cfRule type="expression" dxfId="337" priority="59">
      <formula>F36&gt;0</formula>
    </cfRule>
    <cfRule type="expression" dxfId="336" priority="60">
      <formula>F36&lt;0</formula>
    </cfRule>
  </conditionalFormatting>
  <conditionalFormatting sqref="H36:H42">
    <cfRule type="expression" dxfId="335" priority="57">
      <formula>H36&gt;0</formula>
    </cfRule>
    <cfRule type="expression" dxfId="334" priority="58">
      <formula>H36&lt;0</formula>
    </cfRule>
  </conditionalFormatting>
  <conditionalFormatting sqref="Q7">
    <cfRule type="expression" dxfId="333" priority="51">
      <formula>Q7&gt;0</formula>
    </cfRule>
    <cfRule type="expression" dxfId="332" priority="52">
      <formula>Q7&lt;0</formula>
    </cfRule>
  </conditionalFormatting>
  <conditionalFormatting sqref="Q8">
    <cfRule type="expression" dxfId="331" priority="49">
      <formula>Q8&gt;0</formula>
    </cfRule>
    <cfRule type="expression" dxfId="330" priority="50">
      <formula>Q8&lt;0</formula>
    </cfRule>
  </conditionalFormatting>
  <conditionalFormatting sqref="Q10">
    <cfRule type="expression" dxfId="329" priority="47">
      <formula>Q10&gt;0</formula>
    </cfRule>
    <cfRule type="expression" dxfId="328" priority="48">
      <formula>Q10&lt;0</formula>
    </cfRule>
  </conditionalFormatting>
  <conditionalFormatting sqref="F60">
    <cfRule type="expression" dxfId="327" priority="45">
      <formula>F60&gt;0</formula>
    </cfRule>
    <cfRule type="expression" dxfId="326" priority="46">
      <formula>F60&lt;0</formula>
    </cfRule>
  </conditionalFormatting>
  <conditionalFormatting sqref="F60">
    <cfRule type="expression" dxfId="325" priority="43">
      <formula>F60&gt;0</formula>
    </cfRule>
    <cfRule type="expression" dxfId="324" priority="44">
      <formula>F60&lt;0</formula>
    </cfRule>
  </conditionalFormatting>
  <conditionalFormatting sqref="H60">
    <cfRule type="expression" dxfId="323" priority="41">
      <formula>H60&gt;0</formula>
    </cfRule>
    <cfRule type="expression" dxfId="322" priority="42">
      <formula>H60&lt;0</formula>
    </cfRule>
  </conditionalFormatting>
  <conditionalFormatting sqref="F92">
    <cfRule type="expression" dxfId="321" priority="39">
      <formula>F92&gt;0</formula>
    </cfRule>
    <cfRule type="expression" dxfId="320" priority="40">
      <formula>F92&lt;0</formula>
    </cfRule>
  </conditionalFormatting>
  <conditionalFormatting sqref="F92">
    <cfRule type="expression" dxfId="319" priority="37">
      <formula>F92&gt;0</formula>
    </cfRule>
    <cfRule type="expression" dxfId="318" priority="38">
      <formula>F92&lt;0</formula>
    </cfRule>
  </conditionalFormatting>
  <conditionalFormatting sqref="H92">
    <cfRule type="expression" dxfId="317" priority="35">
      <formula>H92&gt;0</formula>
    </cfRule>
    <cfRule type="expression" dxfId="316" priority="36">
      <formula>H92&lt;0</formula>
    </cfRule>
  </conditionalFormatting>
  <conditionalFormatting sqref="F169:F183 F185:F215 F217:F226">
    <cfRule type="expression" dxfId="315" priority="31">
      <formula>F169&gt;0</formula>
    </cfRule>
    <cfRule type="expression" dxfId="314" priority="32">
      <formula>F169&lt;0</formula>
    </cfRule>
  </conditionalFormatting>
  <conditionalFormatting sqref="F164:F168">
    <cfRule type="expression" dxfId="313" priority="33">
      <formula>F164&gt;0</formula>
    </cfRule>
    <cfRule type="expression" dxfId="312" priority="34">
      <formula>F164&lt;0</formula>
    </cfRule>
  </conditionalFormatting>
  <conditionalFormatting sqref="F169:F183 F185:F215 F217:F226">
    <cfRule type="expression" dxfId="311" priority="29">
      <formula>F169&gt;0</formula>
    </cfRule>
    <cfRule type="expression" dxfId="310" priority="30">
      <formula>F169&lt;0</formula>
    </cfRule>
  </conditionalFormatting>
  <conditionalFormatting sqref="H164:H183 H185:H215 H217:H226">
    <cfRule type="expression" dxfId="309" priority="27">
      <formula>H164&gt;0</formula>
    </cfRule>
    <cfRule type="expression" dxfId="308" priority="28">
      <formula>H164&lt;0</formula>
    </cfRule>
  </conditionalFormatting>
  <conditionalFormatting sqref="F160:F163">
    <cfRule type="expression" dxfId="307" priority="25">
      <formula>F160&gt;0</formula>
    </cfRule>
    <cfRule type="expression" dxfId="306" priority="26">
      <formula>F160&lt;0</formula>
    </cfRule>
  </conditionalFormatting>
  <conditionalFormatting sqref="H160:H163">
    <cfRule type="expression" dxfId="305" priority="23">
      <formula>H160&gt;0</formula>
    </cfRule>
    <cfRule type="expression" dxfId="304" priority="24">
      <formula>H160&lt;0</formula>
    </cfRule>
  </conditionalFormatting>
  <conditionalFormatting sqref="F184">
    <cfRule type="expression" dxfId="303" priority="21">
      <formula>F184&gt;0</formula>
    </cfRule>
    <cfRule type="expression" dxfId="302" priority="22">
      <formula>F184&lt;0</formula>
    </cfRule>
  </conditionalFormatting>
  <conditionalFormatting sqref="F184">
    <cfRule type="expression" dxfId="301" priority="19">
      <formula>F184&gt;0</formula>
    </cfRule>
    <cfRule type="expression" dxfId="300" priority="20">
      <formula>F184&lt;0</formula>
    </cfRule>
  </conditionalFormatting>
  <conditionalFormatting sqref="H184">
    <cfRule type="expression" dxfId="299" priority="17">
      <formula>H184&gt;0</formula>
    </cfRule>
    <cfRule type="expression" dxfId="298" priority="18">
      <formula>H184&lt;0</formula>
    </cfRule>
  </conditionalFormatting>
  <conditionalFormatting sqref="F216">
    <cfRule type="expression" dxfId="297" priority="15">
      <formula>F216&gt;0</formula>
    </cfRule>
    <cfRule type="expression" dxfId="296" priority="16">
      <formula>F216&lt;0</formula>
    </cfRule>
  </conditionalFormatting>
  <conditionalFormatting sqref="F216">
    <cfRule type="expression" dxfId="295" priority="13">
      <formula>F216&gt;0</formula>
    </cfRule>
    <cfRule type="expression" dxfId="294" priority="14">
      <formula>F216&lt;0</formula>
    </cfRule>
  </conditionalFormatting>
  <conditionalFormatting sqref="H216">
    <cfRule type="expression" dxfId="293" priority="11">
      <formula>H216&gt;0</formula>
    </cfRule>
    <cfRule type="expression" dxfId="292" priority="12">
      <formula>H216&lt;0</formula>
    </cfRule>
  </conditionalFormatting>
  <conditionalFormatting sqref="J38:J39">
    <cfRule type="expression" dxfId="291" priority="9">
      <formula>J38&gt;0</formula>
    </cfRule>
    <cfRule type="expression" dxfId="290" priority="10">
      <formula>J38&lt;0</formula>
    </cfRule>
  </conditionalFormatting>
  <conditionalFormatting sqref="J41:J54">
    <cfRule type="expression" dxfId="289" priority="7">
      <formula>J41&gt;0</formula>
    </cfRule>
    <cfRule type="expression" dxfId="288" priority="8">
      <formula>J41&lt;0</formula>
    </cfRule>
  </conditionalFormatting>
  <conditionalFormatting sqref="J55">
    <cfRule type="expression" dxfId="287" priority="3">
      <formula>J55&gt;0</formula>
    </cfRule>
    <cfRule type="expression" dxfId="286" priority="4">
      <formula>J55&lt;0</formula>
    </cfRule>
  </conditionalFormatting>
  <conditionalFormatting sqref="J56">
    <cfRule type="expression" dxfId="285" priority="1">
      <formula>J56&gt;0</formula>
    </cfRule>
    <cfRule type="expression" dxfId="284"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24"/>
  <sheetViews>
    <sheetView workbookViewId="0">
      <pane ySplit="1" topLeftCell="A26" activePane="bottomLeft" state="frozen"/>
      <selection activeCell="A2" sqref="A2"/>
      <selection pane="bottomLeft"/>
    </sheetView>
  </sheetViews>
  <sheetFormatPr defaultRowHeight="15" x14ac:dyDescent="0.25"/>
  <cols>
    <col min="4" max="5" width="10" style="2" customWidth="1"/>
    <col min="6" max="6" width="9.140625" style="2"/>
    <col min="9" max="9" width="13.7109375" style="2" bestFit="1" customWidth="1"/>
    <col min="10" max="10" width="11.14062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321</v>
      </c>
      <c r="B2" s="368">
        <v>43116</v>
      </c>
      <c r="C2" s="7">
        <v>100</v>
      </c>
      <c r="D2" s="43">
        <v>21.28</v>
      </c>
      <c r="E2" s="43">
        <v>0</v>
      </c>
      <c r="F2" s="43">
        <f t="shared" ref="F2:F13" si="0">C2*D2+E2</f>
        <v>2128</v>
      </c>
      <c r="G2" s="368">
        <v>43223</v>
      </c>
      <c r="H2" s="7">
        <v>200</v>
      </c>
      <c r="I2" s="43">
        <v>20.03</v>
      </c>
      <c r="J2" s="43">
        <v>0.09</v>
      </c>
      <c r="K2" s="43">
        <f t="shared" ref="K2:K10" si="1">H2*I2-J2</f>
        <v>4005.91</v>
      </c>
      <c r="L2" s="72"/>
      <c r="M2" s="3"/>
      <c r="O2" s="11" t="s">
        <v>57</v>
      </c>
      <c r="Q2" s="70">
        <f>C17-H17</f>
        <v>400</v>
      </c>
      <c r="T2" s="1">
        <v>43080</v>
      </c>
      <c r="U2" t="s">
        <v>747</v>
      </c>
    </row>
    <row r="3" spans="1:29" x14ac:dyDescent="0.25">
      <c r="A3" s="22" t="s">
        <v>71</v>
      </c>
      <c r="B3" s="368">
        <v>43139</v>
      </c>
      <c r="C3" s="7">
        <v>100</v>
      </c>
      <c r="D3" s="43">
        <v>18.48</v>
      </c>
      <c r="E3" s="43">
        <v>0</v>
      </c>
      <c r="F3" s="43">
        <f t="shared" si="0"/>
        <v>1848</v>
      </c>
      <c r="G3" s="368">
        <v>43224</v>
      </c>
      <c r="H3" s="80">
        <v>200</v>
      </c>
      <c r="I3" s="43">
        <v>17.829999999999998</v>
      </c>
      <c r="J3" s="43">
        <v>0.08</v>
      </c>
      <c r="K3" s="43">
        <f t="shared" si="1"/>
        <v>3565.9199999999996</v>
      </c>
      <c r="L3" s="72"/>
      <c r="M3" s="3"/>
      <c r="O3" s="11" t="s">
        <v>58</v>
      </c>
      <c r="Q3" s="178">
        <f>IF(Q2=0, Q4, (F17-K17-M17)/Q2)</f>
        <v>16.808475000000016</v>
      </c>
      <c r="T3" s="1">
        <v>43088</v>
      </c>
      <c r="U3" t="s">
        <v>752</v>
      </c>
      <c r="Z3" s="182"/>
      <c r="AC3" s="182"/>
    </row>
    <row r="4" spans="1:29" x14ac:dyDescent="0.25">
      <c r="B4" s="368">
        <v>43151</v>
      </c>
      <c r="C4" s="7">
        <v>100</v>
      </c>
      <c r="D4" s="43">
        <v>19.8</v>
      </c>
      <c r="E4" s="43">
        <v>0</v>
      </c>
      <c r="F4" s="43">
        <f t="shared" si="0"/>
        <v>1980</v>
      </c>
      <c r="G4" s="368">
        <v>43259</v>
      </c>
      <c r="H4" s="80">
        <v>200</v>
      </c>
      <c r="I4" s="43">
        <v>22.88</v>
      </c>
      <c r="J4" s="43">
        <v>0.06</v>
      </c>
      <c r="K4" s="43">
        <f t="shared" si="1"/>
        <v>4575.9399999999996</v>
      </c>
      <c r="L4" s="72"/>
      <c r="M4" s="3"/>
      <c r="O4" s="11" t="s">
        <v>66</v>
      </c>
      <c r="Q4" s="172">
        <v>15.24</v>
      </c>
      <c r="R4" s="424">
        <v>3.3E-3</v>
      </c>
      <c r="U4" t="s">
        <v>753</v>
      </c>
    </row>
    <row r="5" spans="1:29" x14ac:dyDescent="0.25">
      <c r="B5" s="368">
        <v>43178</v>
      </c>
      <c r="C5" s="7">
        <v>100</v>
      </c>
      <c r="D5" s="43">
        <v>17.75</v>
      </c>
      <c r="E5" s="43">
        <v>0</v>
      </c>
      <c r="F5" s="43">
        <f t="shared" si="0"/>
        <v>1775</v>
      </c>
      <c r="G5" s="368">
        <v>43355</v>
      </c>
      <c r="H5" s="80">
        <v>200</v>
      </c>
      <c r="I5" s="43">
        <v>22.33</v>
      </c>
      <c r="J5" s="43">
        <v>0.06</v>
      </c>
      <c r="K5" s="43">
        <f t="shared" si="1"/>
        <v>4465.9399999999996</v>
      </c>
      <c r="L5" s="72"/>
      <c r="M5" s="3"/>
      <c r="O5" s="11" t="s">
        <v>67</v>
      </c>
      <c r="Q5" s="3">
        <f>Q4*Q2</f>
        <v>6096</v>
      </c>
    </row>
    <row r="6" spans="1:29" x14ac:dyDescent="0.25">
      <c r="B6" s="368">
        <v>43224</v>
      </c>
      <c r="C6" s="7">
        <v>200</v>
      </c>
      <c r="D6" s="43">
        <v>17.45</v>
      </c>
      <c r="E6" s="43">
        <v>0</v>
      </c>
      <c r="F6" s="43">
        <f t="shared" si="0"/>
        <v>3490</v>
      </c>
      <c r="G6" s="368">
        <v>43405</v>
      </c>
      <c r="H6" s="80">
        <v>200</v>
      </c>
      <c r="I6" s="43">
        <v>22.55</v>
      </c>
      <c r="J6" s="43">
        <v>0.06</v>
      </c>
      <c r="K6" s="43">
        <f t="shared" si="1"/>
        <v>4509.9399999999996</v>
      </c>
      <c r="L6" s="72"/>
      <c r="M6" s="4"/>
      <c r="O6" s="11" t="s">
        <v>64</v>
      </c>
      <c r="Q6" s="2">
        <f>Q3*Q2</f>
        <v>6723.3900000000067</v>
      </c>
    </row>
    <row r="7" spans="1:29" x14ac:dyDescent="0.25">
      <c r="B7" s="368">
        <v>43314</v>
      </c>
      <c r="C7" s="7">
        <v>200</v>
      </c>
      <c r="D7" s="43">
        <v>21.88</v>
      </c>
      <c r="E7" s="43">
        <v>0</v>
      </c>
      <c r="F7" s="43">
        <f t="shared" si="0"/>
        <v>4376</v>
      </c>
      <c r="G7" s="368">
        <v>43411</v>
      </c>
      <c r="H7" s="80">
        <v>159</v>
      </c>
      <c r="I7" s="43">
        <v>23.76</v>
      </c>
      <c r="J7" s="43">
        <v>0.79</v>
      </c>
      <c r="K7" s="43">
        <f t="shared" si="1"/>
        <v>3777.05</v>
      </c>
      <c r="L7" s="4"/>
      <c r="M7" s="4"/>
      <c r="O7" s="11" t="s">
        <v>177</v>
      </c>
      <c r="Q7" s="2">
        <f>Q10+Q8</f>
        <v>-342.42000000000189</v>
      </c>
      <c r="R7">
        <v>400</v>
      </c>
      <c r="T7" s="1">
        <v>43103</v>
      </c>
      <c r="U7" t="s">
        <v>816</v>
      </c>
    </row>
    <row r="8" spans="1:29" x14ac:dyDescent="0.25">
      <c r="B8" s="368">
        <v>43353</v>
      </c>
      <c r="C8" s="7">
        <v>200</v>
      </c>
      <c r="D8" s="43">
        <v>21.2</v>
      </c>
      <c r="E8" s="43">
        <v>0</v>
      </c>
      <c r="F8" s="43">
        <f t="shared" si="0"/>
        <v>4240</v>
      </c>
      <c r="G8" s="368">
        <v>43427</v>
      </c>
      <c r="H8" s="80">
        <v>41</v>
      </c>
      <c r="I8" s="43">
        <v>22.22</v>
      </c>
      <c r="J8" s="43">
        <v>0.01</v>
      </c>
      <c r="K8" s="43">
        <f t="shared" si="1"/>
        <v>911.01</v>
      </c>
      <c r="L8" s="4"/>
      <c r="M8" s="4"/>
      <c r="O8" s="11" t="s">
        <v>179</v>
      </c>
      <c r="P8" s="33"/>
      <c r="Q8" s="2">
        <f>K17+M17-F17+Q2*Q4</f>
        <v>-627.39000000000669</v>
      </c>
    </row>
    <row r="9" spans="1:29" x14ac:dyDescent="0.25">
      <c r="B9" s="368">
        <v>43369</v>
      </c>
      <c r="C9" s="7">
        <v>200</v>
      </c>
      <c r="D9" s="43">
        <v>21.8</v>
      </c>
      <c r="E9" s="43">
        <v>0</v>
      </c>
      <c r="F9" s="43">
        <f t="shared" si="0"/>
        <v>4360</v>
      </c>
      <c r="G9" s="368">
        <v>43446</v>
      </c>
      <c r="H9" s="80">
        <v>200</v>
      </c>
      <c r="I9" s="43">
        <v>19.079999999999998</v>
      </c>
      <c r="J9" s="43">
        <v>0.05</v>
      </c>
      <c r="K9" s="43">
        <f t="shared" si="1"/>
        <v>3815.9499999999994</v>
      </c>
      <c r="L9" s="4"/>
      <c r="M9" s="4"/>
      <c r="O9" s="11" t="s">
        <v>204</v>
      </c>
      <c r="Q9" s="134">
        <f>IF(Q2=0, 0, Q8/Q6)</f>
        <v>-9.331453329347339E-2</v>
      </c>
      <c r="U9" t="s">
        <v>905</v>
      </c>
    </row>
    <row r="10" spans="1:29" x14ac:dyDescent="0.25">
      <c r="A10" t="s">
        <v>758</v>
      </c>
      <c r="B10" s="368">
        <v>43423</v>
      </c>
      <c r="C10" s="4">
        <v>200</v>
      </c>
      <c r="D10" s="3">
        <v>21.68</v>
      </c>
      <c r="E10" s="3">
        <v>0</v>
      </c>
      <c r="F10" s="3">
        <f t="shared" si="0"/>
        <v>4336</v>
      </c>
      <c r="G10" s="368">
        <v>43472</v>
      </c>
      <c r="H10" s="80">
        <v>200</v>
      </c>
      <c r="I10" s="43">
        <v>18.05</v>
      </c>
      <c r="J10" s="43">
        <v>0.05</v>
      </c>
      <c r="K10" s="43">
        <f t="shared" si="1"/>
        <v>3609.95</v>
      </c>
      <c r="L10" s="4"/>
      <c r="M10" s="4"/>
      <c r="O10" s="11" t="s">
        <v>203</v>
      </c>
      <c r="P10" s="33"/>
      <c r="Q10" s="2">
        <f>M63</f>
        <v>284.9700000000048</v>
      </c>
    </row>
    <row r="11" spans="1:29" x14ac:dyDescent="0.25">
      <c r="B11" s="368">
        <v>43434</v>
      </c>
      <c r="C11" s="4">
        <v>200</v>
      </c>
      <c r="D11" s="3">
        <v>21.54</v>
      </c>
      <c r="E11" s="3">
        <v>0</v>
      </c>
      <c r="F11" s="3">
        <f t="shared" si="0"/>
        <v>4308</v>
      </c>
      <c r="G11" s="4"/>
      <c r="H11" s="161"/>
      <c r="I11" s="3"/>
      <c r="J11" s="3"/>
      <c r="K11" s="3"/>
      <c r="L11" s="4"/>
      <c r="M11" s="4"/>
      <c r="O11" s="11" t="s">
        <v>966</v>
      </c>
      <c r="P11" s="33"/>
      <c r="Q11" s="134">
        <f>4*R11/Q4</f>
        <v>0</v>
      </c>
      <c r="R11">
        <v>0</v>
      </c>
    </row>
    <row r="12" spans="1:29" x14ac:dyDescent="0.25">
      <c r="B12" s="72">
        <v>43444</v>
      </c>
      <c r="C12" s="7">
        <v>200</v>
      </c>
      <c r="D12" s="43">
        <v>18.399999999999999</v>
      </c>
      <c r="E12" s="43">
        <v>0</v>
      </c>
      <c r="F12" s="43">
        <f t="shared" si="0"/>
        <v>3679.9999999999995</v>
      </c>
      <c r="G12" s="4"/>
      <c r="H12" s="4"/>
      <c r="I12" s="3"/>
      <c r="J12" s="3"/>
      <c r="K12" s="3"/>
      <c r="L12" s="4"/>
      <c r="M12" s="4"/>
      <c r="O12" s="11" t="s">
        <v>921</v>
      </c>
      <c r="Q12" s="1" t="s">
        <v>1360</v>
      </c>
      <c r="T12" s="1">
        <v>43223</v>
      </c>
      <c r="U12" t="s">
        <v>1021</v>
      </c>
    </row>
    <row r="13" spans="1:29" x14ac:dyDescent="0.25">
      <c r="B13" s="72">
        <v>43452</v>
      </c>
      <c r="C13" s="7">
        <v>200</v>
      </c>
      <c r="D13" s="43">
        <v>17.2</v>
      </c>
      <c r="E13" s="43">
        <v>0</v>
      </c>
      <c r="F13" s="43">
        <f t="shared" si="0"/>
        <v>3440</v>
      </c>
      <c r="O13" s="11" t="s">
        <v>947</v>
      </c>
      <c r="Q13" s="2">
        <f>Q4/2.45</f>
        <v>6.2204081632653061</v>
      </c>
      <c r="U13" t="s">
        <v>1023</v>
      </c>
    </row>
    <row r="14" spans="1:29" x14ac:dyDescent="0.25">
      <c r="C14" s="4"/>
      <c r="D14" s="3"/>
      <c r="E14" s="3"/>
      <c r="F14" s="3"/>
      <c r="O14" s="11" t="s">
        <v>1034</v>
      </c>
      <c r="Q14" s="1">
        <v>43345</v>
      </c>
    </row>
    <row r="15" spans="1:29" x14ac:dyDescent="0.25">
      <c r="T15" s="1">
        <v>43224</v>
      </c>
      <c r="U15" t="s">
        <v>1027</v>
      </c>
    </row>
    <row r="16" spans="1:29" ht="20.25" thickBot="1" x14ac:dyDescent="0.35">
      <c r="O16" s="487" t="s">
        <v>78</v>
      </c>
      <c r="P16" s="487"/>
    </row>
    <row r="17" spans="1:21" ht="15.75" thickTop="1" x14ac:dyDescent="0.25">
      <c r="A17" s="31" t="s">
        <v>81</v>
      </c>
      <c r="B17" s="14"/>
      <c r="C17" s="14">
        <f>SUM(C2:C16)</f>
        <v>2000</v>
      </c>
      <c r="D17" s="18"/>
      <c r="E17" s="18"/>
      <c r="F17" s="18">
        <f>SUM(F2:F16)</f>
        <v>39961</v>
      </c>
      <c r="G17" s="14"/>
      <c r="H17" s="71">
        <f>SUM(H2:H11)</f>
        <v>1600</v>
      </c>
      <c r="I17" s="18"/>
      <c r="J17" s="18"/>
      <c r="K17" s="18">
        <f>SUM(K2:K16)</f>
        <v>33237.609999999993</v>
      </c>
      <c r="L17" s="14"/>
      <c r="M17" s="18">
        <f>SUM(M2:M16)</f>
        <v>0</v>
      </c>
      <c r="O17" s="81">
        <v>1.1000000000000001</v>
      </c>
      <c r="P17" s="81">
        <f>O17*$Q$4</f>
        <v>16.764000000000003</v>
      </c>
      <c r="T17" s="1">
        <v>43235</v>
      </c>
      <c r="U17" t="s">
        <v>1051</v>
      </c>
    </row>
    <row r="18" spans="1:21" ht="15.75" thickBot="1" x14ac:dyDescent="0.3">
      <c r="A18" s="277" t="s">
        <v>191</v>
      </c>
      <c r="B18" s="278"/>
      <c r="C18" s="279">
        <f>SumByColor($A$18,C2:C16)</f>
        <v>1600</v>
      </c>
      <c r="D18" s="279"/>
      <c r="E18" s="279"/>
      <c r="F18" s="280">
        <f>SumByColor($A$18,F2:F16)</f>
        <v>31317</v>
      </c>
      <c r="G18" s="279"/>
      <c r="H18" s="279">
        <f>SumByColor($A$18,H2:H16)</f>
        <v>1600</v>
      </c>
      <c r="I18" s="279"/>
      <c r="J18" s="279"/>
      <c r="K18" s="280">
        <f>SumByColor($A$18,K3:K16)</f>
        <v>29232</v>
      </c>
      <c r="L18" s="279"/>
      <c r="M18" s="280">
        <f>SumByColor($A$18,M2:M16)</f>
        <v>0</v>
      </c>
      <c r="O18" s="81">
        <v>1.0900000000000001</v>
      </c>
      <c r="P18" s="81">
        <f t="shared" ref="P18:P37" si="2">O18*$Q$4</f>
        <v>16.611600000000003</v>
      </c>
      <c r="U18" t="s">
        <v>1052</v>
      </c>
    </row>
    <row r="19" spans="1:21" x14ac:dyDescent="0.25">
      <c r="O19" s="81">
        <v>1.08</v>
      </c>
      <c r="P19" s="81">
        <f t="shared" si="2"/>
        <v>16.459200000000003</v>
      </c>
    </row>
    <row r="20" spans="1:21" x14ac:dyDescent="0.25">
      <c r="A20" s="162" t="s">
        <v>224</v>
      </c>
      <c r="B20" s="162" t="s">
        <v>113</v>
      </c>
      <c r="C20" s="162" t="s">
        <v>145</v>
      </c>
      <c r="D20" s="163" t="s">
        <v>144</v>
      </c>
      <c r="E20" s="165" t="s">
        <v>146</v>
      </c>
      <c r="F20" s="166" t="s">
        <v>65</v>
      </c>
      <c r="G20" s="177" t="s">
        <v>150</v>
      </c>
      <c r="H20" s="166" t="s">
        <v>88</v>
      </c>
      <c r="I20" s="166" t="s">
        <v>153</v>
      </c>
      <c r="J20" s="166" t="s">
        <v>149</v>
      </c>
      <c r="K20" s="166" t="s">
        <v>487</v>
      </c>
      <c r="L20" s="166" t="s">
        <v>947</v>
      </c>
      <c r="O20" s="81">
        <v>1.07</v>
      </c>
      <c r="P20" s="81">
        <f t="shared" si="2"/>
        <v>16.306800000000003</v>
      </c>
    </row>
    <row r="21" spans="1:21" x14ac:dyDescent="0.25">
      <c r="A21" s="10"/>
      <c r="B21" s="164">
        <v>43116</v>
      </c>
      <c r="C21" s="10">
        <v>100</v>
      </c>
      <c r="D21" s="39">
        <v>21.28</v>
      </c>
      <c r="E21" s="39">
        <v>21.41</v>
      </c>
      <c r="F21" s="39">
        <f t="shared" ref="F21:F27" si="3">C21*(E21-D21)</f>
        <v>12.999999999999901</v>
      </c>
      <c r="G21" s="39">
        <f t="shared" ref="G21:G27" si="4">D21*C21</f>
        <v>2128</v>
      </c>
      <c r="H21" s="179">
        <f t="shared" ref="H21:H27" si="5">(E21-D21)/D21</f>
        <v>6.1090225563909303E-3</v>
      </c>
      <c r="I21" s="179"/>
      <c r="J21" s="173">
        <f t="shared" ref="J21:J39" si="6">F21+$Q$10</f>
        <v>297.97000000000469</v>
      </c>
      <c r="K21" s="179"/>
      <c r="L21" s="179"/>
      <c r="O21" s="81">
        <v>1.06</v>
      </c>
      <c r="P21" s="81">
        <f t="shared" si="2"/>
        <v>16.154400000000003</v>
      </c>
      <c r="T21" s="693">
        <v>43314</v>
      </c>
      <c r="U21" t="s">
        <v>1197</v>
      </c>
    </row>
    <row r="22" spans="1:21" x14ac:dyDescent="0.25">
      <c r="A22" s="10"/>
      <c r="B22" s="164">
        <v>43124</v>
      </c>
      <c r="C22" s="10">
        <v>100</v>
      </c>
      <c r="D22" s="39">
        <v>21.28</v>
      </c>
      <c r="E22" s="39">
        <v>20.57</v>
      </c>
      <c r="F22" s="39">
        <f t="shared" si="3"/>
        <v>-71.000000000000085</v>
      </c>
      <c r="G22" s="39">
        <f t="shared" si="4"/>
        <v>2128</v>
      </c>
      <c r="H22" s="179">
        <f t="shared" si="5"/>
        <v>-3.3364661654135375E-2</v>
      </c>
      <c r="I22" s="179"/>
      <c r="J22" s="173">
        <f t="shared" si="6"/>
        <v>213.97000000000472</v>
      </c>
      <c r="K22" s="179"/>
      <c r="L22" s="179"/>
      <c r="O22" s="81">
        <v>1.05</v>
      </c>
      <c r="P22" s="81">
        <f t="shared" si="2"/>
        <v>16.002000000000002</v>
      </c>
    </row>
    <row r="23" spans="1:21" x14ac:dyDescent="0.25">
      <c r="A23" s="10"/>
      <c r="B23" s="164">
        <v>43139</v>
      </c>
      <c r="C23" s="10">
        <v>200</v>
      </c>
      <c r="D23" s="39">
        <v>19.88</v>
      </c>
      <c r="E23" s="39">
        <v>18.64</v>
      </c>
      <c r="F23" s="39">
        <f t="shared" si="3"/>
        <v>-247.99999999999969</v>
      </c>
      <c r="G23" s="39">
        <f t="shared" si="4"/>
        <v>3976</v>
      </c>
      <c r="H23" s="179">
        <f t="shared" si="5"/>
        <v>-6.2374245472836945E-2</v>
      </c>
      <c r="I23" s="179"/>
      <c r="J23" s="173">
        <f t="shared" si="6"/>
        <v>36.970000000005115</v>
      </c>
      <c r="K23" s="179"/>
      <c r="L23" s="179"/>
      <c r="O23" s="81">
        <v>1.04</v>
      </c>
      <c r="P23" s="81">
        <f t="shared" si="2"/>
        <v>15.849600000000001</v>
      </c>
      <c r="T23" s="1">
        <v>43358</v>
      </c>
      <c r="U23" t="s">
        <v>1268</v>
      </c>
    </row>
    <row r="24" spans="1:21" x14ac:dyDescent="0.25">
      <c r="A24" s="10"/>
      <c r="B24" s="164">
        <v>43150</v>
      </c>
      <c r="C24" s="185">
        <v>200</v>
      </c>
      <c r="D24" s="186">
        <v>19.88</v>
      </c>
      <c r="E24" s="39">
        <v>20.9</v>
      </c>
      <c r="F24" s="39">
        <f t="shared" si="3"/>
        <v>203.99999999999991</v>
      </c>
      <c r="G24" s="39">
        <f t="shared" si="4"/>
        <v>3976</v>
      </c>
      <c r="H24" s="179">
        <f t="shared" si="5"/>
        <v>5.1307847082494952E-2</v>
      </c>
      <c r="I24" s="179"/>
      <c r="J24" s="173">
        <f t="shared" si="6"/>
        <v>488.97000000000469</v>
      </c>
      <c r="K24" s="652"/>
      <c r="L24" s="652"/>
      <c r="O24" s="81">
        <v>1.03</v>
      </c>
      <c r="P24" s="81">
        <f t="shared" si="2"/>
        <v>15.6972</v>
      </c>
    </row>
    <row r="25" spans="1:21" x14ac:dyDescent="0.25">
      <c r="A25" s="10"/>
      <c r="B25" s="164">
        <v>43151</v>
      </c>
      <c r="C25" s="10">
        <v>300</v>
      </c>
      <c r="D25" s="39">
        <v>19.853300000000001</v>
      </c>
      <c r="E25" s="39">
        <v>19.8</v>
      </c>
      <c r="F25" s="39">
        <f t="shared" si="3"/>
        <v>-15.990000000000038</v>
      </c>
      <c r="G25" s="39">
        <f t="shared" si="4"/>
        <v>5955.9900000000007</v>
      </c>
      <c r="H25" s="179">
        <f t="shared" si="5"/>
        <v>-2.6846922174147431E-3</v>
      </c>
      <c r="I25" s="180"/>
      <c r="J25" s="173">
        <f t="shared" si="6"/>
        <v>268.98000000000479</v>
      </c>
      <c r="K25" s="652"/>
      <c r="L25" s="652"/>
      <c r="O25" s="81">
        <v>1.02</v>
      </c>
      <c r="P25" s="81">
        <f t="shared" si="2"/>
        <v>15.5448</v>
      </c>
    </row>
    <row r="26" spans="1:21" x14ac:dyDescent="0.25">
      <c r="A26" s="10"/>
      <c r="B26" s="164">
        <v>43158</v>
      </c>
      <c r="C26" s="10">
        <v>300</v>
      </c>
      <c r="D26" s="39">
        <v>19.853300000000001</v>
      </c>
      <c r="E26" s="39">
        <v>19.38</v>
      </c>
      <c r="F26" s="39">
        <f t="shared" si="3"/>
        <v>-141.99000000000055</v>
      </c>
      <c r="G26" s="39">
        <f t="shared" si="4"/>
        <v>5955.9900000000007</v>
      </c>
      <c r="H26" s="179">
        <f t="shared" si="5"/>
        <v>-2.3839865412803002E-2</v>
      </c>
      <c r="I26" s="180"/>
      <c r="J26" s="173">
        <f t="shared" si="6"/>
        <v>142.98000000000425</v>
      </c>
      <c r="K26" s="652"/>
      <c r="L26" s="652"/>
      <c r="O26" s="81">
        <v>1.01</v>
      </c>
      <c r="P26" s="81">
        <f t="shared" si="2"/>
        <v>15.3924</v>
      </c>
    </row>
    <row r="27" spans="1:21" x14ac:dyDescent="0.25">
      <c r="A27" s="10">
        <v>200</v>
      </c>
      <c r="B27" s="164">
        <v>43178</v>
      </c>
      <c r="C27" s="7">
        <v>400</v>
      </c>
      <c r="D27" s="43">
        <v>19.327500000000001</v>
      </c>
      <c r="E27" s="39">
        <v>17.91</v>
      </c>
      <c r="F27" s="39">
        <f t="shared" si="3"/>
        <v>-567.00000000000023</v>
      </c>
      <c r="G27" s="39">
        <f t="shared" si="4"/>
        <v>7731</v>
      </c>
      <c r="H27" s="180">
        <f t="shared" si="5"/>
        <v>-7.3341094295692688E-2</v>
      </c>
      <c r="I27" s="180"/>
      <c r="J27" s="173">
        <f t="shared" si="6"/>
        <v>-282.02999999999543</v>
      </c>
      <c r="K27" s="652"/>
      <c r="L27" s="652"/>
      <c r="O27" s="81">
        <v>1</v>
      </c>
      <c r="P27" s="81">
        <f t="shared" si="2"/>
        <v>15.24</v>
      </c>
    </row>
    <row r="28" spans="1:21" x14ac:dyDescent="0.25">
      <c r="A28" s="10">
        <v>300</v>
      </c>
      <c r="B28" s="164">
        <v>43185</v>
      </c>
      <c r="C28" s="7">
        <v>400</v>
      </c>
      <c r="D28" s="43">
        <v>19.327500000000001</v>
      </c>
      <c r="E28" s="39">
        <v>16.87</v>
      </c>
      <c r="F28" s="39">
        <f t="shared" ref="F28:F40" si="7">C28*(E28-D28)</f>
        <v>-982.99999999999977</v>
      </c>
      <c r="G28" s="39">
        <f t="shared" ref="G28:G40" si="8">D28*C28</f>
        <v>7731</v>
      </c>
      <c r="H28" s="180">
        <f t="shared" ref="H28:H40" si="9">(E28-D28)/D28</f>
        <v>-0.12715043332039838</v>
      </c>
      <c r="I28" s="180"/>
      <c r="J28" s="173">
        <f t="shared" si="6"/>
        <v>-698.02999999999497</v>
      </c>
      <c r="K28" s="39">
        <v>36.6</v>
      </c>
      <c r="L28" s="39"/>
      <c r="O28" s="81">
        <v>0.99</v>
      </c>
      <c r="P28" s="81">
        <f t="shared" si="2"/>
        <v>15.0876</v>
      </c>
    </row>
    <row r="29" spans="1:21" x14ac:dyDescent="0.25">
      <c r="A29" s="10">
        <v>400</v>
      </c>
      <c r="B29" s="164">
        <v>43216</v>
      </c>
      <c r="C29" s="7">
        <v>400</v>
      </c>
      <c r="D29" s="43">
        <v>19.327500000000001</v>
      </c>
      <c r="E29" s="39">
        <v>17.670000000000002</v>
      </c>
      <c r="F29" s="39">
        <f t="shared" si="7"/>
        <v>-662.99999999999955</v>
      </c>
      <c r="G29" s="39">
        <f t="shared" si="8"/>
        <v>7731</v>
      </c>
      <c r="H29" s="180">
        <f t="shared" si="9"/>
        <v>-8.5758634070624701E-2</v>
      </c>
      <c r="I29" s="180"/>
      <c r="J29" s="173">
        <f t="shared" si="6"/>
        <v>-378.02999999999474</v>
      </c>
      <c r="K29" s="39"/>
      <c r="L29" s="39"/>
      <c r="O29" s="81">
        <v>0.98</v>
      </c>
      <c r="P29" s="81">
        <f t="shared" si="2"/>
        <v>14.9352</v>
      </c>
    </row>
    <row r="30" spans="1:21" x14ac:dyDescent="0.25">
      <c r="A30" s="10">
        <v>200</v>
      </c>
      <c r="B30" s="164">
        <v>43223</v>
      </c>
      <c r="C30" s="185">
        <v>200</v>
      </c>
      <c r="D30" s="186">
        <v>18.625499999999999</v>
      </c>
      <c r="E30" s="39">
        <v>20.03</v>
      </c>
      <c r="F30" s="39">
        <f t="shared" si="7"/>
        <v>280.90000000000043</v>
      </c>
      <c r="G30" s="39">
        <f t="shared" si="8"/>
        <v>3725.1</v>
      </c>
      <c r="H30" s="180">
        <f t="shared" si="9"/>
        <v>7.5407371614184981E-2</v>
      </c>
      <c r="I30" s="180" t="s">
        <v>1024</v>
      </c>
      <c r="J30" s="173">
        <f t="shared" si="6"/>
        <v>565.87000000000523</v>
      </c>
      <c r="K30" s="652"/>
      <c r="L30" s="652"/>
      <c r="O30" s="81">
        <v>0.97</v>
      </c>
      <c r="P30" s="81">
        <f t="shared" si="2"/>
        <v>14.7828</v>
      </c>
    </row>
    <row r="31" spans="1:21" x14ac:dyDescent="0.25">
      <c r="A31" s="10">
        <v>200</v>
      </c>
      <c r="B31" s="164">
        <v>43223</v>
      </c>
      <c r="C31" s="10">
        <v>200</v>
      </c>
      <c r="D31" s="39">
        <v>18.63</v>
      </c>
      <c r="E31" s="39">
        <v>17.78</v>
      </c>
      <c r="F31" s="39">
        <f t="shared" si="7"/>
        <v>-169.99999999999957</v>
      </c>
      <c r="G31" s="39">
        <f t="shared" si="8"/>
        <v>3726</v>
      </c>
      <c r="H31" s="180">
        <f t="shared" si="9"/>
        <v>-4.5625335480407835E-2</v>
      </c>
      <c r="I31" s="180" t="s">
        <v>1025</v>
      </c>
      <c r="J31" s="173">
        <f t="shared" si="6"/>
        <v>114.97000000000523</v>
      </c>
      <c r="K31" s="652"/>
      <c r="L31" s="652"/>
      <c r="O31" s="81">
        <v>0.96</v>
      </c>
      <c r="P31" s="81">
        <f t="shared" si="2"/>
        <v>14.6304</v>
      </c>
    </row>
    <row r="32" spans="1:21" x14ac:dyDescent="0.25">
      <c r="A32" s="10">
        <v>200</v>
      </c>
      <c r="B32" s="164">
        <v>43224</v>
      </c>
      <c r="C32" s="7">
        <v>400</v>
      </c>
      <c r="D32" s="43">
        <v>18.037700000000001</v>
      </c>
      <c r="E32" s="39">
        <v>17.829999999999998</v>
      </c>
      <c r="F32" s="39">
        <f t="shared" si="7"/>
        <v>-83.080000000001064</v>
      </c>
      <c r="G32" s="39">
        <f t="shared" si="8"/>
        <v>7215.08</v>
      </c>
      <c r="H32" s="180">
        <f t="shared" si="9"/>
        <v>-1.1514771838981835E-2</v>
      </c>
      <c r="I32" s="180"/>
      <c r="J32" s="173">
        <f t="shared" si="6"/>
        <v>201.89000000000374</v>
      </c>
      <c r="K32" s="652"/>
      <c r="L32" s="652"/>
      <c r="O32" s="81">
        <v>0.95</v>
      </c>
      <c r="P32" s="81">
        <f t="shared" si="2"/>
        <v>14.478</v>
      </c>
    </row>
    <row r="33" spans="1:18" x14ac:dyDescent="0.25">
      <c r="A33" s="10">
        <v>0</v>
      </c>
      <c r="B33" s="164">
        <v>43224</v>
      </c>
      <c r="C33" s="185">
        <v>200</v>
      </c>
      <c r="D33" s="186">
        <v>18.245899999999999</v>
      </c>
      <c r="E33" s="39">
        <v>17.829999999999998</v>
      </c>
      <c r="F33" s="39">
        <f t="shared" si="7"/>
        <v>-83.180000000000121</v>
      </c>
      <c r="G33" s="39">
        <f t="shared" si="8"/>
        <v>3649.18</v>
      </c>
      <c r="H33" s="180">
        <f t="shared" si="9"/>
        <v>-2.2794161976115217E-2</v>
      </c>
      <c r="I33" s="180"/>
      <c r="J33" s="173">
        <f t="shared" si="6"/>
        <v>201.79000000000468</v>
      </c>
      <c r="K33" s="652"/>
      <c r="L33" s="652"/>
      <c r="O33" s="81">
        <v>0.94</v>
      </c>
      <c r="P33" s="81">
        <f t="shared" si="2"/>
        <v>14.3256</v>
      </c>
    </row>
    <row r="34" spans="1:18" x14ac:dyDescent="0.25">
      <c r="A34" s="10">
        <v>0</v>
      </c>
      <c r="B34" s="164">
        <v>43227</v>
      </c>
      <c r="C34" s="10">
        <v>200</v>
      </c>
      <c r="D34" s="39">
        <v>18.25</v>
      </c>
      <c r="E34" s="39">
        <v>18.62</v>
      </c>
      <c r="F34" s="39">
        <f t="shared" si="7"/>
        <v>74.000000000000199</v>
      </c>
      <c r="G34" s="39">
        <f t="shared" si="8"/>
        <v>3650</v>
      </c>
      <c r="H34" s="180">
        <f t="shared" si="9"/>
        <v>2.0273972602739779E-2</v>
      </c>
      <c r="I34" s="39"/>
      <c r="J34" s="173">
        <f t="shared" si="6"/>
        <v>358.97000000000503</v>
      </c>
      <c r="K34" s="652"/>
      <c r="L34" s="652"/>
      <c r="O34" s="81">
        <v>0.93</v>
      </c>
      <c r="P34" s="81">
        <f t="shared" si="2"/>
        <v>14.173200000000001</v>
      </c>
    </row>
    <row r="35" spans="1:18" x14ac:dyDescent="0.25">
      <c r="A35" s="10"/>
      <c r="B35" s="164">
        <v>43235</v>
      </c>
      <c r="C35" s="10">
        <v>200</v>
      </c>
      <c r="D35" s="39">
        <v>18.25</v>
      </c>
      <c r="E35" s="39">
        <v>20.3</v>
      </c>
      <c r="F35" s="39">
        <f t="shared" si="7"/>
        <v>410.00000000000011</v>
      </c>
      <c r="G35" s="39">
        <f t="shared" si="8"/>
        <v>3650</v>
      </c>
      <c r="H35" s="180">
        <f t="shared" si="9"/>
        <v>0.11232876712328771</v>
      </c>
      <c r="I35" s="180"/>
      <c r="J35" s="173">
        <f t="shared" si="6"/>
        <v>694.97000000000492</v>
      </c>
      <c r="K35" s="652"/>
      <c r="L35" s="652"/>
      <c r="O35" s="81">
        <v>0.92</v>
      </c>
      <c r="P35" s="81">
        <f t="shared" si="2"/>
        <v>14.020800000000001</v>
      </c>
    </row>
    <row r="36" spans="1:18" x14ac:dyDescent="0.25">
      <c r="A36" s="10">
        <v>0</v>
      </c>
      <c r="B36" s="164">
        <v>43314</v>
      </c>
      <c r="C36" s="185">
        <v>200</v>
      </c>
      <c r="D36" s="186">
        <v>17.246200000000002</v>
      </c>
      <c r="E36" s="39">
        <v>21.88</v>
      </c>
      <c r="F36" s="39">
        <f t="shared" si="7"/>
        <v>926.75999999999942</v>
      </c>
      <c r="G36" s="39">
        <f t="shared" si="8"/>
        <v>3449.2400000000002</v>
      </c>
      <c r="H36" s="180">
        <f t="shared" si="9"/>
        <v>0.26868527559694289</v>
      </c>
      <c r="I36" s="39"/>
      <c r="J36" s="173">
        <f t="shared" si="6"/>
        <v>1211.7300000000041</v>
      </c>
      <c r="K36" s="652"/>
      <c r="L36" s="652"/>
      <c r="O36" s="81">
        <v>0.91</v>
      </c>
      <c r="P36" s="81">
        <f t="shared" si="2"/>
        <v>13.868400000000001</v>
      </c>
    </row>
    <row r="37" spans="1:18" x14ac:dyDescent="0.25">
      <c r="A37" s="10"/>
      <c r="B37" s="164">
        <v>43316</v>
      </c>
      <c r="C37" s="10">
        <v>200</v>
      </c>
      <c r="D37" s="39">
        <v>17.25</v>
      </c>
      <c r="E37" s="39">
        <v>22.17</v>
      </c>
      <c r="F37" s="39">
        <f t="shared" si="7"/>
        <v>984.00000000000034</v>
      </c>
      <c r="G37" s="39">
        <f t="shared" si="8"/>
        <v>3450</v>
      </c>
      <c r="H37" s="180">
        <f t="shared" si="9"/>
        <v>0.28521739130434792</v>
      </c>
      <c r="I37" s="39"/>
      <c r="J37" s="173">
        <f t="shared" si="6"/>
        <v>1268.9700000000053</v>
      </c>
      <c r="K37" s="652"/>
      <c r="L37" s="652"/>
      <c r="O37" s="81">
        <v>0.9</v>
      </c>
      <c r="P37" s="81">
        <f t="shared" si="2"/>
        <v>13.716000000000001</v>
      </c>
    </row>
    <row r="38" spans="1:18" x14ac:dyDescent="0.25">
      <c r="A38" s="10"/>
      <c r="B38" s="164">
        <v>43325</v>
      </c>
      <c r="C38" s="10">
        <v>200</v>
      </c>
      <c r="D38" s="39">
        <v>17.25</v>
      </c>
      <c r="E38" s="39">
        <v>21.88</v>
      </c>
      <c r="F38" s="39">
        <f t="shared" si="7"/>
        <v>925.99999999999977</v>
      </c>
      <c r="G38" s="39">
        <f t="shared" si="8"/>
        <v>3450</v>
      </c>
      <c r="H38" s="180">
        <f t="shared" si="9"/>
        <v>0.26840579710144924</v>
      </c>
      <c r="I38" s="180"/>
      <c r="J38" s="173">
        <f t="shared" si="6"/>
        <v>1210.9700000000046</v>
      </c>
      <c r="K38" s="180"/>
      <c r="L38" s="180"/>
    </row>
    <row r="39" spans="1:18" x14ac:dyDescent="0.25">
      <c r="A39" s="10">
        <v>0</v>
      </c>
      <c r="B39" s="164">
        <v>43332</v>
      </c>
      <c r="C39" s="10">
        <v>200</v>
      </c>
      <c r="D39" s="39">
        <v>17.25</v>
      </c>
      <c r="E39" s="39">
        <v>25.65</v>
      </c>
      <c r="F39" s="39">
        <f t="shared" si="7"/>
        <v>1679.9999999999998</v>
      </c>
      <c r="G39" s="39">
        <f t="shared" si="8"/>
        <v>3450</v>
      </c>
      <c r="H39" s="180">
        <f t="shared" si="9"/>
        <v>0.48695652173913034</v>
      </c>
      <c r="I39" s="173"/>
      <c r="J39" s="173">
        <f t="shared" si="6"/>
        <v>1964.9700000000046</v>
      </c>
      <c r="K39" s="173"/>
      <c r="L39" s="173"/>
    </row>
    <row r="40" spans="1:18" x14ac:dyDescent="0.25">
      <c r="A40" s="164">
        <v>43346</v>
      </c>
      <c r="B40" s="164">
        <v>43340</v>
      </c>
      <c r="C40" s="10">
        <v>200</v>
      </c>
      <c r="D40" s="39">
        <v>17.25</v>
      </c>
      <c r="E40" s="39">
        <v>23.48</v>
      </c>
      <c r="F40" s="39">
        <f t="shared" si="7"/>
        <v>1246</v>
      </c>
      <c r="G40" s="39">
        <f t="shared" si="8"/>
        <v>3450</v>
      </c>
      <c r="H40" s="180">
        <f t="shared" si="9"/>
        <v>0.36115942028985509</v>
      </c>
      <c r="I40" s="180"/>
      <c r="J40" s="173">
        <f t="shared" ref="J40:J57" si="10">F40+$Q$10</f>
        <v>1530.9700000000048</v>
      </c>
      <c r="K40" s="180"/>
      <c r="L40" s="39">
        <v>9.58</v>
      </c>
    </row>
    <row r="41" spans="1:18" x14ac:dyDescent="0.25">
      <c r="A41" s="10">
        <v>200</v>
      </c>
      <c r="B41" s="164">
        <v>43350</v>
      </c>
      <c r="C41" s="10">
        <v>200</v>
      </c>
      <c r="D41" s="39">
        <v>17.25</v>
      </c>
      <c r="E41" s="39">
        <v>21.75</v>
      </c>
      <c r="F41" s="39">
        <f t="shared" ref="F41:F56" si="11">C41*(E41-D41)</f>
        <v>900</v>
      </c>
      <c r="G41" s="39">
        <f t="shared" ref="G41:G56" si="12">D41*C41</f>
        <v>3450</v>
      </c>
      <c r="H41" s="180">
        <f t="shared" ref="H41:H56" si="13">(E41-D41)/D41</f>
        <v>0.2608695652173913</v>
      </c>
      <c r="I41" s="180"/>
      <c r="J41" s="173">
        <f t="shared" si="10"/>
        <v>1184.9700000000048</v>
      </c>
      <c r="K41" s="180"/>
      <c r="L41" s="39">
        <v>8.8800000000000008</v>
      </c>
      <c r="O41" s="33"/>
      <c r="R41" s="33"/>
    </row>
    <row r="42" spans="1:18" x14ac:dyDescent="0.25">
      <c r="A42" s="10">
        <v>200</v>
      </c>
      <c r="B42" s="164">
        <v>43353</v>
      </c>
      <c r="C42" s="7">
        <v>400</v>
      </c>
      <c r="D42" s="43">
        <v>19.223099999999999</v>
      </c>
      <c r="E42" s="39">
        <v>21.06</v>
      </c>
      <c r="F42" s="39">
        <f t="shared" si="11"/>
        <v>734.76</v>
      </c>
      <c r="G42" s="39">
        <f t="shared" si="12"/>
        <v>7689.24</v>
      </c>
      <c r="H42" s="180">
        <f t="shared" si="13"/>
        <v>9.5556908094948267E-2</v>
      </c>
      <c r="I42" s="39" t="s">
        <v>1249</v>
      </c>
      <c r="J42" s="173">
        <f t="shared" si="10"/>
        <v>1019.7300000000048</v>
      </c>
      <c r="K42" s="180"/>
      <c r="L42" s="39">
        <v>8.6</v>
      </c>
      <c r="Q42" s="33"/>
      <c r="R42" s="33"/>
    </row>
    <row r="43" spans="1:18" x14ac:dyDescent="0.25">
      <c r="A43" s="10">
        <v>0</v>
      </c>
      <c r="B43" s="164">
        <v>43355</v>
      </c>
      <c r="C43" s="185">
        <v>200</v>
      </c>
      <c r="D43" s="186">
        <v>16.116499999999998</v>
      </c>
      <c r="E43" s="39">
        <v>22.2</v>
      </c>
      <c r="F43" s="39">
        <f t="shared" si="11"/>
        <v>1216.7000000000003</v>
      </c>
      <c r="G43" s="39">
        <f t="shared" si="12"/>
        <v>3223.2999999999997</v>
      </c>
      <c r="H43" s="180">
        <f t="shared" si="13"/>
        <v>0.37747029441876345</v>
      </c>
      <c r="I43" s="180"/>
      <c r="J43" s="173">
        <f t="shared" si="10"/>
        <v>1501.6700000000051</v>
      </c>
      <c r="K43" s="180"/>
      <c r="L43" s="39">
        <v>9.06</v>
      </c>
      <c r="Q43" s="33"/>
      <c r="R43" s="33"/>
    </row>
    <row r="44" spans="1:18" x14ac:dyDescent="0.25">
      <c r="A44" s="164">
        <v>43383</v>
      </c>
      <c r="B44" s="164">
        <v>43362</v>
      </c>
      <c r="C44" s="10">
        <v>200</v>
      </c>
      <c r="D44" s="39">
        <v>16.116499999999998</v>
      </c>
      <c r="E44" s="39">
        <v>24.64</v>
      </c>
      <c r="F44" s="39">
        <f t="shared" si="11"/>
        <v>1704.7000000000005</v>
      </c>
      <c r="G44" s="39">
        <f t="shared" si="12"/>
        <v>3223.2999999999997</v>
      </c>
      <c r="H44" s="180">
        <f t="shared" si="13"/>
        <v>0.52886793038190694</v>
      </c>
      <c r="I44" s="180"/>
      <c r="J44" s="782">
        <f t="shared" si="10"/>
        <v>1989.6700000000053</v>
      </c>
      <c r="K44" s="180"/>
      <c r="L44" s="39">
        <v>10.06</v>
      </c>
      <c r="Q44" s="33"/>
      <c r="R44" s="33"/>
    </row>
    <row r="45" spans="1:18" x14ac:dyDescent="0.25">
      <c r="A45" s="10">
        <v>0</v>
      </c>
      <c r="B45" s="164">
        <v>43369</v>
      </c>
      <c r="C45" s="7">
        <v>400</v>
      </c>
      <c r="D45" s="43">
        <v>18.958200000000001</v>
      </c>
      <c r="E45" s="39">
        <v>21.96</v>
      </c>
      <c r="F45" s="39">
        <f t="shared" si="11"/>
        <v>1200.7199999999998</v>
      </c>
      <c r="G45" s="39">
        <f t="shared" si="12"/>
        <v>7583.2800000000007</v>
      </c>
      <c r="H45" s="180">
        <f t="shared" si="13"/>
        <v>0.15833781688134946</v>
      </c>
      <c r="I45" s="180"/>
      <c r="J45" s="783">
        <f t="shared" si="10"/>
        <v>1485.6900000000046</v>
      </c>
      <c r="K45" s="180"/>
      <c r="L45" s="39">
        <v>8.9600000000000009</v>
      </c>
      <c r="Q45" s="33"/>
      <c r="R45" s="33"/>
    </row>
    <row r="46" spans="1:18" x14ac:dyDescent="0.25">
      <c r="A46" s="10">
        <v>200</v>
      </c>
      <c r="B46" s="164">
        <v>43405</v>
      </c>
      <c r="C46" s="185">
        <v>200</v>
      </c>
      <c r="D46" s="186">
        <v>15.3668</v>
      </c>
      <c r="E46" s="39">
        <v>23</v>
      </c>
      <c r="F46" s="39">
        <f t="shared" si="11"/>
        <v>1526.64</v>
      </c>
      <c r="G46" s="39">
        <f t="shared" si="12"/>
        <v>3073.36</v>
      </c>
      <c r="H46" s="180">
        <f t="shared" si="13"/>
        <v>0.49673321706536172</v>
      </c>
      <c r="I46" s="180"/>
      <c r="J46" s="783">
        <f t="shared" si="10"/>
        <v>1811.6100000000049</v>
      </c>
      <c r="K46" s="180"/>
      <c r="L46" s="39">
        <v>9.39</v>
      </c>
      <c r="Q46" s="81"/>
      <c r="R46" s="33"/>
    </row>
    <row r="47" spans="1:18" x14ac:dyDescent="0.25">
      <c r="A47" s="10">
        <v>200</v>
      </c>
      <c r="B47" s="164">
        <v>43407</v>
      </c>
      <c r="C47" s="10">
        <v>200</v>
      </c>
      <c r="D47" s="39">
        <v>15.37</v>
      </c>
      <c r="E47" s="39">
        <v>22.59</v>
      </c>
      <c r="F47" s="39">
        <f t="shared" si="11"/>
        <v>1444.0000000000002</v>
      </c>
      <c r="G47" s="39">
        <f t="shared" si="12"/>
        <v>3074</v>
      </c>
      <c r="H47" s="180">
        <f t="shared" si="13"/>
        <v>0.46974625894599875</v>
      </c>
      <c r="I47" s="180"/>
      <c r="J47" s="783">
        <f t="shared" si="10"/>
        <v>1728.970000000005</v>
      </c>
      <c r="K47" s="180"/>
      <c r="L47" s="39">
        <v>9.2200000000000006</v>
      </c>
      <c r="Q47" s="81"/>
      <c r="R47" s="33"/>
    </row>
    <row r="48" spans="1:18" x14ac:dyDescent="0.25">
      <c r="A48" s="10">
        <v>41</v>
      </c>
      <c r="B48" s="164">
        <v>43411</v>
      </c>
      <c r="C48" s="10">
        <v>41</v>
      </c>
      <c r="D48" s="39">
        <v>-17.163399999999999</v>
      </c>
      <c r="E48" s="39">
        <v>23.73</v>
      </c>
      <c r="F48" s="39">
        <f t="shared" si="11"/>
        <v>1676.6294</v>
      </c>
      <c r="G48" s="39">
        <f t="shared" si="12"/>
        <v>-703.69939999999997</v>
      </c>
      <c r="H48" s="180">
        <f t="shared" si="13"/>
        <v>-2.3825931924909982</v>
      </c>
      <c r="I48" s="180"/>
      <c r="J48" s="783">
        <f t="shared" si="10"/>
        <v>1961.5994000000048</v>
      </c>
      <c r="K48" s="180"/>
      <c r="L48" s="39">
        <v>9.69</v>
      </c>
      <c r="Q48" s="81"/>
      <c r="R48" s="33"/>
    </row>
    <row r="49" spans="1:18" x14ac:dyDescent="0.25">
      <c r="A49" s="10">
        <v>41</v>
      </c>
      <c r="B49" s="164">
        <v>43423</v>
      </c>
      <c r="C49" s="10">
        <v>241</v>
      </c>
      <c r="D49" s="39">
        <v>15.0718</v>
      </c>
      <c r="E49" s="39">
        <v>22</v>
      </c>
      <c r="F49" s="39">
        <f t="shared" si="11"/>
        <v>1669.6962000000001</v>
      </c>
      <c r="G49" s="39">
        <f t="shared" si="12"/>
        <v>3632.3038000000001</v>
      </c>
      <c r="H49" s="180">
        <f t="shared" si="13"/>
        <v>0.45967966666224341</v>
      </c>
      <c r="I49" s="180"/>
      <c r="J49" s="783">
        <f t="shared" si="10"/>
        <v>1954.6662000000049</v>
      </c>
      <c r="K49" s="180"/>
      <c r="L49" s="39">
        <v>8.98</v>
      </c>
      <c r="Q49" s="81"/>
      <c r="R49" s="33"/>
    </row>
    <row r="50" spans="1:18" x14ac:dyDescent="0.25">
      <c r="A50" s="10">
        <v>0</v>
      </c>
      <c r="B50" s="164">
        <v>43427</v>
      </c>
      <c r="C50" s="185">
        <v>200</v>
      </c>
      <c r="D50" s="186">
        <v>13.6065</v>
      </c>
      <c r="E50" s="39">
        <v>22.22</v>
      </c>
      <c r="F50" s="39">
        <f t="shared" si="11"/>
        <v>1722.6999999999996</v>
      </c>
      <c r="G50" s="39">
        <f t="shared" si="12"/>
        <v>2721.3</v>
      </c>
      <c r="H50" s="180">
        <f t="shared" si="13"/>
        <v>0.63304303090434699</v>
      </c>
      <c r="I50" s="180"/>
      <c r="J50" s="782">
        <f t="shared" si="10"/>
        <v>2007.6700000000044</v>
      </c>
      <c r="K50" s="180"/>
      <c r="L50" s="39">
        <v>9</v>
      </c>
      <c r="Q50" s="81"/>
      <c r="R50" s="33"/>
    </row>
    <row r="51" spans="1:18" x14ac:dyDescent="0.25">
      <c r="A51" s="10">
        <v>0</v>
      </c>
      <c r="B51" s="164">
        <v>43434</v>
      </c>
      <c r="C51" s="7">
        <v>400</v>
      </c>
      <c r="D51" s="43">
        <v>17.5732</v>
      </c>
      <c r="E51" s="39">
        <v>21.54</v>
      </c>
      <c r="F51" s="39">
        <f t="shared" si="11"/>
        <v>1586.7199999999998</v>
      </c>
      <c r="G51" s="39">
        <f t="shared" si="12"/>
        <v>7029.28</v>
      </c>
      <c r="H51" s="180">
        <f t="shared" si="13"/>
        <v>0.22573008899915775</v>
      </c>
      <c r="I51" s="180"/>
      <c r="J51" s="783">
        <f t="shared" si="10"/>
        <v>1871.6900000000046</v>
      </c>
      <c r="K51" s="180"/>
      <c r="L51" s="180"/>
      <c r="Q51" s="81"/>
      <c r="R51" s="33"/>
    </row>
    <row r="52" spans="1:18" x14ac:dyDescent="0.25">
      <c r="A52" s="10">
        <v>0</v>
      </c>
      <c r="B52" s="164">
        <v>43444</v>
      </c>
      <c r="C52" s="10">
        <v>600</v>
      </c>
      <c r="D52" s="39">
        <v>17.848800000000001</v>
      </c>
      <c r="E52" s="39">
        <v>18.440000000000001</v>
      </c>
      <c r="F52" s="39">
        <f t="shared" si="11"/>
        <v>354.72000000000037</v>
      </c>
      <c r="G52" s="39">
        <f t="shared" si="12"/>
        <v>10709.28</v>
      </c>
      <c r="H52" s="180">
        <f t="shared" si="13"/>
        <v>3.3122674913719723E-2</v>
      </c>
      <c r="I52" s="180"/>
      <c r="J52" s="783">
        <f t="shared" si="10"/>
        <v>639.69000000000517</v>
      </c>
      <c r="K52" s="180"/>
      <c r="L52" s="39">
        <v>7.92</v>
      </c>
      <c r="Q52" s="81"/>
      <c r="R52" s="33"/>
    </row>
    <row r="53" spans="1:18" x14ac:dyDescent="0.25">
      <c r="A53" s="10">
        <v>0</v>
      </c>
      <c r="B53" s="164">
        <v>43446</v>
      </c>
      <c r="C53" s="7">
        <v>400</v>
      </c>
      <c r="D53" s="43">
        <v>17.2334</v>
      </c>
      <c r="E53" s="39">
        <v>18.989999999999998</v>
      </c>
      <c r="F53" s="39">
        <f t="shared" si="11"/>
        <v>702.63999999999953</v>
      </c>
      <c r="G53" s="39">
        <f t="shared" si="12"/>
        <v>6893.36</v>
      </c>
      <c r="H53" s="180">
        <f t="shared" si="13"/>
        <v>0.101929973191593</v>
      </c>
      <c r="I53" s="180"/>
      <c r="J53" s="783">
        <f t="shared" si="10"/>
        <v>987.61000000000433</v>
      </c>
      <c r="K53" s="180"/>
      <c r="L53" s="180"/>
      <c r="Q53" s="81"/>
      <c r="R53" s="33"/>
    </row>
    <row r="54" spans="1:18" x14ac:dyDescent="0.25">
      <c r="A54" s="10">
        <v>0</v>
      </c>
      <c r="B54" s="164">
        <v>43452</v>
      </c>
      <c r="C54" s="10">
        <v>600</v>
      </c>
      <c r="D54" s="39">
        <v>17.222200000000001</v>
      </c>
      <c r="E54" s="39">
        <v>17.010000000000002</v>
      </c>
      <c r="F54" s="39">
        <f t="shared" si="11"/>
        <v>-127.31999999999957</v>
      </c>
      <c r="G54" s="39">
        <f t="shared" si="12"/>
        <v>10333.32</v>
      </c>
      <c r="H54" s="180">
        <f t="shared" si="13"/>
        <v>-1.2321306221040242E-2</v>
      </c>
      <c r="I54" s="180"/>
      <c r="J54" s="783">
        <f t="shared" si="10"/>
        <v>157.65000000000524</v>
      </c>
      <c r="K54" s="180"/>
      <c r="L54" s="39">
        <v>6.94</v>
      </c>
      <c r="Q54" s="81"/>
      <c r="R54" s="33"/>
    </row>
    <row r="55" spans="1:18" x14ac:dyDescent="0.25">
      <c r="A55" s="10">
        <v>0</v>
      </c>
      <c r="B55" s="164">
        <v>43472</v>
      </c>
      <c r="C55" s="7">
        <v>400</v>
      </c>
      <c r="D55" s="43">
        <v>16.808499999999999</v>
      </c>
      <c r="E55" s="39">
        <v>17.670000000000002</v>
      </c>
      <c r="F55" s="39">
        <f t="shared" si="11"/>
        <v>344.60000000000122</v>
      </c>
      <c r="G55" s="39">
        <f t="shared" si="12"/>
        <v>6723.4</v>
      </c>
      <c r="H55" s="180">
        <f t="shared" si="13"/>
        <v>5.1253829907487468E-2</v>
      </c>
      <c r="I55" s="180"/>
      <c r="J55" s="783">
        <f t="shared" si="10"/>
        <v>629.57000000000608</v>
      </c>
      <c r="K55" s="180"/>
      <c r="L55" s="39">
        <v>7.21</v>
      </c>
      <c r="Q55" s="81"/>
    </row>
    <row r="56" spans="1:18" x14ac:dyDescent="0.25">
      <c r="A56" s="10">
        <v>200</v>
      </c>
      <c r="B56" s="164">
        <v>43476</v>
      </c>
      <c r="C56" s="10">
        <v>400</v>
      </c>
      <c r="D56" s="39">
        <v>16.809999999999999</v>
      </c>
      <c r="E56" s="39">
        <v>18.45</v>
      </c>
      <c r="F56" s="39">
        <f t="shared" si="11"/>
        <v>656.00000000000023</v>
      </c>
      <c r="G56" s="39">
        <f t="shared" si="12"/>
        <v>6723.9999999999991</v>
      </c>
      <c r="H56" s="180">
        <f t="shared" si="13"/>
        <v>9.7560975609756143E-2</v>
      </c>
      <c r="I56" s="180"/>
      <c r="J56" s="783">
        <f t="shared" si="10"/>
        <v>940.97000000000503</v>
      </c>
      <c r="K56" s="180"/>
      <c r="L56" s="39">
        <v>7.53</v>
      </c>
      <c r="Q56" s="81"/>
    </row>
    <row r="57" spans="1:18" x14ac:dyDescent="0.25">
      <c r="A57" s="10"/>
      <c r="B57" s="164">
        <v>43491</v>
      </c>
      <c r="C57" s="10">
        <v>400</v>
      </c>
      <c r="D57" s="39">
        <v>16.809999999999999</v>
      </c>
      <c r="E57" s="39">
        <v>19.559999999999999</v>
      </c>
      <c r="F57" s="39">
        <f>C57*(E57-D57)</f>
        <v>1100</v>
      </c>
      <c r="G57" s="39">
        <f>D57*C57</f>
        <v>6723.9999999999991</v>
      </c>
      <c r="H57" s="180">
        <f>(E57-D57)/D57</f>
        <v>0.1635930993456276</v>
      </c>
      <c r="I57" s="180"/>
      <c r="J57" s="783">
        <f t="shared" si="10"/>
        <v>1384.9700000000048</v>
      </c>
      <c r="K57" s="180"/>
      <c r="L57" s="39"/>
      <c r="Q57" s="81"/>
    </row>
    <row r="58" spans="1:18" x14ac:dyDescent="0.25">
      <c r="A58" s="10">
        <v>400</v>
      </c>
      <c r="B58" s="164">
        <v>43535</v>
      </c>
      <c r="C58" s="10">
        <v>400</v>
      </c>
      <c r="D58" s="39">
        <v>16.809999999999999</v>
      </c>
      <c r="E58" s="39">
        <v>15.78</v>
      </c>
      <c r="F58" s="39">
        <f>C58*(E58-D58)</f>
        <v>-411.99999999999977</v>
      </c>
      <c r="G58" s="39">
        <f>D58*C58</f>
        <v>6723.9999999999991</v>
      </c>
      <c r="H58" s="180">
        <f>(E58-D58)/D58</f>
        <v>-6.1273051754907756E-2</v>
      </c>
      <c r="I58" s="180"/>
      <c r="J58" s="783">
        <f t="shared" ref="J58" si="14">F58+$Q$10</f>
        <v>-127.02999999999497</v>
      </c>
      <c r="K58" s="180"/>
      <c r="L58" s="39">
        <v>6.44</v>
      </c>
      <c r="Q58" s="81"/>
    </row>
    <row r="59" spans="1:18" x14ac:dyDescent="0.25">
      <c r="A59" s="10"/>
      <c r="B59" s="10"/>
      <c r="C59" s="10"/>
      <c r="D59" s="39"/>
      <c r="E59" s="39"/>
      <c r="F59" s="39"/>
      <c r="G59" s="39"/>
      <c r="H59" s="180"/>
      <c r="I59" s="180"/>
      <c r="J59" s="180"/>
      <c r="K59" s="180"/>
      <c r="L59" s="180"/>
      <c r="Q59" s="81"/>
    </row>
    <row r="60" spans="1:18" x14ac:dyDescent="0.25">
      <c r="A60" s="10"/>
      <c r="B60" s="10"/>
      <c r="C60" s="10"/>
      <c r="D60" s="39"/>
      <c r="E60" s="39"/>
      <c r="F60" s="39"/>
      <c r="G60" s="39"/>
      <c r="H60" s="180"/>
      <c r="I60" s="180"/>
      <c r="J60" s="180"/>
      <c r="K60" s="180"/>
      <c r="L60" s="39"/>
      <c r="Q60" s="81"/>
    </row>
    <row r="61" spans="1:18" x14ac:dyDescent="0.25">
      <c r="A61" s="10"/>
      <c r="B61" s="10"/>
      <c r="C61" s="10"/>
      <c r="D61" s="39"/>
      <c r="E61" s="39"/>
      <c r="F61" s="39"/>
      <c r="G61" s="39"/>
      <c r="H61" s="180"/>
      <c r="I61" s="180"/>
      <c r="J61" s="180"/>
      <c r="K61" s="180"/>
      <c r="L61" s="180"/>
      <c r="Q61" s="81"/>
    </row>
    <row r="62" spans="1:18" x14ac:dyDescent="0.25">
      <c r="Q62" s="81"/>
    </row>
    <row r="63" spans="1:18" x14ac:dyDescent="0.25">
      <c r="L63" t="s">
        <v>205</v>
      </c>
      <c r="M63" s="2">
        <f>M82+K82-F82</f>
        <v>284.9700000000048</v>
      </c>
      <c r="Q63" s="81"/>
    </row>
    <row r="64" spans="1:18" x14ac:dyDescent="0.25">
      <c r="A64" s="304" t="s">
        <v>1</v>
      </c>
      <c r="B64" s="304" t="s">
        <v>2</v>
      </c>
      <c r="C64" s="304" t="s">
        <v>4</v>
      </c>
      <c r="D64" s="306" t="s">
        <v>5</v>
      </c>
      <c r="E64" s="306" t="s">
        <v>94</v>
      </c>
      <c r="F64" s="306" t="s">
        <v>60</v>
      </c>
      <c r="G64" s="304" t="s">
        <v>3</v>
      </c>
      <c r="H64" s="304" t="s">
        <v>6</v>
      </c>
      <c r="I64" s="306" t="s">
        <v>7</v>
      </c>
      <c r="J64" s="306" t="s">
        <v>95</v>
      </c>
      <c r="K64" s="306" t="s">
        <v>61</v>
      </c>
      <c r="L64" s="304" t="s">
        <v>77</v>
      </c>
      <c r="M64" s="304" t="s">
        <v>38</v>
      </c>
      <c r="O64" s="33"/>
    </row>
    <row r="65" spans="1:15" x14ac:dyDescent="0.25">
      <c r="A65" s="307" t="s">
        <v>321</v>
      </c>
      <c r="B65" s="368">
        <v>42746</v>
      </c>
      <c r="C65" s="7">
        <v>80</v>
      </c>
      <c r="D65" s="43">
        <v>34.020000000000003</v>
      </c>
      <c r="E65" s="43">
        <v>0</v>
      </c>
      <c r="F65" s="43">
        <f t="shared" ref="F65:F73" si="15">C65*D65+E65</f>
        <v>2721.6000000000004</v>
      </c>
      <c r="G65" s="368">
        <v>42760</v>
      </c>
      <c r="H65" s="80">
        <v>80</v>
      </c>
      <c r="I65" s="43">
        <v>33.68</v>
      </c>
      <c r="J65" s="43">
        <v>0.06</v>
      </c>
      <c r="K65" s="43">
        <f t="shared" ref="K65:K73" si="16">H65*I65-J65</f>
        <v>2694.34</v>
      </c>
      <c r="L65" s="72">
        <v>42908</v>
      </c>
      <c r="M65" s="43">
        <v>54.4</v>
      </c>
    </row>
    <row r="66" spans="1:15" x14ac:dyDescent="0.25">
      <c r="A66" s="308" t="s">
        <v>71</v>
      </c>
      <c r="B66" s="368">
        <v>42758</v>
      </c>
      <c r="C66" s="7">
        <v>40</v>
      </c>
      <c r="D66" s="43">
        <v>32.28</v>
      </c>
      <c r="E66" s="43">
        <v>0</v>
      </c>
      <c r="F66" s="43">
        <f t="shared" si="15"/>
        <v>1291.2</v>
      </c>
      <c r="G66" s="368">
        <v>42766</v>
      </c>
      <c r="H66" s="80">
        <v>40</v>
      </c>
      <c r="I66" s="43">
        <v>31.8</v>
      </c>
      <c r="J66" s="43">
        <v>0.03</v>
      </c>
      <c r="K66" s="43">
        <f t="shared" si="16"/>
        <v>1271.97</v>
      </c>
      <c r="L66" s="72">
        <v>42908</v>
      </c>
      <c r="M66" s="43">
        <v>-8.16</v>
      </c>
    </row>
    <row r="67" spans="1:15" x14ac:dyDescent="0.25">
      <c r="A67" s="298"/>
      <c r="B67" s="368">
        <v>42843</v>
      </c>
      <c r="C67" s="7">
        <v>80</v>
      </c>
      <c r="D67" s="43">
        <v>31.08</v>
      </c>
      <c r="E67" s="43">
        <v>0</v>
      </c>
      <c r="F67" s="43">
        <f t="shared" si="15"/>
        <v>2486.3999999999996</v>
      </c>
      <c r="G67" s="368">
        <v>42901</v>
      </c>
      <c r="H67" s="80">
        <v>80</v>
      </c>
      <c r="I67" s="43">
        <v>31.3</v>
      </c>
      <c r="J67" s="43">
        <v>0.05</v>
      </c>
      <c r="K67" s="43">
        <f t="shared" si="16"/>
        <v>2503.9499999999998</v>
      </c>
      <c r="L67" s="72">
        <v>42992</v>
      </c>
      <c r="M67" s="43">
        <v>15.3</v>
      </c>
    </row>
    <row r="68" spans="1:15" x14ac:dyDescent="0.25">
      <c r="A68" s="298"/>
      <c r="B68" s="368">
        <v>42873</v>
      </c>
      <c r="C68" s="7">
        <v>80</v>
      </c>
      <c r="D68" s="43">
        <v>29.68</v>
      </c>
      <c r="E68" s="43">
        <v>0</v>
      </c>
      <c r="F68" s="43">
        <f t="shared" si="15"/>
        <v>2374.4</v>
      </c>
      <c r="G68" s="368">
        <v>42989</v>
      </c>
      <c r="H68" s="80">
        <v>100</v>
      </c>
      <c r="I68" s="43">
        <v>18.559999999999999</v>
      </c>
      <c r="J68" s="43">
        <v>0.04</v>
      </c>
      <c r="K68" s="43">
        <f t="shared" si="16"/>
        <v>1855.9599999999998</v>
      </c>
      <c r="L68" s="72">
        <v>42992</v>
      </c>
      <c r="M68" s="43">
        <v>-2.2999999999999998</v>
      </c>
    </row>
    <row r="69" spans="1:15" x14ac:dyDescent="0.25">
      <c r="A69" s="298"/>
      <c r="B69" s="368">
        <v>42957</v>
      </c>
      <c r="C69" s="7">
        <v>100</v>
      </c>
      <c r="D69" s="43">
        <v>17.28</v>
      </c>
      <c r="E69" s="43">
        <v>0</v>
      </c>
      <c r="F69" s="43">
        <f t="shared" si="15"/>
        <v>1728</v>
      </c>
      <c r="G69" s="368">
        <v>43010</v>
      </c>
      <c r="H69" s="80">
        <v>80</v>
      </c>
      <c r="I69" s="43">
        <v>18.68</v>
      </c>
      <c r="J69" s="43">
        <v>0.03</v>
      </c>
      <c r="K69" s="43">
        <f t="shared" si="16"/>
        <v>1494.3700000000001</v>
      </c>
      <c r="L69" s="72">
        <v>43082</v>
      </c>
      <c r="M69" s="7">
        <f>23.8-3.57</f>
        <v>20.23</v>
      </c>
      <c r="O69" s="33"/>
    </row>
    <row r="70" spans="1:15" x14ac:dyDescent="0.25">
      <c r="A70" s="298"/>
      <c r="B70" s="368">
        <v>42996</v>
      </c>
      <c r="C70" s="7">
        <v>100</v>
      </c>
      <c r="D70" s="43">
        <v>17.68</v>
      </c>
      <c r="E70" s="43">
        <v>0</v>
      </c>
      <c r="F70" s="43">
        <f t="shared" si="15"/>
        <v>1768</v>
      </c>
      <c r="G70" s="368">
        <v>43045</v>
      </c>
      <c r="H70" s="80">
        <v>200</v>
      </c>
      <c r="I70" s="43">
        <v>12.08</v>
      </c>
      <c r="J70" s="43">
        <v>0.06</v>
      </c>
      <c r="K70" s="43">
        <f t="shared" si="16"/>
        <v>2415.94</v>
      </c>
      <c r="L70" s="4"/>
      <c r="M70" s="4"/>
    </row>
    <row r="71" spans="1:15" x14ac:dyDescent="0.25">
      <c r="A71" s="298"/>
      <c r="B71" s="368">
        <v>43011</v>
      </c>
      <c r="C71" s="7">
        <v>80</v>
      </c>
      <c r="D71" s="43">
        <v>17.95</v>
      </c>
      <c r="E71" s="43">
        <v>0</v>
      </c>
      <c r="F71" s="43">
        <f t="shared" si="15"/>
        <v>1436</v>
      </c>
      <c r="G71" s="368">
        <v>43070</v>
      </c>
      <c r="H71" s="80">
        <v>80</v>
      </c>
      <c r="I71" s="43">
        <v>15.27</v>
      </c>
      <c r="J71" s="43">
        <v>0.03</v>
      </c>
      <c r="K71" s="43">
        <f t="shared" si="16"/>
        <v>1221.57</v>
      </c>
    </row>
    <row r="72" spans="1:15" x14ac:dyDescent="0.25">
      <c r="A72" s="298"/>
      <c r="B72" s="368">
        <v>43013</v>
      </c>
      <c r="C72" s="7">
        <v>100</v>
      </c>
      <c r="D72" s="43">
        <v>15.8</v>
      </c>
      <c r="E72" s="43">
        <v>0</v>
      </c>
      <c r="F72" s="43">
        <f t="shared" si="15"/>
        <v>1580</v>
      </c>
      <c r="G72" s="368">
        <v>43111</v>
      </c>
      <c r="H72" s="80">
        <v>100</v>
      </c>
      <c r="I72" s="43">
        <v>21.31</v>
      </c>
      <c r="J72" s="43">
        <v>-0.05</v>
      </c>
      <c r="K72" s="43">
        <f t="shared" si="16"/>
        <v>2131.0500000000002</v>
      </c>
    </row>
    <row r="73" spans="1:15" x14ac:dyDescent="0.25">
      <c r="A73" s="298"/>
      <c r="B73" s="368">
        <v>43041</v>
      </c>
      <c r="C73" s="7">
        <v>200</v>
      </c>
      <c r="D73" s="43">
        <v>11.28</v>
      </c>
      <c r="E73" s="43">
        <v>0</v>
      </c>
      <c r="F73" s="43">
        <f t="shared" si="15"/>
        <v>2256</v>
      </c>
      <c r="G73" s="368">
        <v>43112</v>
      </c>
      <c r="H73" s="80">
        <v>100</v>
      </c>
      <c r="I73" s="43">
        <v>22.58</v>
      </c>
      <c r="J73" s="43">
        <v>0.05</v>
      </c>
      <c r="K73" s="43">
        <f t="shared" si="16"/>
        <v>2257.9499999999998</v>
      </c>
    </row>
    <row r="74" spans="1:15" x14ac:dyDescent="0.25">
      <c r="A74" s="298"/>
      <c r="B74" s="298"/>
      <c r="C74" s="298"/>
      <c r="D74" s="299"/>
      <c r="E74" s="299"/>
      <c r="F74" s="299"/>
      <c r="G74" s="298"/>
      <c r="H74" s="298"/>
      <c r="I74" s="299"/>
      <c r="J74" s="299"/>
      <c r="K74" s="299"/>
      <c r="L74" s="298"/>
      <c r="M74" s="298"/>
    </row>
    <row r="75" spans="1:15" x14ac:dyDescent="0.25">
      <c r="A75" s="298"/>
      <c r="B75" s="298"/>
      <c r="C75" s="298"/>
      <c r="D75" s="299"/>
      <c r="E75" s="299"/>
      <c r="F75" s="299"/>
      <c r="G75" s="298"/>
      <c r="H75" s="298"/>
      <c r="I75" s="299"/>
      <c r="J75" s="299"/>
      <c r="K75" s="299"/>
      <c r="L75" s="298"/>
      <c r="M75" s="298"/>
    </row>
    <row r="76" spans="1:15" x14ac:dyDescent="0.25">
      <c r="A76" s="298"/>
      <c r="B76" s="298"/>
      <c r="C76" s="298"/>
      <c r="D76" s="299"/>
      <c r="E76" s="299"/>
      <c r="F76" s="299"/>
      <c r="G76" s="298"/>
      <c r="H76" s="298"/>
      <c r="I76" s="299"/>
      <c r="J76" s="299"/>
      <c r="K76" s="299"/>
      <c r="L76" s="298"/>
      <c r="M76" s="298"/>
    </row>
    <row r="77" spans="1:15" x14ac:dyDescent="0.25">
      <c r="A77" s="298"/>
      <c r="B77" s="298"/>
      <c r="C77" s="298"/>
      <c r="D77" s="299"/>
      <c r="E77" s="299"/>
      <c r="F77" s="299"/>
      <c r="G77" s="298"/>
      <c r="H77" s="298"/>
      <c r="I77" s="299"/>
      <c r="J77" s="299"/>
      <c r="K77" s="299"/>
      <c r="L77" s="298"/>
      <c r="M77" s="298"/>
    </row>
    <row r="78" spans="1:15" x14ac:dyDescent="0.25">
      <c r="A78" s="298"/>
      <c r="B78" s="298"/>
      <c r="C78" s="298"/>
      <c r="D78" s="299"/>
      <c r="E78" s="299"/>
      <c r="F78" s="299"/>
      <c r="G78" s="298"/>
      <c r="H78" s="298"/>
      <c r="I78" s="299"/>
      <c r="J78" s="299"/>
      <c r="K78" s="299"/>
      <c r="L78" s="298"/>
      <c r="M78" s="298"/>
    </row>
    <row r="79" spans="1:15" x14ac:dyDescent="0.25">
      <c r="A79" s="298"/>
      <c r="B79" s="298"/>
      <c r="C79" s="298"/>
      <c r="D79" s="299"/>
      <c r="E79" s="299"/>
      <c r="F79" s="299"/>
      <c r="G79" s="298"/>
      <c r="H79" s="298"/>
      <c r="I79" s="299"/>
      <c r="J79" s="299"/>
      <c r="K79" s="299"/>
      <c r="L79" s="298"/>
      <c r="M79" s="298"/>
    </row>
    <row r="80" spans="1:15" x14ac:dyDescent="0.25">
      <c r="A80" s="298"/>
      <c r="B80" s="298"/>
      <c r="C80" s="298"/>
      <c r="D80" s="299"/>
      <c r="E80" s="299"/>
      <c r="F80" s="299"/>
      <c r="G80" s="298"/>
      <c r="H80" s="298"/>
      <c r="I80" s="299"/>
      <c r="J80" s="299"/>
      <c r="K80" s="299"/>
      <c r="L80" s="298"/>
      <c r="M80" s="298"/>
    </row>
    <row r="81" spans="1:13" x14ac:dyDescent="0.25">
      <c r="A81" s="298"/>
      <c r="B81" s="298"/>
      <c r="C81" s="298"/>
      <c r="D81" s="299"/>
      <c r="E81" s="299"/>
      <c r="F81" s="299"/>
      <c r="G81" s="298"/>
      <c r="H81" s="298"/>
      <c r="I81" s="299"/>
      <c r="J81" s="299"/>
      <c r="K81" s="299"/>
      <c r="L81" s="298"/>
      <c r="M81" s="298"/>
    </row>
    <row r="82" spans="1:13" x14ac:dyDescent="0.25">
      <c r="A82" s="35" t="s">
        <v>81</v>
      </c>
      <c r="B82" s="36"/>
      <c r="C82" s="36">
        <f>SUM(C65:C81)</f>
        <v>860</v>
      </c>
      <c r="D82" s="37"/>
      <c r="E82" s="37"/>
      <c r="F82" s="37">
        <f>SUM(F65:F81)</f>
        <v>17641.599999999999</v>
      </c>
      <c r="G82" s="36"/>
      <c r="H82" s="160">
        <f>SUM(H65:H81)</f>
        <v>860</v>
      </c>
      <c r="I82" s="37"/>
      <c r="J82" s="37"/>
      <c r="K82" s="37">
        <f>SUM(K65:K81)</f>
        <v>17847.100000000002</v>
      </c>
      <c r="L82" s="37"/>
      <c r="M82" s="37">
        <f>SUM(M65:M81)</f>
        <v>79.47</v>
      </c>
    </row>
    <row r="83" spans="1:13" x14ac:dyDescent="0.25">
      <c r="G83" s="2"/>
    </row>
    <row r="87" spans="1:13" x14ac:dyDescent="0.25">
      <c r="A87" s="675" t="s">
        <v>224</v>
      </c>
      <c r="B87" s="675" t="s">
        <v>113</v>
      </c>
      <c r="C87" s="675" t="s">
        <v>145</v>
      </c>
      <c r="D87" s="676" t="s">
        <v>144</v>
      </c>
      <c r="E87" s="677" t="s">
        <v>146</v>
      </c>
      <c r="F87" s="678" t="s">
        <v>65</v>
      </c>
      <c r="G87" s="679" t="s">
        <v>150</v>
      </c>
      <c r="H87" s="678" t="s">
        <v>88</v>
      </c>
      <c r="I87" s="678" t="s">
        <v>153</v>
      </c>
    </row>
    <row r="88" spans="1:13" x14ac:dyDescent="0.25">
      <c r="A88" s="680"/>
      <c r="B88" s="681"/>
      <c r="C88" s="680"/>
      <c r="D88" s="682"/>
      <c r="E88" s="682"/>
      <c r="F88" s="682"/>
      <c r="G88" s="682"/>
      <c r="H88" s="683"/>
      <c r="I88" s="683"/>
    </row>
    <row r="89" spans="1:13" x14ac:dyDescent="0.25">
      <c r="A89" s="680"/>
      <c r="B89" s="681">
        <v>42746</v>
      </c>
      <c r="C89" s="680">
        <v>80</v>
      </c>
      <c r="D89" s="682">
        <v>34.020000000000003</v>
      </c>
      <c r="E89" s="682">
        <v>34.28</v>
      </c>
      <c r="F89" s="682">
        <f>C89*(E89-D89)</f>
        <v>20.799999999999841</v>
      </c>
      <c r="G89" s="682">
        <f>D89*C89</f>
        <v>2721.6000000000004</v>
      </c>
      <c r="H89" s="683">
        <f>(E89-D89)/D89</f>
        <v>7.6425631981186948E-3</v>
      </c>
      <c r="I89" s="683"/>
    </row>
    <row r="90" spans="1:13" x14ac:dyDescent="0.25">
      <c r="A90" s="680"/>
      <c r="B90" s="681">
        <v>42758</v>
      </c>
      <c r="C90" s="680">
        <v>120</v>
      </c>
      <c r="D90" s="682">
        <v>33.44</v>
      </c>
      <c r="E90" s="682">
        <v>32.71</v>
      </c>
      <c r="F90" s="682">
        <f>C90*(E90-D90)</f>
        <v>-87.599999999999625</v>
      </c>
      <c r="G90" s="682">
        <f>D90*C90</f>
        <v>4012.7999999999997</v>
      </c>
      <c r="H90" s="683">
        <f>(E90-D90)/D90</f>
        <v>-2.1830143540669766E-2</v>
      </c>
      <c r="I90" s="683"/>
    </row>
    <row r="91" spans="1:13" x14ac:dyDescent="0.25">
      <c r="A91" s="680" t="s">
        <v>352</v>
      </c>
      <c r="B91" s="681">
        <v>42760</v>
      </c>
      <c r="C91" s="680">
        <v>40</v>
      </c>
      <c r="D91" s="682">
        <v>32.961500000000001</v>
      </c>
      <c r="E91" s="682">
        <v>33.68</v>
      </c>
      <c r="F91" s="682">
        <f>C91*(E91-D91)</f>
        <v>28.739999999999952</v>
      </c>
      <c r="G91" s="682">
        <f>D91*C91</f>
        <v>1318.46</v>
      </c>
      <c r="H91" s="683">
        <f>(E91-D91)/D91</f>
        <v>2.1798158457594429E-2</v>
      </c>
      <c r="I91" s="683"/>
    </row>
    <row r="92" spans="1:13" x14ac:dyDescent="0.25">
      <c r="A92" s="680"/>
      <c r="B92" s="681">
        <v>42766</v>
      </c>
      <c r="C92" s="680">
        <v>0</v>
      </c>
      <c r="D92" s="682"/>
      <c r="E92" s="682"/>
      <c r="F92" s="682">
        <v>-46.49</v>
      </c>
      <c r="G92" s="682"/>
      <c r="H92" s="683"/>
      <c r="I92" s="683"/>
    </row>
    <row r="93" spans="1:13" x14ac:dyDescent="0.25">
      <c r="A93" s="680">
        <v>0</v>
      </c>
      <c r="B93" s="681">
        <v>42843</v>
      </c>
      <c r="C93" s="680">
        <v>80</v>
      </c>
      <c r="D93" s="682">
        <v>31.661100000000001</v>
      </c>
      <c r="E93" s="682">
        <v>30.99</v>
      </c>
      <c r="F93" s="682">
        <f t="shared" ref="F93:F112" si="17">C93*(E93-D93)</f>
        <v>-53.688000000000216</v>
      </c>
      <c r="G93" s="682">
        <f t="shared" ref="G93:G112" si="18">D93*C93</f>
        <v>2532.8879999999999</v>
      </c>
      <c r="H93" s="683">
        <f t="shared" ref="H93:H112" si="19">(E93-D93)/D93</f>
        <v>-2.1196357675507253E-2</v>
      </c>
      <c r="I93" s="684"/>
    </row>
    <row r="94" spans="1:13" x14ac:dyDescent="0.25">
      <c r="A94" s="680">
        <v>0</v>
      </c>
      <c r="B94" s="681">
        <v>42873</v>
      </c>
      <c r="C94" s="680">
        <v>160</v>
      </c>
      <c r="D94" s="682">
        <v>30.6706</v>
      </c>
      <c r="E94" s="682">
        <v>29.73</v>
      </c>
      <c r="F94" s="682">
        <f t="shared" si="17"/>
        <v>-150.49599999999998</v>
      </c>
      <c r="G94" s="682">
        <f t="shared" si="18"/>
        <v>4907.2960000000003</v>
      </c>
      <c r="H94" s="684">
        <f t="shared" si="19"/>
        <v>-3.0667805651014322E-2</v>
      </c>
      <c r="I94" s="684"/>
    </row>
    <row r="95" spans="1:13" x14ac:dyDescent="0.25">
      <c r="A95" s="680"/>
      <c r="B95" s="681">
        <v>42901</v>
      </c>
      <c r="C95" s="680">
        <v>80</v>
      </c>
      <c r="D95" s="682">
        <v>30.041799999999999</v>
      </c>
      <c r="E95" s="682">
        <v>30.43</v>
      </c>
      <c r="F95" s="682">
        <f t="shared" si="17"/>
        <v>31.056000000000097</v>
      </c>
      <c r="G95" s="682">
        <f t="shared" si="18"/>
        <v>2403.3440000000001</v>
      </c>
      <c r="H95" s="684">
        <f t="shared" si="19"/>
        <v>1.2921995353141331E-2</v>
      </c>
      <c r="I95" s="684"/>
    </row>
    <row r="96" spans="1:13" x14ac:dyDescent="0.25">
      <c r="A96" s="680">
        <v>80</v>
      </c>
      <c r="B96" s="681">
        <v>42917</v>
      </c>
      <c r="C96" s="680">
        <v>80</v>
      </c>
      <c r="D96" s="682">
        <v>29.463799999999999</v>
      </c>
      <c r="E96" s="682">
        <v>33.22</v>
      </c>
      <c r="F96" s="682">
        <f t="shared" si="17"/>
        <v>300.49599999999998</v>
      </c>
      <c r="G96" s="682">
        <f t="shared" si="18"/>
        <v>2357.1039999999998</v>
      </c>
      <c r="H96" s="684">
        <f t="shared" si="19"/>
        <v>0.12748525309023276</v>
      </c>
      <c r="I96" s="684"/>
    </row>
    <row r="97" spans="1:9" x14ac:dyDescent="0.25">
      <c r="A97" s="680">
        <v>80</v>
      </c>
      <c r="B97" s="681">
        <v>42957</v>
      </c>
      <c r="C97" s="680">
        <v>180</v>
      </c>
      <c r="D97" s="682">
        <v>22.695</v>
      </c>
      <c r="E97" s="682">
        <v>17.190000000000001</v>
      </c>
      <c r="F97" s="682">
        <f t="shared" si="17"/>
        <v>-990.89999999999986</v>
      </c>
      <c r="G97" s="682">
        <f t="shared" si="18"/>
        <v>4085.1</v>
      </c>
      <c r="H97" s="684">
        <f t="shared" si="19"/>
        <v>-0.24256444150693982</v>
      </c>
      <c r="I97" s="684"/>
    </row>
    <row r="98" spans="1:9" x14ac:dyDescent="0.25">
      <c r="A98" s="680">
        <v>80</v>
      </c>
      <c r="B98" s="681">
        <v>42983</v>
      </c>
      <c r="C98" s="680">
        <v>180</v>
      </c>
      <c r="D98" s="682">
        <v>22.695</v>
      </c>
      <c r="E98" s="682">
        <v>15.41</v>
      </c>
      <c r="F98" s="682">
        <f t="shared" si="17"/>
        <v>-1311.3</v>
      </c>
      <c r="G98" s="682">
        <f t="shared" si="18"/>
        <v>4085.1</v>
      </c>
      <c r="H98" s="684">
        <f t="shared" si="19"/>
        <v>-0.32099581405595945</v>
      </c>
      <c r="I98" s="684"/>
    </row>
    <row r="99" spans="1:9" x14ac:dyDescent="0.25">
      <c r="A99" s="680">
        <v>80</v>
      </c>
      <c r="B99" s="681">
        <v>42989</v>
      </c>
      <c r="C99" s="680">
        <v>80</v>
      </c>
      <c r="D99" s="682">
        <v>27.8643</v>
      </c>
      <c r="E99" s="682">
        <v>18.5</v>
      </c>
      <c r="F99" s="682">
        <f t="shared" si="17"/>
        <v>-749.14400000000001</v>
      </c>
      <c r="G99" s="682">
        <f t="shared" si="18"/>
        <v>2229.1440000000002</v>
      </c>
      <c r="H99" s="684">
        <f t="shared" si="19"/>
        <v>-0.33606801534580089</v>
      </c>
      <c r="I99" s="684"/>
    </row>
    <row r="100" spans="1:9" x14ac:dyDescent="0.25">
      <c r="A100" s="680">
        <v>80</v>
      </c>
      <c r="B100" s="681">
        <v>42996</v>
      </c>
      <c r="C100" s="680">
        <v>180</v>
      </c>
      <c r="D100" s="682">
        <v>22.1341</v>
      </c>
      <c r="E100" s="682">
        <v>16.989999999999998</v>
      </c>
      <c r="F100" s="682">
        <f t="shared" si="17"/>
        <v>-925.93800000000033</v>
      </c>
      <c r="G100" s="682">
        <f t="shared" si="18"/>
        <v>3984.1379999999999</v>
      </c>
      <c r="H100" s="684">
        <f t="shared" si="19"/>
        <v>-0.23240610641498871</v>
      </c>
      <c r="I100" s="684"/>
    </row>
    <row r="101" spans="1:9" x14ac:dyDescent="0.25">
      <c r="A101" s="680">
        <v>0</v>
      </c>
      <c r="B101" s="681">
        <v>43010</v>
      </c>
      <c r="C101" s="680">
        <v>100</v>
      </c>
      <c r="D101" s="682">
        <v>24.8977</v>
      </c>
      <c r="E101" s="682">
        <v>18.47</v>
      </c>
      <c r="F101" s="682">
        <f t="shared" si="17"/>
        <v>-642.77000000000021</v>
      </c>
      <c r="G101" s="682">
        <f t="shared" si="18"/>
        <v>2489.77</v>
      </c>
      <c r="H101" s="684">
        <f t="shared" si="19"/>
        <v>-0.25816440876064861</v>
      </c>
      <c r="I101" s="684"/>
    </row>
    <row r="102" spans="1:9" x14ac:dyDescent="0.25">
      <c r="A102" s="680">
        <v>0</v>
      </c>
      <c r="B102" s="681">
        <v>43011</v>
      </c>
      <c r="C102" s="680">
        <v>180</v>
      </c>
      <c r="D102" s="682">
        <v>21.809799999999999</v>
      </c>
      <c r="E102" s="682">
        <v>18.82</v>
      </c>
      <c r="F102" s="682">
        <f t="shared" si="17"/>
        <v>-538.16399999999976</v>
      </c>
      <c r="G102" s="682">
        <f t="shared" si="18"/>
        <v>3925.7639999999997</v>
      </c>
      <c r="H102" s="684">
        <f t="shared" si="19"/>
        <v>-0.13708516355033054</v>
      </c>
      <c r="I102" s="682">
        <v>21.5</v>
      </c>
    </row>
    <row r="103" spans="1:9" x14ac:dyDescent="0.25">
      <c r="A103" s="680">
        <v>0</v>
      </c>
      <c r="B103" s="681">
        <v>43012</v>
      </c>
      <c r="C103" s="680">
        <v>180</v>
      </c>
      <c r="D103" s="682">
        <v>21.81</v>
      </c>
      <c r="E103" s="682">
        <v>16.079999999999998</v>
      </c>
      <c r="F103" s="682">
        <f t="shared" si="17"/>
        <v>-1031.4000000000001</v>
      </c>
      <c r="G103" s="682">
        <f t="shared" si="18"/>
        <v>3925.7999999999997</v>
      </c>
      <c r="H103" s="684">
        <f t="shared" si="19"/>
        <v>-0.2627235213204952</v>
      </c>
      <c r="I103" s="684"/>
    </row>
    <row r="104" spans="1:9" x14ac:dyDescent="0.25">
      <c r="A104" s="680">
        <v>0</v>
      </c>
      <c r="B104" s="681">
        <v>43013</v>
      </c>
      <c r="C104" s="680">
        <v>280</v>
      </c>
      <c r="D104" s="682">
        <v>19.663499999999999</v>
      </c>
      <c r="E104" s="682">
        <v>15.68</v>
      </c>
      <c r="F104" s="682">
        <f t="shared" si="17"/>
        <v>-1115.3799999999999</v>
      </c>
      <c r="G104" s="682">
        <f t="shared" si="18"/>
        <v>5505.78</v>
      </c>
      <c r="H104" s="684">
        <f t="shared" si="19"/>
        <v>-0.2025834668294047</v>
      </c>
      <c r="I104" s="682">
        <v>19.5</v>
      </c>
    </row>
    <row r="105" spans="1:9" x14ac:dyDescent="0.25">
      <c r="A105" s="680">
        <v>100</v>
      </c>
      <c r="B105" s="681">
        <v>43031</v>
      </c>
      <c r="C105" s="680">
        <v>280</v>
      </c>
      <c r="D105" s="682">
        <v>19.663499999999999</v>
      </c>
      <c r="E105" s="682">
        <v>14.54</v>
      </c>
      <c r="F105" s="682">
        <f t="shared" si="17"/>
        <v>-1434.58</v>
      </c>
      <c r="G105" s="682">
        <f t="shared" si="18"/>
        <v>5505.78</v>
      </c>
      <c r="H105" s="684">
        <f t="shared" si="19"/>
        <v>-0.26055890355226691</v>
      </c>
      <c r="I105" s="682"/>
    </row>
    <row r="106" spans="1:9" x14ac:dyDescent="0.25">
      <c r="A106" s="680"/>
      <c r="B106" s="681">
        <v>43044</v>
      </c>
      <c r="C106" s="680">
        <v>480</v>
      </c>
      <c r="D106" s="682">
        <v>16.170000000000002</v>
      </c>
      <c r="E106" s="682">
        <v>11.4</v>
      </c>
      <c r="F106" s="682">
        <f t="shared" si="17"/>
        <v>-2289.6000000000008</v>
      </c>
      <c r="G106" s="682">
        <f t="shared" si="18"/>
        <v>7761.6</v>
      </c>
      <c r="H106" s="684">
        <f t="shared" si="19"/>
        <v>-0.29499072356215217</v>
      </c>
      <c r="I106" s="684"/>
    </row>
    <row r="107" spans="1:9" x14ac:dyDescent="0.25">
      <c r="A107" s="680">
        <v>80</v>
      </c>
      <c r="B107" s="681">
        <v>43045</v>
      </c>
      <c r="C107" s="680">
        <v>280</v>
      </c>
      <c r="D107" s="682">
        <v>19.092300000000002</v>
      </c>
      <c r="E107" s="682">
        <v>12.41</v>
      </c>
      <c r="F107" s="682">
        <f t="shared" si="17"/>
        <v>-1871.0440000000003</v>
      </c>
      <c r="G107" s="682">
        <f t="shared" si="18"/>
        <v>5345.8440000000001</v>
      </c>
      <c r="H107" s="684">
        <f t="shared" si="19"/>
        <v>-0.34999973811431839</v>
      </c>
      <c r="I107" s="685" t="s">
        <v>739</v>
      </c>
    </row>
    <row r="108" spans="1:9" x14ac:dyDescent="0.25">
      <c r="A108" s="680">
        <v>0</v>
      </c>
      <c r="B108" s="681">
        <v>43070</v>
      </c>
      <c r="C108" s="680">
        <v>200</v>
      </c>
      <c r="D108" s="682">
        <v>20.621300000000002</v>
      </c>
      <c r="E108" s="682">
        <v>15.26</v>
      </c>
      <c r="F108" s="682">
        <f t="shared" si="17"/>
        <v>-1072.2600000000004</v>
      </c>
      <c r="G108" s="682">
        <f t="shared" si="18"/>
        <v>4124.26</v>
      </c>
      <c r="H108" s="684">
        <f t="shared" si="19"/>
        <v>-0.25998845853559188</v>
      </c>
      <c r="I108" s="684"/>
    </row>
    <row r="109" spans="1:9" x14ac:dyDescent="0.25">
      <c r="A109" s="680">
        <v>200</v>
      </c>
      <c r="B109" s="681">
        <v>43077</v>
      </c>
      <c r="C109" s="680">
        <v>200</v>
      </c>
      <c r="D109" s="682">
        <v>20.62</v>
      </c>
      <c r="E109" s="682">
        <v>16.059999999999999</v>
      </c>
      <c r="F109" s="682">
        <f t="shared" si="17"/>
        <v>-912.00000000000045</v>
      </c>
      <c r="G109" s="682">
        <f t="shared" si="18"/>
        <v>4124</v>
      </c>
      <c r="H109" s="684">
        <f t="shared" si="19"/>
        <v>-0.22114451988360825</v>
      </c>
      <c r="I109" s="684"/>
    </row>
    <row r="110" spans="1:9" x14ac:dyDescent="0.25">
      <c r="A110" s="680">
        <v>200</v>
      </c>
      <c r="B110" s="681">
        <v>43082</v>
      </c>
      <c r="C110" s="680">
        <v>200</v>
      </c>
      <c r="D110" s="682">
        <v>20.52</v>
      </c>
      <c r="E110" s="682">
        <v>15.7</v>
      </c>
      <c r="F110" s="682">
        <f t="shared" si="17"/>
        <v>-964</v>
      </c>
      <c r="G110" s="682">
        <f t="shared" si="18"/>
        <v>4104</v>
      </c>
      <c r="H110" s="684">
        <f t="shared" si="19"/>
        <v>-0.23489278752436649</v>
      </c>
      <c r="I110" s="684" t="s">
        <v>184</v>
      </c>
    </row>
    <row r="111" spans="1:9" x14ac:dyDescent="0.25">
      <c r="A111" s="680">
        <v>200</v>
      </c>
      <c r="B111" s="681">
        <v>43083</v>
      </c>
      <c r="C111" s="680">
        <v>200</v>
      </c>
      <c r="D111" s="682">
        <v>20.520199999999999</v>
      </c>
      <c r="E111" s="682">
        <v>19.22</v>
      </c>
      <c r="F111" s="682">
        <f t="shared" si="17"/>
        <v>-260.04000000000008</v>
      </c>
      <c r="G111" s="682">
        <f t="shared" si="18"/>
        <v>4104.04</v>
      </c>
      <c r="H111" s="684">
        <f t="shared" si="19"/>
        <v>-6.3361955536495762E-2</v>
      </c>
      <c r="I111" s="684"/>
    </row>
    <row r="112" spans="1:9" x14ac:dyDescent="0.25">
      <c r="A112" s="680">
        <v>100</v>
      </c>
      <c r="B112" s="681">
        <v>43111</v>
      </c>
      <c r="C112" s="680">
        <v>100</v>
      </c>
      <c r="D112" s="682">
        <v>19.73</v>
      </c>
      <c r="E112" s="682">
        <v>21.74</v>
      </c>
      <c r="F112" s="682">
        <f t="shared" si="17"/>
        <v>200.9999999999998</v>
      </c>
      <c r="G112" s="682">
        <f t="shared" si="18"/>
        <v>1973</v>
      </c>
      <c r="H112" s="684">
        <f t="shared" si="19"/>
        <v>0.10187531677648241</v>
      </c>
      <c r="I112" s="684"/>
    </row>
    <row r="113" spans="1:9" x14ac:dyDescent="0.25">
      <c r="A113" s="680"/>
      <c r="B113" s="681">
        <v>43112</v>
      </c>
      <c r="C113" s="680">
        <v>0</v>
      </c>
      <c r="D113" s="682"/>
      <c r="E113" s="682">
        <v>22.07</v>
      </c>
      <c r="F113" s="682">
        <v>284.97000000000003</v>
      </c>
      <c r="G113" s="682"/>
      <c r="H113" s="684"/>
      <c r="I113" s="684"/>
    </row>
    <row r="114" spans="1:9" x14ac:dyDescent="0.25">
      <c r="A114" s="680"/>
      <c r="B114" s="681"/>
      <c r="C114" s="680"/>
      <c r="D114" s="682"/>
      <c r="E114" s="682"/>
      <c r="F114" s="682"/>
      <c r="G114" s="682"/>
      <c r="H114" s="684"/>
      <c r="I114" s="684"/>
    </row>
    <row r="115" spans="1:9" x14ac:dyDescent="0.25">
      <c r="A115" s="680"/>
      <c r="B115" s="681"/>
      <c r="C115" s="680"/>
      <c r="D115" s="682"/>
      <c r="E115" s="682"/>
      <c r="F115" s="682"/>
      <c r="G115" s="682"/>
      <c r="H115" s="684"/>
      <c r="I115" s="684"/>
    </row>
    <row r="116" spans="1:9" x14ac:dyDescent="0.25">
      <c r="A116" s="680"/>
      <c r="B116" s="681"/>
      <c r="C116" s="680"/>
      <c r="D116" s="682"/>
      <c r="E116" s="682"/>
      <c r="F116" s="682"/>
      <c r="G116" s="682"/>
      <c r="H116" s="684"/>
      <c r="I116" s="684"/>
    </row>
    <row r="117" spans="1:9" x14ac:dyDescent="0.25">
      <c r="A117" s="680"/>
      <c r="B117" s="681"/>
      <c r="C117" s="680"/>
      <c r="D117" s="682"/>
      <c r="E117" s="682"/>
      <c r="F117" s="682"/>
      <c r="G117" s="682"/>
      <c r="H117" s="684"/>
      <c r="I117" s="684"/>
    </row>
    <row r="118" spans="1:9" x14ac:dyDescent="0.25">
      <c r="A118" s="680"/>
      <c r="B118" s="681"/>
      <c r="C118" s="680"/>
      <c r="D118" s="682"/>
      <c r="E118" s="682"/>
      <c r="F118" s="682"/>
      <c r="G118" s="682"/>
      <c r="H118" s="684"/>
      <c r="I118" s="684"/>
    </row>
    <row r="119" spans="1:9" x14ac:dyDescent="0.25">
      <c r="A119" s="680"/>
      <c r="B119" s="681"/>
      <c r="C119" s="680"/>
      <c r="D119" s="682"/>
      <c r="E119" s="682"/>
      <c r="F119" s="682"/>
      <c r="G119" s="682"/>
      <c r="H119" s="684"/>
      <c r="I119" s="684"/>
    </row>
    <row r="120" spans="1:9" x14ac:dyDescent="0.25">
      <c r="A120" s="680"/>
      <c r="B120" s="681"/>
      <c r="C120" s="680"/>
      <c r="D120" s="682"/>
      <c r="E120" s="682"/>
      <c r="F120" s="682"/>
      <c r="G120" s="682"/>
      <c r="H120" s="684"/>
      <c r="I120" s="684"/>
    </row>
    <row r="121" spans="1:9" x14ac:dyDescent="0.25">
      <c r="A121" s="680"/>
      <c r="B121" s="681"/>
      <c r="C121" s="680"/>
      <c r="D121" s="682"/>
      <c r="E121" s="682"/>
      <c r="F121" s="682"/>
      <c r="G121" s="682"/>
      <c r="H121" s="684"/>
      <c r="I121" s="684"/>
    </row>
    <row r="122" spans="1:9" x14ac:dyDescent="0.25">
      <c r="A122" s="680"/>
      <c r="B122" s="681"/>
      <c r="C122" s="680"/>
      <c r="D122" s="682"/>
      <c r="E122" s="682"/>
      <c r="F122" s="682"/>
      <c r="G122" s="682"/>
      <c r="H122" s="684"/>
      <c r="I122" s="684"/>
    </row>
    <row r="123" spans="1:9" x14ac:dyDescent="0.25">
      <c r="A123" s="680"/>
      <c r="B123" s="681"/>
      <c r="C123" s="680"/>
      <c r="D123" s="682"/>
      <c r="E123" s="682"/>
      <c r="F123" s="682"/>
      <c r="G123" s="682"/>
      <c r="H123" s="684"/>
      <c r="I123" s="684"/>
    </row>
    <row r="124" spans="1:9" x14ac:dyDescent="0.25">
      <c r="A124" s="680"/>
      <c r="B124" s="681"/>
      <c r="C124" s="680"/>
      <c r="D124" s="682"/>
      <c r="E124" s="682"/>
      <c r="F124" s="682"/>
      <c r="G124" s="682"/>
      <c r="H124" s="684"/>
      <c r="I124" s="684"/>
    </row>
  </sheetData>
  <conditionalFormatting sqref="O17:O37">
    <cfRule type="colorScale" priority="135">
      <colorScale>
        <cfvo type="min"/>
        <cfvo type="percentile" val="50"/>
        <cfvo type="max"/>
        <color rgb="FFF8696B"/>
        <color rgb="FFFFEB84"/>
        <color rgb="FF63BE7B"/>
      </colorScale>
    </cfRule>
  </conditionalFormatting>
  <conditionalFormatting sqref="P17:P37">
    <cfRule type="colorScale" priority="134">
      <colorScale>
        <cfvo type="min"/>
        <cfvo type="percentile" val="50"/>
        <cfvo type="max"/>
        <color rgb="FFF8696B"/>
        <color rgb="FFFFEB84"/>
        <color rgb="FF63BE7B"/>
      </colorScale>
    </cfRule>
  </conditionalFormatting>
  <conditionalFormatting sqref="Q46:Q63">
    <cfRule type="colorScale" priority="133">
      <colorScale>
        <cfvo type="min"/>
        <cfvo type="percentile" val="50"/>
        <cfvo type="max"/>
        <color rgb="FFF8696B"/>
        <color rgb="FFFFEB84"/>
        <color rgb="FF63BE7B"/>
      </colorScale>
    </cfRule>
  </conditionalFormatting>
  <conditionalFormatting sqref="F27:F30 H38:H53 I43:K53 F38:F53 L53 H61:L61 F60:F61 H60:K60 J54:J58">
    <cfRule type="expression" dxfId="283" priority="129">
      <formula>F27&gt;0</formula>
    </cfRule>
    <cfRule type="expression" dxfId="282" priority="130">
      <formula>F27&lt;0</formula>
    </cfRule>
  </conditionalFormatting>
  <conditionalFormatting sqref="H27:H29">
    <cfRule type="expression" dxfId="281" priority="127">
      <formula>H27&gt;0</formula>
    </cfRule>
    <cfRule type="expression" dxfId="280" priority="128">
      <formula>H27&lt;0</formula>
    </cfRule>
  </conditionalFormatting>
  <conditionalFormatting sqref="H30">
    <cfRule type="expression" dxfId="279" priority="123">
      <formula>H30&gt;0</formula>
    </cfRule>
    <cfRule type="expression" dxfId="278" priority="124">
      <formula>H30&lt;0</formula>
    </cfRule>
  </conditionalFormatting>
  <conditionalFormatting sqref="H31:H35">
    <cfRule type="expression" dxfId="277" priority="121">
      <formula>H31&gt;0</formula>
    </cfRule>
    <cfRule type="expression" dxfId="276" priority="122">
      <formula>H31&lt;0</formula>
    </cfRule>
  </conditionalFormatting>
  <conditionalFormatting sqref="F31">
    <cfRule type="expression" dxfId="275" priority="115">
      <formula>F31&gt;0</formula>
    </cfRule>
    <cfRule type="expression" dxfId="274" priority="116">
      <formula>F31&lt;0</formula>
    </cfRule>
  </conditionalFormatting>
  <conditionalFormatting sqref="I25:I29">
    <cfRule type="expression" dxfId="273" priority="113">
      <formula>I25&gt;0</formula>
    </cfRule>
    <cfRule type="expression" dxfId="272" priority="114">
      <formula>I25&lt;0</formula>
    </cfRule>
  </conditionalFormatting>
  <conditionalFormatting sqref="I30:I33 I35 I38 K38 J21:J39 I40:K41 J42:K42">
    <cfRule type="expression" dxfId="271" priority="107">
      <formula>I21&gt;0</formula>
    </cfRule>
    <cfRule type="expression" dxfId="270" priority="108">
      <formula>I21&lt;0</formula>
    </cfRule>
  </conditionalFormatting>
  <conditionalFormatting sqref="I21:I24 K21:K24">
    <cfRule type="expression" dxfId="269" priority="105">
      <formula>I21&gt;0</formula>
    </cfRule>
    <cfRule type="expression" dxfId="268" priority="106">
      <formula>I21&lt;0</formula>
    </cfRule>
  </conditionalFormatting>
  <conditionalFormatting sqref="F32:F35">
    <cfRule type="expression" dxfId="267" priority="103">
      <formula>F32&gt;0</formula>
    </cfRule>
    <cfRule type="expression" dxfId="266" priority="104">
      <formula>F32&lt;0</formula>
    </cfRule>
  </conditionalFormatting>
  <conditionalFormatting sqref="Q8">
    <cfRule type="expression" dxfId="265" priority="99">
      <formula>Q8&gt;0</formula>
    </cfRule>
    <cfRule type="expression" dxfId="264" priority="100">
      <formula>Q8&lt;0</formula>
    </cfRule>
  </conditionalFormatting>
  <conditionalFormatting sqref="Q7">
    <cfRule type="expression" dxfId="263" priority="101">
      <formula>Q7&gt;0</formula>
    </cfRule>
    <cfRule type="expression" dxfId="262" priority="102">
      <formula>Q7&lt;0</formula>
    </cfRule>
  </conditionalFormatting>
  <conditionalFormatting sqref="F88">
    <cfRule type="expression" dxfId="261" priority="87">
      <formula>F88&gt;0</formula>
    </cfRule>
    <cfRule type="expression" dxfId="260" priority="88">
      <formula>F88&lt;0</formula>
    </cfRule>
  </conditionalFormatting>
  <conditionalFormatting sqref="H88">
    <cfRule type="expression" dxfId="259" priority="85">
      <formula>H88&gt;0</formula>
    </cfRule>
    <cfRule type="expression" dxfId="258" priority="86">
      <formula>H88&lt;0</formula>
    </cfRule>
  </conditionalFormatting>
  <conditionalFormatting sqref="I88">
    <cfRule type="expression" dxfId="257" priority="73">
      <formula>I88&gt;0</formula>
    </cfRule>
    <cfRule type="expression" dxfId="256" priority="74">
      <formula>I88&lt;0</formula>
    </cfRule>
  </conditionalFormatting>
  <conditionalFormatting sqref="F25:F26">
    <cfRule type="expression" dxfId="255" priority="69">
      <formula>F25&gt;0</formula>
    </cfRule>
    <cfRule type="expression" dxfId="254" priority="70">
      <formula>F25&lt;0</formula>
    </cfRule>
  </conditionalFormatting>
  <conditionalFormatting sqref="H25:H26">
    <cfRule type="expression" dxfId="253" priority="67">
      <formula>H25&gt;0</formula>
    </cfRule>
    <cfRule type="expression" dxfId="252" priority="68">
      <formula>H25&lt;0</formula>
    </cfRule>
  </conditionalFormatting>
  <conditionalFormatting sqref="F94:F98">
    <cfRule type="expression" dxfId="251" priority="65">
      <formula>F94&gt;0</formula>
    </cfRule>
    <cfRule type="expression" dxfId="250" priority="66">
      <formula>F94&lt;0</formula>
    </cfRule>
  </conditionalFormatting>
  <conditionalFormatting sqref="H94:H96">
    <cfRule type="expression" dxfId="249" priority="63">
      <formula>H94&gt;0</formula>
    </cfRule>
    <cfRule type="expression" dxfId="248" priority="64">
      <formula>H94&lt;0</formula>
    </cfRule>
  </conditionalFormatting>
  <conditionalFormatting sqref="H97:H98">
    <cfRule type="expression" dxfId="247" priority="61">
      <formula>H97&gt;0</formula>
    </cfRule>
    <cfRule type="expression" dxfId="246" priority="62">
      <formula>H97&lt;0</formula>
    </cfRule>
  </conditionalFormatting>
  <conditionalFormatting sqref="H99:H124">
    <cfRule type="expression" dxfId="245" priority="59">
      <formula>H99&gt;0</formula>
    </cfRule>
    <cfRule type="expression" dxfId="244" priority="60">
      <formula>H99&lt;0</formula>
    </cfRule>
  </conditionalFormatting>
  <conditionalFormatting sqref="F89:F92">
    <cfRule type="expression" dxfId="243" priority="57">
      <formula>F89&gt;0</formula>
    </cfRule>
    <cfRule type="expression" dxfId="242" priority="58">
      <formula>F89&lt;0</formula>
    </cfRule>
  </conditionalFormatting>
  <conditionalFormatting sqref="H89:H92">
    <cfRule type="expression" dxfId="241" priority="55">
      <formula>H89&gt;0</formula>
    </cfRule>
    <cfRule type="expression" dxfId="240" priority="56">
      <formula>H89&lt;0</formula>
    </cfRule>
  </conditionalFormatting>
  <conditionalFormatting sqref="F99">
    <cfRule type="expression" dxfId="239" priority="53">
      <formula>F99&gt;0</formula>
    </cfRule>
    <cfRule type="expression" dxfId="238" priority="54">
      <formula>F99&lt;0</formula>
    </cfRule>
  </conditionalFormatting>
  <conditionalFormatting sqref="I93:I95">
    <cfRule type="expression" dxfId="237" priority="51">
      <formula>I93&gt;0</formula>
    </cfRule>
    <cfRule type="expression" dxfId="236" priority="52">
      <formula>I93&lt;0</formula>
    </cfRule>
  </conditionalFormatting>
  <conditionalFormatting sqref="I96">
    <cfRule type="expression" dxfId="235" priority="49">
      <formula>I96&gt;0</formula>
    </cfRule>
    <cfRule type="expression" dxfId="234" priority="50">
      <formula>I96&lt;0</formula>
    </cfRule>
  </conditionalFormatting>
  <conditionalFormatting sqref="I97">
    <cfRule type="expression" dxfId="233" priority="47">
      <formula>I97&gt;0</formula>
    </cfRule>
    <cfRule type="expression" dxfId="232" priority="48">
      <formula>I97&lt;0</formula>
    </cfRule>
  </conditionalFormatting>
  <conditionalFormatting sqref="I98:I101 I103 I106 I108:I124">
    <cfRule type="expression" dxfId="231" priority="45">
      <formula>I98&gt;0</formula>
    </cfRule>
    <cfRule type="expression" dxfId="230" priority="46">
      <formula>I98&lt;0</formula>
    </cfRule>
  </conditionalFormatting>
  <conditionalFormatting sqref="I89:I92">
    <cfRule type="expression" dxfId="229" priority="43">
      <formula>I89&gt;0</formula>
    </cfRule>
    <cfRule type="expression" dxfId="228" priority="44">
      <formula>I89&lt;0</formula>
    </cfRule>
  </conditionalFormatting>
  <conditionalFormatting sqref="F100:F124">
    <cfRule type="expression" dxfId="227" priority="41">
      <formula>F100&gt;0</formula>
    </cfRule>
    <cfRule type="expression" dxfId="226" priority="42">
      <formula>F100&lt;0</formula>
    </cfRule>
  </conditionalFormatting>
  <conditionalFormatting sqref="F93">
    <cfRule type="expression" dxfId="225" priority="39">
      <formula>F93&gt;0</formula>
    </cfRule>
    <cfRule type="expression" dxfId="224" priority="40">
      <formula>F93&lt;0</formula>
    </cfRule>
  </conditionalFormatting>
  <conditionalFormatting sqref="H93">
    <cfRule type="expression" dxfId="223" priority="37">
      <formula>H93&gt;0</formula>
    </cfRule>
    <cfRule type="expression" dxfId="222" priority="38">
      <formula>H93&lt;0</formula>
    </cfRule>
  </conditionalFormatting>
  <conditionalFormatting sqref="F21:F24">
    <cfRule type="expression" dxfId="221" priority="35">
      <formula>F21&gt;0</formula>
    </cfRule>
    <cfRule type="expression" dxfId="220" priority="36">
      <formula>F21&lt;0</formula>
    </cfRule>
  </conditionalFormatting>
  <conditionalFormatting sqref="H21:H24">
    <cfRule type="expression" dxfId="219" priority="33">
      <formula>H21&gt;0</formula>
    </cfRule>
    <cfRule type="expression" dxfId="218" priority="34">
      <formula>H21&lt;0</formula>
    </cfRule>
  </conditionalFormatting>
  <conditionalFormatting sqref="K25:K27 K30:K37">
    <cfRule type="expression" dxfId="217" priority="31">
      <formula>K25&gt;0</formula>
    </cfRule>
    <cfRule type="expression" dxfId="216" priority="32">
      <formula>K25&lt;0</formula>
    </cfRule>
  </conditionalFormatting>
  <conditionalFormatting sqref="H37">
    <cfRule type="expression" dxfId="215" priority="29">
      <formula>H37&gt;0</formula>
    </cfRule>
    <cfRule type="expression" dxfId="214" priority="30">
      <formula>H37&lt;0</formula>
    </cfRule>
  </conditionalFormatting>
  <conditionalFormatting sqref="F37">
    <cfRule type="expression" dxfId="213" priority="27">
      <formula>F37&gt;0</formula>
    </cfRule>
    <cfRule type="expression" dxfId="212" priority="28">
      <formula>F37&lt;0</formula>
    </cfRule>
  </conditionalFormatting>
  <conditionalFormatting sqref="H36">
    <cfRule type="expression" dxfId="211" priority="23">
      <formula>H36&gt;0</formula>
    </cfRule>
    <cfRule type="expression" dxfId="210" priority="24">
      <formula>H36&lt;0</formula>
    </cfRule>
  </conditionalFormatting>
  <conditionalFormatting sqref="F36">
    <cfRule type="expression" dxfId="209" priority="21">
      <formula>F36&gt;0</formula>
    </cfRule>
    <cfRule type="expression" dxfId="208" priority="22">
      <formula>F36&lt;0</formula>
    </cfRule>
  </conditionalFormatting>
  <conditionalFormatting sqref="L38 L51">
    <cfRule type="expression" dxfId="207" priority="17">
      <formula>L38&gt;0</formula>
    </cfRule>
    <cfRule type="expression" dxfId="206" priority="18">
      <formula>L38&lt;0</formula>
    </cfRule>
  </conditionalFormatting>
  <conditionalFormatting sqref="L21:L24">
    <cfRule type="expression" dxfId="205" priority="15">
      <formula>L21&gt;0</formula>
    </cfRule>
    <cfRule type="expression" dxfId="204" priority="16">
      <formula>L21&lt;0</formula>
    </cfRule>
  </conditionalFormatting>
  <conditionalFormatting sqref="L25:L27 L30:L37">
    <cfRule type="expression" dxfId="203" priority="13">
      <formula>L25&gt;0</formula>
    </cfRule>
    <cfRule type="expression" dxfId="202" priority="14">
      <formula>L25&lt;0</formula>
    </cfRule>
  </conditionalFormatting>
  <conditionalFormatting sqref="F54:F55 H54:I55 K54:K55">
    <cfRule type="expression" dxfId="201" priority="11">
      <formula>F54&gt;0</formula>
    </cfRule>
    <cfRule type="expression" dxfId="200" priority="12">
      <formula>F54&lt;0</formula>
    </cfRule>
  </conditionalFormatting>
  <conditionalFormatting sqref="K56:K57 F56:F58 H56:I58">
    <cfRule type="expression" dxfId="199" priority="7">
      <formula>F56&gt;0</formula>
    </cfRule>
    <cfRule type="expression" dxfId="198" priority="8">
      <formula>F56&lt;0</formula>
    </cfRule>
  </conditionalFormatting>
  <conditionalFormatting sqref="H59:L59 F59 K58">
    <cfRule type="expression" dxfId="197" priority="1">
      <formula>F58&gt;0</formula>
    </cfRule>
    <cfRule type="expression" dxfId="196" priority="2">
      <formula>F58&lt;0</formula>
    </cfRule>
  </conditionalFormatting>
  <hyperlinks>
    <hyperlink ref="A3" location="ACTIVE!A1" display="Back"/>
    <hyperlink ref="A66" location="ACTIVE!A1" display="Back"/>
  </hyperlinks>
  <pageMargins left="0.7" right="0.7" top="0.75" bottom="0.75" header="0.3" footer="0.3"/>
  <pageSetup orientation="portrait" horizontalDpi="4294967293" r:id="rId1"/>
  <drawing r:id="rId2"/>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63</v>
      </c>
      <c r="B2" s="72"/>
      <c r="C2" s="4"/>
      <c r="D2" s="3"/>
      <c r="E2" s="3"/>
      <c r="F2" s="3"/>
      <c r="G2" s="72"/>
      <c r="H2" s="161"/>
      <c r="I2" s="3"/>
      <c r="J2" s="3"/>
      <c r="K2" s="3"/>
      <c r="L2" s="72"/>
      <c r="M2" s="3"/>
      <c r="O2" s="11" t="s">
        <v>57</v>
      </c>
      <c r="Q2">
        <f>C18-H18</f>
        <v>0</v>
      </c>
      <c r="W2" s="130">
        <v>42830</v>
      </c>
      <c r="X2" s="10">
        <v>113.58</v>
      </c>
      <c r="Y2" s="10">
        <v>113.84</v>
      </c>
      <c r="Z2" s="10">
        <v>112.79</v>
      </c>
      <c r="AA2" s="10">
        <v>113</v>
      </c>
      <c r="AB2" s="93">
        <v>4735700</v>
      </c>
      <c r="AC2" s="10">
        <v>113</v>
      </c>
      <c r="AD2" s="2">
        <f>Y2-Z2</f>
        <v>1.0499999999999972</v>
      </c>
      <c r="AE2" s="134">
        <f>AC2/AC3-1</f>
        <v>-3.5385704175516786E-4</v>
      </c>
    </row>
    <row r="3" spans="1:31" x14ac:dyDescent="0.25">
      <c r="A3" s="22" t="s">
        <v>71</v>
      </c>
      <c r="B3" s="72"/>
      <c r="C3" s="4"/>
      <c r="D3" s="3"/>
      <c r="E3" s="3"/>
      <c r="F3" s="3"/>
      <c r="G3" s="72"/>
      <c r="H3" s="161"/>
      <c r="I3" s="3"/>
      <c r="J3" s="3"/>
      <c r="K3" s="3"/>
      <c r="L3" s="4"/>
      <c r="M3" s="4"/>
      <c r="O3" s="11" t="s">
        <v>58</v>
      </c>
      <c r="Q3" s="178">
        <f>IF(Q2=0, Q4, (F18-K18-M18)/Q2)</f>
        <v>110.13</v>
      </c>
      <c r="T3" s="1"/>
      <c r="W3" s="130">
        <v>42829</v>
      </c>
      <c r="X3" s="10">
        <v>113.15</v>
      </c>
      <c r="Y3" s="10">
        <v>113.55</v>
      </c>
      <c r="Z3" s="10">
        <v>112.83</v>
      </c>
      <c r="AA3" s="10">
        <v>113.04</v>
      </c>
      <c r="AB3" s="93">
        <v>3376900</v>
      </c>
      <c r="AC3" s="10">
        <v>113.04</v>
      </c>
      <c r="AD3" s="2">
        <f t="shared" ref="AD3:AD66" si="0">Y3-Z3</f>
        <v>0.71999999999999886</v>
      </c>
      <c r="AE3" s="134">
        <f t="shared" ref="AE3:AE66" si="1">AC3/AC4-1</f>
        <v>-1.4134275618373771E-3</v>
      </c>
    </row>
    <row r="4" spans="1:31" x14ac:dyDescent="0.25">
      <c r="B4" s="72"/>
      <c r="C4" s="4"/>
      <c r="D4" s="3"/>
      <c r="E4" s="3"/>
      <c r="F4" s="3"/>
      <c r="G4" s="72"/>
      <c r="H4" s="161"/>
      <c r="I4" s="3"/>
      <c r="J4" s="3"/>
      <c r="K4" s="3"/>
      <c r="L4" s="4"/>
      <c r="M4" s="4"/>
      <c r="O4" s="11" t="s">
        <v>66</v>
      </c>
      <c r="Q4" s="54">
        <v>110.13</v>
      </c>
      <c r="R4" s="405">
        <v>2.1899999999999999E-2</v>
      </c>
      <c r="T4" s="156"/>
      <c r="W4" s="130">
        <v>42828</v>
      </c>
      <c r="X4" s="10">
        <v>113.18</v>
      </c>
      <c r="Y4" s="10">
        <v>113.65</v>
      </c>
      <c r="Z4" s="10">
        <v>112.43</v>
      </c>
      <c r="AA4" s="10">
        <v>113.2</v>
      </c>
      <c r="AB4" s="93">
        <v>4643300</v>
      </c>
      <c r="AC4" s="10">
        <v>113.2</v>
      </c>
      <c r="AD4" s="2">
        <f t="shared" si="0"/>
        <v>1.2199999999999989</v>
      </c>
      <c r="AE4" s="134">
        <f t="shared" si="1"/>
        <v>-1.6756327718493447E-3</v>
      </c>
    </row>
    <row r="5" spans="1:31" x14ac:dyDescent="0.25">
      <c r="B5" s="72"/>
      <c r="C5" s="4"/>
      <c r="D5" s="3"/>
      <c r="E5" s="3"/>
      <c r="F5" s="3"/>
      <c r="G5" s="72"/>
      <c r="H5" s="161"/>
      <c r="I5" s="3"/>
      <c r="J5" s="3"/>
      <c r="K5" s="3"/>
      <c r="L5" s="4"/>
      <c r="M5" s="4"/>
      <c r="O5" s="11" t="s">
        <v>67</v>
      </c>
      <c r="Q5" s="3">
        <f>Q4*Q2</f>
        <v>0</v>
      </c>
      <c r="W5" s="130">
        <v>42825</v>
      </c>
      <c r="X5" s="10">
        <v>113</v>
      </c>
      <c r="Y5" s="10">
        <v>113.71</v>
      </c>
      <c r="Z5" s="10">
        <v>112.95</v>
      </c>
      <c r="AA5" s="10">
        <v>113.39</v>
      </c>
      <c r="AB5" s="93">
        <v>4595000</v>
      </c>
      <c r="AC5" s="10">
        <v>113.39</v>
      </c>
      <c r="AD5" s="2">
        <f t="shared" si="0"/>
        <v>0.75999999999999091</v>
      </c>
      <c r="AE5" s="134">
        <f t="shared" si="1"/>
        <v>1.8554514931965471E-3</v>
      </c>
    </row>
    <row r="6" spans="1:31" x14ac:dyDescent="0.25">
      <c r="B6" s="72"/>
      <c r="C6" s="4"/>
      <c r="D6" s="3"/>
      <c r="E6" s="3"/>
      <c r="F6" s="3"/>
      <c r="G6" s="72"/>
      <c r="H6" s="161"/>
      <c r="I6" s="3"/>
      <c r="J6" s="3"/>
      <c r="K6" s="3"/>
      <c r="L6" s="4"/>
      <c r="M6" s="4"/>
      <c r="O6" s="11" t="s">
        <v>64</v>
      </c>
      <c r="Q6" s="2">
        <f>Q3*Q2</f>
        <v>0</v>
      </c>
      <c r="W6" s="130">
        <v>42824</v>
      </c>
      <c r="X6" s="10">
        <v>112.53</v>
      </c>
      <c r="Y6" s="10">
        <v>113.3</v>
      </c>
      <c r="Z6" s="10">
        <v>112.28</v>
      </c>
      <c r="AA6" s="10">
        <v>113.18</v>
      </c>
      <c r="AB6" s="93">
        <v>4188000</v>
      </c>
      <c r="AC6" s="10">
        <v>113.18</v>
      </c>
      <c r="AD6" s="2">
        <f t="shared" si="0"/>
        <v>1.019999999999996</v>
      </c>
      <c r="AE6" s="134">
        <f t="shared" si="1"/>
        <v>5.7762374477916545E-3</v>
      </c>
    </row>
    <row r="7" spans="1:31" x14ac:dyDescent="0.25">
      <c r="B7" s="72"/>
      <c r="C7" s="4"/>
      <c r="D7" s="3"/>
      <c r="E7" s="3"/>
      <c r="F7" s="3"/>
      <c r="G7" s="72"/>
      <c r="H7" s="161"/>
      <c r="I7" s="3"/>
      <c r="J7" s="3"/>
      <c r="K7" s="3"/>
      <c r="L7" s="4"/>
      <c r="M7" s="4"/>
      <c r="O7" s="11" t="s">
        <v>177</v>
      </c>
      <c r="Q7" s="2">
        <f>Q10+Q8</f>
        <v>257.30999999999949</v>
      </c>
      <c r="R7">
        <v>0</v>
      </c>
      <c r="W7" s="130">
        <v>42823</v>
      </c>
      <c r="X7" s="10">
        <v>112.66</v>
      </c>
      <c r="Y7" s="10">
        <v>112.94</v>
      </c>
      <c r="Z7" s="10">
        <v>112.31</v>
      </c>
      <c r="AA7" s="10">
        <v>112.53</v>
      </c>
      <c r="AB7" s="93">
        <v>3741400</v>
      </c>
      <c r="AC7" s="10">
        <v>112.53</v>
      </c>
      <c r="AD7" s="2">
        <f t="shared" si="0"/>
        <v>0.62999999999999545</v>
      </c>
      <c r="AE7" s="134">
        <f t="shared" si="1"/>
        <v>-4.5997346306942966E-3</v>
      </c>
    </row>
    <row r="8" spans="1:31" x14ac:dyDescent="0.25">
      <c r="B8" s="72"/>
      <c r="C8" s="4"/>
      <c r="D8" s="3"/>
      <c r="E8" s="3"/>
      <c r="F8" s="3"/>
      <c r="G8" s="4"/>
      <c r="H8" s="161"/>
      <c r="I8" s="3"/>
      <c r="J8" s="3"/>
      <c r="K8" s="3"/>
      <c r="L8" s="4"/>
      <c r="M8" s="4"/>
      <c r="O8" s="11" t="s">
        <v>179</v>
      </c>
      <c r="P8" s="33"/>
      <c r="Q8" s="2">
        <f>K18+M18-F18+Q2*Q4</f>
        <v>0</v>
      </c>
      <c r="W8" s="130">
        <v>42822</v>
      </c>
      <c r="X8" s="10">
        <v>112.6</v>
      </c>
      <c r="Y8" s="10">
        <v>113.24</v>
      </c>
      <c r="Z8" s="10">
        <v>112.02</v>
      </c>
      <c r="AA8" s="10">
        <v>113.05</v>
      </c>
      <c r="AB8" s="93">
        <v>5081500</v>
      </c>
      <c r="AC8" s="10">
        <v>113.05</v>
      </c>
      <c r="AD8" s="2">
        <f t="shared" si="0"/>
        <v>1.2199999999999989</v>
      </c>
      <c r="AE8" s="134">
        <f t="shared" si="1"/>
        <v>5.9619149314824593E-3</v>
      </c>
    </row>
    <row r="9" spans="1:31" x14ac:dyDescent="0.25">
      <c r="B9" s="72"/>
      <c r="C9" s="4"/>
      <c r="D9" s="3"/>
      <c r="E9" s="3"/>
      <c r="F9" s="3"/>
      <c r="G9" s="4"/>
      <c r="H9" s="161"/>
      <c r="I9" s="3"/>
      <c r="J9" s="3"/>
      <c r="K9" s="3"/>
      <c r="L9" s="4"/>
      <c r="M9" s="4"/>
      <c r="O9" s="11" t="s">
        <v>204</v>
      </c>
      <c r="Q9" s="134">
        <f>IF(Q2=0, 0, Q8/Q6)</f>
        <v>0</v>
      </c>
      <c r="W9" s="130">
        <v>42821</v>
      </c>
      <c r="X9" s="10">
        <v>111.81</v>
      </c>
      <c r="Y9" s="10">
        <v>112.55</v>
      </c>
      <c r="Z9" s="10">
        <v>111.45</v>
      </c>
      <c r="AA9" s="10">
        <v>112.38</v>
      </c>
      <c r="AB9" s="93">
        <v>4273700</v>
      </c>
      <c r="AC9" s="10">
        <v>112.38</v>
      </c>
      <c r="AD9" s="2">
        <f t="shared" si="0"/>
        <v>1.0999999999999943</v>
      </c>
      <c r="AE9" s="134">
        <f t="shared" si="1"/>
        <v>2.1401819154627244E-3</v>
      </c>
    </row>
    <row r="10" spans="1:31" x14ac:dyDescent="0.25">
      <c r="B10" s="72"/>
      <c r="C10" s="4"/>
      <c r="D10" s="3"/>
      <c r="E10" s="3"/>
      <c r="F10" s="3"/>
      <c r="G10" s="4"/>
      <c r="H10" s="4"/>
      <c r="I10" s="3"/>
      <c r="J10" s="3"/>
      <c r="K10" s="3"/>
      <c r="L10" s="4"/>
      <c r="M10" s="4"/>
      <c r="O10" s="11" t="s">
        <v>203</v>
      </c>
      <c r="P10" s="33"/>
      <c r="Q10" s="2">
        <f>M81</f>
        <v>257.30999999999949</v>
      </c>
      <c r="W10" s="130">
        <v>42818</v>
      </c>
      <c r="X10" s="10">
        <v>112.4</v>
      </c>
      <c r="Y10" s="10">
        <v>112.58</v>
      </c>
      <c r="Z10" s="10">
        <v>111.68</v>
      </c>
      <c r="AA10" s="10">
        <v>112.14</v>
      </c>
      <c r="AB10" s="93">
        <v>4653300</v>
      </c>
      <c r="AC10" s="10">
        <v>112.14</v>
      </c>
      <c r="AD10" s="2">
        <f t="shared" si="0"/>
        <v>0.89999999999999147</v>
      </c>
      <c r="AE10" s="134">
        <f t="shared" si="1"/>
        <v>-8.9094796863853354E-4</v>
      </c>
    </row>
    <row r="11" spans="1:31" x14ac:dyDescent="0.25">
      <c r="B11" s="72"/>
      <c r="C11" s="4"/>
      <c r="D11" s="3"/>
      <c r="E11" s="3"/>
      <c r="F11" s="3"/>
      <c r="G11" s="4"/>
      <c r="H11" s="4"/>
      <c r="I11" s="3"/>
      <c r="J11" s="3"/>
      <c r="K11" s="3"/>
      <c r="L11" s="4"/>
      <c r="M11" s="4"/>
      <c r="O11" s="11" t="s">
        <v>175</v>
      </c>
      <c r="P11" s="33"/>
      <c r="Q11" s="134">
        <f>VALUE(TRIM(CLEAN(MID(U58, FIND("(", U58)+1, 5))))</f>
        <v>1.38E-2</v>
      </c>
      <c r="W11" s="130">
        <v>42817</v>
      </c>
      <c r="X11" s="10">
        <v>111.71</v>
      </c>
      <c r="Y11" s="10">
        <v>112.98</v>
      </c>
      <c r="Z11" s="10">
        <v>111.66</v>
      </c>
      <c r="AA11" s="10">
        <v>112.24</v>
      </c>
      <c r="AB11" s="93">
        <v>8260700</v>
      </c>
      <c r="AC11" s="10">
        <v>112.24</v>
      </c>
      <c r="AD11" s="2">
        <f t="shared" si="0"/>
        <v>1.3200000000000074</v>
      </c>
      <c r="AE11" s="134">
        <f t="shared" si="1"/>
        <v>1.427551748750755E-3</v>
      </c>
    </row>
    <row r="12" spans="1:31" x14ac:dyDescent="0.25">
      <c r="B12" s="4"/>
      <c r="C12" s="4"/>
      <c r="D12" s="3"/>
      <c r="E12" s="3"/>
      <c r="F12" s="3"/>
      <c r="G12" s="4"/>
      <c r="H12" s="4"/>
      <c r="I12" s="3"/>
      <c r="J12" s="3"/>
      <c r="K12" s="3"/>
      <c r="L12" s="4"/>
      <c r="M12" s="4"/>
      <c r="W12" s="130">
        <v>42816</v>
      </c>
      <c r="X12" s="10">
        <v>111.85</v>
      </c>
      <c r="Y12" s="10">
        <v>112.18</v>
      </c>
      <c r="Z12" s="10">
        <v>111.35</v>
      </c>
      <c r="AA12" s="10">
        <v>112.08</v>
      </c>
      <c r="AB12" s="93">
        <v>5006000</v>
      </c>
      <c r="AC12" s="10">
        <v>112.08</v>
      </c>
      <c r="AD12" s="2">
        <f t="shared" si="0"/>
        <v>0.83000000000001251</v>
      </c>
      <c r="AE12" s="134">
        <f t="shared" si="1"/>
        <v>2.953020134228268E-3</v>
      </c>
    </row>
    <row r="13" spans="1:31" x14ac:dyDescent="0.25">
      <c r="B13" s="4"/>
      <c r="C13" s="4"/>
      <c r="D13" s="3"/>
      <c r="E13" s="3"/>
      <c r="F13" s="3"/>
      <c r="G13" s="4"/>
      <c r="H13" s="4"/>
      <c r="I13" s="3"/>
      <c r="J13" s="3"/>
      <c r="K13" s="3"/>
      <c r="L13" s="4"/>
      <c r="M13" s="4"/>
      <c r="W13" s="130">
        <v>42815</v>
      </c>
      <c r="X13" s="10">
        <v>112.97</v>
      </c>
      <c r="Y13" s="10">
        <v>113.1</v>
      </c>
      <c r="Z13" s="10">
        <v>111.54</v>
      </c>
      <c r="AA13" s="10">
        <v>111.75</v>
      </c>
      <c r="AB13" s="93">
        <v>6935300</v>
      </c>
      <c r="AC13" s="10">
        <v>111.75</v>
      </c>
      <c r="AD13" s="2">
        <f t="shared" si="0"/>
        <v>1.5599999999999881</v>
      </c>
      <c r="AE13" s="134">
        <f t="shared" si="1"/>
        <v>-8.5174341229703465E-3</v>
      </c>
    </row>
    <row r="14" spans="1:31" x14ac:dyDescent="0.25">
      <c r="W14" s="130">
        <v>42814</v>
      </c>
      <c r="X14" s="10">
        <v>112.07</v>
      </c>
      <c r="Y14" s="10">
        <v>113.16</v>
      </c>
      <c r="Z14" s="10">
        <v>112.05</v>
      </c>
      <c r="AA14" s="10">
        <v>112.71</v>
      </c>
      <c r="AB14" s="93">
        <v>7990500</v>
      </c>
      <c r="AC14" s="10">
        <v>112.71</v>
      </c>
      <c r="AD14" s="2">
        <f t="shared" si="0"/>
        <v>1.1099999999999994</v>
      </c>
      <c r="AE14" s="134">
        <f t="shared" si="1"/>
        <v>8.5003579098066329E-3</v>
      </c>
    </row>
    <row r="15" spans="1:31" x14ac:dyDescent="0.25">
      <c r="W15" s="130">
        <v>42811</v>
      </c>
      <c r="X15" s="10">
        <v>111.87</v>
      </c>
      <c r="Y15" s="10">
        <v>112.09</v>
      </c>
      <c r="Z15" s="10">
        <v>111.18</v>
      </c>
      <c r="AA15" s="10">
        <v>111.76</v>
      </c>
      <c r="AB15" s="93">
        <v>9038400</v>
      </c>
      <c r="AC15" s="10">
        <v>111.76</v>
      </c>
      <c r="AD15" s="2">
        <f t="shared" si="0"/>
        <v>0.90999999999999659</v>
      </c>
      <c r="AE15" s="134">
        <f t="shared" si="1"/>
        <v>4.4758750335693875E-4</v>
      </c>
    </row>
    <row r="16" spans="1:31" x14ac:dyDescent="0.25">
      <c r="W16" s="130">
        <v>42810</v>
      </c>
      <c r="X16" s="10">
        <v>112.18</v>
      </c>
      <c r="Y16" s="10">
        <v>112.32</v>
      </c>
      <c r="Z16" s="10">
        <v>111.4</v>
      </c>
      <c r="AA16" s="10">
        <v>111.71</v>
      </c>
      <c r="AB16" s="93">
        <v>4353200</v>
      </c>
      <c r="AC16" s="10">
        <v>111.71</v>
      </c>
      <c r="AD16" s="2">
        <f t="shared" si="0"/>
        <v>0.91999999999998749</v>
      </c>
      <c r="AE16" s="134">
        <f t="shared" si="1"/>
        <v>-1.4302315187272319E-3</v>
      </c>
    </row>
    <row r="17" spans="1:31" x14ac:dyDescent="0.25">
      <c r="W17" s="130">
        <v>42809</v>
      </c>
      <c r="X17" s="10">
        <v>112.43</v>
      </c>
      <c r="Y17" s="10">
        <v>112.45</v>
      </c>
      <c r="Z17" s="10">
        <v>111.15</v>
      </c>
      <c r="AA17" s="10">
        <v>111.87</v>
      </c>
      <c r="AB17" s="93">
        <v>5218600</v>
      </c>
      <c r="AC17" s="10">
        <v>111.87</v>
      </c>
      <c r="AD17" s="2">
        <f t="shared" si="0"/>
        <v>1.2999999999999972</v>
      </c>
      <c r="AE17" s="134">
        <f t="shared" si="1"/>
        <v>-3.9177277179235359E-3</v>
      </c>
    </row>
    <row r="18" spans="1:31" x14ac:dyDescent="0.25">
      <c r="A18" s="31" t="s">
        <v>81</v>
      </c>
      <c r="B18" s="14"/>
      <c r="C18" s="14">
        <f>SUM(C2:C11)</f>
        <v>0</v>
      </c>
      <c r="D18" s="18"/>
      <c r="E18" s="18"/>
      <c r="F18" s="18">
        <f>SUM(F2:F11)</f>
        <v>0</v>
      </c>
      <c r="G18" s="14"/>
      <c r="H18" s="71">
        <f>SUM(H2:H7)</f>
        <v>0</v>
      </c>
      <c r="I18" s="18"/>
      <c r="J18" s="18"/>
      <c r="K18" s="18">
        <f>SUM(K2:K7)</f>
        <v>0</v>
      </c>
      <c r="L18" s="14"/>
      <c r="M18" s="18">
        <f>SUM(M2:M5)</f>
        <v>0</v>
      </c>
      <c r="W18" s="130">
        <v>42808</v>
      </c>
      <c r="X18" s="10">
        <v>111.73</v>
      </c>
      <c r="Y18" s="10">
        <v>112.89</v>
      </c>
      <c r="Z18" s="10">
        <v>111.72</v>
      </c>
      <c r="AA18" s="10">
        <v>112.31</v>
      </c>
      <c r="AB18" s="93">
        <v>6245300</v>
      </c>
      <c r="AC18" s="10">
        <v>112.31</v>
      </c>
      <c r="AD18" s="2">
        <f t="shared" si="0"/>
        <v>1.1700000000000017</v>
      </c>
      <c r="AE18" s="134">
        <f t="shared" si="1"/>
        <v>7.0839311334289778E-3</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110.92</v>
      </c>
      <c r="Y19" s="10">
        <v>111.68</v>
      </c>
      <c r="Z19" s="10">
        <v>110.82</v>
      </c>
      <c r="AA19" s="10">
        <v>111.52</v>
      </c>
      <c r="AB19" s="93">
        <v>5147100</v>
      </c>
      <c r="AC19" s="10">
        <v>111.52</v>
      </c>
      <c r="AD19" s="2">
        <f t="shared" si="0"/>
        <v>0.86000000000001364</v>
      </c>
      <c r="AE19" s="134">
        <f t="shared" si="1"/>
        <v>5.4093040028848627E-3</v>
      </c>
    </row>
    <row r="20" spans="1:31" x14ac:dyDescent="0.25">
      <c r="W20" s="130">
        <v>42804</v>
      </c>
      <c r="X20" s="10">
        <v>111.4</v>
      </c>
      <c r="Y20" s="10">
        <v>111.5</v>
      </c>
      <c r="Z20" s="10">
        <v>110.69</v>
      </c>
      <c r="AA20" s="10">
        <v>110.92</v>
      </c>
      <c r="AB20" s="93">
        <v>3929800</v>
      </c>
      <c r="AC20" s="10">
        <v>110.92</v>
      </c>
      <c r="AD20" s="2">
        <f t="shared" si="0"/>
        <v>0.81000000000000227</v>
      </c>
      <c r="AE20" s="134">
        <f t="shared" si="1"/>
        <v>-9.9072322795645817E-4</v>
      </c>
    </row>
    <row r="21" spans="1:31" x14ac:dyDescent="0.25">
      <c r="W21" s="130">
        <v>42803</v>
      </c>
      <c r="X21" s="10">
        <v>110.9</v>
      </c>
      <c r="Y21" s="10">
        <v>111.32</v>
      </c>
      <c r="Z21" s="10">
        <v>110.69</v>
      </c>
      <c r="AA21" s="10">
        <v>111.03</v>
      </c>
      <c r="AB21" s="93">
        <v>3994500</v>
      </c>
      <c r="AC21" s="10">
        <v>111.03</v>
      </c>
      <c r="AD21" s="2">
        <f t="shared" si="0"/>
        <v>0.62999999999999545</v>
      </c>
      <c r="AE21" s="134">
        <f t="shared" si="1"/>
        <v>1.7141826055575571E-3</v>
      </c>
    </row>
    <row r="22" spans="1:31" x14ac:dyDescent="0.25">
      <c r="W22" s="130">
        <v>42802</v>
      </c>
      <c r="X22" s="10">
        <v>110.87</v>
      </c>
      <c r="Y22" s="10">
        <v>111.32</v>
      </c>
      <c r="Z22" s="10">
        <v>110.66</v>
      </c>
      <c r="AA22" s="10">
        <v>110.84</v>
      </c>
      <c r="AB22" s="93">
        <v>4843700</v>
      </c>
      <c r="AC22" s="10">
        <v>110.84</v>
      </c>
      <c r="AD22" s="2">
        <f t="shared" si="0"/>
        <v>0.65999999999999659</v>
      </c>
      <c r="AE22" s="134">
        <f t="shared" si="1"/>
        <v>-1.8040772145044848E-4</v>
      </c>
    </row>
    <row r="23" spans="1:31" x14ac:dyDescent="0.25">
      <c r="W23" s="130">
        <v>42801</v>
      </c>
      <c r="X23" s="10">
        <v>110.7</v>
      </c>
      <c r="Y23" s="10">
        <v>110.93</v>
      </c>
      <c r="Z23" s="10">
        <v>110.16</v>
      </c>
      <c r="AA23" s="10">
        <v>110.86</v>
      </c>
      <c r="AB23" s="93">
        <v>4937500</v>
      </c>
      <c r="AC23" s="10">
        <v>110.86</v>
      </c>
      <c r="AD23" s="2">
        <f t="shared" si="0"/>
        <v>0.77000000000001023</v>
      </c>
      <c r="AE23" s="134">
        <f t="shared" si="1"/>
        <v>1.7168157585614185E-3</v>
      </c>
    </row>
    <row r="24" spans="1:31" x14ac:dyDescent="0.25">
      <c r="B24" s="162" t="s">
        <v>113</v>
      </c>
      <c r="C24" s="162" t="s">
        <v>145</v>
      </c>
      <c r="D24" s="163" t="s">
        <v>144</v>
      </c>
      <c r="E24" s="165" t="s">
        <v>146</v>
      </c>
      <c r="F24" s="165" t="s">
        <v>65</v>
      </c>
      <c r="G24" s="177" t="s">
        <v>150</v>
      </c>
      <c r="H24" s="177" t="s">
        <v>88</v>
      </c>
      <c r="I24" s="177" t="s">
        <v>153</v>
      </c>
      <c r="W24" s="130">
        <v>42800</v>
      </c>
      <c r="X24" s="10">
        <v>110.77</v>
      </c>
      <c r="Y24" s="10">
        <v>110.98</v>
      </c>
      <c r="Z24" s="10">
        <v>110.09</v>
      </c>
      <c r="AA24" s="10">
        <v>110.67</v>
      </c>
      <c r="AB24" s="93">
        <v>4967400</v>
      </c>
      <c r="AC24" s="10">
        <v>110.67</v>
      </c>
      <c r="AD24" s="2">
        <f t="shared" si="0"/>
        <v>0.89000000000000057</v>
      </c>
      <c r="AE24" s="134">
        <f t="shared" si="1"/>
        <v>-5.1240560949298297E-3</v>
      </c>
    </row>
    <row r="25" spans="1:31" x14ac:dyDescent="0.25">
      <c r="B25" s="164">
        <v>42373</v>
      </c>
      <c r="C25" s="10">
        <v>0</v>
      </c>
      <c r="D25" s="39">
        <v>0</v>
      </c>
      <c r="E25" s="39">
        <v>0</v>
      </c>
      <c r="F25" s="39">
        <v>37.590000000000003</v>
      </c>
      <c r="G25" s="39">
        <v>0</v>
      </c>
      <c r="H25" s="179"/>
      <c r="I25" s="39"/>
      <c r="W25" s="130">
        <v>42797</v>
      </c>
      <c r="X25" s="10">
        <v>110.59</v>
      </c>
      <c r="Y25" s="10">
        <v>111.5</v>
      </c>
      <c r="Z25" s="10">
        <v>110.04</v>
      </c>
      <c r="AA25" s="10">
        <v>111.24</v>
      </c>
      <c r="AB25" s="93">
        <v>5837900</v>
      </c>
      <c r="AC25" s="10">
        <v>111.24</v>
      </c>
      <c r="AD25" s="2">
        <f t="shared" si="0"/>
        <v>1.4599999999999937</v>
      </c>
      <c r="AE25" s="134">
        <f t="shared" si="1"/>
        <v>5.8775657835246076E-3</v>
      </c>
    </row>
    <row r="26" spans="1:31" x14ac:dyDescent="0.25">
      <c r="B26" s="164">
        <v>42374</v>
      </c>
      <c r="C26" s="196">
        <v>25</v>
      </c>
      <c r="D26" s="184">
        <v>99.396000000000001</v>
      </c>
      <c r="E26" s="39">
        <v>100.9</v>
      </c>
      <c r="F26" s="39">
        <f>C26*(E26-D26)</f>
        <v>37.600000000000122</v>
      </c>
      <c r="G26" s="39">
        <f>D26*C26</f>
        <v>2484.9</v>
      </c>
      <c r="H26" s="179">
        <f>(E26-D26)/D26</f>
        <v>1.5131393617449444E-2</v>
      </c>
      <c r="I26" s="39"/>
      <c r="W26" s="130">
        <v>42796</v>
      </c>
      <c r="X26" s="10">
        <v>111</v>
      </c>
      <c r="Y26" s="10">
        <v>111.21</v>
      </c>
      <c r="Z26" s="10">
        <v>110.45</v>
      </c>
      <c r="AA26" s="10">
        <v>110.59</v>
      </c>
      <c r="AB26" s="93">
        <v>4713000</v>
      </c>
      <c r="AC26" s="10">
        <v>110.59</v>
      </c>
      <c r="AD26" s="2">
        <f t="shared" si="0"/>
        <v>0.75999999999999091</v>
      </c>
      <c r="AE26" s="134">
        <f t="shared" si="1"/>
        <v>-4.0525936599423718E-3</v>
      </c>
    </row>
    <row r="27" spans="1:31" x14ac:dyDescent="0.25">
      <c r="B27" s="164">
        <v>42403</v>
      </c>
      <c r="C27" s="10">
        <v>25</v>
      </c>
      <c r="D27" s="39">
        <v>99.396000000000001</v>
      </c>
      <c r="E27" s="39">
        <v>95.14</v>
      </c>
      <c r="F27" s="39">
        <f t="shared" ref="F27:F36" si="2">C27*(E27-D27)</f>
        <v>-106.4</v>
      </c>
      <c r="G27" s="39">
        <f>D27*C27</f>
        <v>2484.9</v>
      </c>
      <c r="H27" s="179">
        <f>(E27-D27)/D27</f>
        <v>-4.2818624491931266E-2</v>
      </c>
      <c r="I27" s="39"/>
      <c r="W27" s="130">
        <v>42795</v>
      </c>
      <c r="X27" s="10">
        <v>110.66</v>
      </c>
      <c r="Y27" s="10">
        <v>111.8</v>
      </c>
      <c r="Z27" s="10">
        <v>110.66</v>
      </c>
      <c r="AA27" s="10">
        <v>111.04</v>
      </c>
      <c r="AB27" s="93">
        <v>7359400</v>
      </c>
      <c r="AC27" s="10">
        <v>111.04</v>
      </c>
      <c r="AD27" s="2">
        <f t="shared" si="0"/>
        <v>1.1400000000000006</v>
      </c>
      <c r="AE27" s="134">
        <f t="shared" si="1"/>
        <v>8.6293032973021599E-3</v>
      </c>
    </row>
    <row r="28" spans="1:31" x14ac:dyDescent="0.25">
      <c r="B28" s="164">
        <v>42409</v>
      </c>
      <c r="C28" s="10">
        <v>40</v>
      </c>
      <c r="D28" s="39">
        <v>95.31</v>
      </c>
      <c r="E28" s="39">
        <v>92.12</v>
      </c>
      <c r="F28" s="39">
        <f t="shared" si="2"/>
        <v>-127.59999999999991</v>
      </c>
      <c r="G28" s="39">
        <f>D28*C28</f>
        <v>3812.4</v>
      </c>
      <c r="H28" s="179">
        <f t="shared" ref="H28:H36" si="3">(E28-D28)/D28</f>
        <v>-3.346973035358302E-2</v>
      </c>
      <c r="I28" s="39"/>
      <c r="W28" s="130">
        <v>42794</v>
      </c>
      <c r="X28" s="10">
        <v>110</v>
      </c>
      <c r="Y28" s="10">
        <v>110.4</v>
      </c>
      <c r="Z28" s="10">
        <v>109.83</v>
      </c>
      <c r="AA28" s="10">
        <v>110.09</v>
      </c>
      <c r="AB28" s="93">
        <v>4749000</v>
      </c>
      <c r="AC28" s="10">
        <v>110.09</v>
      </c>
      <c r="AD28" s="2">
        <f t="shared" si="0"/>
        <v>0.57000000000000739</v>
      </c>
      <c r="AE28" s="134">
        <f t="shared" si="1"/>
        <v>-1.2700716683298197E-3</v>
      </c>
    </row>
    <row r="29" spans="1:31" x14ac:dyDescent="0.25">
      <c r="B29" s="164">
        <v>42416</v>
      </c>
      <c r="C29" s="196">
        <v>25</v>
      </c>
      <c r="D29" s="184">
        <v>96.787999999999997</v>
      </c>
      <c r="E29" s="39">
        <v>92.34</v>
      </c>
      <c r="F29" s="39">
        <f t="shared" si="2"/>
        <v>-111.19999999999983</v>
      </c>
      <c r="G29" s="39">
        <f t="shared" ref="G29:G36" si="4">D29*C29</f>
        <v>2419.6999999999998</v>
      </c>
      <c r="H29" s="179">
        <f t="shared" si="3"/>
        <v>-4.5956110261602609E-2</v>
      </c>
      <c r="I29" s="39"/>
      <c r="W29" s="130">
        <v>42793</v>
      </c>
      <c r="X29" s="10">
        <v>109.93</v>
      </c>
      <c r="Y29" s="10">
        <v>110.47</v>
      </c>
      <c r="Z29" s="10">
        <v>109.83</v>
      </c>
      <c r="AA29" s="10">
        <v>110.23</v>
      </c>
      <c r="AB29" s="93">
        <v>3436400</v>
      </c>
      <c r="AC29" s="10">
        <v>110.23</v>
      </c>
      <c r="AD29" s="2">
        <f t="shared" si="0"/>
        <v>0.64000000000000057</v>
      </c>
      <c r="AE29" s="134">
        <f t="shared" si="1"/>
        <v>-8.158085569252016E-4</v>
      </c>
    </row>
    <row r="30" spans="1:31" x14ac:dyDescent="0.25">
      <c r="B30" s="164">
        <v>42421</v>
      </c>
      <c r="C30" s="10">
        <v>25</v>
      </c>
      <c r="D30" s="39">
        <v>96.787999999999997</v>
      </c>
      <c r="E30" s="39">
        <v>95.01</v>
      </c>
      <c r="F30" s="39">
        <f t="shared" si="2"/>
        <v>-44.44999999999979</v>
      </c>
      <c r="G30" s="39">
        <f t="shared" si="4"/>
        <v>2419.6999999999998</v>
      </c>
      <c r="H30" s="179">
        <f t="shared" si="3"/>
        <v>-1.8370045873455299E-2</v>
      </c>
      <c r="I30" s="39"/>
      <c r="W30" s="130">
        <v>42790</v>
      </c>
      <c r="X30" s="10">
        <v>109.62</v>
      </c>
      <c r="Y30" s="10">
        <v>110.32</v>
      </c>
      <c r="Z30" s="10">
        <v>109.1</v>
      </c>
      <c r="AA30" s="10">
        <v>110.32</v>
      </c>
      <c r="AB30" s="93">
        <v>4766100</v>
      </c>
      <c r="AC30" s="10">
        <v>110.32</v>
      </c>
      <c r="AD30" s="2">
        <f t="shared" si="0"/>
        <v>1.2199999999999989</v>
      </c>
      <c r="AE30" s="134">
        <f t="shared" si="1"/>
        <v>5.37683404720668E-3</v>
      </c>
    </row>
    <row r="31" spans="1:31" x14ac:dyDescent="0.25">
      <c r="B31" s="164">
        <v>42430</v>
      </c>
      <c r="C31" s="10">
        <v>25</v>
      </c>
      <c r="D31" s="39">
        <v>96.787999999999997</v>
      </c>
      <c r="E31" s="39">
        <v>97.65</v>
      </c>
      <c r="F31" s="39">
        <f t="shared" si="2"/>
        <v>21.550000000000225</v>
      </c>
      <c r="G31" s="39">
        <f t="shared" si="4"/>
        <v>2419.6999999999998</v>
      </c>
      <c r="H31" s="179">
        <f t="shared" si="3"/>
        <v>8.9060627350498918E-3</v>
      </c>
      <c r="I31" s="39"/>
      <c r="W31" s="130">
        <v>42789</v>
      </c>
      <c r="X31" s="10">
        <v>110.3</v>
      </c>
      <c r="Y31" s="10">
        <v>110.49</v>
      </c>
      <c r="Z31" s="10">
        <v>109.59</v>
      </c>
      <c r="AA31" s="10">
        <v>109.73</v>
      </c>
      <c r="AB31" s="93">
        <v>5470400</v>
      </c>
      <c r="AC31" s="10">
        <v>109.73</v>
      </c>
      <c r="AD31" s="2">
        <f t="shared" si="0"/>
        <v>0.89999999999999147</v>
      </c>
      <c r="AE31" s="134">
        <f t="shared" si="1"/>
        <v>-3.5415909916455268E-3</v>
      </c>
    </row>
    <row r="32" spans="1:31" x14ac:dyDescent="0.25">
      <c r="B32" s="164">
        <v>42448</v>
      </c>
      <c r="C32" s="10">
        <v>25</v>
      </c>
      <c r="D32" s="39">
        <v>96.787599999999998</v>
      </c>
      <c r="E32" s="39">
        <v>99.2</v>
      </c>
      <c r="F32" s="39">
        <f t="shared" si="2"/>
        <v>60.31000000000013</v>
      </c>
      <c r="G32" s="39">
        <f t="shared" si="4"/>
        <v>2419.69</v>
      </c>
      <c r="H32" s="179">
        <f t="shared" si="3"/>
        <v>2.4924680434270562E-2</v>
      </c>
      <c r="I32" s="39"/>
      <c r="W32" s="130">
        <v>42788</v>
      </c>
      <c r="X32" s="10">
        <v>109.69</v>
      </c>
      <c r="Y32" s="10">
        <v>110.28</v>
      </c>
      <c r="Z32" s="10">
        <v>109.53</v>
      </c>
      <c r="AA32" s="10">
        <v>110.12</v>
      </c>
      <c r="AB32" s="93">
        <v>5473400</v>
      </c>
      <c r="AC32" s="10">
        <v>110.12</v>
      </c>
      <c r="AD32" s="2">
        <f t="shared" si="0"/>
        <v>0.75</v>
      </c>
      <c r="AE32" s="134">
        <f t="shared" si="1"/>
        <v>9.9990909917280213E-4</v>
      </c>
    </row>
    <row r="33" spans="2:31" x14ac:dyDescent="0.25">
      <c r="B33" s="164">
        <v>42471</v>
      </c>
      <c r="C33" s="10">
        <v>25</v>
      </c>
      <c r="D33" s="39">
        <v>96.787599999999998</v>
      </c>
      <c r="E33" s="39">
        <v>96.27</v>
      </c>
      <c r="F33" s="39">
        <f t="shared" si="2"/>
        <v>-12.94000000000004</v>
      </c>
      <c r="G33" s="39">
        <f t="shared" si="4"/>
        <v>2419.69</v>
      </c>
      <c r="H33" s="179">
        <f t="shared" si="3"/>
        <v>-5.3477924858143155E-3</v>
      </c>
      <c r="I33" s="39"/>
      <c r="W33" s="130">
        <v>42787</v>
      </c>
      <c r="X33" s="10">
        <v>109.94</v>
      </c>
      <c r="Y33" s="10">
        <v>110.21</v>
      </c>
      <c r="Z33" s="10">
        <v>109.8</v>
      </c>
      <c r="AA33" s="10">
        <v>110.01</v>
      </c>
      <c r="AB33" s="93">
        <v>4991500</v>
      </c>
      <c r="AC33" s="10">
        <v>110.01</v>
      </c>
      <c r="AD33" s="2">
        <f t="shared" si="0"/>
        <v>0.40999999999999659</v>
      </c>
      <c r="AE33" s="134">
        <f t="shared" si="1"/>
        <v>-4.5429765582405413E-4</v>
      </c>
    </row>
    <row r="34" spans="2:31" x14ac:dyDescent="0.25">
      <c r="B34" s="164">
        <v>42482</v>
      </c>
      <c r="C34" s="185">
        <v>15</v>
      </c>
      <c r="D34" s="186">
        <v>92.174000000000007</v>
      </c>
      <c r="E34" s="39">
        <v>103.71</v>
      </c>
      <c r="F34" s="39">
        <f t="shared" si="2"/>
        <v>173.03999999999979</v>
      </c>
      <c r="G34" s="39">
        <f t="shared" si="4"/>
        <v>1382.6100000000001</v>
      </c>
      <c r="H34" s="179">
        <f t="shared" si="3"/>
        <v>0.12515459891075559</v>
      </c>
      <c r="I34" s="39"/>
      <c r="W34" s="130">
        <v>42783</v>
      </c>
      <c r="X34" s="10">
        <v>110.24</v>
      </c>
      <c r="Y34" s="10">
        <v>110.5</v>
      </c>
      <c r="Z34" s="10">
        <v>109.52</v>
      </c>
      <c r="AA34" s="10">
        <v>110.06</v>
      </c>
      <c r="AB34" s="93">
        <v>6287300</v>
      </c>
      <c r="AC34" s="10">
        <v>110.06</v>
      </c>
      <c r="AD34" s="2">
        <f t="shared" si="0"/>
        <v>0.98000000000000398</v>
      </c>
      <c r="AE34" s="134">
        <f t="shared" si="1"/>
        <v>-5.8711950140004632E-3</v>
      </c>
    </row>
    <row r="35" spans="2:31" x14ac:dyDescent="0.25">
      <c r="B35" s="164">
        <v>42498</v>
      </c>
      <c r="C35" s="10">
        <v>15</v>
      </c>
      <c r="D35" s="39">
        <v>92.174000000000007</v>
      </c>
      <c r="E35" s="39">
        <v>105.54</v>
      </c>
      <c r="F35" s="39">
        <f t="shared" si="2"/>
        <v>200.49</v>
      </c>
      <c r="G35" s="39">
        <f t="shared" si="4"/>
        <v>1382.6100000000001</v>
      </c>
      <c r="H35" s="179">
        <f t="shared" si="3"/>
        <v>0.14500835376570398</v>
      </c>
      <c r="I35" s="39"/>
      <c r="W35" s="130">
        <v>42782</v>
      </c>
      <c r="X35" s="10">
        <v>110.34</v>
      </c>
      <c r="Y35" s="10">
        <v>110.87</v>
      </c>
      <c r="Z35" s="10">
        <v>110.09</v>
      </c>
      <c r="AA35" s="10">
        <v>110.71</v>
      </c>
      <c r="AB35" s="93">
        <v>7169400</v>
      </c>
      <c r="AC35" s="10">
        <v>110.71</v>
      </c>
      <c r="AD35" s="2">
        <f t="shared" si="0"/>
        <v>0.78000000000000114</v>
      </c>
      <c r="AE35" s="134">
        <f t="shared" si="1"/>
        <v>4.8103104011616438E-3</v>
      </c>
    </row>
    <row r="36" spans="2:31" x14ac:dyDescent="0.25">
      <c r="B36" s="164">
        <v>42502</v>
      </c>
      <c r="C36" s="10">
        <v>15</v>
      </c>
      <c r="D36" s="39">
        <v>92.174000000000007</v>
      </c>
      <c r="E36" s="39">
        <v>101.71</v>
      </c>
      <c r="F36" s="39">
        <f t="shared" si="2"/>
        <v>143.03999999999979</v>
      </c>
      <c r="G36" s="39">
        <f t="shared" si="4"/>
        <v>1382.6100000000001</v>
      </c>
      <c r="H36" s="179">
        <f t="shared" si="3"/>
        <v>0.10345650617310724</v>
      </c>
      <c r="I36" s="39"/>
      <c r="W36" s="130">
        <v>42781</v>
      </c>
      <c r="X36" s="10">
        <v>109.91</v>
      </c>
      <c r="Y36" s="10">
        <v>110.68</v>
      </c>
      <c r="Z36" s="10">
        <v>109.8</v>
      </c>
      <c r="AA36" s="10">
        <v>110.18</v>
      </c>
      <c r="AB36" s="93">
        <v>7033500</v>
      </c>
      <c r="AC36" s="10">
        <v>110.18</v>
      </c>
      <c r="AD36" s="2">
        <f t="shared" si="0"/>
        <v>0.88000000000000966</v>
      </c>
      <c r="AE36" s="134">
        <f t="shared" si="1"/>
        <v>-1.3595576905646167E-3</v>
      </c>
    </row>
    <row r="37" spans="2:31" x14ac:dyDescent="0.25">
      <c r="B37" s="164">
        <v>42546</v>
      </c>
      <c r="C37" s="10">
        <v>15</v>
      </c>
      <c r="D37" s="39">
        <v>92.174000000000007</v>
      </c>
      <c r="E37" s="39">
        <v>95.72</v>
      </c>
      <c r="F37" s="39">
        <f t="shared" ref="F37:F42" si="5">C37*(E37-D37)</f>
        <v>53.189999999999884</v>
      </c>
      <c r="G37" s="39">
        <f t="shared" ref="G37:G42" si="6">D37*C37</f>
        <v>1382.6100000000001</v>
      </c>
      <c r="H37" s="179">
        <f t="shared" ref="H37:H42" si="7">(E37-D37)/D37</f>
        <v>3.8470718423850456E-2</v>
      </c>
      <c r="I37" s="39"/>
      <c r="W37" s="130">
        <v>42780</v>
      </c>
      <c r="X37" s="10">
        <v>109.8</v>
      </c>
      <c r="Y37" s="10">
        <v>110.33</v>
      </c>
      <c r="Z37" s="10">
        <v>109.53</v>
      </c>
      <c r="AA37" s="10">
        <v>110.33</v>
      </c>
      <c r="AB37" s="93">
        <v>4764100</v>
      </c>
      <c r="AC37" s="10">
        <v>110.33</v>
      </c>
      <c r="AD37" s="2">
        <f t="shared" si="0"/>
        <v>0.79999999999999716</v>
      </c>
      <c r="AE37" s="134">
        <f t="shared" si="1"/>
        <v>6.2015503875967326E-3</v>
      </c>
    </row>
    <row r="38" spans="2:31" x14ac:dyDescent="0.25">
      <c r="B38" s="164">
        <v>42562</v>
      </c>
      <c r="C38" s="10">
        <v>15</v>
      </c>
      <c r="D38" s="39">
        <v>92.174000000000007</v>
      </c>
      <c r="E38" s="39">
        <v>99.98</v>
      </c>
      <c r="F38" s="39">
        <f t="shared" si="5"/>
        <v>117.08999999999996</v>
      </c>
      <c r="G38" s="39">
        <f t="shared" si="6"/>
        <v>1382.6100000000001</v>
      </c>
      <c r="H38" s="179">
        <f t="shared" si="7"/>
        <v>8.4687655955041519E-2</v>
      </c>
      <c r="I38" s="39"/>
      <c r="W38" s="130">
        <v>42779</v>
      </c>
      <c r="X38" s="10">
        <v>108.95</v>
      </c>
      <c r="Y38" s="10">
        <v>109.9</v>
      </c>
      <c r="Z38" s="10">
        <v>108.9</v>
      </c>
      <c r="AA38" s="10">
        <v>109.65</v>
      </c>
      <c r="AB38" s="93">
        <v>5653200</v>
      </c>
      <c r="AC38" s="10">
        <v>109.65</v>
      </c>
      <c r="AD38" s="2">
        <f t="shared" si="0"/>
        <v>1</v>
      </c>
      <c r="AE38" s="134">
        <f t="shared" si="1"/>
        <v>3.5694673256452258E-3</v>
      </c>
    </row>
    <row r="39" spans="2:31" x14ac:dyDescent="0.25">
      <c r="B39" s="164">
        <v>42570</v>
      </c>
      <c r="C39" s="10">
        <v>15</v>
      </c>
      <c r="D39" s="39">
        <v>92.174000000000007</v>
      </c>
      <c r="E39" s="39">
        <v>99.47</v>
      </c>
      <c r="F39" s="39">
        <f t="shared" si="5"/>
        <v>109.43999999999988</v>
      </c>
      <c r="G39" s="39">
        <f t="shared" si="6"/>
        <v>1382.6100000000001</v>
      </c>
      <c r="H39" s="179">
        <f t="shared" si="7"/>
        <v>7.9154642306941136E-2</v>
      </c>
      <c r="I39" s="39"/>
      <c r="W39" s="130">
        <v>42776</v>
      </c>
      <c r="X39" s="10">
        <v>109.35</v>
      </c>
      <c r="Y39" s="10">
        <v>109.8</v>
      </c>
      <c r="Z39" s="10">
        <v>108.58</v>
      </c>
      <c r="AA39" s="10">
        <v>109.26</v>
      </c>
      <c r="AB39" s="93">
        <v>6521300</v>
      </c>
      <c r="AC39" s="10">
        <v>109.26</v>
      </c>
      <c r="AD39" s="2">
        <f t="shared" si="0"/>
        <v>1.2199999999999989</v>
      </c>
      <c r="AE39" s="134">
        <f t="shared" si="1"/>
        <v>-2.1006484610466281E-3</v>
      </c>
    </row>
    <row r="40" spans="2:31" ht="20.25" thickBot="1" x14ac:dyDescent="0.35">
      <c r="B40" s="164">
        <v>42571</v>
      </c>
      <c r="C40" s="10">
        <v>15</v>
      </c>
      <c r="D40" s="39">
        <v>92.174000000000007</v>
      </c>
      <c r="E40" s="39">
        <v>98.22</v>
      </c>
      <c r="F40" s="39">
        <f t="shared" si="5"/>
        <v>90.689999999999884</v>
      </c>
      <c r="G40" s="39">
        <f t="shared" si="6"/>
        <v>1382.6100000000001</v>
      </c>
      <c r="H40" s="179">
        <f t="shared" si="7"/>
        <v>6.55933343459109E-2</v>
      </c>
      <c r="I40" s="39"/>
      <c r="O40" s="884" t="s">
        <v>78</v>
      </c>
      <c r="P40" s="884"/>
      <c r="W40" s="130">
        <v>42775</v>
      </c>
      <c r="X40" s="10">
        <v>109</v>
      </c>
      <c r="Y40" s="10">
        <v>109.85</v>
      </c>
      <c r="Z40" s="10">
        <v>109</v>
      </c>
      <c r="AA40" s="10">
        <v>109.49</v>
      </c>
      <c r="AB40" s="93">
        <v>6367500</v>
      </c>
      <c r="AC40" s="10">
        <v>109.49</v>
      </c>
      <c r="AD40" s="2">
        <f t="shared" si="0"/>
        <v>0.84999999999999432</v>
      </c>
      <c r="AE40" s="134">
        <f t="shared" si="1"/>
        <v>4.4954128440366503E-3</v>
      </c>
    </row>
    <row r="41" spans="2:31" ht="15.75" thickTop="1" x14ac:dyDescent="0.25">
      <c r="B41" s="164">
        <v>42575</v>
      </c>
      <c r="C41" s="10">
        <v>15</v>
      </c>
      <c r="D41" s="39">
        <v>92.174000000000007</v>
      </c>
      <c r="E41" s="39">
        <v>97.71</v>
      </c>
      <c r="F41" s="39">
        <f t="shared" si="5"/>
        <v>83.039999999999807</v>
      </c>
      <c r="G41" s="39">
        <f t="shared" si="6"/>
        <v>1382.6100000000001</v>
      </c>
      <c r="H41" s="179">
        <f t="shared" si="7"/>
        <v>6.0060320697810518E-2</v>
      </c>
      <c r="I41" s="39"/>
      <c r="O41" s="81">
        <v>1.1000000000000001</v>
      </c>
      <c r="P41" s="81">
        <f>O41*$Q$4</f>
        <v>121.143</v>
      </c>
      <c r="Q41" s="2"/>
      <c r="W41" s="130">
        <v>42774</v>
      </c>
      <c r="X41" s="10">
        <v>109.56</v>
      </c>
      <c r="Y41" s="10">
        <v>111.42</v>
      </c>
      <c r="Z41" s="10">
        <v>108.98</v>
      </c>
      <c r="AA41" s="10">
        <v>109</v>
      </c>
      <c r="AB41" s="93">
        <v>13611500</v>
      </c>
      <c r="AC41" s="10">
        <v>109</v>
      </c>
      <c r="AD41" s="2">
        <f t="shared" si="0"/>
        <v>2.4399999999999977</v>
      </c>
      <c r="AE41" s="134">
        <f t="shared" si="1"/>
        <v>0</v>
      </c>
    </row>
    <row r="42" spans="2:31" ht="20.25" thickBot="1" x14ac:dyDescent="0.35">
      <c r="B42" s="164">
        <v>42576</v>
      </c>
      <c r="C42" s="10">
        <v>15</v>
      </c>
      <c r="D42" s="39">
        <v>92.174000000000007</v>
      </c>
      <c r="E42" s="39">
        <v>97.39</v>
      </c>
      <c r="F42" s="39">
        <f t="shared" si="5"/>
        <v>78.23999999999991</v>
      </c>
      <c r="G42" s="39">
        <f t="shared" si="6"/>
        <v>1382.6100000000001</v>
      </c>
      <c r="H42" s="179">
        <f t="shared" si="7"/>
        <v>5.6588625859786856E-2</v>
      </c>
      <c r="I42" s="39"/>
      <c r="O42" s="81">
        <v>1.0900000000000001</v>
      </c>
      <c r="P42" s="81">
        <f t="shared" ref="P42:P61" si="8">O42*$Q$4</f>
        <v>120.04170000000001</v>
      </c>
      <c r="Q42" s="2"/>
      <c r="T42" s="89" t="s">
        <v>112</v>
      </c>
      <c r="W42" s="130">
        <v>42773</v>
      </c>
      <c r="X42" s="10">
        <v>109.65</v>
      </c>
      <c r="Y42" s="10">
        <v>109.73</v>
      </c>
      <c r="Z42" s="10">
        <v>108.77</v>
      </c>
      <c r="AA42" s="10">
        <v>109</v>
      </c>
      <c r="AB42" s="93">
        <v>9574800</v>
      </c>
      <c r="AC42" s="10">
        <v>109</v>
      </c>
      <c r="AD42" s="2">
        <f t="shared" si="0"/>
        <v>0.96000000000000796</v>
      </c>
      <c r="AE42" s="134">
        <f t="shared" si="1"/>
        <v>-5.2021538742356155E-3</v>
      </c>
    </row>
    <row r="43" spans="2:31" ht="15.75" thickTop="1" x14ac:dyDescent="0.25">
      <c r="B43" s="164">
        <v>42577</v>
      </c>
      <c r="C43" s="10">
        <v>15</v>
      </c>
      <c r="D43" s="39">
        <v>92.174000000000007</v>
      </c>
      <c r="E43" s="39">
        <v>96.69</v>
      </c>
      <c r="F43" s="39">
        <f t="shared" ref="F43:F65" si="9">C43*(E43-D43)</f>
        <v>67.739999999999867</v>
      </c>
      <c r="G43" s="39">
        <f t="shared" ref="G43:G65" si="10">D43*C43</f>
        <v>1382.6100000000001</v>
      </c>
      <c r="H43" s="179">
        <f t="shared" ref="H43:H65" si="11">(E43-D43)/D43</f>
        <v>4.8994293401609899E-2</v>
      </c>
      <c r="I43" s="39"/>
      <c r="O43" s="81">
        <v>1.08</v>
      </c>
      <c r="P43" s="81">
        <f t="shared" si="8"/>
        <v>118.9404</v>
      </c>
      <c r="Q43" s="2"/>
      <c r="T43" s="125" t="s">
        <v>97</v>
      </c>
      <c r="U43" s="96">
        <v>113.04</v>
      </c>
      <c r="W43" s="130">
        <v>42772</v>
      </c>
      <c r="X43" s="10">
        <v>109.92</v>
      </c>
      <c r="Y43" s="10">
        <v>110.15</v>
      </c>
      <c r="Z43" s="10">
        <v>109.3</v>
      </c>
      <c r="AA43" s="10">
        <v>109.57</v>
      </c>
      <c r="AB43" s="93">
        <v>6822600</v>
      </c>
      <c r="AC43" s="10">
        <v>109.57</v>
      </c>
      <c r="AD43" s="2">
        <f t="shared" si="0"/>
        <v>0.85000000000000853</v>
      </c>
      <c r="AE43" s="134">
        <f t="shared" si="1"/>
        <v>-6.6183136899365946E-3</v>
      </c>
    </row>
    <row r="44" spans="2:31" x14ac:dyDescent="0.25">
      <c r="B44" s="164">
        <v>42579</v>
      </c>
      <c r="C44" s="185">
        <v>15</v>
      </c>
      <c r="D44" s="186">
        <v>91.463999999999999</v>
      </c>
      <c r="E44" s="39">
        <v>95.91</v>
      </c>
      <c r="F44" s="39">
        <f t="shared" si="9"/>
        <v>66.689999999999969</v>
      </c>
      <c r="G44" s="39">
        <f t="shared" si="10"/>
        <v>1371.96</v>
      </c>
      <c r="H44" s="179">
        <f t="shared" si="11"/>
        <v>4.8609288900551016E-2</v>
      </c>
      <c r="I44" s="39" t="s">
        <v>184</v>
      </c>
      <c r="O44" s="81">
        <v>1.07</v>
      </c>
      <c r="P44" s="81">
        <f t="shared" si="8"/>
        <v>117.8391</v>
      </c>
      <c r="Q44" s="2"/>
      <c r="T44" s="91" t="s">
        <v>98</v>
      </c>
      <c r="U44" s="86">
        <v>113.58</v>
      </c>
      <c r="W44" s="130">
        <v>42769</v>
      </c>
      <c r="X44" s="10">
        <v>110.9</v>
      </c>
      <c r="Y44" s="10">
        <v>111.15</v>
      </c>
      <c r="Z44" s="10">
        <v>110.21</v>
      </c>
      <c r="AA44" s="10">
        <v>110.3</v>
      </c>
      <c r="AB44" s="93">
        <v>7917700</v>
      </c>
      <c r="AC44" s="10">
        <v>110.3</v>
      </c>
      <c r="AD44" s="2">
        <f t="shared" si="0"/>
        <v>0.94000000000001194</v>
      </c>
      <c r="AE44" s="134">
        <f t="shared" si="1"/>
        <v>-2.8026399059759566E-3</v>
      </c>
    </row>
    <row r="45" spans="2:31" x14ac:dyDescent="0.25">
      <c r="B45" s="164">
        <v>42586</v>
      </c>
      <c r="C45" s="10">
        <v>30</v>
      </c>
      <c r="D45" s="39">
        <v>93.171999999999997</v>
      </c>
      <c r="E45" s="39">
        <v>95.16</v>
      </c>
      <c r="F45" s="39">
        <f t="shared" si="9"/>
        <v>59.639999999999986</v>
      </c>
      <c r="G45" s="39">
        <f t="shared" si="10"/>
        <v>2795.16</v>
      </c>
      <c r="H45" s="179">
        <f t="shared" si="11"/>
        <v>2.1336882325162062E-2</v>
      </c>
      <c r="I45" s="39"/>
      <c r="O45" s="81">
        <v>1.06</v>
      </c>
      <c r="P45" s="81">
        <f t="shared" si="8"/>
        <v>116.73780000000001</v>
      </c>
      <c r="Q45" s="2"/>
      <c r="T45" s="91" t="s">
        <v>99</v>
      </c>
      <c r="U45" s="86" t="s">
        <v>128</v>
      </c>
      <c r="W45" s="130">
        <v>42768</v>
      </c>
      <c r="X45" s="10">
        <v>111.21</v>
      </c>
      <c r="Y45" s="10">
        <v>111.54</v>
      </c>
      <c r="Z45" s="10">
        <v>110.55</v>
      </c>
      <c r="AA45" s="10">
        <v>110.61</v>
      </c>
      <c r="AB45" s="93">
        <v>6501200</v>
      </c>
      <c r="AC45" s="10">
        <v>110.61</v>
      </c>
      <c r="AD45" s="2">
        <f t="shared" si="0"/>
        <v>0.99000000000000909</v>
      </c>
      <c r="AE45" s="134">
        <f t="shared" si="1"/>
        <v>-6.1994609164420789E-3</v>
      </c>
    </row>
    <row r="46" spans="2:31" x14ac:dyDescent="0.25">
      <c r="B46" s="164">
        <v>42593</v>
      </c>
      <c r="C46" s="185">
        <v>15</v>
      </c>
      <c r="D46" s="186">
        <v>88.465999999999994</v>
      </c>
      <c r="E46" s="39">
        <v>97.86</v>
      </c>
      <c r="F46" s="39">
        <f t="shared" si="9"/>
        <v>140.91000000000008</v>
      </c>
      <c r="G46" s="39">
        <f t="shared" si="10"/>
        <v>1326.99</v>
      </c>
      <c r="H46" s="179">
        <f t="shared" si="11"/>
        <v>0.10618768792530471</v>
      </c>
      <c r="I46" s="39"/>
      <c r="O46" s="81">
        <v>1.05</v>
      </c>
      <c r="P46" s="81">
        <f t="shared" si="8"/>
        <v>115.6365</v>
      </c>
      <c r="Q46" s="2"/>
      <c r="T46" s="91" t="s">
        <v>100</v>
      </c>
      <c r="U46" s="86" t="s">
        <v>128</v>
      </c>
      <c r="W46" s="130">
        <v>42767</v>
      </c>
      <c r="X46" s="10">
        <v>110.71</v>
      </c>
      <c r="Y46" s="10">
        <v>111.99</v>
      </c>
      <c r="Z46" s="10">
        <v>110.68</v>
      </c>
      <c r="AA46" s="10">
        <v>111.3</v>
      </c>
      <c r="AB46" s="93">
        <v>10489600</v>
      </c>
      <c r="AC46" s="10">
        <v>111.3</v>
      </c>
      <c r="AD46" s="2">
        <f t="shared" si="0"/>
        <v>1.3099999999999881</v>
      </c>
      <c r="AE46" s="134">
        <f t="shared" si="1"/>
        <v>5.8743786714865465E-3</v>
      </c>
    </row>
    <row r="47" spans="2:31" x14ac:dyDescent="0.25">
      <c r="B47" s="164">
        <v>42597</v>
      </c>
      <c r="C47" s="10">
        <v>30</v>
      </c>
      <c r="D47" s="39">
        <v>92.658000000000001</v>
      </c>
      <c r="E47" s="39">
        <v>97.1</v>
      </c>
      <c r="F47" s="39">
        <f t="shared" si="9"/>
        <v>133.25999999999979</v>
      </c>
      <c r="G47" s="39">
        <f t="shared" si="10"/>
        <v>2779.7400000000002</v>
      </c>
      <c r="H47" s="179">
        <f t="shared" si="11"/>
        <v>4.7939735370933899E-2</v>
      </c>
      <c r="I47" s="39"/>
      <c r="O47" s="81">
        <v>1.04</v>
      </c>
      <c r="P47" s="81">
        <f t="shared" si="8"/>
        <v>114.5352</v>
      </c>
      <c r="Q47" s="2"/>
      <c r="T47" s="91" t="s">
        <v>101</v>
      </c>
      <c r="U47" s="86">
        <v>117.65</v>
      </c>
      <c r="W47" s="130">
        <v>42766</v>
      </c>
      <c r="X47" s="10">
        <v>110.59</v>
      </c>
      <c r="Y47" s="10">
        <v>110.8</v>
      </c>
      <c r="Z47" s="10">
        <v>109.98</v>
      </c>
      <c r="AA47" s="10">
        <v>110.65</v>
      </c>
      <c r="AB47" s="93">
        <v>8395300</v>
      </c>
      <c r="AC47" s="10">
        <v>110.65</v>
      </c>
      <c r="AD47" s="2">
        <f t="shared" si="0"/>
        <v>0.81999999999999318</v>
      </c>
      <c r="AE47" s="134">
        <f t="shared" si="1"/>
        <v>-2.614025599423031E-3</v>
      </c>
    </row>
    <row r="48" spans="2:31" x14ac:dyDescent="0.25">
      <c r="B48" s="164">
        <v>42600</v>
      </c>
      <c r="C48" s="10">
        <v>30</v>
      </c>
      <c r="D48" s="39">
        <v>92.658000000000001</v>
      </c>
      <c r="E48" s="39">
        <v>96.65</v>
      </c>
      <c r="F48" s="39">
        <f t="shared" si="9"/>
        <v>119.76000000000013</v>
      </c>
      <c r="G48" s="39">
        <f t="shared" si="10"/>
        <v>2779.7400000000002</v>
      </c>
      <c r="H48" s="179">
        <f t="shared" si="11"/>
        <v>4.3083166051501268E-2</v>
      </c>
      <c r="I48" s="39"/>
      <c r="O48" s="81">
        <v>1.03</v>
      </c>
      <c r="P48" s="81">
        <f t="shared" si="8"/>
        <v>113.43389999999999</v>
      </c>
      <c r="Q48" s="2"/>
      <c r="T48" s="91" t="s">
        <v>102</v>
      </c>
      <c r="U48" s="86">
        <v>1.32412</v>
      </c>
      <c r="W48" s="130">
        <v>42765</v>
      </c>
      <c r="X48" s="10">
        <v>109.86</v>
      </c>
      <c r="Y48" s="10">
        <v>111.05</v>
      </c>
      <c r="Z48" s="10">
        <v>108.96</v>
      </c>
      <c r="AA48" s="10">
        <v>110.94</v>
      </c>
      <c r="AB48" s="93">
        <v>13765200</v>
      </c>
      <c r="AC48" s="10">
        <v>110.94</v>
      </c>
      <c r="AD48" s="2">
        <f t="shared" si="0"/>
        <v>2.0900000000000034</v>
      </c>
      <c r="AE48" s="134">
        <f t="shared" si="1"/>
        <v>1.5004574565416373E-2</v>
      </c>
    </row>
    <row r="49" spans="2:31" x14ac:dyDescent="0.25">
      <c r="B49" s="164">
        <v>42604</v>
      </c>
      <c r="C49" s="10">
        <v>30</v>
      </c>
      <c r="D49" s="39">
        <v>92.658000000000001</v>
      </c>
      <c r="E49" s="39">
        <v>95.87</v>
      </c>
      <c r="F49" s="39">
        <f t="shared" si="9"/>
        <v>96.360000000000099</v>
      </c>
      <c r="G49" s="39">
        <f t="shared" si="10"/>
        <v>2779.7400000000002</v>
      </c>
      <c r="H49" s="179">
        <f t="shared" si="11"/>
        <v>3.4665112564484485E-2</v>
      </c>
      <c r="I49" s="39"/>
      <c r="O49" s="81">
        <v>1.02</v>
      </c>
      <c r="P49" s="81">
        <f t="shared" si="8"/>
        <v>112.3326</v>
      </c>
      <c r="Q49" s="2"/>
      <c r="T49" s="91" t="s">
        <v>103</v>
      </c>
      <c r="U49" s="86" t="s">
        <v>504</v>
      </c>
      <c r="W49" s="130">
        <v>42762</v>
      </c>
      <c r="X49" s="10">
        <v>108.49</v>
      </c>
      <c r="Y49" s="10">
        <v>109.4</v>
      </c>
      <c r="Z49" s="10">
        <v>108.15</v>
      </c>
      <c r="AA49" s="10">
        <v>109.3</v>
      </c>
      <c r="AB49" s="93">
        <v>5534500</v>
      </c>
      <c r="AC49" s="10">
        <v>109.3</v>
      </c>
      <c r="AD49" s="2">
        <f t="shared" si="0"/>
        <v>1.25</v>
      </c>
      <c r="AE49" s="134">
        <f t="shared" si="1"/>
        <v>1.1475106422357939E-2</v>
      </c>
    </row>
    <row r="50" spans="2:31" x14ac:dyDescent="0.25">
      <c r="B50" s="164">
        <v>42607</v>
      </c>
      <c r="C50" s="10">
        <v>30</v>
      </c>
      <c r="D50" s="39">
        <v>92.658000000000001</v>
      </c>
      <c r="E50" s="39">
        <v>95.55</v>
      </c>
      <c r="F50" s="39">
        <f t="shared" si="9"/>
        <v>86.759999999999877</v>
      </c>
      <c r="G50" s="39">
        <f t="shared" si="10"/>
        <v>2779.7400000000002</v>
      </c>
      <c r="H50" s="179">
        <f t="shared" si="11"/>
        <v>3.1211552159554446E-2</v>
      </c>
      <c r="I50" s="39"/>
      <c r="O50" s="81">
        <v>1.01</v>
      </c>
      <c r="P50" s="81">
        <f t="shared" si="8"/>
        <v>111.23129999999999</v>
      </c>
      <c r="Q50" s="2"/>
      <c r="T50" s="91"/>
      <c r="U50" s="86"/>
      <c r="W50" s="130">
        <v>42761</v>
      </c>
      <c r="X50" s="10">
        <v>108.21</v>
      </c>
      <c r="Y50" s="10">
        <v>108.62</v>
      </c>
      <c r="Z50" s="10">
        <v>107.98</v>
      </c>
      <c r="AA50" s="10">
        <v>108.06</v>
      </c>
      <c r="AB50" s="93">
        <v>6079100</v>
      </c>
      <c r="AC50" s="10">
        <v>108.06</v>
      </c>
      <c r="AD50" s="2">
        <f t="shared" si="0"/>
        <v>0.64000000000000057</v>
      </c>
      <c r="AE50" s="134">
        <f t="shared" si="1"/>
        <v>1.8511662347275859E-4</v>
      </c>
    </row>
    <row r="51" spans="2:31" x14ac:dyDescent="0.25">
      <c r="B51" s="164">
        <v>42611</v>
      </c>
      <c r="C51" s="7">
        <v>55</v>
      </c>
      <c r="D51" s="43">
        <v>93.531599999999997</v>
      </c>
      <c r="E51" s="39">
        <v>94.87</v>
      </c>
      <c r="F51" s="39">
        <f t="shared" si="9"/>
        <v>73.612000000000393</v>
      </c>
      <c r="G51" s="39">
        <f t="shared" si="10"/>
        <v>5144.2380000000003</v>
      </c>
      <c r="H51" s="179">
        <f t="shared" si="11"/>
        <v>1.4309602316222615E-2</v>
      </c>
      <c r="I51" s="39"/>
      <c r="O51" s="81">
        <v>1</v>
      </c>
      <c r="P51" s="81">
        <f t="shared" si="8"/>
        <v>110.13</v>
      </c>
      <c r="Q51" s="2"/>
      <c r="T51" s="91" t="s">
        <v>104</v>
      </c>
      <c r="U51" s="86" t="s">
        <v>619</v>
      </c>
      <c r="W51" s="130">
        <v>42760</v>
      </c>
      <c r="X51" s="10">
        <v>108.23</v>
      </c>
      <c r="Y51" s="10">
        <v>108.42</v>
      </c>
      <c r="Z51" s="10">
        <v>108</v>
      </c>
      <c r="AA51" s="10">
        <v>108.04</v>
      </c>
      <c r="AB51" s="93">
        <v>6169400</v>
      </c>
      <c r="AC51" s="10">
        <v>108.04</v>
      </c>
      <c r="AD51" s="2">
        <f t="shared" si="0"/>
        <v>0.42000000000000171</v>
      </c>
      <c r="AE51" s="134">
        <f t="shared" si="1"/>
        <v>1.2974976830397722E-3</v>
      </c>
    </row>
    <row r="52" spans="2:31" x14ac:dyDescent="0.25">
      <c r="B52" s="164">
        <v>42615</v>
      </c>
      <c r="C52" s="10">
        <v>55</v>
      </c>
      <c r="D52" s="39">
        <v>93.531599999999997</v>
      </c>
      <c r="E52" s="39">
        <v>94.42</v>
      </c>
      <c r="F52" s="39">
        <f t="shared" si="9"/>
        <v>48.862000000000236</v>
      </c>
      <c r="G52" s="39">
        <f t="shared" si="10"/>
        <v>5144.2380000000003</v>
      </c>
      <c r="H52" s="179">
        <f t="shared" si="11"/>
        <v>9.4983941256217615E-3</v>
      </c>
      <c r="I52" s="39"/>
      <c r="O52" s="81">
        <v>0.99</v>
      </c>
      <c r="P52" s="81">
        <f t="shared" si="8"/>
        <v>109.0287</v>
      </c>
      <c r="Q52" s="2"/>
      <c r="T52" s="91" t="s">
        <v>105</v>
      </c>
      <c r="U52" s="86" t="s">
        <v>620</v>
      </c>
      <c r="W52" s="130">
        <v>42759</v>
      </c>
      <c r="X52" s="10">
        <v>107.2</v>
      </c>
      <c r="Y52" s="10">
        <v>108.06</v>
      </c>
      <c r="Z52" s="10">
        <v>107.08</v>
      </c>
      <c r="AA52" s="10">
        <v>107.9</v>
      </c>
      <c r="AB52" s="93">
        <v>5435800</v>
      </c>
      <c r="AC52" s="10">
        <v>107.9</v>
      </c>
      <c r="AD52" s="2">
        <f t="shared" si="0"/>
        <v>0.98000000000000398</v>
      </c>
      <c r="AE52" s="134">
        <f t="shared" si="1"/>
        <v>7.2815533980583602E-3</v>
      </c>
    </row>
    <row r="53" spans="2:31" x14ac:dyDescent="0.25">
      <c r="B53" s="164">
        <v>42619</v>
      </c>
      <c r="C53" s="10">
        <v>55</v>
      </c>
      <c r="D53" s="39">
        <v>93.531599999999997</v>
      </c>
      <c r="E53" s="39">
        <v>93.8</v>
      </c>
      <c r="F53" s="39">
        <f t="shared" si="9"/>
        <v>14.761999999999986</v>
      </c>
      <c r="G53" s="39">
        <f t="shared" si="10"/>
        <v>5144.2380000000003</v>
      </c>
      <c r="H53" s="179">
        <f t="shared" si="11"/>
        <v>2.8696183963494663E-3</v>
      </c>
      <c r="I53" s="39"/>
      <c r="O53" s="81">
        <v>0.98</v>
      </c>
      <c r="P53" s="81">
        <f t="shared" si="8"/>
        <v>107.92739999999999</v>
      </c>
      <c r="Q53" s="2"/>
      <c r="T53" s="91" t="s">
        <v>106</v>
      </c>
      <c r="U53" s="88">
        <v>4795081</v>
      </c>
      <c r="W53" s="130">
        <v>42758</v>
      </c>
      <c r="X53" s="10">
        <v>107.34</v>
      </c>
      <c r="Y53" s="10">
        <v>107.68</v>
      </c>
      <c r="Z53" s="10">
        <v>106.57</v>
      </c>
      <c r="AA53" s="10">
        <v>107.12</v>
      </c>
      <c r="AB53" s="93">
        <v>5666600</v>
      </c>
      <c r="AC53" s="10">
        <v>107.12</v>
      </c>
      <c r="AD53" s="2">
        <f t="shared" si="0"/>
        <v>1.1100000000000136</v>
      </c>
      <c r="AE53" s="134">
        <f t="shared" si="1"/>
        <v>-5.0157904514210871E-3</v>
      </c>
    </row>
    <row r="54" spans="2:31" x14ac:dyDescent="0.25">
      <c r="B54" s="164">
        <v>42620</v>
      </c>
      <c r="C54" s="10">
        <v>55</v>
      </c>
      <c r="D54" s="39">
        <v>93.531599999999997</v>
      </c>
      <c r="E54" s="39">
        <v>93.71</v>
      </c>
      <c r="F54" s="39">
        <f t="shared" si="9"/>
        <v>9.8119999999997987</v>
      </c>
      <c r="G54" s="39">
        <f t="shared" si="10"/>
        <v>5144.2380000000003</v>
      </c>
      <c r="H54" s="179">
        <f t="shared" si="11"/>
        <v>1.9073767582292653E-3</v>
      </c>
      <c r="I54" s="39"/>
      <c r="O54" s="81">
        <v>0.97</v>
      </c>
      <c r="P54" s="81">
        <f t="shared" si="8"/>
        <v>106.8261</v>
      </c>
      <c r="T54" s="91" t="s">
        <v>109</v>
      </c>
      <c r="U54" s="88">
        <v>6370320</v>
      </c>
      <c r="W54" s="130">
        <v>42755</v>
      </c>
      <c r="X54" s="10">
        <v>107.35</v>
      </c>
      <c r="Y54" s="10">
        <v>107.82</v>
      </c>
      <c r="Z54" s="10">
        <v>107.18</v>
      </c>
      <c r="AA54" s="10">
        <v>107.66</v>
      </c>
      <c r="AB54" s="93">
        <v>5534800</v>
      </c>
      <c r="AC54" s="10">
        <v>107.66</v>
      </c>
      <c r="AD54" s="2">
        <f t="shared" si="0"/>
        <v>0.63999999999998636</v>
      </c>
      <c r="AE54" s="134">
        <f t="shared" si="1"/>
        <v>3.5421327367635147E-3</v>
      </c>
    </row>
    <row r="55" spans="2:31" x14ac:dyDescent="0.25">
      <c r="B55" s="164">
        <v>42621</v>
      </c>
      <c r="C55" s="10">
        <v>55</v>
      </c>
      <c r="D55" s="39">
        <v>93.531599999999997</v>
      </c>
      <c r="E55" s="39">
        <v>94.09</v>
      </c>
      <c r="F55" s="39">
        <f t="shared" si="9"/>
        <v>30.71200000000033</v>
      </c>
      <c r="G55" s="39">
        <f t="shared" si="10"/>
        <v>5144.2380000000003</v>
      </c>
      <c r="H55" s="179">
        <f t="shared" si="11"/>
        <v>5.9701747858478416E-3</v>
      </c>
      <c r="I55" s="39"/>
      <c r="O55" s="81">
        <v>0.96</v>
      </c>
      <c r="P55" s="81">
        <f t="shared" si="8"/>
        <v>105.72479999999999</v>
      </c>
      <c r="T55" s="91" t="s">
        <v>107</v>
      </c>
      <c r="U55" s="86" t="s">
        <v>621</v>
      </c>
      <c r="W55" s="130">
        <v>42754</v>
      </c>
      <c r="X55" s="10">
        <v>107.92</v>
      </c>
      <c r="Y55" s="10">
        <v>108.01</v>
      </c>
      <c r="Z55" s="10">
        <v>107.08</v>
      </c>
      <c r="AA55" s="10">
        <v>107.28</v>
      </c>
      <c r="AB55" s="93">
        <v>5348900</v>
      </c>
      <c r="AC55" s="10">
        <v>107.28</v>
      </c>
      <c r="AD55" s="2">
        <f t="shared" si="0"/>
        <v>0.93000000000000682</v>
      </c>
      <c r="AE55" s="134">
        <f t="shared" si="1"/>
        <v>-8.1360946745561158E-3</v>
      </c>
    </row>
    <row r="56" spans="2:31" x14ac:dyDescent="0.25">
      <c r="B56" s="164">
        <v>42622</v>
      </c>
      <c r="C56" s="10">
        <v>70</v>
      </c>
      <c r="D56" s="39">
        <v>93.310599999999994</v>
      </c>
      <c r="E56" s="39">
        <v>92.42</v>
      </c>
      <c r="F56" s="39">
        <f t="shared" si="9"/>
        <v>-62.341999999999445</v>
      </c>
      <c r="G56" s="39">
        <f t="shared" si="10"/>
        <v>6531.7419999999993</v>
      </c>
      <c r="H56" s="179">
        <f t="shared" si="11"/>
        <v>-9.5444676167551392E-3</v>
      </c>
      <c r="I56" s="39"/>
      <c r="O56" s="81">
        <v>0.95</v>
      </c>
      <c r="P56" s="81">
        <f t="shared" si="8"/>
        <v>104.62349999999999</v>
      </c>
      <c r="T56" s="91" t="s">
        <v>110</v>
      </c>
      <c r="U56" s="86">
        <v>20.399999999999999</v>
      </c>
      <c r="W56" s="130">
        <v>42753</v>
      </c>
      <c r="X56" s="10">
        <v>106.93</v>
      </c>
      <c r="Y56" s="10">
        <v>108.4</v>
      </c>
      <c r="Z56" s="10">
        <v>106.81</v>
      </c>
      <c r="AA56" s="10">
        <v>108.16</v>
      </c>
      <c r="AB56" s="93">
        <v>7162000</v>
      </c>
      <c r="AC56" s="10">
        <v>108.16</v>
      </c>
      <c r="AD56" s="2">
        <f t="shared" si="0"/>
        <v>1.5900000000000034</v>
      </c>
      <c r="AE56" s="134">
        <f t="shared" si="1"/>
        <v>1.7597480781699204E-3</v>
      </c>
    </row>
    <row r="57" spans="2:31" x14ac:dyDescent="0.25">
      <c r="B57" s="164">
        <v>42627</v>
      </c>
      <c r="C57" s="10">
        <v>70</v>
      </c>
      <c r="D57" s="39">
        <v>93.310599999999994</v>
      </c>
      <c r="E57" s="39">
        <v>92.26</v>
      </c>
      <c r="F57" s="39">
        <f t="shared" si="9"/>
        <v>-73.541999999999206</v>
      </c>
      <c r="G57" s="39">
        <f t="shared" si="10"/>
        <v>6531.7419999999993</v>
      </c>
      <c r="H57" s="179">
        <f t="shared" si="11"/>
        <v>-1.1259170983789502E-2</v>
      </c>
      <c r="I57" s="39"/>
      <c r="O57" s="81">
        <v>0.94</v>
      </c>
      <c r="P57" s="81">
        <f t="shared" si="8"/>
        <v>103.52219999999998</v>
      </c>
      <c r="T57" s="91" t="s">
        <v>111</v>
      </c>
      <c r="U57" s="86">
        <v>5.54</v>
      </c>
      <c r="W57" s="130">
        <v>42752</v>
      </c>
      <c r="X57" s="10">
        <v>107.91</v>
      </c>
      <c r="Y57" s="10">
        <v>108.93</v>
      </c>
      <c r="Z57" s="10">
        <v>107.65</v>
      </c>
      <c r="AA57" s="10">
        <v>107.97</v>
      </c>
      <c r="AB57" s="93">
        <v>7583100</v>
      </c>
      <c r="AC57" s="10">
        <v>107.97</v>
      </c>
      <c r="AD57" s="2">
        <f t="shared" si="0"/>
        <v>1.2800000000000011</v>
      </c>
      <c r="AE57" s="134">
        <f t="shared" si="1"/>
        <v>-8.3287062742920526E-4</v>
      </c>
    </row>
    <row r="58" spans="2:31" x14ac:dyDescent="0.25">
      <c r="B58" s="164">
        <v>42635</v>
      </c>
      <c r="C58" s="10">
        <v>70</v>
      </c>
      <c r="D58" s="39">
        <v>93.310599999999994</v>
      </c>
      <c r="E58" s="39">
        <v>93.41</v>
      </c>
      <c r="F58" s="39">
        <f t="shared" si="9"/>
        <v>6.9580000000001974</v>
      </c>
      <c r="G58" s="39">
        <f t="shared" si="10"/>
        <v>6531.7419999999993</v>
      </c>
      <c r="H58" s="179">
        <f t="shared" si="11"/>
        <v>1.0652594667701508E-3</v>
      </c>
      <c r="I58" s="39"/>
      <c r="O58" s="81">
        <v>0.93</v>
      </c>
      <c r="P58" s="81">
        <f t="shared" si="8"/>
        <v>102.4209</v>
      </c>
      <c r="T58" s="91" t="s">
        <v>108</v>
      </c>
      <c r="U58" s="86" t="s">
        <v>521</v>
      </c>
      <c r="W58" s="130">
        <v>42748</v>
      </c>
      <c r="X58" s="10">
        <v>107.16</v>
      </c>
      <c r="Y58" s="10">
        <v>108.35</v>
      </c>
      <c r="Z58" s="10">
        <v>106.9</v>
      </c>
      <c r="AA58" s="10">
        <v>108.06</v>
      </c>
      <c r="AB58" s="93">
        <v>6467200</v>
      </c>
      <c r="AC58" s="10">
        <v>108.06</v>
      </c>
      <c r="AD58" s="2">
        <f t="shared" si="0"/>
        <v>1.4499999999999886</v>
      </c>
      <c r="AE58" s="134">
        <f t="shared" si="1"/>
        <v>4.9288570631451645E-3</v>
      </c>
    </row>
    <row r="59" spans="2:31" x14ac:dyDescent="0.25">
      <c r="B59" s="164">
        <v>42639</v>
      </c>
      <c r="C59" s="10">
        <v>70</v>
      </c>
      <c r="D59" s="39">
        <v>93.310599999999994</v>
      </c>
      <c r="E59" s="39">
        <v>91.96</v>
      </c>
      <c r="F59" s="39">
        <f t="shared" si="9"/>
        <v>-94.542000000000002</v>
      </c>
      <c r="G59" s="39">
        <f t="shared" si="10"/>
        <v>6531.7419999999993</v>
      </c>
      <c r="H59" s="179">
        <f t="shared" si="11"/>
        <v>-1.4474239796979123E-2</v>
      </c>
      <c r="I59" s="39"/>
      <c r="O59" s="81">
        <v>0.92</v>
      </c>
      <c r="P59" s="81">
        <f t="shared" si="8"/>
        <v>101.31959999999999</v>
      </c>
      <c r="W59" s="130">
        <v>42747</v>
      </c>
      <c r="X59" s="10">
        <v>108.12</v>
      </c>
      <c r="Y59" s="10">
        <v>109</v>
      </c>
      <c r="Z59" s="10">
        <v>107.43</v>
      </c>
      <c r="AA59" s="10">
        <v>107.53</v>
      </c>
      <c r="AB59" s="93">
        <v>8201600</v>
      </c>
      <c r="AC59" s="10">
        <v>107.53</v>
      </c>
      <c r="AD59" s="2">
        <f t="shared" si="0"/>
        <v>1.5699999999999932</v>
      </c>
      <c r="AE59" s="134">
        <f t="shared" si="1"/>
        <v>-1.74524853801169E-2</v>
      </c>
    </row>
    <row r="60" spans="2:31" x14ac:dyDescent="0.25">
      <c r="B60" s="164">
        <v>42640</v>
      </c>
      <c r="C60" s="10">
        <v>70</v>
      </c>
      <c r="D60" s="39">
        <v>93.310599999999994</v>
      </c>
      <c r="E60" s="39">
        <v>91.72</v>
      </c>
      <c r="F60" s="39">
        <f t="shared" si="9"/>
        <v>-111.34199999999964</v>
      </c>
      <c r="G60" s="39">
        <f t="shared" si="10"/>
        <v>6531.7419999999993</v>
      </c>
      <c r="H60" s="179">
        <f t="shared" si="11"/>
        <v>-1.7046294847530667E-2</v>
      </c>
      <c r="I60" s="39"/>
      <c r="O60" s="81">
        <v>0.91</v>
      </c>
      <c r="P60" s="81">
        <f t="shared" si="8"/>
        <v>100.2183</v>
      </c>
      <c r="W60" s="130">
        <v>42746</v>
      </c>
      <c r="X60" s="10">
        <v>108.54</v>
      </c>
      <c r="Y60" s="10">
        <v>109.49</v>
      </c>
      <c r="Z60" s="10">
        <v>108.38</v>
      </c>
      <c r="AA60" s="10">
        <v>109.44</v>
      </c>
      <c r="AB60" s="93">
        <v>7590400</v>
      </c>
      <c r="AC60" s="10">
        <v>109.44</v>
      </c>
      <c r="AD60" s="2">
        <f t="shared" si="0"/>
        <v>1.1099999999999994</v>
      </c>
      <c r="AE60" s="134">
        <f t="shared" si="1"/>
        <v>9.7804022882450603E-3</v>
      </c>
    </row>
    <row r="61" spans="2:31" x14ac:dyDescent="0.25">
      <c r="B61" s="164">
        <v>42641</v>
      </c>
      <c r="C61" s="10">
        <v>70</v>
      </c>
      <c r="D61" s="39">
        <v>93.310599999999994</v>
      </c>
      <c r="E61" s="39">
        <v>92.2</v>
      </c>
      <c r="F61" s="39">
        <f t="shared" si="9"/>
        <v>-77.741999999999365</v>
      </c>
      <c r="G61" s="39">
        <f t="shared" si="10"/>
        <v>6531.7419999999993</v>
      </c>
      <c r="H61" s="179">
        <f t="shared" si="11"/>
        <v>-1.1902184746427426E-2</v>
      </c>
      <c r="I61" s="39"/>
      <c r="O61" s="81">
        <v>0.9</v>
      </c>
      <c r="P61" s="81">
        <f t="shared" si="8"/>
        <v>99.117000000000004</v>
      </c>
      <c r="W61" s="130">
        <v>42745</v>
      </c>
      <c r="X61" s="10">
        <v>107.9</v>
      </c>
      <c r="Y61" s="10">
        <v>108.82</v>
      </c>
      <c r="Z61" s="10">
        <v>107.35</v>
      </c>
      <c r="AA61" s="10">
        <v>108.38</v>
      </c>
      <c r="AB61" s="93">
        <v>7893600</v>
      </c>
      <c r="AC61" s="10">
        <v>108.38</v>
      </c>
      <c r="AD61" s="2">
        <f t="shared" si="0"/>
        <v>1.4699999999999989</v>
      </c>
      <c r="AE61" s="134">
        <f t="shared" si="1"/>
        <v>1.8456995201177051E-4</v>
      </c>
    </row>
    <row r="62" spans="2:31" x14ac:dyDescent="0.25">
      <c r="B62" s="164">
        <v>42642</v>
      </c>
      <c r="C62" s="10">
        <v>70</v>
      </c>
      <c r="D62" s="39">
        <v>93.310599999999994</v>
      </c>
      <c r="E62" s="39">
        <v>92.86</v>
      </c>
      <c r="F62" s="39">
        <f t="shared" si="9"/>
        <v>-31.541999999999604</v>
      </c>
      <c r="G62" s="39">
        <f t="shared" si="10"/>
        <v>6531.7419999999993</v>
      </c>
      <c r="H62" s="179">
        <f t="shared" si="11"/>
        <v>-4.8290333574105664E-3</v>
      </c>
      <c r="I62" s="39"/>
      <c r="W62" s="130">
        <v>42744</v>
      </c>
      <c r="X62" s="10">
        <v>108.58</v>
      </c>
      <c r="Y62" s="10">
        <v>108.83</v>
      </c>
      <c r="Z62" s="10">
        <v>108.11</v>
      </c>
      <c r="AA62" s="10">
        <v>108.36</v>
      </c>
      <c r="AB62" s="93">
        <v>6193400</v>
      </c>
      <c r="AC62" s="10">
        <v>108.36</v>
      </c>
      <c r="AD62" s="2">
        <f t="shared" si="0"/>
        <v>0.71999999999999886</v>
      </c>
      <c r="AE62" s="134">
        <f t="shared" si="1"/>
        <v>-5.6891172692237202E-3</v>
      </c>
    </row>
    <row r="63" spans="2:31" x14ac:dyDescent="0.25">
      <c r="B63" s="164">
        <v>42651</v>
      </c>
      <c r="C63" s="10">
        <v>70</v>
      </c>
      <c r="D63" s="39">
        <v>93.310599999999994</v>
      </c>
      <c r="E63" s="39">
        <v>92.49</v>
      </c>
      <c r="F63" s="39">
        <f t="shared" si="9"/>
        <v>-57.441999999999922</v>
      </c>
      <c r="G63" s="39">
        <f t="shared" si="10"/>
        <v>6531.7419999999993</v>
      </c>
      <c r="H63" s="179">
        <f t="shared" si="11"/>
        <v>-8.7942848936776626E-3</v>
      </c>
      <c r="I63" s="39"/>
      <c r="W63" s="130">
        <v>42741</v>
      </c>
      <c r="X63" s="10">
        <v>108.02</v>
      </c>
      <c r="Y63" s="10">
        <v>109.35</v>
      </c>
      <c r="Z63" s="10">
        <v>107.75</v>
      </c>
      <c r="AA63" s="10">
        <v>108.98</v>
      </c>
      <c r="AB63" s="93">
        <v>9263300</v>
      </c>
      <c r="AC63" s="10">
        <v>108.98</v>
      </c>
      <c r="AD63" s="2">
        <f t="shared" si="0"/>
        <v>1.5999999999999943</v>
      </c>
      <c r="AE63" s="134">
        <f t="shared" si="1"/>
        <v>1.4900353883404716E-2</v>
      </c>
    </row>
    <row r="64" spans="2:31" x14ac:dyDescent="0.25">
      <c r="B64" s="164">
        <v>42664</v>
      </c>
      <c r="C64" s="10">
        <v>70</v>
      </c>
      <c r="D64" s="39">
        <v>93.310599999999994</v>
      </c>
      <c r="E64" s="39">
        <v>93.03</v>
      </c>
      <c r="F64" s="39">
        <f t="shared" si="9"/>
        <v>-19.641999999999484</v>
      </c>
      <c r="G64" s="39">
        <f t="shared" si="10"/>
        <v>6531.7419999999993</v>
      </c>
      <c r="H64" s="179">
        <f t="shared" si="11"/>
        <v>-3.0071610299364985E-3</v>
      </c>
      <c r="I64" s="39"/>
      <c r="W64" s="130">
        <v>42740</v>
      </c>
      <c r="X64" s="10">
        <v>107.17</v>
      </c>
      <c r="Y64" s="10">
        <v>107.62</v>
      </c>
      <c r="Z64" s="10">
        <v>106.79</v>
      </c>
      <c r="AA64" s="10">
        <v>107.38</v>
      </c>
      <c r="AB64" s="93">
        <v>6292500</v>
      </c>
      <c r="AC64" s="10">
        <v>107.38</v>
      </c>
      <c r="AD64" s="2">
        <f t="shared" si="0"/>
        <v>0.82999999999999829</v>
      </c>
      <c r="AE64" s="134">
        <f t="shared" si="1"/>
        <v>-5.5845122859277119E-4</v>
      </c>
    </row>
    <row r="65" spans="2:31" x14ac:dyDescent="0.25">
      <c r="B65" s="164">
        <v>42674</v>
      </c>
      <c r="C65" s="10">
        <v>70</v>
      </c>
      <c r="D65" s="39">
        <v>93.310599999999994</v>
      </c>
      <c r="E65" s="39">
        <v>92.69</v>
      </c>
      <c r="F65" s="39">
        <f t="shared" si="9"/>
        <v>-43.441999999999723</v>
      </c>
      <c r="G65" s="39">
        <f t="shared" si="10"/>
        <v>6531.7419999999993</v>
      </c>
      <c r="H65" s="179">
        <f t="shared" si="11"/>
        <v>-6.6509056848846337E-3</v>
      </c>
      <c r="I65" s="39"/>
      <c r="W65" s="130">
        <v>42739</v>
      </c>
      <c r="X65" s="10">
        <v>106.64</v>
      </c>
      <c r="Y65" s="10">
        <v>107.5</v>
      </c>
      <c r="Z65" s="10">
        <v>106.25</v>
      </c>
      <c r="AA65" s="10">
        <v>107.44</v>
      </c>
      <c r="AB65" s="93">
        <v>8231900</v>
      </c>
      <c r="AC65" s="10">
        <v>107.44</v>
      </c>
      <c r="AD65" s="2">
        <f t="shared" si="0"/>
        <v>1.25</v>
      </c>
      <c r="AE65" s="134">
        <f t="shared" si="1"/>
        <v>1.2820512820512775E-2</v>
      </c>
    </row>
    <row r="66" spans="2:31" x14ac:dyDescent="0.25">
      <c r="B66" s="164">
        <v>42701</v>
      </c>
      <c r="C66" s="10">
        <v>0</v>
      </c>
      <c r="D66" s="39"/>
      <c r="E66" s="39"/>
      <c r="F66" s="39">
        <v>257.31</v>
      </c>
      <c r="G66" s="39"/>
      <c r="H66" s="179"/>
      <c r="I66" s="39"/>
      <c r="W66" s="130">
        <v>42738</v>
      </c>
      <c r="X66" s="10">
        <v>105.3</v>
      </c>
      <c r="Y66" s="10">
        <v>106.9</v>
      </c>
      <c r="Z66" s="10">
        <v>105.21</v>
      </c>
      <c r="AA66" s="10">
        <v>106.08</v>
      </c>
      <c r="AB66" s="93">
        <v>8872900</v>
      </c>
      <c r="AC66" s="10">
        <v>106.08</v>
      </c>
      <c r="AD66" s="2">
        <f t="shared" si="0"/>
        <v>1.6900000000000119</v>
      </c>
      <c r="AE66" s="134">
        <f t="shared" si="1"/>
        <v>1.7846862406447839E-2</v>
      </c>
    </row>
    <row r="67" spans="2:31" x14ac:dyDescent="0.25">
      <c r="B67" s="164"/>
      <c r="C67" s="10"/>
      <c r="D67" s="39"/>
      <c r="E67" s="39"/>
      <c r="F67" s="39"/>
      <c r="G67" s="39"/>
      <c r="H67" s="179"/>
      <c r="I67" s="39"/>
      <c r="W67" s="130">
        <v>42734</v>
      </c>
      <c r="X67" s="10">
        <v>104.57</v>
      </c>
      <c r="Y67" s="10">
        <v>105</v>
      </c>
      <c r="Z67" s="10">
        <v>103.96</v>
      </c>
      <c r="AA67" s="10">
        <v>104.22</v>
      </c>
      <c r="AB67" s="93">
        <v>6629500</v>
      </c>
      <c r="AC67" s="10">
        <v>104.22</v>
      </c>
      <c r="AD67" s="2">
        <f>Y67-Z67</f>
        <v>1.0400000000000063</v>
      </c>
      <c r="AE67" s="134" t="e">
        <f>AC67/#REF!-1</f>
        <v>#REF!</v>
      </c>
    </row>
    <row r="68" spans="2:31" x14ac:dyDescent="0.25">
      <c r="B68" s="164"/>
      <c r="C68" s="10"/>
      <c r="D68" s="39"/>
      <c r="E68" s="39"/>
      <c r="F68" s="39"/>
      <c r="G68" s="39"/>
      <c r="H68" s="179"/>
      <c r="I68" s="39"/>
      <c r="W68" s="130" t="s">
        <v>120</v>
      </c>
      <c r="X68" s="10"/>
      <c r="Y68" s="10"/>
      <c r="Z68" s="10"/>
      <c r="AA68" s="10"/>
      <c r="AB68" s="93"/>
      <c r="AC68" s="10"/>
      <c r="AD68" s="2" t="e">
        <f>#REF!-#REF!</f>
        <v>#REF!</v>
      </c>
      <c r="AE68" s="134" t="e">
        <f>#REF!/AC68-1</f>
        <v>#REF!</v>
      </c>
    </row>
    <row r="69" spans="2:31" x14ac:dyDescent="0.25">
      <c r="B69" s="164"/>
      <c r="C69" s="10"/>
      <c r="D69" s="39"/>
      <c r="E69" s="39"/>
      <c r="F69" s="39"/>
      <c r="G69" s="39"/>
      <c r="H69" s="179"/>
      <c r="I69" s="39"/>
      <c r="AD69" s="2">
        <f>Y68-Z68</f>
        <v>0</v>
      </c>
      <c r="AE69" s="134" t="e">
        <f>AC68/AC69-1</f>
        <v>#DIV/0!</v>
      </c>
    </row>
    <row r="70" spans="2:31" x14ac:dyDescent="0.25">
      <c r="B70" s="164"/>
      <c r="C70" s="10"/>
      <c r="D70" s="39"/>
      <c r="E70" s="39"/>
      <c r="F70" s="39"/>
      <c r="G70" s="39"/>
      <c r="H70" s="179"/>
      <c r="I70" s="39"/>
    </row>
    <row r="81" spans="1:13" x14ac:dyDescent="0.25">
      <c r="L81" t="s">
        <v>65</v>
      </c>
      <c r="M81" s="2">
        <f>M99+K99-F99</f>
        <v>257.30999999999949</v>
      </c>
    </row>
    <row r="82" spans="1:13" x14ac:dyDescent="0.25">
      <c r="A82" s="453" t="s">
        <v>1</v>
      </c>
      <c r="B82" s="453" t="s">
        <v>2</v>
      </c>
      <c r="C82" s="453" t="s">
        <v>4</v>
      </c>
      <c r="D82" s="454" t="s">
        <v>5</v>
      </c>
      <c r="E82" s="454" t="s">
        <v>94</v>
      </c>
      <c r="F82" s="454" t="s">
        <v>60</v>
      </c>
      <c r="G82" s="453" t="s">
        <v>3</v>
      </c>
      <c r="H82" s="453" t="s">
        <v>6</v>
      </c>
      <c r="I82" s="454" t="s">
        <v>7</v>
      </c>
      <c r="J82" s="454" t="s">
        <v>95</v>
      </c>
      <c r="K82" s="454" t="s">
        <v>61</v>
      </c>
      <c r="L82" s="453" t="s">
        <v>37</v>
      </c>
      <c r="M82" s="453" t="s">
        <v>38</v>
      </c>
    </row>
    <row r="83" spans="1:13" x14ac:dyDescent="0.25">
      <c r="A83" s="455" t="s">
        <v>63</v>
      </c>
      <c r="B83" s="452">
        <v>42226</v>
      </c>
      <c r="C83" s="456">
        <v>10</v>
      </c>
      <c r="D83" s="457">
        <v>113.72</v>
      </c>
      <c r="E83" s="457">
        <v>0</v>
      </c>
      <c r="F83" s="457">
        <f t="shared" ref="F83:F92" si="12">C83*D83</f>
        <v>1137.2</v>
      </c>
      <c r="G83" s="452">
        <v>42304</v>
      </c>
      <c r="H83" s="458">
        <v>30</v>
      </c>
      <c r="I83" s="457">
        <v>111.35</v>
      </c>
      <c r="J83" s="457">
        <v>0.06</v>
      </c>
      <c r="K83" s="457">
        <f t="shared" ref="K83:K88" si="13">I83*H83-J83</f>
        <v>3340.44</v>
      </c>
      <c r="L83" s="452">
        <v>42580</v>
      </c>
      <c r="M83" s="457">
        <v>10.65</v>
      </c>
    </row>
    <row r="84" spans="1:13" x14ac:dyDescent="0.25">
      <c r="A84" s="459" t="s">
        <v>71</v>
      </c>
      <c r="B84" s="452">
        <v>42226</v>
      </c>
      <c r="C84" s="456">
        <v>5</v>
      </c>
      <c r="D84" s="457">
        <v>112.2</v>
      </c>
      <c r="E84" s="457">
        <v>0</v>
      </c>
      <c r="F84" s="457">
        <f t="shared" si="12"/>
        <v>561</v>
      </c>
      <c r="G84" s="452">
        <v>42416</v>
      </c>
      <c r="H84" s="458">
        <v>15</v>
      </c>
      <c r="I84" s="457">
        <v>92.85</v>
      </c>
      <c r="J84" s="457">
        <v>0.03</v>
      </c>
      <c r="K84" s="457">
        <f t="shared" si="13"/>
        <v>1392.72</v>
      </c>
      <c r="L84" s="456"/>
      <c r="M84" s="456"/>
    </row>
    <row r="85" spans="1:13" x14ac:dyDescent="0.25">
      <c r="A85" s="456"/>
      <c r="B85" s="452">
        <v>42226</v>
      </c>
      <c r="C85" s="456">
        <v>5</v>
      </c>
      <c r="D85" s="457">
        <v>110.93</v>
      </c>
      <c r="E85" s="457">
        <v>0</v>
      </c>
      <c r="F85" s="457">
        <f t="shared" si="12"/>
        <v>554.65000000000009</v>
      </c>
      <c r="G85" s="452">
        <v>42482</v>
      </c>
      <c r="H85" s="458">
        <v>10</v>
      </c>
      <c r="I85" s="457">
        <v>103.71</v>
      </c>
      <c r="J85" s="457">
        <v>0.02</v>
      </c>
      <c r="K85" s="457">
        <f t="shared" si="13"/>
        <v>1037.08</v>
      </c>
      <c r="L85" s="456"/>
      <c r="M85" s="456"/>
    </row>
    <row r="86" spans="1:13" x14ac:dyDescent="0.25">
      <c r="A86" s="456"/>
      <c r="B86" s="452">
        <v>42227</v>
      </c>
      <c r="C86" s="456">
        <v>10</v>
      </c>
      <c r="D86" s="457">
        <v>105</v>
      </c>
      <c r="E86" s="457">
        <v>0</v>
      </c>
      <c r="F86" s="457">
        <f t="shared" si="12"/>
        <v>1050</v>
      </c>
      <c r="G86" s="452">
        <v>42592</v>
      </c>
      <c r="H86" s="458">
        <v>15</v>
      </c>
      <c r="I86" s="457">
        <v>97.88</v>
      </c>
      <c r="J86" s="457">
        <v>0.03</v>
      </c>
      <c r="K86" s="457">
        <f t="shared" si="13"/>
        <v>1468.1699999999998</v>
      </c>
      <c r="L86" s="456"/>
      <c r="M86" s="456"/>
    </row>
    <row r="87" spans="1:13" x14ac:dyDescent="0.25">
      <c r="A87" s="456"/>
      <c r="B87" s="452">
        <v>42374</v>
      </c>
      <c r="C87" s="456">
        <v>25</v>
      </c>
      <c r="D87" s="457">
        <v>100.9</v>
      </c>
      <c r="E87" s="457">
        <v>0</v>
      </c>
      <c r="F87" s="457">
        <f t="shared" si="12"/>
        <v>2522.5</v>
      </c>
      <c r="G87" s="452">
        <v>42684</v>
      </c>
      <c r="H87" s="458">
        <v>50</v>
      </c>
      <c r="I87" s="457">
        <v>97.5</v>
      </c>
      <c r="J87" s="457">
        <v>0.11</v>
      </c>
      <c r="K87" s="457">
        <f t="shared" si="13"/>
        <v>4874.8900000000003</v>
      </c>
      <c r="L87" s="456"/>
      <c r="M87" s="456"/>
    </row>
    <row r="88" spans="1:13" x14ac:dyDescent="0.25">
      <c r="A88" s="456"/>
      <c r="B88" s="452">
        <v>42409</v>
      </c>
      <c r="C88" s="456">
        <v>15</v>
      </c>
      <c r="D88" s="457">
        <v>88.5</v>
      </c>
      <c r="E88" s="457">
        <v>0</v>
      </c>
      <c r="F88" s="457">
        <f t="shared" si="12"/>
        <v>1327.5</v>
      </c>
      <c r="G88" s="452">
        <v>42684</v>
      </c>
      <c r="H88" s="458">
        <v>20</v>
      </c>
      <c r="I88" s="457">
        <v>95.71</v>
      </c>
      <c r="J88" s="457">
        <v>0.04</v>
      </c>
      <c r="K88" s="457">
        <f t="shared" si="13"/>
        <v>1914.1599999999999</v>
      </c>
      <c r="L88" s="456"/>
      <c r="M88" s="456"/>
    </row>
    <row r="89" spans="1:13" x14ac:dyDescent="0.25">
      <c r="A89" s="456"/>
      <c r="B89" s="452">
        <v>42586</v>
      </c>
      <c r="C89" s="456">
        <v>15</v>
      </c>
      <c r="D89" s="457">
        <v>94.88</v>
      </c>
      <c r="E89" s="457">
        <v>0</v>
      </c>
      <c r="F89" s="457">
        <f t="shared" si="12"/>
        <v>1423.1999999999998</v>
      </c>
      <c r="G89" s="456"/>
      <c r="H89" s="458"/>
      <c r="I89" s="457"/>
      <c r="J89" s="457"/>
      <c r="K89" s="457"/>
      <c r="L89" s="456"/>
      <c r="M89" s="456"/>
    </row>
    <row r="90" spans="1:13" x14ac:dyDescent="0.25">
      <c r="A90" s="456"/>
      <c r="B90" s="452">
        <v>42594</v>
      </c>
      <c r="C90" s="456">
        <v>15</v>
      </c>
      <c r="D90" s="457">
        <v>96.85</v>
      </c>
      <c r="E90" s="457">
        <v>0</v>
      </c>
      <c r="F90" s="457">
        <f t="shared" si="12"/>
        <v>1452.75</v>
      </c>
      <c r="G90" s="456"/>
      <c r="H90" s="458"/>
      <c r="I90" s="457"/>
      <c r="J90" s="457"/>
      <c r="K90" s="457"/>
      <c r="L90" s="456"/>
      <c r="M90" s="456"/>
    </row>
    <row r="91" spans="1:13" x14ac:dyDescent="0.25">
      <c r="A91" s="456"/>
      <c r="B91" s="452">
        <v>42611</v>
      </c>
      <c r="C91" s="456">
        <v>25</v>
      </c>
      <c r="D91" s="457">
        <v>94.58</v>
      </c>
      <c r="E91" s="457">
        <v>0</v>
      </c>
      <c r="F91" s="457">
        <f t="shared" si="12"/>
        <v>2364.5</v>
      </c>
      <c r="G91" s="456"/>
      <c r="H91" s="456"/>
      <c r="I91" s="457"/>
      <c r="J91" s="457"/>
      <c r="K91" s="457"/>
      <c r="L91" s="456"/>
      <c r="M91" s="456"/>
    </row>
    <row r="92" spans="1:13" x14ac:dyDescent="0.25">
      <c r="A92" s="456"/>
      <c r="B92" s="452">
        <v>42622</v>
      </c>
      <c r="C92" s="456">
        <v>15</v>
      </c>
      <c r="D92" s="457">
        <v>92.5</v>
      </c>
      <c r="E92" s="457">
        <v>0</v>
      </c>
      <c r="F92" s="457">
        <f t="shared" si="12"/>
        <v>1387.5</v>
      </c>
      <c r="G92" s="456"/>
      <c r="H92" s="456"/>
      <c r="I92" s="457"/>
      <c r="J92" s="457"/>
      <c r="K92" s="457"/>
      <c r="L92" s="456"/>
      <c r="M92" s="456"/>
    </row>
    <row r="93" spans="1:13" x14ac:dyDescent="0.25">
      <c r="A93" s="456"/>
      <c r="B93" s="456"/>
      <c r="C93" s="456"/>
      <c r="D93" s="457"/>
      <c r="E93" s="457"/>
      <c r="F93" s="457"/>
      <c r="G93" s="456"/>
      <c r="H93" s="456"/>
      <c r="I93" s="457"/>
      <c r="J93" s="457"/>
      <c r="K93" s="457"/>
      <c r="L93" s="456"/>
      <c r="M93" s="456"/>
    </row>
    <row r="94" spans="1:13" x14ac:dyDescent="0.25">
      <c r="A94" s="456"/>
      <c r="B94" s="456"/>
      <c r="C94" s="456"/>
      <c r="D94" s="457"/>
      <c r="E94" s="457"/>
      <c r="F94" s="457"/>
      <c r="G94" s="456"/>
      <c r="H94" s="456"/>
      <c r="I94" s="457"/>
      <c r="J94" s="457"/>
      <c r="K94" s="457"/>
      <c r="L94" s="456"/>
      <c r="M94" s="456"/>
    </row>
    <row r="95" spans="1:13" x14ac:dyDescent="0.25">
      <c r="A95" s="456"/>
      <c r="B95" s="456"/>
      <c r="C95" s="456"/>
      <c r="D95" s="457"/>
      <c r="E95" s="457"/>
      <c r="F95" s="457"/>
      <c r="G95" s="456"/>
      <c r="H95" s="456"/>
      <c r="I95" s="457"/>
      <c r="J95" s="457"/>
      <c r="K95" s="457"/>
      <c r="L95" s="456"/>
      <c r="M95" s="456"/>
    </row>
    <row r="96" spans="1:13" x14ac:dyDescent="0.25">
      <c r="A96" s="456"/>
      <c r="B96" s="456"/>
      <c r="C96" s="456"/>
      <c r="D96" s="457"/>
      <c r="E96" s="457"/>
      <c r="F96" s="457"/>
      <c r="G96" s="456"/>
      <c r="H96" s="456"/>
      <c r="I96" s="457"/>
      <c r="J96" s="457"/>
      <c r="K96" s="457"/>
      <c r="L96" s="456"/>
      <c r="M96" s="456"/>
    </row>
    <row r="97" spans="1:13" x14ac:dyDescent="0.25">
      <c r="A97" s="456"/>
      <c r="B97" s="456"/>
      <c r="C97" s="456"/>
      <c r="D97" s="457"/>
      <c r="E97" s="457"/>
      <c r="F97" s="457"/>
      <c r="G97" s="456"/>
      <c r="H97" s="456"/>
      <c r="I97" s="457"/>
      <c r="J97" s="457"/>
      <c r="K97" s="457"/>
      <c r="L97" s="456"/>
      <c r="M97" s="456"/>
    </row>
    <row r="98" spans="1:13" x14ac:dyDescent="0.25">
      <c r="A98" s="456"/>
      <c r="B98" s="456"/>
      <c r="C98" s="456"/>
      <c r="D98" s="457"/>
      <c r="E98" s="457"/>
      <c r="F98" s="457"/>
      <c r="G98" s="456"/>
      <c r="H98" s="456"/>
      <c r="I98" s="457"/>
      <c r="J98" s="457"/>
      <c r="K98" s="457"/>
      <c r="L98" s="456"/>
      <c r="M98" s="456"/>
    </row>
    <row r="99" spans="1:13" x14ac:dyDescent="0.25">
      <c r="A99" s="460" t="s">
        <v>81</v>
      </c>
      <c r="B99" s="461"/>
      <c r="C99" s="461">
        <f>SUM(C83:C92)</f>
        <v>140</v>
      </c>
      <c r="D99" s="462"/>
      <c r="E99" s="462"/>
      <c r="F99" s="462">
        <f>SUM(F83:F92)</f>
        <v>13780.8</v>
      </c>
      <c r="G99" s="461"/>
      <c r="H99" s="463">
        <f>SUM(H83:H88)</f>
        <v>140</v>
      </c>
      <c r="I99" s="462"/>
      <c r="J99" s="462"/>
      <c r="K99" s="462">
        <f>SUM(K83:K88)</f>
        <v>14027.46</v>
      </c>
      <c r="L99" s="461"/>
      <c r="M99" s="462">
        <f>SUM(M83:M86)</f>
        <v>10.65</v>
      </c>
    </row>
    <row r="100" spans="1:13" ht="15.75" thickBot="1" x14ac:dyDescent="0.3">
      <c r="A100" s="464" t="s">
        <v>191</v>
      </c>
      <c r="B100" s="465"/>
      <c r="C100" s="466">
        <f>SumByColor($A$19,C83:C98)</f>
        <v>0</v>
      </c>
      <c r="D100" s="466"/>
      <c r="E100" s="466"/>
      <c r="F100" s="467">
        <f>SumByColor($A$19,F83:F98)</f>
        <v>0</v>
      </c>
      <c r="G100" s="466"/>
      <c r="H100" s="466">
        <f>SumByColor($A$19,H83:H98)</f>
        <v>0</v>
      </c>
      <c r="I100" s="466"/>
      <c r="J100" s="466"/>
      <c r="K100" s="467">
        <f>SumByColor($A$19,K83:K98)</f>
        <v>0</v>
      </c>
      <c r="L100" s="466"/>
      <c r="M100" s="467">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195" priority="15">
      <formula>F25&gt;0</formula>
    </cfRule>
    <cfRule type="expression" dxfId="194" priority="16">
      <formula>F25&lt;0</formula>
    </cfRule>
  </conditionalFormatting>
  <conditionalFormatting sqref="F32:F70">
    <cfRule type="expression" dxfId="193" priority="11">
      <formula>F32&gt;0</formula>
    </cfRule>
    <cfRule type="expression" dxfId="192" priority="12">
      <formula>F32&lt;0</formula>
    </cfRule>
  </conditionalFormatting>
  <conditionalFormatting sqref="F32:F70">
    <cfRule type="expression" dxfId="191" priority="13">
      <formula>F32&gt;0</formula>
    </cfRule>
    <cfRule type="expression" dxfId="190" priority="14">
      <formula>F32&lt;0</formula>
    </cfRule>
  </conditionalFormatting>
  <conditionalFormatting sqref="H25 H30:H70">
    <cfRule type="expression" dxfId="189" priority="9">
      <formula>H25&gt;0</formula>
    </cfRule>
    <cfRule type="expression" dxfId="188" priority="10">
      <formula>H25&lt;0</formula>
    </cfRule>
  </conditionalFormatting>
  <conditionalFormatting sqref="F26:F29">
    <cfRule type="expression" dxfId="187" priority="7">
      <formula>F26&gt;0</formula>
    </cfRule>
    <cfRule type="expression" dxfId="186" priority="8">
      <formula>F26&lt;0</formula>
    </cfRule>
  </conditionalFormatting>
  <conditionalFormatting sqref="H26:H29">
    <cfRule type="expression" dxfId="185" priority="5">
      <formula>H26&gt;0</formula>
    </cfRule>
    <cfRule type="expression" dxfId="184" priority="6">
      <formula>H26&lt;0</formula>
    </cfRule>
  </conditionalFormatting>
  <conditionalFormatting sqref="Q7">
    <cfRule type="expression" dxfId="183" priority="3">
      <formula>Q7&gt;0</formula>
    </cfRule>
    <cfRule type="expression" dxfId="182" priority="4">
      <formula>Q7&lt;0</formula>
    </cfRule>
  </conditionalFormatting>
  <conditionalFormatting sqref="Q8">
    <cfRule type="expression" dxfId="181" priority="1">
      <formula>Q8&gt;0</formula>
    </cfRule>
    <cfRule type="expression" dxfId="180"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6" width="9.140625" style="2"/>
    <col min="7" max="7" width="10.7109375" bestFit="1" customWidth="1"/>
    <col min="9" max="9" width="11.42578125" style="2" bestFit="1" customWidth="1"/>
    <col min="10" max="11" width="9.140625" style="2"/>
    <col min="18" max="18" width="10.7109375" bestFit="1" customWidth="1"/>
    <col min="20" max="20" width="18.5703125" bestFit="1" customWidth="1"/>
    <col min="21" max="21" width="23.140625" style="84" customWidth="1"/>
    <col min="23" max="23" width="11.85546875" customWidth="1"/>
    <col min="24" max="24" width="8.140625" customWidth="1"/>
    <col min="25" max="27" width="7" bestFit="1" customWidth="1"/>
    <col min="28" max="28" width="11.140625" bestFit="1" customWidth="1"/>
    <col min="29" max="29" width="10.28515625" bestFit="1" customWidth="1"/>
    <col min="30" max="30" width="11.5703125" customWidth="1"/>
    <col min="31" max="31" width="13" customWidth="1"/>
  </cols>
  <sheetData>
    <row r="1" spans="1:21" s="11" customFormat="1" x14ac:dyDescent="0.25">
      <c r="A1" s="11" t="s">
        <v>1</v>
      </c>
      <c r="B1" s="11" t="s">
        <v>2</v>
      </c>
      <c r="C1" s="11" t="s">
        <v>4</v>
      </c>
      <c r="D1" s="20" t="s">
        <v>5</v>
      </c>
      <c r="E1" s="20" t="s">
        <v>94</v>
      </c>
      <c r="F1" s="20" t="s">
        <v>60</v>
      </c>
      <c r="G1" s="11" t="s">
        <v>3</v>
      </c>
      <c r="H1" s="11" t="s">
        <v>6</v>
      </c>
      <c r="I1" s="76" t="s">
        <v>7</v>
      </c>
      <c r="J1" s="20" t="s">
        <v>95</v>
      </c>
      <c r="K1" s="20" t="s">
        <v>61</v>
      </c>
      <c r="L1" s="11" t="s">
        <v>37</v>
      </c>
      <c r="M1" s="11" t="s">
        <v>38</v>
      </c>
      <c r="T1" s="11" t="s">
        <v>70</v>
      </c>
      <c r="U1" s="82"/>
    </row>
    <row r="2" spans="1:21" x14ac:dyDescent="0.25">
      <c r="A2" s="6" t="s">
        <v>9</v>
      </c>
      <c r="B2" s="406">
        <v>42629</v>
      </c>
      <c r="C2" s="7">
        <v>400</v>
      </c>
      <c r="D2" s="43">
        <v>4.28</v>
      </c>
      <c r="E2" s="43">
        <v>0</v>
      </c>
      <c r="F2" s="43">
        <f t="shared" ref="F2:F12" si="0">C2*D2+E2</f>
        <v>1712</v>
      </c>
      <c r="G2" s="406">
        <v>42634</v>
      </c>
      <c r="H2" s="7">
        <v>400</v>
      </c>
      <c r="I2" s="77">
        <v>4.2</v>
      </c>
      <c r="J2" s="43">
        <v>0.04</v>
      </c>
      <c r="K2" s="43">
        <f>H2*I2-J2</f>
        <v>1679.96</v>
      </c>
      <c r="L2" s="1">
        <v>43099</v>
      </c>
      <c r="M2" s="43">
        <v>115.5</v>
      </c>
      <c r="O2" s="11" t="s">
        <v>57</v>
      </c>
      <c r="Q2">
        <f xml:space="preserve"> _xlfn.FLOOR.MATH((C29-H29)/U2)</f>
        <v>0</v>
      </c>
      <c r="T2" s="1" t="s">
        <v>657</v>
      </c>
      <c r="U2" s="84">
        <v>15</v>
      </c>
    </row>
    <row r="3" spans="1:21" x14ac:dyDescent="0.25">
      <c r="A3" s="22" t="s">
        <v>71</v>
      </c>
      <c r="B3" s="406">
        <v>42634</v>
      </c>
      <c r="C3" s="7">
        <v>400</v>
      </c>
      <c r="D3" s="43">
        <v>4.08</v>
      </c>
      <c r="E3" s="43">
        <v>0</v>
      </c>
      <c r="F3" s="43">
        <f t="shared" si="0"/>
        <v>1632</v>
      </c>
      <c r="G3" s="406">
        <v>42670</v>
      </c>
      <c r="H3" s="80">
        <v>200</v>
      </c>
      <c r="I3" s="77">
        <v>4.18</v>
      </c>
      <c r="J3" s="43">
        <v>0.02</v>
      </c>
      <c r="K3" s="43">
        <f t="shared" ref="K3:K14" si="1">H3*I3-J3</f>
        <v>835.98</v>
      </c>
      <c r="L3" s="1">
        <v>42825</v>
      </c>
      <c r="M3" s="43">
        <v>210</v>
      </c>
      <c r="O3" s="11" t="s">
        <v>58</v>
      </c>
      <c r="Q3" s="396">
        <f>IF(Q2=0, Q4, (F29-M29-K29)/Q2)</f>
        <v>1.95</v>
      </c>
      <c r="T3" s="1"/>
    </row>
    <row r="4" spans="1:21" x14ac:dyDescent="0.25">
      <c r="B4" s="406">
        <v>42648</v>
      </c>
      <c r="C4" s="7">
        <v>400</v>
      </c>
      <c r="D4" s="43">
        <v>4.0199999999999996</v>
      </c>
      <c r="E4" s="43">
        <v>0</v>
      </c>
      <c r="F4" s="43">
        <f t="shared" si="0"/>
        <v>1607.9999999999998</v>
      </c>
      <c r="G4" s="406">
        <v>42670</v>
      </c>
      <c r="H4" s="80">
        <v>200</v>
      </c>
      <c r="I4" s="77">
        <v>4.22</v>
      </c>
      <c r="J4" s="43">
        <v>0.02</v>
      </c>
      <c r="K4" s="43">
        <f t="shared" si="1"/>
        <v>843.98</v>
      </c>
      <c r="L4" s="1">
        <v>42916</v>
      </c>
      <c r="M4" s="7">
        <v>160</v>
      </c>
      <c r="O4" s="11" t="s">
        <v>66</v>
      </c>
      <c r="Q4" s="172">
        <v>1.95</v>
      </c>
      <c r="R4" s="405">
        <v>2.5899999999999999E-2</v>
      </c>
      <c r="T4" s="156"/>
    </row>
    <row r="5" spans="1:21" x14ac:dyDescent="0.25">
      <c r="B5" s="406">
        <v>42674</v>
      </c>
      <c r="C5" s="7">
        <v>400</v>
      </c>
      <c r="D5" s="43">
        <v>4.0199999999999996</v>
      </c>
      <c r="E5" s="43">
        <v>0</v>
      </c>
      <c r="F5" s="43">
        <f t="shared" si="0"/>
        <v>1607.9999999999998</v>
      </c>
      <c r="G5" s="406">
        <v>42697</v>
      </c>
      <c r="H5" s="80">
        <v>400</v>
      </c>
      <c r="I5" s="77">
        <v>3.62</v>
      </c>
      <c r="J5" s="43">
        <v>0.03</v>
      </c>
      <c r="K5" s="43">
        <f t="shared" si="1"/>
        <v>1447.97</v>
      </c>
      <c r="L5" t="s">
        <v>657</v>
      </c>
      <c r="M5">
        <v>9.1300000000000008</v>
      </c>
      <c r="O5" s="11" t="s">
        <v>67</v>
      </c>
      <c r="Q5" s="3">
        <f>Q4*Q2</f>
        <v>0</v>
      </c>
    </row>
    <row r="6" spans="1:21" x14ac:dyDescent="0.25">
      <c r="B6" s="406">
        <v>42676</v>
      </c>
      <c r="C6" s="7">
        <v>300</v>
      </c>
      <c r="D6" s="43">
        <v>3.59</v>
      </c>
      <c r="E6" s="43">
        <v>0</v>
      </c>
      <c r="F6" s="43">
        <f t="shared" si="0"/>
        <v>1077</v>
      </c>
      <c r="G6" s="406">
        <v>42702</v>
      </c>
      <c r="H6" s="80">
        <v>400</v>
      </c>
      <c r="I6" s="77">
        <v>3.75</v>
      </c>
      <c r="J6" s="43">
        <v>0.03</v>
      </c>
      <c r="K6" s="43">
        <f t="shared" si="1"/>
        <v>1499.97</v>
      </c>
      <c r="L6" s="1">
        <v>43007</v>
      </c>
      <c r="M6" s="2">
        <v>159.6</v>
      </c>
      <c r="O6" s="11" t="s">
        <v>64</v>
      </c>
      <c r="Q6" s="2">
        <f>Q3*Q2</f>
        <v>0</v>
      </c>
    </row>
    <row r="7" spans="1:21" x14ac:dyDescent="0.25">
      <c r="B7" s="406">
        <v>42678</v>
      </c>
      <c r="C7" s="7">
        <v>400</v>
      </c>
      <c r="D7" s="43">
        <v>3.13</v>
      </c>
      <c r="E7" s="43">
        <v>0</v>
      </c>
      <c r="F7" s="43">
        <f t="shared" si="0"/>
        <v>1252</v>
      </c>
      <c r="G7" s="406">
        <v>42738</v>
      </c>
      <c r="H7" s="80">
        <v>700</v>
      </c>
      <c r="I7" s="77">
        <v>3.55</v>
      </c>
      <c r="J7" s="43">
        <v>0.05</v>
      </c>
      <c r="K7" s="43">
        <f t="shared" si="1"/>
        <v>2484.9499999999998</v>
      </c>
      <c r="O7" s="11" t="s">
        <v>177</v>
      </c>
      <c r="Q7" s="2">
        <f>Q10+Q8</f>
        <v>-7897.1833333333343</v>
      </c>
      <c r="R7">
        <v>0</v>
      </c>
    </row>
    <row r="8" spans="1:21" x14ac:dyDescent="0.25">
      <c r="B8" s="406">
        <v>42716</v>
      </c>
      <c r="C8" s="7">
        <v>400</v>
      </c>
      <c r="D8" s="43">
        <v>3.56</v>
      </c>
      <c r="E8" s="43">
        <v>0</v>
      </c>
      <c r="F8" s="43">
        <f t="shared" si="0"/>
        <v>1424</v>
      </c>
      <c r="G8" s="406">
        <v>42760</v>
      </c>
      <c r="H8" s="80">
        <v>400</v>
      </c>
      <c r="I8" s="77">
        <v>3.45</v>
      </c>
      <c r="J8" s="43">
        <v>-0.46</v>
      </c>
      <c r="K8" s="43">
        <f t="shared" si="1"/>
        <v>1380.46</v>
      </c>
      <c r="O8" s="11" t="s">
        <v>179</v>
      </c>
      <c r="P8" s="33"/>
      <c r="Q8" s="2">
        <f>K29+M29-F29+Q2*Q4</f>
        <v>-8332.1133333333346</v>
      </c>
    </row>
    <row r="9" spans="1:21" x14ac:dyDescent="0.25">
      <c r="B9" s="406">
        <v>42725</v>
      </c>
      <c r="C9" s="7">
        <v>700</v>
      </c>
      <c r="D9" s="43">
        <v>3.33</v>
      </c>
      <c r="E9" s="43">
        <v>0</v>
      </c>
      <c r="F9" s="43">
        <f t="shared" si="0"/>
        <v>2331</v>
      </c>
      <c r="G9" s="406">
        <v>42790</v>
      </c>
      <c r="H9" s="80">
        <v>700</v>
      </c>
      <c r="I9" s="77">
        <v>3.42</v>
      </c>
      <c r="J9" s="43">
        <v>0.05</v>
      </c>
      <c r="K9" s="43">
        <f t="shared" si="1"/>
        <v>2393.9499999999998</v>
      </c>
      <c r="O9" s="11" t="s">
        <v>204</v>
      </c>
      <c r="Q9" s="134">
        <f>IF(Q2=0, 0, Q8/Q6)</f>
        <v>0</v>
      </c>
    </row>
    <row r="10" spans="1:21" x14ac:dyDescent="0.25">
      <c r="B10" s="406">
        <v>42754</v>
      </c>
      <c r="C10" s="7">
        <v>400</v>
      </c>
      <c r="D10" s="43">
        <v>3.42</v>
      </c>
      <c r="E10" s="43">
        <v>0</v>
      </c>
      <c r="F10" s="43">
        <f t="shared" si="0"/>
        <v>1368</v>
      </c>
      <c r="G10" s="406">
        <v>42809</v>
      </c>
      <c r="H10" s="80">
        <v>1000</v>
      </c>
      <c r="I10" s="77">
        <v>2.3849999999999998</v>
      </c>
      <c r="J10" s="43">
        <v>0.05</v>
      </c>
      <c r="K10" s="43">
        <f t="shared" si="1"/>
        <v>2384.9499999999998</v>
      </c>
      <c r="O10" s="11" t="s">
        <v>203</v>
      </c>
      <c r="P10" s="33"/>
      <c r="Q10" s="2">
        <f>M102</f>
        <v>434.93000000000029</v>
      </c>
    </row>
    <row r="11" spans="1:21" x14ac:dyDescent="0.25">
      <c r="B11" s="406">
        <v>42760</v>
      </c>
      <c r="C11" s="7">
        <v>300</v>
      </c>
      <c r="D11" s="43">
        <v>3.4</v>
      </c>
      <c r="E11" s="43">
        <v>0</v>
      </c>
      <c r="F11" s="43">
        <f t="shared" si="0"/>
        <v>1020</v>
      </c>
      <c r="G11" s="406">
        <v>42810</v>
      </c>
      <c r="H11" s="80">
        <v>400</v>
      </c>
      <c r="I11" s="77">
        <v>2.52</v>
      </c>
      <c r="J11" s="43">
        <v>0.02</v>
      </c>
      <c r="K11" s="43">
        <f t="shared" si="1"/>
        <v>1007.98</v>
      </c>
      <c r="O11" s="11" t="s">
        <v>175</v>
      </c>
      <c r="P11" s="33"/>
      <c r="Q11" s="134">
        <v>0.04</v>
      </c>
    </row>
    <row r="12" spans="1:21" x14ac:dyDescent="0.25">
      <c r="B12" s="406">
        <v>42772</v>
      </c>
      <c r="C12" s="7">
        <v>600</v>
      </c>
      <c r="D12" s="43">
        <v>3.3</v>
      </c>
      <c r="E12" s="43">
        <v>0</v>
      </c>
      <c r="F12" s="43">
        <f t="shared" si="0"/>
        <v>1980</v>
      </c>
      <c r="G12" s="406">
        <v>42874</v>
      </c>
      <c r="H12" s="80">
        <v>2000</v>
      </c>
      <c r="I12" s="77">
        <v>1.4550000000000001</v>
      </c>
      <c r="J12" s="43">
        <v>0.06</v>
      </c>
      <c r="K12" s="43">
        <f t="shared" si="1"/>
        <v>2909.94</v>
      </c>
    </row>
    <row r="13" spans="1:21" x14ac:dyDescent="0.25">
      <c r="B13" s="368">
        <v>42793</v>
      </c>
      <c r="C13" s="7">
        <v>100</v>
      </c>
      <c r="D13" s="43">
        <v>3.18</v>
      </c>
      <c r="E13" s="43">
        <v>0</v>
      </c>
      <c r="F13" s="43">
        <f t="shared" ref="F13:F21" si="2">C13*D13+E13</f>
        <v>318</v>
      </c>
      <c r="G13" s="406">
        <v>42943</v>
      </c>
      <c r="H13" s="80">
        <f>15*100</f>
        <v>1500</v>
      </c>
      <c r="I13" s="77">
        <f>15.5/15</f>
        <v>1.0333333333333334</v>
      </c>
      <c r="J13" s="43">
        <v>0.04</v>
      </c>
      <c r="K13" s="43">
        <f t="shared" si="1"/>
        <v>1549.9600000000003</v>
      </c>
    </row>
    <row r="14" spans="1:21" x14ac:dyDescent="0.25">
      <c r="B14" s="368">
        <v>42793</v>
      </c>
      <c r="C14" s="7">
        <v>600</v>
      </c>
      <c r="D14" s="43">
        <v>3.18</v>
      </c>
      <c r="E14" s="43">
        <v>0</v>
      </c>
      <c r="F14" s="43">
        <f t="shared" si="2"/>
        <v>1908</v>
      </c>
      <c r="G14" s="406">
        <v>43048</v>
      </c>
      <c r="H14" s="80">
        <v>1500</v>
      </c>
      <c r="I14" s="77">
        <f>7.96/15</f>
        <v>0.53066666666666662</v>
      </c>
      <c r="J14" s="43">
        <v>0.02</v>
      </c>
      <c r="K14" s="43">
        <f t="shared" si="1"/>
        <v>795.9799999999999</v>
      </c>
    </row>
    <row r="15" spans="1:21" x14ac:dyDescent="0.25">
      <c r="B15" s="368">
        <v>42808</v>
      </c>
      <c r="C15" s="7">
        <v>1000</v>
      </c>
      <c r="D15" s="43">
        <v>2.41</v>
      </c>
      <c r="E15" s="43">
        <v>0</v>
      </c>
      <c r="F15" s="43">
        <f t="shared" si="2"/>
        <v>2410</v>
      </c>
      <c r="G15" s="406">
        <v>43059</v>
      </c>
      <c r="H15" s="80">
        <v>4000</v>
      </c>
      <c r="I15" s="77">
        <f>7.48/15</f>
        <v>0.4986666666666667</v>
      </c>
      <c r="J15" s="43">
        <v>5.04</v>
      </c>
      <c r="K15" s="43">
        <f>H15*I15-J15</f>
        <v>1989.6266666666668</v>
      </c>
    </row>
    <row r="16" spans="1:21" x14ac:dyDescent="0.25">
      <c r="B16" s="368">
        <v>42809</v>
      </c>
      <c r="C16" s="7">
        <v>1000</v>
      </c>
      <c r="D16" s="43">
        <v>2.33</v>
      </c>
      <c r="E16" s="43">
        <v>0</v>
      </c>
      <c r="F16" s="43">
        <f t="shared" si="2"/>
        <v>2330</v>
      </c>
    </row>
    <row r="17" spans="1:13" x14ac:dyDescent="0.25">
      <c r="B17" s="368">
        <v>42811</v>
      </c>
      <c r="C17" s="7">
        <v>400</v>
      </c>
      <c r="D17" s="43">
        <v>2.4300000000000002</v>
      </c>
      <c r="E17" s="43">
        <v>0</v>
      </c>
      <c r="F17" s="43">
        <f t="shared" si="2"/>
        <v>972.00000000000011</v>
      </c>
    </row>
    <row r="18" spans="1:13" x14ac:dyDescent="0.25">
      <c r="B18" s="368">
        <v>42816</v>
      </c>
      <c r="C18" s="7">
        <v>1000</v>
      </c>
      <c r="D18" s="43">
        <v>2.16</v>
      </c>
      <c r="E18" s="43">
        <v>0</v>
      </c>
      <c r="F18" s="43">
        <f t="shared" si="2"/>
        <v>2160</v>
      </c>
    </row>
    <row r="19" spans="1:13" x14ac:dyDescent="0.25">
      <c r="B19" s="368">
        <v>42879</v>
      </c>
      <c r="C19" s="7">
        <v>2000</v>
      </c>
      <c r="D19" s="43">
        <v>1.37</v>
      </c>
      <c r="E19" s="43">
        <v>0</v>
      </c>
      <c r="F19" s="43">
        <f t="shared" si="2"/>
        <v>2740</v>
      </c>
    </row>
    <row r="20" spans="1:13" x14ac:dyDescent="0.25">
      <c r="B20" s="368">
        <v>42962</v>
      </c>
      <c r="C20" s="7">
        <f>15*100</f>
        <v>1500</v>
      </c>
      <c r="D20" s="43">
        <f>14.37/15</f>
        <v>0.95799999999999996</v>
      </c>
      <c r="E20" s="43">
        <v>-3</v>
      </c>
      <c r="F20" s="43">
        <f t="shared" si="2"/>
        <v>1434</v>
      </c>
    </row>
    <row r="21" spans="1:13" x14ac:dyDescent="0.25">
      <c r="B21" s="368">
        <v>43040</v>
      </c>
      <c r="C21" s="7">
        <f>100*15</f>
        <v>1500</v>
      </c>
      <c r="D21" s="43">
        <f>9.08/15</f>
        <v>0.60533333333333339</v>
      </c>
      <c r="E21" s="43">
        <v>0</v>
      </c>
      <c r="F21" s="43">
        <f t="shared" si="2"/>
        <v>908.00000000000011</v>
      </c>
      <c r="G21" s="29"/>
      <c r="I21" s="78"/>
    </row>
    <row r="28" spans="1:13" x14ac:dyDescent="0.25">
      <c r="G28" s="29"/>
      <c r="H28" s="70"/>
      <c r="I28" s="78"/>
    </row>
    <row r="29" spans="1:13" x14ac:dyDescent="0.25">
      <c r="A29" s="31" t="s">
        <v>81</v>
      </c>
      <c r="B29" s="14"/>
      <c r="C29" s="14">
        <f>SUM(C2:C28)</f>
        <v>13800</v>
      </c>
      <c r="D29" s="18"/>
      <c r="E29" s="18"/>
      <c r="F29" s="18">
        <f>SUM(F2:F28)</f>
        <v>32192</v>
      </c>
      <c r="G29" s="14"/>
      <c r="H29" s="14">
        <f>SUM(H2:H28)</f>
        <v>13800</v>
      </c>
      <c r="I29" s="18"/>
      <c r="J29" s="18"/>
      <c r="K29" s="18">
        <f>SUM(K2:K28)</f>
        <v>23205.656666666666</v>
      </c>
      <c r="L29" s="14"/>
      <c r="M29" s="18">
        <f>SUM(M2:M28)</f>
        <v>654.23</v>
      </c>
    </row>
    <row r="30" spans="1:13" ht="15.75" thickBot="1" x14ac:dyDescent="0.3">
      <c r="A30" s="277" t="s">
        <v>191</v>
      </c>
      <c r="B30" s="278"/>
      <c r="C30" s="279">
        <f>SumByColor($A$30,C2:C28)</f>
        <v>13800</v>
      </c>
      <c r="D30" s="279"/>
      <c r="E30" s="279"/>
      <c r="F30" s="280">
        <f>SumByColor($A$30,F2:F28)</f>
        <v>32192</v>
      </c>
      <c r="G30" s="279"/>
      <c r="H30" s="279">
        <f>SumByColor($A$30,H2:H28)</f>
        <v>13800</v>
      </c>
      <c r="I30" s="279"/>
      <c r="J30" s="279"/>
      <c r="K30" s="280">
        <f>SumByColor($A$30,K2:K28)</f>
        <v>23206</v>
      </c>
      <c r="L30" s="279"/>
      <c r="M30" s="479">
        <f>SumByColor($A$30,M2:M28)</f>
        <v>486</v>
      </c>
    </row>
    <row r="34" spans="2:21" x14ac:dyDescent="0.25">
      <c r="B34" s="164"/>
      <c r="C34" s="10"/>
      <c r="D34" s="173"/>
      <c r="E34" s="39"/>
      <c r="F34" s="184"/>
      <c r="G34" s="39"/>
      <c r="H34" s="180"/>
      <c r="I34" s="39"/>
      <c r="J34" s="39"/>
      <c r="K34" s="39"/>
    </row>
    <row r="35" spans="2:21" x14ac:dyDescent="0.25">
      <c r="B35" s="162" t="s">
        <v>113</v>
      </c>
      <c r="C35" s="162" t="s">
        <v>145</v>
      </c>
      <c r="D35" s="163" t="s">
        <v>144</v>
      </c>
      <c r="E35" s="165" t="s">
        <v>146</v>
      </c>
      <c r="F35" s="166" t="s">
        <v>65</v>
      </c>
      <c r="G35" s="177" t="s">
        <v>150</v>
      </c>
      <c r="H35" s="166" t="s">
        <v>88</v>
      </c>
      <c r="I35" s="177" t="s">
        <v>153</v>
      </c>
      <c r="J35" s="177" t="s">
        <v>487</v>
      </c>
      <c r="K35" s="177" t="s">
        <v>149</v>
      </c>
    </row>
    <row r="36" spans="2:21" x14ac:dyDescent="0.25">
      <c r="B36" s="164">
        <v>42629</v>
      </c>
      <c r="C36" s="185">
        <v>400</v>
      </c>
      <c r="D36" s="438">
        <v>4.28</v>
      </c>
      <c r="E36" s="39">
        <v>4.28</v>
      </c>
      <c r="F36" s="39">
        <f t="shared" ref="F36:F42" si="3">C36*(E36-D36)</f>
        <v>0</v>
      </c>
      <c r="G36" s="39">
        <f t="shared" ref="G36:G42" si="4">D36*C36</f>
        <v>1712</v>
      </c>
      <c r="H36" s="180">
        <f t="shared" ref="H36:H42" si="5">(E36-D36)/D36</f>
        <v>0</v>
      </c>
      <c r="I36" s="39"/>
      <c r="J36" s="39"/>
      <c r="K36" s="39"/>
    </row>
    <row r="37" spans="2:21" x14ac:dyDescent="0.25">
      <c r="B37" s="164">
        <v>42632</v>
      </c>
      <c r="C37" s="10">
        <v>400</v>
      </c>
      <c r="D37" s="173">
        <v>4.28</v>
      </c>
      <c r="E37" s="39">
        <v>4.3</v>
      </c>
      <c r="F37" s="39">
        <f t="shared" si="3"/>
        <v>7.9999999999998295</v>
      </c>
      <c r="G37" s="39">
        <f t="shared" si="4"/>
        <v>1712</v>
      </c>
      <c r="H37" s="180">
        <f t="shared" si="5"/>
        <v>4.6728971962615821E-3</v>
      </c>
      <c r="I37" s="39"/>
      <c r="J37" s="39"/>
      <c r="K37" s="39"/>
    </row>
    <row r="38" spans="2:21" x14ac:dyDescent="0.25">
      <c r="B38" s="164">
        <v>42633</v>
      </c>
      <c r="C38" s="10">
        <v>400</v>
      </c>
      <c r="D38" s="173">
        <v>4.28</v>
      </c>
      <c r="E38" s="39">
        <v>4.21</v>
      </c>
      <c r="F38" s="39">
        <f t="shared" si="3"/>
        <v>-28.000000000000114</v>
      </c>
      <c r="G38" s="39">
        <f t="shared" si="4"/>
        <v>1712</v>
      </c>
      <c r="H38" s="180">
        <f t="shared" si="5"/>
        <v>-1.6355140186915952E-2</v>
      </c>
      <c r="I38" s="39"/>
      <c r="J38" s="39"/>
      <c r="K38" s="39"/>
    </row>
    <row r="39" spans="2:21" x14ac:dyDescent="0.25">
      <c r="B39" s="164">
        <v>42634</v>
      </c>
      <c r="C39" s="7">
        <v>800</v>
      </c>
      <c r="D39" s="437">
        <v>4.18</v>
      </c>
      <c r="E39" s="39">
        <v>4.13</v>
      </c>
      <c r="F39" s="39">
        <f t="shared" si="3"/>
        <v>-39.999999999999858</v>
      </c>
      <c r="G39" s="39">
        <f t="shared" si="4"/>
        <v>3344</v>
      </c>
      <c r="H39" s="180">
        <f t="shared" si="5"/>
        <v>-1.1961722488038236E-2</v>
      </c>
      <c r="I39" s="39"/>
      <c r="J39" s="39"/>
      <c r="K39" s="39"/>
    </row>
    <row r="40" spans="2:21" ht="20.25" thickBot="1" x14ac:dyDescent="0.35">
      <c r="B40" s="164">
        <v>42635</v>
      </c>
      <c r="C40" s="10">
        <v>400</v>
      </c>
      <c r="D40" s="173">
        <v>4.1600999999999999</v>
      </c>
      <c r="E40" s="39">
        <v>4.33</v>
      </c>
      <c r="F40" s="184">
        <f t="shared" si="3"/>
        <v>67.960000000000065</v>
      </c>
      <c r="G40" s="39">
        <f t="shared" si="4"/>
        <v>1664.04</v>
      </c>
      <c r="H40" s="180">
        <f t="shared" si="5"/>
        <v>4.0840364414317001E-2</v>
      </c>
      <c r="I40" s="39"/>
      <c r="J40" s="39"/>
      <c r="K40" s="39"/>
      <c r="O40" s="884" t="s">
        <v>78</v>
      </c>
      <c r="P40" s="884"/>
    </row>
    <row r="41" spans="2:21" ht="15.75" thickTop="1" x14ac:dyDescent="0.25">
      <c r="B41" s="164">
        <v>42643</v>
      </c>
      <c r="C41" s="10">
        <v>400</v>
      </c>
      <c r="D41" s="173">
        <v>4.1600999999999999</v>
      </c>
      <c r="E41" s="39">
        <v>4.16</v>
      </c>
      <c r="F41" s="184">
        <f t="shared" si="3"/>
        <v>-3.9999999999906777E-2</v>
      </c>
      <c r="G41" s="39">
        <f t="shared" si="4"/>
        <v>1664.04</v>
      </c>
      <c r="H41" s="180">
        <f t="shared" si="5"/>
        <v>-2.4037883704662615E-5</v>
      </c>
      <c r="I41" s="39"/>
      <c r="J41" s="39"/>
      <c r="K41" s="39"/>
      <c r="O41" s="81">
        <v>1.1000000000000001</v>
      </c>
      <c r="P41" s="81">
        <f>O41*$Q$4</f>
        <v>2.145</v>
      </c>
      <c r="Q41" s="2"/>
    </row>
    <row r="42" spans="2:21" ht="20.25" thickBot="1" x14ac:dyDescent="0.35">
      <c r="B42" s="164">
        <v>42648</v>
      </c>
      <c r="C42" s="7">
        <v>800</v>
      </c>
      <c r="D42" s="437">
        <v>4.0900499999999997</v>
      </c>
      <c r="E42" s="39">
        <v>4.03</v>
      </c>
      <c r="F42" s="184">
        <f t="shared" si="3"/>
        <v>-48.039999999999594</v>
      </c>
      <c r="G42" s="39">
        <f t="shared" si="4"/>
        <v>3272.04</v>
      </c>
      <c r="H42" s="180">
        <f t="shared" si="5"/>
        <v>-1.4681972103030402E-2</v>
      </c>
      <c r="I42" s="437">
        <v>4</v>
      </c>
      <c r="J42" s="39"/>
      <c r="K42" s="39"/>
      <c r="O42" s="81">
        <v>1.0900000000000001</v>
      </c>
      <c r="P42" s="81">
        <f t="shared" ref="P42:P61" si="6">O42*$Q$4</f>
        <v>2.1255000000000002</v>
      </c>
      <c r="Q42" s="2"/>
      <c r="T42" s="89" t="s">
        <v>112</v>
      </c>
    </row>
    <row r="43" spans="2:21" ht="15.75" thickTop="1" x14ac:dyDescent="0.25">
      <c r="B43" s="164">
        <v>42649</v>
      </c>
      <c r="C43" s="10">
        <v>800</v>
      </c>
      <c r="D43" s="173">
        <v>4.0900499999999997</v>
      </c>
      <c r="E43" s="39">
        <v>3.99</v>
      </c>
      <c r="F43" s="184">
        <f>C43*(E43-D43)</f>
        <v>-80.039999999999623</v>
      </c>
      <c r="G43" s="39">
        <f>D43*C43</f>
        <v>3272.04</v>
      </c>
      <c r="H43" s="180">
        <f>(E43-D43)/D43</f>
        <v>-2.4461803645432094E-2</v>
      </c>
      <c r="I43" s="39"/>
      <c r="J43" s="39"/>
      <c r="K43" s="39"/>
      <c r="O43" s="81">
        <v>1.08</v>
      </c>
      <c r="P43" s="81">
        <f t="shared" si="6"/>
        <v>2.1059999999999999</v>
      </c>
      <c r="Q43" s="2"/>
      <c r="T43" s="125" t="s">
        <v>97</v>
      </c>
      <c r="U43" s="96">
        <v>2.13</v>
      </c>
    </row>
    <row r="44" spans="2:21" x14ac:dyDescent="0.25">
      <c r="B44" s="164">
        <v>42650</v>
      </c>
      <c r="C44" s="10">
        <v>800</v>
      </c>
      <c r="D44" s="173">
        <v>4.0900499999999997</v>
      </c>
      <c r="E44" s="39">
        <v>4.2300000000000004</v>
      </c>
      <c r="F44" s="184">
        <f>C44*(E44-D44)</f>
        <v>111.96000000000055</v>
      </c>
      <c r="G44" s="39">
        <f>D44*C44</f>
        <v>3272.04</v>
      </c>
      <c r="H44" s="180">
        <f>(E44-D44)/D44</f>
        <v>3.4217185608978053E-2</v>
      </c>
      <c r="I44" s="173" t="s">
        <v>287</v>
      </c>
      <c r="J44" s="39"/>
      <c r="K44" s="39"/>
      <c r="O44" s="81">
        <v>1.07</v>
      </c>
      <c r="P44" s="81">
        <f t="shared" si="6"/>
        <v>2.0865</v>
      </c>
      <c r="Q44" s="2"/>
      <c r="T44" s="91" t="s">
        <v>98</v>
      </c>
      <c r="U44" s="86">
        <v>2.15</v>
      </c>
    </row>
    <row r="45" spans="2:21" x14ac:dyDescent="0.25">
      <c r="B45" s="164">
        <v>42661</v>
      </c>
      <c r="C45" s="10">
        <v>800</v>
      </c>
      <c r="D45" s="173">
        <v>4.0900499999999997</v>
      </c>
      <c r="E45" s="39">
        <v>4.08</v>
      </c>
      <c r="F45" s="184">
        <f t="shared" ref="F45:F51" si="7">C45*(E45-D45)</f>
        <v>-8.0399999999997362</v>
      </c>
      <c r="G45" s="39">
        <f t="shared" ref="G45:G51" si="8">D45*C45</f>
        <v>3272.04</v>
      </c>
      <c r="H45" s="180">
        <f t="shared" ref="H45:H51" si="9">(E45-D45)/D45</f>
        <v>-2.4571826750283423E-3</v>
      </c>
      <c r="I45" s="39"/>
      <c r="J45" s="39"/>
      <c r="K45" s="39"/>
      <c r="O45" s="81">
        <v>1.06</v>
      </c>
      <c r="P45" s="81">
        <f t="shared" si="6"/>
        <v>2.0670000000000002</v>
      </c>
      <c r="Q45" s="2"/>
      <c r="T45" s="91" t="s">
        <v>99</v>
      </c>
      <c r="U45" s="86" t="s">
        <v>622</v>
      </c>
    </row>
    <row r="46" spans="2:21" x14ac:dyDescent="0.25">
      <c r="B46" s="164">
        <v>42670</v>
      </c>
      <c r="C46" s="185">
        <v>400</v>
      </c>
      <c r="D46" s="438">
        <v>3.9802</v>
      </c>
      <c r="E46" s="39">
        <v>4.17</v>
      </c>
      <c r="F46" s="184">
        <f t="shared" si="7"/>
        <v>75.919999999999987</v>
      </c>
      <c r="G46" s="39">
        <f t="shared" si="8"/>
        <v>1592.08</v>
      </c>
      <c r="H46" s="180">
        <f t="shared" si="9"/>
        <v>4.7686045927340326E-2</v>
      </c>
      <c r="I46" s="438">
        <v>3.9</v>
      </c>
      <c r="J46" s="39"/>
      <c r="K46" s="39"/>
      <c r="O46" s="81">
        <v>1.05</v>
      </c>
      <c r="P46" s="81">
        <f t="shared" si="6"/>
        <v>2.0474999999999999</v>
      </c>
      <c r="Q46" s="2"/>
      <c r="T46" s="91" t="s">
        <v>100</v>
      </c>
      <c r="U46" s="86" t="s">
        <v>623</v>
      </c>
    </row>
    <row r="47" spans="2:21" x14ac:dyDescent="0.25">
      <c r="B47" s="164">
        <v>42674</v>
      </c>
      <c r="C47" s="7">
        <v>800</v>
      </c>
      <c r="D47" s="437">
        <v>4.0000999999999998</v>
      </c>
      <c r="E47" s="39">
        <v>4.0199999999999996</v>
      </c>
      <c r="F47" s="184">
        <f t="shared" si="7"/>
        <v>15.919999999999845</v>
      </c>
      <c r="G47" s="39">
        <f t="shared" si="8"/>
        <v>3200.08</v>
      </c>
      <c r="H47" s="180">
        <f t="shared" si="9"/>
        <v>4.9748756281092496E-3</v>
      </c>
      <c r="I47" s="437" t="s">
        <v>294</v>
      </c>
      <c r="J47" s="39"/>
      <c r="K47" s="39"/>
      <c r="O47" s="81">
        <v>1.04</v>
      </c>
      <c r="P47" s="81">
        <f t="shared" si="6"/>
        <v>2.028</v>
      </c>
      <c r="Q47" s="2"/>
      <c r="T47" s="91" t="s">
        <v>101</v>
      </c>
      <c r="U47" s="86">
        <v>3.22</v>
      </c>
    </row>
    <row r="48" spans="2:21" x14ac:dyDescent="0.25">
      <c r="B48" s="164">
        <v>42676</v>
      </c>
      <c r="C48" s="10">
        <v>1100</v>
      </c>
      <c r="D48" s="173">
        <v>3.8882500000000002</v>
      </c>
      <c r="E48" s="39">
        <v>3.39</v>
      </c>
      <c r="F48" s="184">
        <f t="shared" si="7"/>
        <v>-548.07500000000005</v>
      </c>
      <c r="G48" s="39">
        <f t="shared" si="8"/>
        <v>4277.0749999999998</v>
      </c>
      <c r="H48" s="180">
        <f t="shared" si="9"/>
        <v>-0.12814248055037614</v>
      </c>
      <c r="I48" s="39"/>
      <c r="J48" s="39"/>
      <c r="K48" s="39"/>
      <c r="O48" s="81">
        <v>1.03</v>
      </c>
      <c r="P48" s="81">
        <f t="shared" si="6"/>
        <v>2.0085000000000002</v>
      </c>
      <c r="Q48" s="2"/>
      <c r="T48" s="91" t="s">
        <v>102</v>
      </c>
      <c r="U48" s="86">
        <v>0.447965</v>
      </c>
    </row>
    <row r="49" spans="1:21" x14ac:dyDescent="0.25">
      <c r="B49" s="164">
        <v>42678</v>
      </c>
      <c r="C49" s="480">
        <v>1500</v>
      </c>
      <c r="D49" s="481">
        <v>3.6860499999999998</v>
      </c>
      <c r="E49" s="39">
        <v>3.12</v>
      </c>
      <c r="F49" s="184">
        <f t="shared" si="7"/>
        <v>-849.07499999999959</v>
      </c>
      <c r="G49" s="39">
        <f t="shared" si="8"/>
        <v>5529.0749999999998</v>
      </c>
      <c r="H49" s="180">
        <f t="shared" si="9"/>
        <v>-0.15356546981185815</v>
      </c>
      <c r="I49" s="39"/>
      <c r="J49" s="39"/>
      <c r="K49" s="39"/>
      <c r="O49" s="81">
        <v>1.02</v>
      </c>
      <c r="P49" s="81">
        <f t="shared" si="6"/>
        <v>1.9889999999999999</v>
      </c>
      <c r="Q49" s="2"/>
      <c r="T49" s="91" t="s">
        <v>121</v>
      </c>
      <c r="U49" s="86" t="s">
        <v>414</v>
      </c>
    </row>
    <row r="50" spans="1:21" x14ac:dyDescent="0.25">
      <c r="B50" s="164">
        <v>42701</v>
      </c>
      <c r="C50" s="10">
        <v>1100</v>
      </c>
      <c r="D50" s="173">
        <v>3.7101000000000002</v>
      </c>
      <c r="E50" s="39">
        <v>3.69</v>
      </c>
      <c r="F50" s="184">
        <f t="shared" si="7"/>
        <v>-22.110000000000252</v>
      </c>
      <c r="G50" s="39">
        <f t="shared" si="8"/>
        <v>4081.11</v>
      </c>
      <c r="H50" s="180">
        <f t="shared" si="9"/>
        <v>-5.4176437292795957E-3</v>
      </c>
      <c r="I50" s="39"/>
      <c r="J50" s="39"/>
      <c r="K50" s="39"/>
      <c r="O50" s="81">
        <v>1.01</v>
      </c>
      <c r="P50" s="81">
        <f t="shared" si="6"/>
        <v>1.9695</v>
      </c>
      <c r="Q50" s="2"/>
      <c r="T50" s="91"/>
      <c r="U50" s="86"/>
    </row>
    <row r="51" spans="1:21" x14ac:dyDescent="0.25">
      <c r="B51" s="164">
        <v>42702</v>
      </c>
      <c r="C51" s="10">
        <v>700</v>
      </c>
      <c r="D51" s="173">
        <v>3.6873399999999998</v>
      </c>
      <c r="E51" s="39">
        <v>3.74</v>
      </c>
      <c r="F51" s="184">
        <f t="shared" si="7"/>
        <v>36.862000000000265</v>
      </c>
      <c r="G51" s="39">
        <f t="shared" si="8"/>
        <v>2581.1379999999999</v>
      </c>
      <c r="H51" s="180">
        <f t="shared" si="9"/>
        <v>1.4281297629185369E-2</v>
      </c>
      <c r="I51" s="39"/>
      <c r="J51" s="39"/>
      <c r="K51" s="39"/>
      <c r="O51" s="81">
        <v>1</v>
      </c>
      <c r="P51" s="81">
        <f t="shared" si="6"/>
        <v>1.95</v>
      </c>
      <c r="Q51" s="2"/>
      <c r="T51" s="91" t="s">
        <v>104</v>
      </c>
      <c r="U51" s="86" t="s">
        <v>624</v>
      </c>
    </row>
    <row r="52" spans="1:21" x14ac:dyDescent="0.25">
      <c r="B52" s="164">
        <v>42705</v>
      </c>
      <c r="C52" s="10">
        <v>700</v>
      </c>
      <c r="D52" s="173">
        <v>3.6873399999999998</v>
      </c>
      <c r="E52" s="39">
        <v>3.51</v>
      </c>
      <c r="F52" s="184">
        <f t="shared" ref="F52:F65" si="10">C52*(E52-D52)</f>
        <v>-124.13800000000003</v>
      </c>
      <c r="G52" s="39">
        <f t="shared" ref="G52:G65" si="11">D52*C52</f>
        <v>2581.1379999999999</v>
      </c>
      <c r="H52" s="180">
        <f t="shared" ref="H52:H65" si="12">(E52-D52)/D52</f>
        <v>-4.809429019293042E-2</v>
      </c>
      <c r="I52" s="39"/>
      <c r="J52" s="39"/>
      <c r="K52" s="39"/>
      <c r="O52" s="81">
        <v>0.99</v>
      </c>
      <c r="P52" s="81">
        <f t="shared" si="6"/>
        <v>1.9304999999999999</v>
      </c>
      <c r="Q52" s="2"/>
      <c r="T52" s="91" t="s">
        <v>105</v>
      </c>
      <c r="U52" s="86" t="s">
        <v>509</v>
      </c>
    </row>
    <row r="53" spans="1:21" x14ac:dyDescent="0.25">
      <c r="B53" s="164">
        <v>42713</v>
      </c>
      <c r="C53" s="10">
        <v>700</v>
      </c>
      <c r="D53" s="173">
        <v>3.6873399999999998</v>
      </c>
      <c r="E53" s="39">
        <v>3.67</v>
      </c>
      <c r="F53" s="184">
        <f t="shared" si="10"/>
        <v>-12.137999999999938</v>
      </c>
      <c r="G53" s="39">
        <f t="shared" si="11"/>
        <v>2581.1379999999999</v>
      </c>
      <c r="H53" s="180">
        <f t="shared" si="12"/>
        <v>-4.7025769253716534E-3</v>
      </c>
      <c r="I53" s="39"/>
      <c r="J53" s="39"/>
      <c r="K53" s="39"/>
      <c r="O53" s="81">
        <v>0.98</v>
      </c>
      <c r="P53" s="81">
        <f t="shared" si="6"/>
        <v>1.911</v>
      </c>
      <c r="Q53" s="2"/>
      <c r="T53" s="91" t="s">
        <v>106</v>
      </c>
      <c r="U53" s="88">
        <v>80683646</v>
      </c>
    </row>
    <row r="54" spans="1:21" x14ac:dyDescent="0.25">
      <c r="B54" s="164">
        <v>42716</v>
      </c>
      <c r="C54" s="10">
        <v>1100</v>
      </c>
      <c r="D54" s="173">
        <v>3.641</v>
      </c>
      <c r="E54" s="39">
        <v>3.49</v>
      </c>
      <c r="F54" s="184">
        <f t="shared" si="10"/>
        <v>-166.0999999999998</v>
      </c>
      <c r="G54" s="39">
        <f t="shared" si="11"/>
        <v>4005.1</v>
      </c>
      <c r="H54" s="180">
        <f t="shared" si="12"/>
        <v>-4.1472123043119966E-2</v>
      </c>
      <c r="I54" s="39"/>
      <c r="J54" s="39"/>
      <c r="K54" s="39"/>
      <c r="O54" s="81">
        <v>0.97</v>
      </c>
      <c r="P54" s="81">
        <f t="shared" si="6"/>
        <v>1.8915</v>
      </c>
      <c r="T54" s="91" t="s">
        <v>109</v>
      </c>
      <c r="U54" s="88">
        <v>41241800</v>
      </c>
    </row>
    <row r="55" spans="1:21" x14ac:dyDescent="0.25">
      <c r="B55" s="164">
        <v>42725</v>
      </c>
      <c r="C55" s="10">
        <v>1800</v>
      </c>
      <c r="D55" s="173">
        <v>3.5200800000000001</v>
      </c>
      <c r="E55" s="39">
        <v>3.29</v>
      </c>
      <c r="F55" s="184">
        <f t="shared" si="10"/>
        <v>-414.14400000000012</v>
      </c>
      <c r="G55" s="39">
        <f t="shared" si="11"/>
        <v>6336.1440000000002</v>
      </c>
      <c r="H55" s="180">
        <f t="shared" si="12"/>
        <v>-6.5362150860207732E-2</v>
      </c>
      <c r="I55" s="39"/>
      <c r="J55" s="39"/>
      <c r="K55" s="39"/>
      <c r="O55" s="81">
        <v>0.96</v>
      </c>
      <c r="P55" s="81">
        <f t="shared" si="6"/>
        <v>1.8719999999999999</v>
      </c>
      <c r="T55" s="91" t="s">
        <v>107</v>
      </c>
      <c r="U55" s="86" t="s">
        <v>625</v>
      </c>
    </row>
    <row r="56" spans="1:21" x14ac:dyDescent="0.25">
      <c r="B56" s="164">
        <v>42729</v>
      </c>
      <c r="C56" s="10">
        <v>1800</v>
      </c>
      <c r="D56" s="173">
        <v>3.5200800000000001</v>
      </c>
      <c r="E56" s="39">
        <v>3.42</v>
      </c>
      <c r="F56" s="184">
        <f t="shared" si="10"/>
        <v>-180.14400000000029</v>
      </c>
      <c r="G56" s="39">
        <f t="shared" si="11"/>
        <v>6336.1440000000002</v>
      </c>
      <c r="H56" s="180">
        <f t="shared" si="12"/>
        <v>-2.8431172018817803E-2</v>
      </c>
      <c r="I56" s="39"/>
      <c r="J56" s="39"/>
      <c r="K56" s="39"/>
      <c r="O56" s="81">
        <v>0.95</v>
      </c>
      <c r="P56" s="81">
        <f t="shared" si="6"/>
        <v>1.8524999999999998</v>
      </c>
      <c r="T56" s="91" t="s">
        <v>110</v>
      </c>
      <c r="U56" s="86" t="s">
        <v>128</v>
      </c>
    </row>
    <row r="57" spans="1:21" x14ac:dyDescent="0.25">
      <c r="B57" s="164">
        <v>42736</v>
      </c>
      <c r="C57" s="10">
        <v>1800</v>
      </c>
      <c r="D57" s="173">
        <v>3.4559099999999998</v>
      </c>
      <c r="E57" s="39">
        <v>3.3650000000000002</v>
      </c>
      <c r="F57" s="184">
        <f t="shared" si="10"/>
        <v>-163.63799999999929</v>
      </c>
      <c r="G57" s="39">
        <f t="shared" si="11"/>
        <v>6220.6379999999999</v>
      </c>
      <c r="H57" s="180">
        <f t="shared" si="12"/>
        <v>-2.6305661895130256E-2</v>
      </c>
      <c r="I57" s="39" t="s">
        <v>184</v>
      </c>
      <c r="J57" s="39"/>
      <c r="K57" s="39"/>
      <c r="O57" s="81">
        <v>0.94</v>
      </c>
      <c r="P57" s="81">
        <f t="shared" si="6"/>
        <v>1.833</v>
      </c>
      <c r="T57" s="91" t="s">
        <v>111</v>
      </c>
      <c r="U57" s="86">
        <v>-0.51</v>
      </c>
    </row>
    <row r="58" spans="1:21" x14ac:dyDescent="0.25">
      <c r="B58" s="164">
        <v>42738</v>
      </c>
      <c r="C58" s="10">
        <v>1100</v>
      </c>
      <c r="D58" s="173">
        <v>3.3961100000000002</v>
      </c>
      <c r="E58" s="39">
        <v>3.58</v>
      </c>
      <c r="F58" s="184">
        <f t="shared" si="10"/>
        <v>202.27899999999988</v>
      </c>
      <c r="G58" s="39">
        <f t="shared" si="11"/>
        <v>3735.721</v>
      </c>
      <c r="H58" s="180">
        <f t="shared" si="12"/>
        <v>5.4147244936118055E-2</v>
      </c>
      <c r="I58" s="39"/>
      <c r="J58" s="39"/>
      <c r="K58" s="39"/>
      <c r="O58" s="81">
        <v>0.93</v>
      </c>
      <c r="P58" s="81">
        <f t="shared" si="6"/>
        <v>1.8135000000000001</v>
      </c>
      <c r="T58" s="91" t="s">
        <v>108</v>
      </c>
      <c r="U58" s="86" t="s">
        <v>537</v>
      </c>
    </row>
    <row r="59" spans="1:21" x14ac:dyDescent="0.25">
      <c r="B59" s="164">
        <v>42739</v>
      </c>
      <c r="C59" s="10">
        <v>1100</v>
      </c>
      <c r="D59" s="173">
        <v>3.39608</v>
      </c>
      <c r="E59" s="39">
        <v>3.67</v>
      </c>
      <c r="F59" s="184">
        <f t="shared" si="10"/>
        <v>301.31199999999995</v>
      </c>
      <c r="G59" s="39">
        <f t="shared" si="11"/>
        <v>3735.6880000000001</v>
      </c>
      <c r="H59" s="180">
        <f t="shared" si="12"/>
        <v>8.0657699465265825E-2</v>
      </c>
      <c r="I59" s="39"/>
      <c r="J59" s="39"/>
      <c r="K59" s="39"/>
      <c r="O59" s="81">
        <v>0.92</v>
      </c>
      <c r="P59" s="81">
        <f t="shared" si="6"/>
        <v>1.794</v>
      </c>
    </row>
    <row r="60" spans="1:21" x14ac:dyDescent="0.25">
      <c r="B60" s="164">
        <v>42745</v>
      </c>
      <c r="C60" s="10">
        <v>1100</v>
      </c>
      <c r="D60" s="173">
        <v>3.39608</v>
      </c>
      <c r="E60" s="39">
        <v>3.63</v>
      </c>
      <c r="F60" s="184">
        <f t="shared" si="10"/>
        <v>257.3119999999999</v>
      </c>
      <c r="G60" s="39">
        <f t="shared" si="11"/>
        <v>3735.6880000000001</v>
      </c>
      <c r="H60" s="180">
        <f t="shared" si="12"/>
        <v>6.8879413912510873E-2</v>
      </c>
      <c r="I60" s="39"/>
      <c r="J60" s="39"/>
      <c r="K60" s="39"/>
      <c r="O60" s="81">
        <v>0.91</v>
      </c>
      <c r="P60" s="81">
        <f t="shared" si="6"/>
        <v>1.7745</v>
      </c>
    </row>
    <row r="61" spans="1:21" x14ac:dyDescent="0.25">
      <c r="A61" t="s">
        <v>338</v>
      </c>
      <c r="B61" s="164">
        <v>42754</v>
      </c>
      <c r="C61" s="480">
        <v>1500</v>
      </c>
      <c r="D61" s="481">
        <v>3.40246</v>
      </c>
      <c r="E61" s="39">
        <v>3.48</v>
      </c>
      <c r="F61" s="184">
        <f t="shared" si="10"/>
        <v>116.30999999999992</v>
      </c>
      <c r="G61" s="39">
        <f t="shared" si="11"/>
        <v>5103.6900000000005</v>
      </c>
      <c r="H61" s="180">
        <f t="shared" si="12"/>
        <v>2.2789393556426802E-2</v>
      </c>
      <c r="I61" s="39"/>
      <c r="J61" s="39"/>
      <c r="K61" s="39"/>
      <c r="O61" s="81">
        <v>0.9</v>
      </c>
      <c r="P61" s="81">
        <f t="shared" si="6"/>
        <v>1.7549999999999999</v>
      </c>
    </row>
    <row r="62" spans="1:21" x14ac:dyDescent="0.25">
      <c r="A62" t="s">
        <v>345</v>
      </c>
      <c r="B62" s="164">
        <v>42760</v>
      </c>
      <c r="C62" s="10">
        <v>1800</v>
      </c>
      <c r="D62" s="173">
        <v>3.40205</v>
      </c>
      <c r="E62" s="39">
        <v>3.43</v>
      </c>
      <c r="F62" s="184">
        <f t="shared" si="10"/>
        <v>50.310000000000258</v>
      </c>
      <c r="G62" s="39">
        <f t="shared" si="11"/>
        <v>6123.69</v>
      </c>
      <c r="H62" s="180">
        <f t="shared" si="12"/>
        <v>8.2156346908482062E-3</v>
      </c>
      <c r="I62" s="39"/>
      <c r="J62" s="39"/>
      <c r="K62" s="39"/>
    </row>
    <row r="63" spans="1:21" x14ac:dyDescent="0.25">
      <c r="A63" t="s">
        <v>346</v>
      </c>
      <c r="B63" s="164">
        <v>42760</v>
      </c>
      <c r="C63" s="10">
        <v>1400</v>
      </c>
      <c r="D63" s="173">
        <v>3.38801</v>
      </c>
      <c r="E63" s="39">
        <v>3.44</v>
      </c>
      <c r="F63" s="184">
        <f t="shared" si="10"/>
        <v>72.785999999999973</v>
      </c>
      <c r="G63" s="39">
        <f t="shared" si="11"/>
        <v>4743.2139999999999</v>
      </c>
      <c r="H63" s="180">
        <f t="shared" si="12"/>
        <v>1.5345291188632849E-2</v>
      </c>
      <c r="I63" s="39"/>
      <c r="J63" s="39"/>
      <c r="K63" s="39"/>
    </row>
    <row r="64" spans="1:21" x14ac:dyDescent="0.25">
      <c r="A64" t="s">
        <v>387</v>
      </c>
      <c r="B64" s="164">
        <v>42771</v>
      </c>
      <c r="C64" s="10">
        <v>1400</v>
      </c>
      <c r="D64" s="173">
        <v>3.38801</v>
      </c>
      <c r="E64" s="39">
        <v>3.42</v>
      </c>
      <c r="F64" s="184">
        <f t="shared" si="10"/>
        <v>44.785999999999945</v>
      </c>
      <c r="G64" s="39">
        <f t="shared" si="11"/>
        <v>4743.2139999999999</v>
      </c>
      <c r="H64" s="180">
        <f t="shared" si="12"/>
        <v>9.4421208910245146E-3</v>
      </c>
      <c r="I64" s="39"/>
      <c r="J64" s="39"/>
      <c r="K64" s="39"/>
    </row>
    <row r="65" spans="1:13" x14ac:dyDescent="0.25">
      <c r="A65" t="s">
        <v>390</v>
      </c>
      <c r="B65" s="164">
        <v>42772</v>
      </c>
      <c r="C65" s="10">
        <v>2000</v>
      </c>
      <c r="D65" s="173">
        <v>3.3616199999999998</v>
      </c>
      <c r="E65" s="39">
        <v>3.33</v>
      </c>
      <c r="F65" s="184">
        <f t="shared" si="10"/>
        <v>-63.239999999999519</v>
      </c>
      <c r="G65" s="39">
        <f t="shared" si="11"/>
        <v>6723.24</v>
      </c>
      <c r="H65" s="180">
        <f t="shared" si="12"/>
        <v>-9.4061791636174709E-3</v>
      </c>
      <c r="I65" s="39"/>
      <c r="J65" s="39"/>
      <c r="K65" s="184"/>
    </row>
    <row r="66" spans="1:13" x14ac:dyDescent="0.25">
      <c r="A66" t="s">
        <v>436</v>
      </c>
      <c r="B66" s="164">
        <v>42788</v>
      </c>
      <c r="C66" s="10">
        <v>2000</v>
      </c>
      <c r="D66" s="173">
        <v>3.3616199999999998</v>
      </c>
      <c r="E66" s="39">
        <v>3.35</v>
      </c>
      <c r="F66" s="184">
        <f t="shared" ref="F66:F77" si="13">C66*(E66-D66)</f>
        <v>-23.239999999999483</v>
      </c>
      <c r="G66" s="39">
        <f t="shared" ref="G66:G79" si="14">D66*C66</f>
        <v>6723.24</v>
      </c>
      <c r="H66" s="180">
        <f t="shared" ref="H66:H77" si="15">(E66-D66)/D66</f>
        <v>-3.4566667261617143E-3</v>
      </c>
      <c r="I66" s="39"/>
      <c r="J66" s="39"/>
      <c r="K66" s="184"/>
    </row>
    <row r="67" spans="1:13" x14ac:dyDescent="0.25">
      <c r="A67" t="s">
        <v>439</v>
      </c>
      <c r="B67" s="164">
        <v>42790</v>
      </c>
      <c r="C67" s="10">
        <v>1300</v>
      </c>
      <c r="D67" s="190">
        <v>3.33</v>
      </c>
      <c r="E67" s="39">
        <v>3.37</v>
      </c>
      <c r="F67" s="184">
        <f t="shared" si="13"/>
        <v>52.000000000000043</v>
      </c>
      <c r="G67" s="39">
        <f t="shared" si="14"/>
        <v>4329</v>
      </c>
      <c r="H67" s="180">
        <f t="shared" si="15"/>
        <v>1.2012012012012022E-2</v>
      </c>
      <c r="I67" s="39"/>
      <c r="J67" s="39"/>
      <c r="K67" s="184"/>
    </row>
    <row r="68" spans="1:13" x14ac:dyDescent="0.25">
      <c r="A68" t="s">
        <v>451</v>
      </c>
      <c r="B68" s="164">
        <v>42793</v>
      </c>
      <c r="C68" s="10">
        <v>2000</v>
      </c>
      <c r="D68" s="190">
        <v>3.2776399999999999</v>
      </c>
      <c r="E68" s="39">
        <v>3.29</v>
      </c>
      <c r="F68" s="184">
        <f t="shared" si="13"/>
        <v>24.720000000000297</v>
      </c>
      <c r="G68" s="39">
        <f t="shared" si="14"/>
        <v>6555.28</v>
      </c>
      <c r="H68" s="180">
        <f t="shared" si="15"/>
        <v>3.7710059677085188E-3</v>
      </c>
      <c r="I68" s="39" t="s">
        <v>452</v>
      </c>
      <c r="J68" s="39"/>
      <c r="K68" s="184"/>
    </row>
    <row r="69" spans="1:13" x14ac:dyDescent="0.25">
      <c r="A69">
        <v>700</v>
      </c>
      <c r="B69" s="164">
        <v>42800</v>
      </c>
      <c r="C69" s="10">
        <v>2000</v>
      </c>
      <c r="D69" s="190">
        <v>3.2776399999999999</v>
      </c>
      <c r="E69" s="39">
        <v>2.76</v>
      </c>
      <c r="F69" s="184">
        <f t="shared" si="13"/>
        <v>-1035.2800000000002</v>
      </c>
      <c r="G69" s="39">
        <f t="shared" si="14"/>
        <v>6555.28</v>
      </c>
      <c r="H69" s="180">
        <f t="shared" si="15"/>
        <v>-0.15793070623985553</v>
      </c>
      <c r="I69" s="39"/>
      <c r="J69" s="39"/>
      <c r="K69" s="184"/>
      <c r="M69" s="214"/>
    </row>
    <row r="70" spans="1:13" x14ac:dyDescent="0.25">
      <c r="A70">
        <v>1300</v>
      </c>
      <c r="B70" s="164">
        <v>42808</v>
      </c>
      <c r="C70" s="10">
        <v>3000</v>
      </c>
      <c r="D70" s="190">
        <v>2.988</v>
      </c>
      <c r="E70" s="39">
        <v>2.41</v>
      </c>
      <c r="F70" s="184">
        <f t="shared" si="13"/>
        <v>-1733.9999999999995</v>
      </c>
      <c r="G70" s="39">
        <f t="shared" si="14"/>
        <v>8964</v>
      </c>
      <c r="H70" s="180">
        <f t="shared" si="15"/>
        <v>-0.19344042838018738</v>
      </c>
      <c r="I70" s="39"/>
      <c r="J70" s="39"/>
      <c r="K70" s="184"/>
    </row>
    <row r="71" spans="1:13" x14ac:dyDescent="0.25">
      <c r="A71">
        <v>300</v>
      </c>
      <c r="B71" s="164">
        <v>42809</v>
      </c>
      <c r="C71" s="10">
        <v>3000</v>
      </c>
      <c r="D71" s="190">
        <v>2.97</v>
      </c>
      <c r="E71" s="39">
        <v>2.41</v>
      </c>
      <c r="F71" s="184">
        <f t="shared" si="13"/>
        <v>-1680.0000000000002</v>
      </c>
      <c r="G71" s="39">
        <f t="shared" si="14"/>
        <v>8910</v>
      </c>
      <c r="H71" s="180">
        <f t="shared" si="15"/>
        <v>-0.18855218855218855</v>
      </c>
      <c r="I71" s="39"/>
      <c r="J71" s="39"/>
      <c r="K71" s="184"/>
    </row>
    <row r="72" spans="1:13" x14ac:dyDescent="0.25">
      <c r="A72">
        <v>0</v>
      </c>
      <c r="B72" s="164">
        <v>42810</v>
      </c>
      <c r="C72" s="10">
        <v>2600</v>
      </c>
      <c r="D72" s="190">
        <v>3.0394000000000001</v>
      </c>
      <c r="E72" s="39">
        <v>2.5099999999999998</v>
      </c>
      <c r="F72" s="184">
        <f t="shared" si="13"/>
        <v>-1376.4400000000007</v>
      </c>
      <c r="G72" s="39">
        <f t="shared" si="14"/>
        <v>7902.4400000000005</v>
      </c>
      <c r="H72" s="180">
        <f t="shared" si="15"/>
        <v>-0.17417911429887487</v>
      </c>
      <c r="I72" s="39"/>
      <c r="J72" s="39"/>
      <c r="K72" s="184">
        <v>-941</v>
      </c>
    </row>
    <row r="73" spans="1:13" x14ac:dyDescent="0.25">
      <c r="A73">
        <v>0</v>
      </c>
      <c r="B73" s="164">
        <v>42811</v>
      </c>
      <c r="C73" s="10">
        <v>3000</v>
      </c>
      <c r="D73" s="190">
        <v>2.9581200000000001</v>
      </c>
      <c r="E73" s="39">
        <v>2.4700000000000002</v>
      </c>
      <c r="F73" s="184">
        <f t="shared" si="13"/>
        <v>-1464.3599999999997</v>
      </c>
      <c r="G73" s="39">
        <f t="shared" si="14"/>
        <v>8874.36</v>
      </c>
      <c r="H73" s="180">
        <f t="shared" si="15"/>
        <v>-0.16501020918691597</v>
      </c>
      <c r="I73" s="39"/>
      <c r="J73" s="39"/>
      <c r="K73" s="184">
        <v>-1029</v>
      </c>
    </row>
    <row r="74" spans="1:13" x14ac:dyDescent="0.25">
      <c r="A74">
        <v>0</v>
      </c>
      <c r="B74" s="164">
        <v>42816</v>
      </c>
      <c r="C74" s="10">
        <v>4000</v>
      </c>
      <c r="D74" s="190">
        <v>2.7585999999999999</v>
      </c>
      <c r="E74" s="39">
        <v>2.11</v>
      </c>
      <c r="F74" s="184">
        <f t="shared" si="13"/>
        <v>-2594.4</v>
      </c>
      <c r="G74" s="39">
        <f t="shared" si="14"/>
        <v>11034.4</v>
      </c>
      <c r="H74" s="180">
        <f t="shared" si="15"/>
        <v>-0.23511926339447548</v>
      </c>
      <c r="I74" s="39"/>
      <c r="J74" s="39"/>
      <c r="K74" s="184">
        <v>-2159</v>
      </c>
    </row>
    <row r="75" spans="1:13" x14ac:dyDescent="0.25">
      <c r="A75">
        <v>0</v>
      </c>
      <c r="B75" s="164">
        <v>42821</v>
      </c>
      <c r="C75" s="10">
        <v>4000</v>
      </c>
      <c r="D75" s="190">
        <v>2.7585999999999999</v>
      </c>
      <c r="E75" s="39">
        <v>2.02</v>
      </c>
      <c r="F75" s="184">
        <f t="shared" si="13"/>
        <v>-2954.3999999999996</v>
      </c>
      <c r="G75" s="39">
        <f t="shared" si="14"/>
        <v>11034.4</v>
      </c>
      <c r="H75" s="180">
        <f t="shared" si="15"/>
        <v>-0.26774450808381062</v>
      </c>
      <c r="I75" s="39"/>
      <c r="J75" s="39"/>
      <c r="K75" s="184">
        <v>-2519</v>
      </c>
    </row>
    <row r="76" spans="1:13" x14ac:dyDescent="0.25">
      <c r="A76">
        <v>600</v>
      </c>
      <c r="B76" s="164">
        <v>42824</v>
      </c>
      <c r="C76" s="10">
        <v>4000</v>
      </c>
      <c r="D76" s="190">
        <v>2.7585999999999999</v>
      </c>
      <c r="E76" s="39">
        <v>2.13</v>
      </c>
      <c r="F76" s="184">
        <f t="shared" si="13"/>
        <v>-2514.4</v>
      </c>
      <c r="G76" s="39">
        <f t="shared" si="14"/>
        <v>11034.4</v>
      </c>
      <c r="H76" s="180">
        <f t="shared" si="15"/>
        <v>-0.22786920901906765</v>
      </c>
      <c r="I76" s="39"/>
      <c r="J76" s="39"/>
      <c r="K76" s="184">
        <v>-2079</v>
      </c>
    </row>
    <row r="77" spans="1:13" x14ac:dyDescent="0.25">
      <c r="A77">
        <v>4000</v>
      </c>
      <c r="B77" s="164">
        <v>42862</v>
      </c>
      <c r="C77" s="10">
        <v>4000</v>
      </c>
      <c r="D77" s="190">
        <v>2.7585999999999999</v>
      </c>
      <c r="E77" s="39">
        <v>1.46</v>
      </c>
      <c r="F77" s="184">
        <f t="shared" si="13"/>
        <v>-5194.3999999999996</v>
      </c>
      <c r="G77" s="39">
        <f t="shared" si="14"/>
        <v>11034.4</v>
      </c>
      <c r="H77" s="180">
        <f t="shared" si="15"/>
        <v>-0.47074603059522946</v>
      </c>
      <c r="I77" s="39"/>
      <c r="J77" s="39"/>
      <c r="K77" s="184">
        <v>-4549</v>
      </c>
    </row>
    <row r="78" spans="1:13" x14ac:dyDescent="0.25">
      <c r="B78" s="164">
        <v>42879</v>
      </c>
      <c r="C78" s="10">
        <v>4000</v>
      </c>
      <c r="D78" s="190">
        <v>2.6636000000000002</v>
      </c>
      <c r="E78" s="39"/>
      <c r="F78" s="184"/>
      <c r="G78" s="39">
        <f t="shared" si="14"/>
        <v>10654.400000000001</v>
      </c>
      <c r="H78" s="180"/>
      <c r="I78" s="39"/>
      <c r="J78" s="39"/>
      <c r="K78" s="184"/>
    </row>
    <row r="79" spans="1:13" x14ac:dyDescent="0.25">
      <c r="A79">
        <v>4000</v>
      </c>
      <c r="B79" s="164">
        <v>42917</v>
      </c>
      <c r="C79" s="10">
        <v>4000</v>
      </c>
      <c r="D79" s="190">
        <v>2.6240000000000001</v>
      </c>
      <c r="E79" s="39">
        <v>1.1599999999999999</v>
      </c>
      <c r="F79" s="184">
        <f>C79*(E79-D79)</f>
        <v>-5856.0000000000009</v>
      </c>
      <c r="G79" s="39">
        <f t="shared" si="14"/>
        <v>10496</v>
      </c>
      <c r="H79" s="180">
        <f>(E79-D79)/D79</f>
        <v>-0.55792682926829273</v>
      </c>
      <c r="I79" s="39"/>
      <c r="J79" s="39"/>
      <c r="K79" s="184">
        <v>-5420</v>
      </c>
    </row>
    <row r="80" spans="1:13" x14ac:dyDescent="0.25">
      <c r="B80" s="164"/>
      <c r="C80" s="10"/>
      <c r="D80" s="190"/>
      <c r="E80" s="39"/>
      <c r="F80" s="184"/>
      <c r="G80" s="39"/>
      <c r="H80" s="180"/>
      <c r="I80" s="39"/>
      <c r="J80" s="39"/>
      <c r="K80" s="184"/>
    </row>
    <row r="81" spans="1:11" x14ac:dyDescent="0.25">
      <c r="A81">
        <v>166</v>
      </c>
      <c r="B81" s="164">
        <v>42942</v>
      </c>
      <c r="C81" s="10">
        <v>166</v>
      </c>
      <c r="D81" s="190">
        <v>53.826999999999998</v>
      </c>
      <c r="E81" s="39">
        <v>15.75</v>
      </c>
      <c r="F81" s="184">
        <f t="shared" ref="F81:F88" si="16">C81*(E81-D81)</f>
        <v>-6320.7819999999992</v>
      </c>
      <c r="G81" s="39">
        <f t="shared" ref="G81:G88" si="17">D81*C81</f>
        <v>8935.2819999999992</v>
      </c>
      <c r="H81" s="180">
        <f t="shared" ref="H81:H88" si="18">(E81-D81)/D81</f>
        <v>-0.70739591654745759</v>
      </c>
      <c r="I81" s="39"/>
      <c r="J81" s="39"/>
      <c r="K81" s="184">
        <v>-5885</v>
      </c>
    </row>
    <row r="82" spans="1:11" x14ac:dyDescent="0.25">
      <c r="A82">
        <v>166</v>
      </c>
      <c r="B82" s="164">
        <v>42962</v>
      </c>
      <c r="C82" s="10">
        <v>266</v>
      </c>
      <c r="D82" s="190">
        <v>38.979999999999997</v>
      </c>
      <c r="E82" s="39">
        <v>14.34</v>
      </c>
      <c r="F82" s="184">
        <f t="shared" si="16"/>
        <v>-6554.2399999999989</v>
      </c>
      <c r="G82" s="39">
        <f t="shared" si="17"/>
        <v>10368.679999999998</v>
      </c>
      <c r="H82" s="180">
        <f t="shared" si="18"/>
        <v>-0.63211903540277059</v>
      </c>
      <c r="I82" s="39"/>
      <c r="J82" s="39"/>
      <c r="K82" s="184">
        <v>-6120</v>
      </c>
    </row>
    <row r="83" spans="1:11" x14ac:dyDescent="0.25">
      <c r="B83" s="164">
        <v>42983</v>
      </c>
      <c r="C83" s="10">
        <v>266</v>
      </c>
      <c r="D83" s="190">
        <v>38.979999999999997</v>
      </c>
      <c r="E83" s="39">
        <v>13.77</v>
      </c>
      <c r="F83" s="184">
        <f t="shared" si="16"/>
        <v>-6705.86</v>
      </c>
      <c r="G83" s="39">
        <f t="shared" si="17"/>
        <v>10368.679999999998</v>
      </c>
      <c r="H83" s="180">
        <f t="shared" si="18"/>
        <v>-0.64674191893278599</v>
      </c>
      <c r="I83" s="39"/>
      <c r="J83" s="39"/>
      <c r="K83" s="184">
        <v>-6271</v>
      </c>
    </row>
    <row r="84" spans="1:11" x14ac:dyDescent="0.25">
      <c r="B84" s="164">
        <v>42999</v>
      </c>
      <c r="C84" s="10">
        <v>266</v>
      </c>
      <c r="D84" s="190">
        <v>38.979999999999997</v>
      </c>
      <c r="E84" s="39">
        <v>11.69</v>
      </c>
      <c r="F84" s="184">
        <f t="shared" si="16"/>
        <v>-7259.1399999999994</v>
      </c>
      <c r="G84" s="39">
        <f t="shared" si="17"/>
        <v>10368.679999999998</v>
      </c>
      <c r="H84" s="180">
        <f t="shared" si="18"/>
        <v>-0.70010261672652641</v>
      </c>
      <c r="I84" s="39"/>
      <c r="J84" s="39"/>
      <c r="K84" s="184">
        <v>-6825</v>
      </c>
    </row>
    <row r="85" spans="1:11" x14ac:dyDescent="0.25">
      <c r="A85">
        <v>266</v>
      </c>
      <c r="B85" s="164">
        <v>43010</v>
      </c>
      <c r="C85" s="10">
        <v>266</v>
      </c>
      <c r="D85" s="190">
        <v>38.380000000000003</v>
      </c>
      <c r="E85" s="39">
        <v>12.17</v>
      </c>
      <c r="F85" s="184">
        <f t="shared" si="16"/>
        <v>-6971.8600000000006</v>
      </c>
      <c r="G85" s="39">
        <f t="shared" si="17"/>
        <v>10209.08</v>
      </c>
      <c r="H85" s="180">
        <f t="shared" si="18"/>
        <v>-0.6829077644606566</v>
      </c>
      <c r="I85" s="39"/>
      <c r="J85" s="39"/>
      <c r="K85" s="184">
        <v>-6538</v>
      </c>
    </row>
    <row r="86" spans="1:11" x14ac:dyDescent="0.25">
      <c r="A86">
        <v>266</v>
      </c>
      <c r="B86" s="164">
        <v>43040</v>
      </c>
      <c r="C86" s="10">
        <v>366</v>
      </c>
      <c r="D86" s="190">
        <v>30.376300000000001</v>
      </c>
      <c r="E86" s="39">
        <v>8.86</v>
      </c>
      <c r="F86" s="184">
        <f t="shared" si="16"/>
        <v>-7874.9657999999999</v>
      </c>
      <c r="G86" s="39">
        <f t="shared" si="17"/>
        <v>11117.7258</v>
      </c>
      <c r="H86" s="180">
        <f t="shared" si="18"/>
        <v>-0.7083252404012339</v>
      </c>
      <c r="I86" s="39"/>
      <c r="J86" s="39"/>
      <c r="K86" s="184">
        <v>-7440</v>
      </c>
    </row>
    <row r="87" spans="1:11" x14ac:dyDescent="0.25">
      <c r="B87" s="164">
        <v>43044</v>
      </c>
      <c r="C87" s="10">
        <v>366</v>
      </c>
      <c r="D87" s="190">
        <v>30.376000000000001</v>
      </c>
      <c r="E87" s="39">
        <v>7.41</v>
      </c>
      <c r="F87" s="184">
        <f t="shared" si="16"/>
        <v>-8405.5560000000005</v>
      </c>
      <c r="G87" s="39">
        <f t="shared" si="17"/>
        <v>11117.616</v>
      </c>
      <c r="H87" s="180">
        <f t="shared" si="18"/>
        <v>-0.75605741374769553</v>
      </c>
      <c r="I87" s="39"/>
      <c r="J87" s="39"/>
      <c r="K87" s="184">
        <v>-7971</v>
      </c>
    </row>
    <row r="88" spans="1:11" x14ac:dyDescent="0.25">
      <c r="A88">
        <v>166</v>
      </c>
      <c r="B88" s="164">
        <v>43048</v>
      </c>
      <c r="C88" s="10">
        <v>266</v>
      </c>
      <c r="D88" s="190">
        <v>38.799999999999997</v>
      </c>
      <c r="E88" s="39">
        <v>7.96</v>
      </c>
      <c r="F88" s="184">
        <f t="shared" si="16"/>
        <v>-8203.4399999999987</v>
      </c>
      <c r="G88" s="39">
        <f t="shared" si="17"/>
        <v>10320.799999999999</v>
      </c>
      <c r="H88" s="180">
        <f t="shared" si="18"/>
        <v>-0.79484536082474222</v>
      </c>
      <c r="I88" s="39"/>
      <c r="J88" s="39"/>
      <c r="K88" s="184">
        <v>-7769</v>
      </c>
    </row>
    <row r="89" spans="1:11" x14ac:dyDescent="0.25">
      <c r="B89" s="164"/>
      <c r="C89" s="10">
        <v>0</v>
      </c>
      <c r="D89" s="190"/>
      <c r="E89" s="39"/>
      <c r="F89" s="184"/>
      <c r="G89" s="39"/>
      <c r="H89" s="180"/>
      <c r="I89" s="39"/>
      <c r="J89" s="39"/>
      <c r="K89" s="184">
        <v>-7897.18</v>
      </c>
    </row>
    <row r="90" spans="1:11" x14ac:dyDescent="0.25">
      <c r="B90" s="164"/>
      <c r="C90" s="10"/>
      <c r="D90" s="190"/>
      <c r="E90" s="39"/>
      <c r="F90" s="184"/>
      <c r="G90" s="39"/>
      <c r="H90" s="180"/>
      <c r="I90" s="39"/>
      <c r="J90" s="39"/>
      <c r="K90" s="184"/>
    </row>
    <row r="91" spans="1:11" x14ac:dyDescent="0.25">
      <c r="B91" s="164"/>
      <c r="C91" s="10"/>
      <c r="D91" s="190"/>
      <c r="E91" s="39"/>
      <c r="F91" s="184"/>
      <c r="G91" s="39"/>
      <c r="H91" s="180"/>
      <c r="I91" s="39"/>
      <c r="J91" s="39"/>
      <c r="K91" s="184"/>
    </row>
    <row r="92" spans="1:11" x14ac:dyDescent="0.25">
      <c r="B92" s="164"/>
      <c r="C92" s="10"/>
      <c r="D92" s="190"/>
      <c r="E92" s="39"/>
      <c r="F92" s="184"/>
      <c r="G92" s="39"/>
      <c r="H92" s="180"/>
      <c r="I92" s="39"/>
      <c r="J92" s="39"/>
      <c r="K92" s="184"/>
    </row>
    <row r="93" spans="1:11" x14ac:dyDescent="0.25">
      <c r="B93" s="164"/>
      <c r="C93" s="10"/>
      <c r="D93" s="190"/>
      <c r="E93" s="39"/>
      <c r="F93" s="184"/>
      <c r="G93" s="39"/>
      <c r="H93" s="180"/>
      <c r="I93" s="39"/>
      <c r="J93" s="39"/>
      <c r="K93" s="184"/>
    </row>
    <row r="94" spans="1:11" x14ac:dyDescent="0.25">
      <c r="B94" s="164"/>
      <c r="C94" s="10"/>
      <c r="D94" s="190"/>
      <c r="E94" s="39"/>
      <c r="F94" s="184"/>
      <c r="G94" s="39"/>
      <c r="H94" s="180"/>
      <c r="I94" s="39"/>
      <c r="J94" s="39"/>
      <c r="K94" s="184"/>
    </row>
    <row r="95" spans="1:11" x14ac:dyDescent="0.25">
      <c r="B95" s="164"/>
      <c r="C95" s="10"/>
      <c r="D95" s="190"/>
      <c r="E95" s="39"/>
      <c r="F95" s="184"/>
      <c r="G95" s="39"/>
      <c r="H95" s="180"/>
      <c r="I95" s="39"/>
      <c r="J95" s="39"/>
      <c r="K95" s="184"/>
    </row>
    <row r="96" spans="1:11" x14ac:dyDescent="0.25">
      <c r="B96" s="164"/>
      <c r="C96" s="10"/>
      <c r="D96" s="190"/>
      <c r="E96" s="39"/>
      <c r="F96" s="184"/>
      <c r="G96" s="39"/>
      <c r="H96" s="180"/>
      <c r="I96" s="39"/>
      <c r="J96" s="39"/>
      <c r="K96" s="184"/>
    </row>
    <row r="97" spans="1:13" x14ac:dyDescent="0.25">
      <c r="B97" s="164"/>
      <c r="C97" s="10"/>
      <c r="D97" s="190"/>
      <c r="E97" s="39"/>
      <c r="F97" s="184"/>
      <c r="G97" s="39"/>
      <c r="H97" s="180"/>
      <c r="I97" s="39"/>
      <c r="J97" s="39"/>
      <c r="K97" s="184"/>
    </row>
    <row r="98" spans="1:13" x14ac:dyDescent="0.25">
      <c r="B98" s="164"/>
      <c r="C98" s="10"/>
      <c r="D98" s="190"/>
      <c r="E98" s="39"/>
      <c r="F98" s="184"/>
      <c r="G98" s="39"/>
      <c r="H98" s="180"/>
      <c r="I98" s="39"/>
      <c r="J98" s="39"/>
      <c r="K98" s="184"/>
    </row>
    <row r="99" spans="1:13" x14ac:dyDescent="0.25">
      <c r="B99" s="164"/>
      <c r="C99" s="10"/>
      <c r="D99" s="190"/>
      <c r="E99" s="39"/>
      <c r="F99" s="184"/>
      <c r="G99" s="39"/>
      <c r="H99" s="180"/>
      <c r="I99" s="39"/>
      <c r="J99" s="39"/>
      <c r="K99" s="184"/>
    </row>
    <row r="102" spans="1:13" x14ac:dyDescent="0.25">
      <c r="L102" t="s">
        <v>203</v>
      </c>
      <c r="M102" s="2">
        <f>K120+M120-F120</f>
        <v>434.93000000000029</v>
      </c>
    </row>
    <row r="103" spans="1:13" x14ac:dyDescent="0.25">
      <c r="A103" s="304" t="s">
        <v>1</v>
      </c>
      <c r="B103" s="304" t="s">
        <v>2</v>
      </c>
      <c r="C103" s="304" t="s">
        <v>4</v>
      </c>
      <c r="D103" s="306" t="s">
        <v>5</v>
      </c>
      <c r="E103" s="306" t="s">
        <v>94</v>
      </c>
      <c r="F103" s="306" t="s">
        <v>60</v>
      </c>
      <c r="G103" s="304" t="s">
        <v>3</v>
      </c>
      <c r="H103" s="304" t="s">
        <v>6</v>
      </c>
      <c r="I103" s="306" t="s">
        <v>7</v>
      </c>
      <c r="J103" s="306" t="s">
        <v>95</v>
      </c>
      <c r="K103" s="306" t="s">
        <v>61</v>
      </c>
      <c r="L103" s="304" t="s">
        <v>37</v>
      </c>
      <c r="M103" s="304" t="s">
        <v>38</v>
      </c>
    </row>
    <row r="104" spans="1:13" x14ac:dyDescent="0.25">
      <c r="A104" s="307" t="s">
        <v>9</v>
      </c>
      <c r="B104" s="297">
        <v>42356</v>
      </c>
      <c r="C104" s="298">
        <v>250</v>
      </c>
      <c r="D104" s="299">
        <v>4.45</v>
      </c>
      <c r="E104" s="299">
        <v>0</v>
      </c>
      <c r="F104" s="299">
        <f>C104*D104+E104</f>
        <v>1112.5</v>
      </c>
      <c r="G104" s="297">
        <v>42398</v>
      </c>
      <c r="H104" s="302">
        <v>250</v>
      </c>
      <c r="I104" s="299">
        <v>4.5199999999999996</v>
      </c>
      <c r="J104" s="299">
        <v>0.02</v>
      </c>
      <c r="K104" s="299">
        <f>H104*I104-J104</f>
        <v>1129.98</v>
      </c>
      <c r="L104" s="298"/>
      <c r="M104" s="298"/>
    </row>
    <row r="105" spans="1:13" x14ac:dyDescent="0.25">
      <c r="A105" s="308"/>
      <c r="B105" s="297">
        <v>42382</v>
      </c>
      <c r="C105" s="298">
        <v>250</v>
      </c>
      <c r="D105" s="299">
        <v>4.25</v>
      </c>
      <c r="E105" s="299">
        <v>0</v>
      </c>
      <c r="F105" s="299">
        <f>C105*D105+E105</f>
        <v>1062.5</v>
      </c>
      <c r="G105" s="297">
        <v>42418</v>
      </c>
      <c r="H105" s="302">
        <v>250</v>
      </c>
      <c r="I105" s="299">
        <v>4.45</v>
      </c>
      <c r="J105" s="299">
        <v>0.02</v>
      </c>
      <c r="K105" s="299">
        <f>H105*I105-J105</f>
        <v>1112.48</v>
      </c>
      <c r="L105" s="298"/>
      <c r="M105" s="298"/>
    </row>
    <row r="106" spans="1:13" x14ac:dyDescent="0.25">
      <c r="A106" s="298"/>
      <c r="B106" s="297">
        <v>42402</v>
      </c>
      <c r="C106" s="298">
        <v>250</v>
      </c>
      <c r="D106" s="299">
        <v>4.3600000000000003</v>
      </c>
      <c r="E106" s="299">
        <v>0</v>
      </c>
      <c r="F106" s="299">
        <f>C106*D106+E106</f>
        <v>1090</v>
      </c>
      <c r="G106" s="297">
        <v>42436</v>
      </c>
      <c r="H106" s="302">
        <v>250</v>
      </c>
      <c r="I106" s="299">
        <v>5.83</v>
      </c>
      <c r="J106" s="299">
        <v>0.03</v>
      </c>
      <c r="K106" s="299">
        <f>H106*I106-J106</f>
        <v>1457.47</v>
      </c>
      <c r="L106" s="298"/>
      <c r="M106" s="298"/>
    </row>
    <row r="107" spans="1:13" x14ac:dyDescent="0.25">
      <c r="A107" s="298"/>
      <c r="B107" s="297"/>
      <c r="C107" s="298"/>
      <c r="D107" s="299"/>
      <c r="E107" s="299"/>
      <c r="F107" s="299"/>
      <c r="G107" s="298"/>
      <c r="H107" s="302"/>
      <c r="I107" s="299"/>
      <c r="J107" s="299"/>
      <c r="K107" s="299"/>
      <c r="L107" s="298"/>
      <c r="M107" s="298"/>
    </row>
    <row r="108" spans="1:13" x14ac:dyDescent="0.25">
      <c r="A108" s="298"/>
      <c r="B108" s="298"/>
      <c r="C108" s="298"/>
      <c r="D108" s="299"/>
      <c r="E108" s="299"/>
      <c r="F108" s="299"/>
      <c r="G108" s="298"/>
      <c r="H108" s="302"/>
      <c r="I108" s="299"/>
      <c r="J108" s="299"/>
      <c r="K108" s="299"/>
      <c r="L108" s="298"/>
      <c r="M108" s="298"/>
    </row>
    <row r="109" spans="1:13" x14ac:dyDescent="0.25">
      <c r="A109" s="298"/>
      <c r="B109" s="298"/>
      <c r="C109" s="298"/>
      <c r="D109" s="299"/>
      <c r="E109" s="299"/>
      <c r="F109" s="299"/>
      <c r="G109" s="298"/>
      <c r="H109" s="302"/>
      <c r="I109" s="299"/>
      <c r="J109" s="299"/>
      <c r="K109" s="299"/>
      <c r="L109" s="298"/>
      <c r="M109" s="298"/>
    </row>
    <row r="110" spans="1:13" x14ac:dyDescent="0.25">
      <c r="A110" s="298"/>
      <c r="B110" s="298"/>
      <c r="C110" s="298"/>
      <c r="D110" s="299"/>
      <c r="E110" s="299"/>
      <c r="F110" s="299"/>
      <c r="G110" s="298"/>
      <c r="H110" s="302"/>
      <c r="I110" s="299"/>
      <c r="J110" s="299"/>
      <c r="K110" s="299"/>
      <c r="L110" s="298"/>
      <c r="M110" s="298"/>
    </row>
    <row r="111" spans="1:13" x14ac:dyDescent="0.25">
      <c r="A111" s="298"/>
      <c r="B111" s="298"/>
      <c r="C111" s="298"/>
      <c r="D111" s="299"/>
      <c r="E111" s="299"/>
      <c r="F111" s="299"/>
      <c r="G111" s="298"/>
      <c r="H111" s="302"/>
      <c r="I111" s="299"/>
      <c r="J111" s="299"/>
      <c r="K111" s="299"/>
      <c r="L111" s="298"/>
      <c r="M111" s="298"/>
    </row>
    <row r="112" spans="1:13" x14ac:dyDescent="0.25">
      <c r="A112" s="298"/>
      <c r="B112" s="298"/>
      <c r="C112" s="298"/>
      <c r="D112" s="299"/>
      <c r="E112" s="299"/>
      <c r="F112" s="299"/>
      <c r="G112" s="298"/>
      <c r="H112" s="298"/>
      <c r="I112" s="299"/>
      <c r="J112" s="299"/>
      <c r="K112" s="299"/>
      <c r="L112" s="298"/>
      <c r="M112" s="298"/>
    </row>
    <row r="113" spans="1:13" x14ac:dyDescent="0.25">
      <c r="A113" s="298"/>
      <c r="B113" s="298"/>
      <c r="C113" s="298"/>
      <c r="D113" s="299"/>
      <c r="E113" s="299"/>
      <c r="F113" s="299"/>
      <c r="G113" s="298"/>
      <c r="H113" s="298"/>
      <c r="I113" s="299"/>
      <c r="J113" s="299"/>
      <c r="K113" s="299"/>
      <c r="L113" s="298"/>
      <c r="M113" s="298"/>
    </row>
    <row r="114" spans="1:13" x14ac:dyDescent="0.25">
      <c r="A114" s="298"/>
      <c r="B114" s="298"/>
      <c r="C114" s="298"/>
      <c r="D114" s="299"/>
      <c r="E114" s="299"/>
      <c r="F114" s="299"/>
      <c r="G114" s="298"/>
      <c r="H114" s="298"/>
      <c r="I114" s="299"/>
      <c r="J114" s="299"/>
      <c r="K114" s="299"/>
      <c r="L114" s="298"/>
      <c r="M114" s="298"/>
    </row>
    <row r="115" spans="1:13" x14ac:dyDescent="0.25">
      <c r="A115" s="298"/>
      <c r="B115" s="298"/>
      <c r="C115" s="298"/>
      <c r="D115" s="299"/>
      <c r="E115" s="299"/>
      <c r="F115" s="299"/>
      <c r="G115" s="298"/>
      <c r="H115" s="298"/>
      <c r="I115" s="299"/>
      <c r="J115" s="299"/>
      <c r="K115" s="299"/>
      <c r="L115" s="298"/>
      <c r="M115" s="298"/>
    </row>
    <row r="116" spans="1:13" x14ac:dyDescent="0.25">
      <c r="A116" s="298"/>
      <c r="B116" s="298"/>
      <c r="C116" s="298"/>
      <c r="D116" s="299"/>
      <c r="E116" s="299"/>
      <c r="F116" s="299"/>
      <c r="G116" s="298"/>
      <c r="H116" s="298"/>
      <c r="I116" s="299"/>
      <c r="J116" s="299"/>
      <c r="K116" s="299"/>
      <c r="L116" s="298"/>
      <c r="M116" s="298"/>
    </row>
    <row r="117" spans="1:13" x14ac:dyDescent="0.25">
      <c r="A117" s="298"/>
      <c r="B117" s="298"/>
      <c r="C117" s="298"/>
      <c r="D117" s="299"/>
      <c r="E117" s="299"/>
      <c r="F117" s="299"/>
      <c r="G117" s="298"/>
      <c r="H117" s="298"/>
      <c r="I117" s="299"/>
      <c r="J117" s="299"/>
      <c r="K117" s="299"/>
      <c r="L117" s="298"/>
      <c r="M117" s="298"/>
    </row>
    <row r="118" spans="1:13" x14ac:dyDescent="0.25">
      <c r="A118" s="298"/>
      <c r="B118" s="298"/>
      <c r="C118" s="298"/>
      <c r="D118" s="299"/>
      <c r="E118" s="299"/>
      <c r="F118" s="299"/>
      <c r="G118" s="298"/>
      <c r="H118" s="298"/>
      <c r="I118" s="299"/>
      <c r="J118" s="299"/>
      <c r="K118" s="299"/>
      <c r="L118" s="298"/>
      <c r="M118" s="298"/>
    </row>
    <row r="119" spans="1:13" x14ac:dyDescent="0.25">
      <c r="A119" s="298"/>
      <c r="B119" s="298"/>
      <c r="C119" s="298"/>
      <c r="D119" s="299"/>
      <c r="E119" s="299"/>
      <c r="F119" s="299"/>
      <c r="G119" s="298"/>
      <c r="H119" s="302"/>
      <c r="I119" s="299"/>
      <c r="J119" s="299"/>
      <c r="K119" s="299"/>
      <c r="L119" s="298"/>
      <c r="M119" s="298"/>
    </row>
    <row r="120" spans="1:13" x14ac:dyDescent="0.25">
      <c r="A120" s="21" t="s">
        <v>81</v>
      </c>
      <c r="B120" s="12"/>
      <c r="C120" s="12">
        <f>SUM(C104:C107)</f>
        <v>750</v>
      </c>
      <c r="D120" s="13"/>
      <c r="E120" s="13"/>
      <c r="F120" s="13">
        <f>SUM(F104:F107)</f>
        <v>3265</v>
      </c>
      <c r="G120" s="12"/>
      <c r="H120" s="12">
        <f>SUM(H104:H107)</f>
        <v>750</v>
      </c>
      <c r="I120" s="13"/>
      <c r="J120" s="13"/>
      <c r="K120" s="13">
        <f>SUM(K104:K107)</f>
        <v>3699.9300000000003</v>
      </c>
      <c r="L120" s="12"/>
      <c r="M120" s="13">
        <f>SUM(M104:M107)</f>
        <v>0</v>
      </c>
    </row>
    <row r="123" spans="1:13" x14ac:dyDescent="0.25">
      <c r="B123" s="414" t="s">
        <v>113</v>
      </c>
      <c r="C123" s="414" t="s">
        <v>145</v>
      </c>
      <c r="D123" s="415" t="s">
        <v>144</v>
      </c>
      <c r="E123" s="416" t="s">
        <v>146</v>
      </c>
      <c r="F123" s="417" t="s">
        <v>65</v>
      </c>
      <c r="G123" s="418" t="s">
        <v>150</v>
      </c>
      <c r="H123" s="417" t="s">
        <v>88</v>
      </c>
      <c r="I123" s="418" t="s">
        <v>153</v>
      </c>
    </row>
    <row r="124" spans="1:13" x14ac:dyDescent="0.25">
      <c r="B124" s="297">
        <v>42353</v>
      </c>
      <c r="C124" s="298">
        <v>250</v>
      </c>
      <c r="D124" s="419">
        <v>4.45</v>
      </c>
      <c r="E124" s="299">
        <v>4.45</v>
      </c>
      <c r="F124" s="299">
        <f>C124*(E124-D124)</f>
        <v>0</v>
      </c>
      <c r="G124" s="299">
        <f>D124*C124</f>
        <v>1112.5</v>
      </c>
      <c r="H124" s="301">
        <f>(E124-D124)/D124</f>
        <v>0</v>
      </c>
      <c r="I124" s="299"/>
    </row>
    <row r="125" spans="1:13" x14ac:dyDescent="0.25">
      <c r="B125" s="297">
        <v>42356</v>
      </c>
      <c r="C125" s="298">
        <v>250</v>
      </c>
      <c r="D125" s="419">
        <v>4.45</v>
      </c>
      <c r="E125" s="299">
        <v>4.79</v>
      </c>
      <c r="F125" s="299">
        <f>C125*(E125-D125)</f>
        <v>84.999999999999972</v>
      </c>
      <c r="G125" s="299">
        <f>D125*C125</f>
        <v>1112.5</v>
      </c>
      <c r="H125" s="301">
        <f>(E125-D125)/D125</f>
        <v>7.6404494382022431E-2</v>
      </c>
      <c r="I125" s="299"/>
    </row>
    <row r="126" spans="1:13" x14ac:dyDescent="0.25">
      <c r="B126" s="297">
        <v>42382</v>
      </c>
      <c r="C126" s="298">
        <v>500</v>
      </c>
      <c r="D126" s="419">
        <v>4.3499999999999996</v>
      </c>
      <c r="E126" s="299">
        <v>4.17</v>
      </c>
      <c r="F126" s="299">
        <f t="shared" ref="F126:F134" si="19">C126*(E126-D126)</f>
        <v>-89.999999999999858</v>
      </c>
      <c r="G126" s="299">
        <f t="shared" ref="G126:G134" si="20">D126*C126</f>
        <v>2175</v>
      </c>
      <c r="H126" s="301">
        <f t="shared" ref="H126:H134" si="21">(E126-D126)/D126</f>
        <v>-4.1379310344827523E-2</v>
      </c>
      <c r="I126" s="299"/>
    </row>
    <row r="127" spans="1:13" x14ac:dyDescent="0.25">
      <c r="B127" s="297">
        <v>42398</v>
      </c>
      <c r="C127" s="298">
        <v>250</v>
      </c>
      <c r="D127" s="419">
        <v>4.18</v>
      </c>
      <c r="E127" s="299">
        <v>4.5199999999999996</v>
      </c>
      <c r="F127" s="299">
        <f t="shared" si="19"/>
        <v>84.999999999999972</v>
      </c>
      <c r="G127" s="299">
        <f t="shared" si="20"/>
        <v>1045</v>
      </c>
      <c r="H127" s="301">
        <f t="shared" si="21"/>
        <v>8.1339712918660254E-2</v>
      </c>
      <c r="I127" s="299"/>
    </row>
    <row r="128" spans="1:13" x14ac:dyDescent="0.25">
      <c r="B128" s="297">
        <v>42402</v>
      </c>
      <c r="C128" s="298">
        <v>500</v>
      </c>
      <c r="D128" s="419">
        <v>4.2699999999999996</v>
      </c>
      <c r="E128" s="299">
        <v>4.3499999999999996</v>
      </c>
      <c r="F128" s="299">
        <f t="shared" si="19"/>
        <v>40.000000000000036</v>
      </c>
      <c r="G128" s="299">
        <f t="shared" si="20"/>
        <v>2135</v>
      </c>
      <c r="H128" s="301">
        <f t="shared" si="21"/>
        <v>1.8735362997658097E-2</v>
      </c>
      <c r="I128" s="299"/>
    </row>
    <row r="129" spans="2:9" x14ac:dyDescent="0.25">
      <c r="B129" s="297">
        <v>42403</v>
      </c>
      <c r="C129" s="298">
        <v>500</v>
      </c>
      <c r="D129" s="419">
        <v>4.2699999999999996</v>
      </c>
      <c r="E129" s="299">
        <v>4.5999999999999996</v>
      </c>
      <c r="F129" s="299">
        <f t="shared" si="19"/>
        <v>165.00000000000003</v>
      </c>
      <c r="G129" s="299">
        <f t="shared" si="20"/>
        <v>2135</v>
      </c>
      <c r="H129" s="301">
        <f t="shared" si="21"/>
        <v>7.7283372365339609E-2</v>
      </c>
      <c r="I129" s="299"/>
    </row>
    <row r="130" spans="2:9" x14ac:dyDescent="0.25">
      <c r="B130" s="297">
        <v>42418</v>
      </c>
      <c r="C130" s="298">
        <v>250</v>
      </c>
      <c r="D130" s="419">
        <v>4.09</v>
      </c>
      <c r="E130" s="299">
        <v>4.25</v>
      </c>
      <c r="F130" s="299">
        <f t="shared" si="19"/>
        <v>40.000000000000036</v>
      </c>
      <c r="G130" s="299">
        <f t="shared" si="20"/>
        <v>1022.5</v>
      </c>
      <c r="H130" s="301">
        <f t="shared" si="21"/>
        <v>3.911980440097803E-2</v>
      </c>
      <c r="I130" s="299"/>
    </row>
    <row r="131" spans="2:9" x14ac:dyDescent="0.25">
      <c r="B131" s="297">
        <v>42421</v>
      </c>
      <c r="C131" s="298">
        <v>250</v>
      </c>
      <c r="D131" s="419">
        <v>4.09</v>
      </c>
      <c r="E131" s="299">
        <v>4.4400000000000004</v>
      </c>
      <c r="F131" s="299">
        <f t="shared" si="19"/>
        <v>87.500000000000128</v>
      </c>
      <c r="G131" s="299">
        <f t="shared" si="20"/>
        <v>1022.5</v>
      </c>
      <c r="H131" s="301">
        <f t="shared" si="21"/>
        <v>8.5574572127139495E-2</v>
      </c>
      <c r="I131" s="299"/>
    </row>
    <row r="132" spans="2:9" x14ac:dyDescent="0.25">
      <c r="B132" s="297">
        <v>42424</v>
      </c>
      <c r="C132" s="298">
        <v>250</v>
      </c>
      <c r="D132" s="419">
        <v>4.09</v>
      </c>
      <c r="E132" s="299">
        <v>5.3</v>
      </c>
      <c r="F132" s="299">
        <f t="shared" si="19"/>
        <v>302.5</v>
      </c>
      <c r="G132" s="299">
        <f t="shared" si="20"/>
        <v>1022.5</v>
      </c>
      <c r="H132" s="301">
        <f t="shared" si="21"/>
        <v>0.29584352078239606</v>
      </c>
      <c r="I132" s="299"/>
    </row>
    <row r="133" spans="2:9" x14ac:dyDescent="0.25">
      <c r="B133" s="297">
        <v>42430</v>
      </c>
      <c r="C133" s="298">
        <v>250</v>
      </c>
      <c r="D133" s="419">
        <v>4.09</v>
      </c>
      <c r="E133" s="299">
        <v>5.47</v>
      </c>
      <c r="F133" s="377">
        <f t="shared" si="19"/>
        <v>345</v>
      </c>
      <c r="G133" s="299">
        <f t="shared" si="20"/>
        <v>1022.5</v>
      </c>
      <c r="H133" s="301">
        <f t="shared" si="21"/>
        <v>0.33740831295843521</v>
      </c>
      <c r="I133" s="299"/>
    </row>
    <row r="134" spans="2:9" x14ac:dyDescent="0.25">
      <c r="B134" s="297">
        <v>42431</v>
      </c>
      <c r="C134" s="298">
        <v>250</v>
      </c>
      <c r="D134" s="419">
        <v>4.09</v>
      </c>
      <c r="E134" s="299">
        <v>5.63</v>
      </c>
      <c r="F134" s="377">
        <f t="shared" si="19"/>
        <v>385</v>
      </c>
      <c r="G134" s="299">
        <f t="shared" si="20"/>
        <v>1022.5</v>
      </c>
      <c r="H134" s="301">
        <f t="shared" si="21"/>
        <v>0.37652811735941322</v>
      </c>
      <c r="I134" s="299"/>
    </row>
    <row r="135" spans="2:9" x14ac:dyDescent="0.25">
      <c r="B135" s="297">
        <v>42436</v>
      </c>
      <c r="C135" s="298">
        <v>0</v>
      </c>
      <c r="D135" s="419"/>
      <c r="E135" s="299">
        <v>5.79</v>
      </c>
      <c r="F135" s="377">
        <v>434.93</v>
      </c>
      <c r="G135" s="299"/>
      <c r="H135" s="301"/>
      <c r="I135" s="299"/>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34 F124:F135 H34 H133:H135 F40:F99 H40:H99">
    <cfRule type="expression" dxfId="179" priority="25">
      <formula>F34&gt;0</formula>
    </cfRule>
    <cfRule type="expression" dxfId="178" priority="26">
      <formula>F34&lt;0</formula>
    </cfRule>
  </conditionalFormatting>
  <conditionalFormatting sqref="H124:H131">
    <cfRule type="expression" dxfId="177" priority="23">
      <formula>H124&gt;0</formula>
    </cfRule>
    <cfRule type="expression" dxfId="176" priority="24">
      <formula>H124&lt;0</formula>
    </cfRule>
  </conditionalFormatting>
  <conditionalFormatting sqref="H132">
    <cfRule type="expression" dxfId="175" priority="21">
      <formula>H132&gt;0</formula>
    </cfRule>
    <cfRule type="expression" dxfId="174" priority="22">
      <formula>H132&lt;0</formula>
    </cfRule>
  </conditionalFormatting>
  <conditionalFormatting sqref="Q8">
    <cfRule type="expression" dxfId="173" priority="11">
      <formula>Q8&gt;0</formula>
    </cfRule>
    <cfRule type="expression" dxfId="172" priority="12">
      <formula>Q8&lt;0</formula>
    </cfRule>
  </conditionalFormatting>
  <conditionalFormatting sqref="Q7">
    <cfRule type="expression" dxfId="171" priority="13">
      <formula>Q7&gt;0</formula>
    </cfRule>
    <cfRule type="expression" dxfId="170" priority="14">
      <formula>Q7&lt;0</formula>
    </cfRule>
  </conditionalFormatting>
  <conditionalFormatting sqref="F36:F39">
    <cfRule type="expression" dxfId="169" priority="9">
      <formula>F36&gt;0</formula>
    </cfRule>
    <cfRule type="expression" dxfId="168" priority="10">
      <formula>F36&lt;0</formula>
    </cfRule>
  </conditionalFormatting>
  <conditionalFormatting sqref="H36:H39">
    <cfRule type="expression" dxfId="167" priority="7">
      <formula>H36&gt;0</formula>
    </cfRule>
    <cfRule type="expression" dxfId="166" priority="8">
      <formula>H36&lt;0</formula>
    </cfRule>
  </conditionalFormatting>
  <conditionalFormatting sqref="K65:K99">
    <cfRule type="expression" dxfId="165" priority="5">
      <formula>K65&gt;0</formula>
    </cfRule>
    <cfRule type="expression" dxfId="164" priority="6">
      <formula>K65&lt;0</formula>
    </cfRule>
  </conditionalFormatting>
  <conditionalFormatting sqref="K72">
    <cfRule type="expression" dxfId="163" priority="3">
      <formula>K72&gt;0</formula>
    </cfRule>
    <cfRule type="expression" dxfId="162" priority="4">
      <formula>K72&lt;0</formula>
    </cfRule>
  </conditionalFormatting>
  <conditionalFormatting sqref="M69">
    <cfRule type="expression" dxfId="161" priority="1">
      <formula>M69&gt;0</formula>
    </cfRule>
    <cfRule type="expression" dxfId="160" priority="2">
      <formula>M69&lt;0</formula>
    </cfRule>
  </conditionalFormatting>
  <hyperlinks>
    <hyperlink ref="A3" location="ACTIVE!A1" display="Back"/>
  </hyperlinks>
  <pageMargins left="0.7" right="0.7" top="0.75" bottom="0.75" header="0.3" footer="0.3"/>
  <pageSetup paperSize="9" orientation="portrait" r:id="rId1"/>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104" activePane="bottomLeft" state="frozen"/>
      <selection activeCell="A2" sqref="A2"/>
      <selection pane="bottomLeft"/>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51">
        <v>43077</v>
      </c>
      <c r="Z1" s="151">
        <v>43084</v>
      </c>
      <c r="AA1" s="151">
        <v>43091</v>
      </c>
      <c r="AB1" s="151">
        <v>43463</v>
      </c>
      <c r="AC1" s="151">
        <v>43105</v>
      </c>
      <c r="AD1" s="151">
        <v>43112</v>
      </c>
      <c r="AE1" s="151">
        <v>43119</v>
      </c>
      <c r="AF1" s="151">
        <v>43126</v>
      </c>
      <c r="AG1" s="702">
        <v>43133</v>
      </c>
    </row>
    <row r="2" spans="1:40" x14ac:dyDescent="0.25">
      <c r="A2" s="6" t="s">
        <v>55</v>
      </c>
      <c r="B2" s="695">
        <v>43098</v>
      </c>
      <c r="C2" s="7">
        <v>50</v>
      </c>
      <c r="D2" s="43">
        <v>71.650000000000006</v>
      </c>
      <c r="E2" s="43">
        <v>0</v>
      </c>
      <c r="F2" s="43">
        <f>C2*D2 + E2</f>
        <v>3582.5000000000005</v>
      </c>
      <c r="G2" s="695">
        <v>43286</v>
      </c>
      <c r="H2" s="7">
        <v>50</v>
      </c>
      <c r="I2" s="43">
        <v>72.790000000000006</v>
      </c>
      <c r="J2" s="43">
        <v>0.05</v>
      </c>
      <c r="K2" s="43">
        <f>H2*I2 - J2</f>
        <v>3639.4500000000003</v>
      </c>
      <c r="L2" s="72">
        <v>43190</v>
      </c>
      <c r="M2" s="669">
        <v>28.5</v>
      </c>
      <c r="O2" s="11" t="s">
        <v>57</v>
      </c>
      <c r="Q2">
        <f>C18-H18</f>
        <v>0</v>
      </c>
      <c r="T2" s="1">
        <v>43096</v>
      </c>
      <c r="U2" t="s">
        <v>784</v>
      </c>
      <c r="W2" t="s">
        <v>782</v>
      </c>
      <c r="X2" s="663" t="s">
        <v>766</v>
      </c>
      <c r="Y2" s="687">
        <v>11.5</v>
      </c>
      <c r="Z2" s="687">
        <v>11.5</v>
      </c>
      <c r="AA2" s="2">
        <v>10.6</v>
      </c>
      <c r="AB2" s="2">
        <v>9.5</v>
      </c>
      <c r="AC2" s="687">
        <v>9.83</v>
      </c>
      <c r="AD2">
        <v>11</v>
      </c>
      <c r="AE2" s="662">
        <v>9.98</v>
      </c>
      <c r="AF2" s="662">
        <v>10.199999999999999</v>
      </c>
      <c r="AG2" s="662">
        <v>10.4</v>
      </c>
      <c r="AH2" s="11"/>
      <c r="AI2" s="11"/>
      <c r="AJ2" s="11"/>
      <c r="AK2" s="664"/>
      <c r="AL2" s="664"/>
      <c r="AM2" s="664"/>
      <c r="AN2" s="664"/>
    </row>
    <row r="3" spans="1:40" x14ac:dyDescent="0.25">
      <c r="A3" s="22" t="s">
        <v>71</v>
      </c>
      <c r="B3" s="72"/>
      <c r="C3" s="4"/>
      <c r="D3" s="3"/>
      <c r="E3" s="3"/>
      <c r="F3" s="3"/>
      <c r="G3" s="72"/>
      <c r="H3" s="161"/>
      <c r="I3" s="3"/>
      <c r="J3" s="3"/>
      <c r="K3" s="3"/>
      <c r="L3" s="72">
        <v>43279</v>
      </c>
      <c r="M3" s="668">
        <v>28.5</v>
      </c>
      <c r="O3" s="11" t="s">
        <v>58</v>
      </c>
      <c r="Q3" s="396">
        <f>IF(Q2=0, Q4, (F24-K24-M24)/Q2)</f>
        <v>69.83</v>
      </c>
      <c r="U3" t="s">
        <v>785</v>
      </c>
      <c r="X3" s="663" t="s">
        <v>767</v>
      </c>
      <c r="Y3" s="687">
        <v>25</v>
      </c>
      <c r="Z3" s="687">
        <v>24.6</v>
      </c>
      <c r="AA3" s="2">
        <v>23.3</v>
      </c>
      <c r="AB3" s="2">
        <v>20.6</v>
      </c>
      <c r="AC3" s="687">
        <v>23.3</v>
      </c>
      <c r="AD3">
        <v>26.3</v>
      </c>
      <c r="AE3" s="662">
        <v>24.8</v>
      </c>
      <c r="AF3" s="662">
        <v>25.5</v>
      </c>
      <c r="AG3" s="662">
        <v>26.5</v>
      </c>
      <c r="AH3" s="664"/>
      <c r="AI3" s="664"/>
      <c r="AJ3" s="664"/>
      <c r="AK3" s="664"/>
      <c r="AL3" s="664"/>
      <c r="AM3" s="662"/>
      <c r="AN3" s="662"/>
    </row>
    <row r="4" spans="1:40" x14ac:dyDescent="0.25">
      <c r="B4" s="72"/>
      <c r="C4" s="4"/>
      <c r="D4" s="3"/>
      <c r="E4" s="3"/>
      <c r="F4" s="3"/>
      <c r="G4" s="72"/>
      <c r="H4" s="161"/>
      <c r="I4" s="3"/>
      <c r="J4" s="3"/>
      <c r="K4" s="3"/>
      <c r="L4" s="72"/>
      <c r="M4" s="3"/>
      <c r="O4" s="11" t="s">
        <v>66</v>
      </c>
      <c r="Q4" s="349">
        <v>69.83</v>
      </c>
      <c r="R4" s="405">
        <v>1.0800000000000001E-2</v>
      </c>
      <c r="U4" t="s">
        <v>786</v>
      </c>
      <c r="X4" s="663" t="s">
        <v>768</v>
      </c>
      <c r="Y4" s="687">
        <v>28.5</v>
      </c>
      <c r="Z4" s="687">
        <v>28.8</v>
      </c>
      <c r="AA4" s="2">
        <v>26.9</v>
      </c>
      <c r="AB4" s="2">
        <v>23.9</v>
      </c>
      <c r="AC4" s="687">
        <v>26.6</v>
      </c>
      <c r="AD4">
        <v>30</v>
      </c>
      <c r="AE4" s="662">
        <v>28.5</v>
      </c>
      <c r="AF4" s="662">
        <v>29.3</v>
      </c>
      <c r="AG4" s="662">
        <v>29.9</v>
      </c>
      <c r="AH4" s="691"/>
      <c r="AI4" s="662"/>
      <c r="AK4" s="662"/>
      <c r="AL4" s="662"/>
      <c r="AM4" s="662"/>
      <c r="AN4" s="662"/>
    </row>
    <row r="5" spans="1:40" x14ac:dyDescent="0.25">
      <c r="B5" s="72"/>
      <c r="C5" s="4"/>
      <c r="D5" s="3"/>
      <c r="E5" s="3"/>
      <c r="F5" s="3"/>
      <c r="G5" s="72"/>
      <c r="H5" s="161"/>
      <c r="I5" s="3"/>
      <c r="J5" s="3"/>
      <c r="K5" s="3"/>
      <c r="L5" s="72"/>
      <c r="M5" s="3"/>
      <c r="O5" s="11" t="s">
        <v>67</v>
      </c>
      <c r="Q5" s="3">
        <f>Q4*Q2</f>
        <v>0</v>
      </c>
      <c r="T5" s="1"/>
      <c r="X5" s="663" t="s">
        <v>769</v>
      </c>
      <c r="Y5" s="687">
        <v>35.200000000000003</v>
      </c>
      <c r="Z5" s="687">
        <v>34.5</v>
      </c>
      <c r="AA5" s="2">
        <v>33.1</v>
      </c>
      <c r="AB5" s="2">
        <v>28.5</v>
      </c>
      <c r="AC5" s="687">
        <v>31.6</v>
      </c>
      <c r="AD5">
        <v>33.799999999999997</v>
      </c>
      <c r="AE5" s="694" t="s">
        <v>793</v>
      </c>
      <c r="AF5" s="662" t="s">
        <v>793</v>
      </c>
      <c r="AG5" s="662" t="s">
        <v>793</v>
      </c>
      <c r="AH5" s="691"/>
      <c r="AI5" s="662"/>
      <c r="AK5" s="662"/>
      <c r="AL5" s="662"/>
      <c r="AM5" s="662"/>
      <c r="AN5" s="662"/>
    </row>
    <row r="6" spans="1:40" x14ac:dyDescent="0.25">
      <c r="B6" s="72"/>
      <c r="C6" s="4"/>
      <c r="D6" s="3"/>
      <c r="E6" s="3"/>
      <c r="F6" s="3"/>
      <c r="G6" s="72"/>
      <c r="H6" s="161"/>
      <c r="I6" s="3"/>
      <c r="J6" s="3"/>
      <c r="K6" s="3"/>
      <c r="L6" s="72"/>
      <c r="M6" s="3"/>
      <c r="O6" s="11" t="s">
        <v>64</v>
      </c>
      <c r="Q6" s="2">
        <f>Q3*Q2</f>
        <v>0</v>
      </c>
      <c r="T6" s="1">
        <v>43098</v>
      </c>
      <c r="U6" t="s">
        <v>796</v>
      </c>
      <c r="X6" s="663" t="s">
        <v>770</v>
      </c>
      <c r="Y6" s="687">
        <v>56</v>
      </c>
      <c r="Z6" s="687">
        <v>56.1</v>
      </c>
      <c r="AA6" s="2">
        <v>53.9</v>
      </c>
      <c r="AB6" s="2">
        <v>47.4</v>
      </c>
      <c r="AC6" s="687">
        <v>52.9</v>
      </c>
      <c r="AD6">
        <v>59.7</v>
      </c>
      <c r="AE6" s="662">
        <v>55.4</v>
      </c>
      <c r="AF6" s="662">
        <v>57.8</v>
      </c>
      <c r="AG6" s="662">
        <v>59.8</v>
      </c>
      <c r="AH6" s="691"/>
      <c r="AI6" s="662"/>
      <c r="AK6" s="662"/>
      <c r="AL6" s="662"/>
      <c r="AM6" s="662"/>
      <c r="AN6" s="662"/>
    </row>
    <row r="7" spans="1:40" x14ac:dyDescent="0.25">
      <c r="A7" s="533"/>
      <c r="B7" s="692"/>
      <c r="C7" s="4"/>
      <c r="D7" s="3"/>
      <c r="E7" s="3"/>
      <c r="F7" s="3"/>
      <c r="G7" s="72"/>
      <c r="H7" s="161"/>
      <c r="I7" s="3"/>
      <c r="J7" s="3"/>
      <c r="K7" s="3"/>
      <c r="L7" s="72"/>
      <c r="M7" s="3"/>
      <c r="O7" s="11" t="s">
        <v>177</v>
      </c>
      <c r="Q7" s="2">
        <f>Q10+Q8</f>
        <v>924.07999999998992</v>
      </c>
      <c r="R7">
        <v>0</v>
      </c>
      <c r="X7" s="663" t="s">
        <v>771</v>
      </c>
      <c r="Y7" s="687">
        <v>156.13</v>
      </c>
      <c r="Z7" s="687">
        <v>155.49</v>
      </c>
      <c r="AA7" s="2">
        <v>147.97</v>
      </c>
      <c r="AB7" s="2">
        <v>129.78</v>
      </c>
      <c r="AC7" s="687">
        <v>144.18</v>
      </c>
      <c r="AD7">
        <v>160.76</v>
      </c>
      <c r="AE7" s="662">
        <v>118.63</v>
      </c>
      <c r="AF7" s="662">
        <v>122.86</v>
      </c>
      <c r="AG7" s="662">
        <v>126.61</v>
      </c>
      <c r="AH7" s="691"/>
      <c r="AI7" s="662"/>
      <c r="AN7" s="662"/>
    </row>
    <row r="8" spans="1:40" x14ac:dyDescent="0.25">
      <c r="A8" s="533"/>
      <c r="G8" s="4"/>
      <c r="H8" s="161"/>
      <c r="I8" s="4"/>
      <c r="J8" s="4"/>
      <c r="K8" s="4"/>
      <c r="L8" s="72"/>
      <c r="M8" s="3"/>
      <c r="O8" s="11" t="s">
        <v>179</v>
      </c>
      <c r="P8" s="33"/>
      <c r="Q8" s="2">
        <f>K24+M24-F24+Q2*Q4</f>
        <v>113.94999999999982</v>
      </c>
      <c r="T8" s="1">
        <v>43109</v>
      </c>
      <c r="U8" t="s">
        <v>831</v>
      </c>
      <c r="X8" s="663" t="s">
        <v>783</v>
      </c>
      <c r="Z8" s="660">
        <f>(Z7-Y7)/Y7</f>
        <v>-4.0991481457758683E-3</v>
      </c>
      <c r="AA8" s="660">
        <f>(AA7-Z7)/Z7</f>
        <v>-4.8363238793491609E-2</v>
      </c>
      <c r="AB8" s="660">
        <f>(AB7-AA7)/AA7</f>
        <v>-0.12293032371426639</v>
      </c>
      <c r="AC8" s="660">
        <f>(AC7-AB7)/AB7</f>
        <v>0.1109570041608877</v>
      </c>
      <c r="AD8" s="660">
        <f>(AD7-AC7)/AC7</f>
        <v>0.11499514495769166</v>
      </c>
      <c r="AE8" s="660">
        <f>(AE7-AD7+AD5)/(AD7-AD5)</f>
        <v>-6.5611216131064895E-2</v>
      </c>
      <c r="AF8" s="660">
        <f>(AF7-AE7)/AE7</f>
        <v>3.565708505437077E-2</v>
      </c>
      <c r="AG8" s="660">
        <f>(AG7-AF7)/AF7</f>
        <v>3.052254598730262E-2</v>
      </c>
      <c r="AH8" s="691"/>
      <c r="AI8" s="662"/>
      <c r="AN8" s="662"/>
    </row>
    <row r="9" spans="1:40" x14ac:dyDescent="0.25">
      <c r="A9" s="533"/>
      <c r="B9" s="533"/>
      <c r="C9" s="4"/>
      <c r="D9" s="3"/>
      <c r="E9" s="3"/>
      <c r="F9" s="3"/>
      <c r="G9" s="4"/>
      <c r="H9" s="4"/>
      <c r="I9" s="4"/>
      <c r="J9" s="4"/>
      <c r="K9" s="4"/>
      <c r="L9" s="72"/>
      <c r="M9" s="3"/>
      <c r="O9" s="11" t="s">
        <v>204</v>
      </c>
      <c r="Q9" s="134">
        <f>IF(Q2=0, 0, Q8/Q6)</f>
        <v>0</v>
      </c>
      <c r="U9" t="s">
        <v>850</v>
      </c>
      <c r="X9" s="663" t="s">
        <v>794</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91"/>
      <c r="AI9" s="662"/>
      <c r="AJ9" s="664"/>
      <c r="AK9" s="664"/>
      <c r="AL9" s="664"/>
      <c r="AM9" s="664"/>
    </row>
    <row r="10" spans="1:40" x14ac:dyDescent="0.25">
      <c r="A10" s="533"/>
      <c r="B10" s="533"/>
      <c r="C10" s="4"/>
      <c r="D10" s="3"/>
      <c r="E10" s="3"/>
      <c r="F10" s="3"/>
      <c r="G10" s="4"/>
      <c r="H10" s="4"/>
      <c r="I10" s="4"/>
      <c r="J10" s="4"/>
      <c r="K10" s="4"/>
      <c r="L10" s="4"/>
      <c r="M10" s="4"/>
      <c r="O10" s="11" t="s">
        <v>203</v>
      </c>
      <c r="P10" s="33"/>
      <c r="Q10" s="2">
        <f>M54</f>
        <v>810.1299999999901</v>
      </c>
      <c r="X10" s="663" t="s">
        <v>795</v>
      </c>
      <c r="Z10" s="180">
        <f>(Z9-Y9)/Y9</f>
        <v>-7.9840319361277161E-3</v>
      </c>
      <c r="AA10" s="180">
        <f>(AA9-Z9)/Z9</f>
        <v>-5.5331991951710256E-2</v>
      </c>
      <c r="AB10" s="180">
        <f>(AB9-AA9)/AA9</f>
        <v>-0.1214057507987221</v>
      </c>
      <c r="AC10" s="180">
        <f>(AC9-AB9)/AB9</f>
        <v>0.10703030303030318</v>
      </c>
      <c r="AD10" s="180">
        <f>(AD9-AC9)/AC9</f>
        <v>0.10697470710609855</v>
      </c>
      <c r="AE10" s="180">
        <f>(AE9-(AD9-AD5))/(AD9-AD5)</f>
        <v>-5.9732540861812719E-2</v>
      </c>
      <c r="AF10" s="180">
        <f>(AF9-AE9)/AE9</f>
        <v>2.7180783817951942E-2</v>
      </c>
      <c r="AG10" s="180">
        <f>(AG9-AF9)/AF9</f>
        <v>2.7692307692307648E-2</v>
      </c>
      <c r="AH10" s="11"/>
      <c r="AJ10" s="662"/>
      <c r="AK10" s="662"/>
      <c r="AL10" s="662"/>
      <c r="AM10" s="662"/>
    </row>
    <row r="11" spans="1:40" ht="18" x14ac:dyDescent="0.25">
      <c r="A11" s="533"/>
      <c r="B11" s="533"/>
      <c r="C11" s="4"/>
      <c r="D11" s="3"/>
      <c r="E11" s="3"/>
      <c r="F11" s="3"/>
      <c r="G11" s="72"/>
      <c r="H11" s="161"/>
      <c r="I11" s="3"/>
      <c r="J11" s="3"/>
      <c r="K11" s="3"/>
      <c r="L11" s="4"/>
      <c r="M11" s="4"/>
      <c r="N11" s="5"/>
      <c r="O11" s="11" t="s">
        <v>175</v>
      </c>
      <c r="P11" s="33"/>
      <c r="Q11" s="134">
        <f>R11*4/Q4</f>
        <v>2.9786624659888301E-2</v>
      </c>
      <c r="R11">
        <f>0.52</f>
        <v>0.52</v>
      </c>
      <c r="T11" s="1">
        <v>43112</v>
      </c>
      <c r="U11" t="s">
        <v>847</v>
      </c>
      <c r="X11" s="663" t="s">
        <v>780</v>
      </c>
      <c r="Y11" s="660">
        <f t="shared" ref="Y11:AD11" si="1">SUM(Y2:Y5)/Y7</f>
        <v>0.64177288157304813</v>
      </c>
      <c r="Z11" s="660">
        <f t="shared" si="1"/>
        <v>0.63926940639269403</v>
      </c>
      <c r="AA11" s="660">
        <f t="shared" si="1"/>
        <v>0.63458809218084755</v>
      </c>
      <c r="AB11" s="660">
        <f t="shared" si="1"/>
        <v>0.63569116967175221</v>
      </c>
      <c r="AC11" s="660">
        <f t="shared" si="1"/>
        <v>0.63344430572894994</v>
      </c>
      <c r="AD11" s="660">
        <f t="shared" si="1"/>
        <v>0.62888778303060466</v>
      </c>
      <c r="AE11" s="660">
        <f>SUM(AE2:AE5)/(AE7-AD5)</f>
        <v>0.74596251326181773</v>
      </c>
      <c r="AF11" s="660">
        <f>SUM(AF2:AF5)/AF7</f>
        <v>0.52905746377991214</v>
      </c>
      <c r="AG11" s="660">
        <f>SUM(AG2:AG5)/AG7</f>
        <v>0.52760445462443728</v>
      </c>
      <c r="AH11" s="11"/>
      <c r="AI11" s="686"/>
      <c r="AJ11" s="662"/>
      <c r="AK11" s="662"/>
      <c r="AL11" s="662"/>
      <c r="AM11" s="662"/>
    </row>
    <row r="12" spans="1:40" x14ac:dyDescent="0.25">
      <c r="A12" s="533"/>
      <c r="B12" s="533"/>
      <c r="C12" s="4"/>
      <c r="D12" s="3"/>
      <c r="E12" s="3"/>
      <c r="F12" s="3"/>
      <c r="G12" s="72"/>
      <c r="H12" s="161"/>
      <c r="I12" s="3"/>
      <c r="J12" s="3"/>
      <c r="K12" s="3"/>
      <c r="L12" s="4"/>
      <c r="M12" s="4"/>
      <c r="N12" s="5"/>
      <c r="O12" s="11" t="s">
        <v>921</v>
      </c>
      <c r="Q12" s="1" t="s">
        <v>1169</v>
      </c>
      <c r="X12" s="46"/>
      <c r="Y12" s="664"/>
      <c r="Z12" s="664"/>
      <c r="AB12" s="663"/>
      <c r="AC12" s="533"/>
      <c r="AD12" s="533"/>
      <c r="AE12" s="662"/>
      <c r="AJ12" s="662"/>
      <c r="AK12" s="662"/>
      <c r="AL12" s="662"/>
      <c r="AM12" s="662"/>
    </row>
    <row r="13" spans="1:40" x14ac:dyDescent="0.25">
      <c r="B13" s="72"/>
      <c r="C13" s="4"/>
      <c r="D13" s="3"/>
      <c r="E13" s="3"/>
      <c r="F13" s="3"/>
      <c r="G13" s="72"/>
      <c r="H13" s="161"/>
      <c r="I13" s="3"/>
      <c r="J13" s="3"/>
      <c r="K13" s="3"/>
      <c r="L13" s="4"/>
      <c r="M13" s="4"/>
      <c r="O13" s="11" t="s">
        <v>947</v>
      </c>
      <c r="Q13">
        <f>Q4/6.46</f>
        <v>10.809597523219814</v>
      </c>
      <c r="T13" s="1">
        <v>43114</v>
      </c>
      <c r="U13" t="s">
        <v>851</v>
      </c>
      <c r="W13" t="s">
        <v>781</v>
      </c>
      <c r="X13" s="663" t="s">
        <v>772</v>
      </c>
      <c r="Y13" s="665">
        <v>105.2</v>
      </c>
      <c r="Z13" s="665">
        <v>99.7</v>
      </c>
      <c r="AA13" s="81">
        <v>95.1</v>
      </c>
      <c r="AB13" s="2">
        <v>78.8</v>
      </c>
      <c r="AC13" s="687">
        <v>82.2</v>
      </c>
      <c r="AD13" s="662">
        <v>89.5</v>
      </c>
      <c r="AE13" s="662">
        <v>80.099999999999994</v>
      </c>
      <c r="AF13" s="662">
        <v>83.9</v>
      </c>
      <c r="AG13" s="662">
        <v>84.4</v>
      </c>
      <c r="AJ13" s="662"/>
      <c r="AK13" s="662"/>
      <c r="AL13" s="662"/>
      <c r="AM13" s="662"/>
    </row>
    <row r="14" spans="1:40" x14ac:dyDescent="0.25">
      <c r="B14" s="72"/>
      <c r="C14" s="4"/>
      <c r="D14" s="3"/>
      <c r="E14" s="3"/>
      <c r="F14" s="3"/>
      <c r="G14" s="72"/>
      <c r="H14" s="161"/>
      <c r="I14" s="4"/>
      <c r="J14" s="4"/>
      <c r="K14" s="3"/>
      <c r="L14" s="4"/>
      <c r="M14" s="4"/>
      <c r="U14" t="s">
        <v>849</v>
      </c>
      <c r="X14" s="663" t="s">
        <v>773</v>
      </c>
      <c r="Y14" s="665">
        <v>1.77</v>
      </c>
      <c r="Z14" s="665">
        <v>2.23</v>
      </c>
      <c r="AA14" s="81">
        <v>1.39</v>
      </c>
      <c r="AB14" s="2">
        <v>1.42</v>
      </c>
      <c r="AC14" s="687">
        <v>1.56</v>
      </c>
      <c r="AD14" s="662">
        <v>1.73</v>
      </c>
      <c r="AE14" s="662">
        <v>1.36</v>
      </c>
      <c r="AF14" s="662">
        <v>0.93</v>
      </c>
      <c r="AG14" s="662">
        <v>1.08</v>
      </c>
      <c r="AH14" s="664"/>
      <c r="AJ14" s="662"/>
      <c r="AK14" s="662"/>
      <c r="AL14" s="662"/>
      <c r="AM14" s="662"/>
    </row>
    <row r="15" spans="1:40" x14ac:dyDescent="0.25">
      <c r="B15" s="72"/>
      <c r="C15" s="4"/>
      <c r="D15" s="3"/>
      <c r="E15" s="3"/>
      <c r="F15" s="3"/>
      <c r="G15" s="72"/>
      <c r="H15" s="161"/>
      <c r="I15" s="3"/>
      <c r="J15" s="3"/>
      <c r="K15" s="3"/>
      <c r="L15" s="4"/>
      <c r="M15" s="4"/>
      <c r="U15" t="s">
        <v>848</v>
      </c>
      <c r="X15" s="663" t="s">
        <v>774</v>
      </c>
      <c r="Y15" s="665">
        <v>50.7</v>
      </c>
      <c r="Z15" s="665">
        <v>50.6</v>
      </c>
      <c r="AA15" s="81">
        <v>47</v>
      </c>
      <c r="AB15" s="2">
        <v>39.799999999999997</v>
      </c>
      <c r="AC15" s="687">
        <v>42.3</v>
      </c>
      <c r="AD15" s="662">
        <v>47.2</v>
      </c>
      <c r="AE15" s="662">
        <v>41.6</v>
      </c>
      <c r="AF15" s="662">
        <v>45.9</v>
      </c>
      <c r="AG15" s="662">
        <v>46.6</v>
      </c>
      <c r="AH15" s="662"/>
      <c r="AI15" s="664"/>
      <c r="AJ15" s="662"/>
      <c r="AK15" s="662"/>
      <c r="AL15" s="662"/>
      <c r="AM15" s="662"/>
    </row>
    <row r="16" spans="1:40" x14ac:dyDescent="0.25">
      <c r="B16" s="72"/>
      <c r="C16" s="4"/>
      <c r="D16" s="3"/>
      <c r="E16" s="3"/>
      <c r="F16" s="3"/>
      <c r="G16" s="72"/>
      <c r="H16" s="161"/>
      <c r="I16" s="3"/>
      <c r="J16" s="3"/>
      <c r="K16" s="3"/>
      <c r="L16" s="4"/>
      <c r="M16" s="4"/>
      <c r="X16" s="663" t="s">
        <v>775</v>
      </c>
      <c r="Y16" s="665">
        <v>1.1599999999999999</v>
      </c>
      <c r="Z16" s="665">
        <v>1.06</v>
      </c>
      <c r="AA16" s="81">
        <v>0.98</v>
      </c>
      <c r="AB16" s="2">
        <v>0.88</v>
      </c>
      <c r="AC16" s="687">
        <v>0.75</v>
      </c>
      <c r="AD16" s="662">
        <v>0.83</v>
      </c>
      <c r="AE16" s="662">
        <v>0.54</v>
      </c>
      <c r="AF16" s="662">
        <v>0.61</v>
      </c>
      <c r="AG16" s="662">
        <v>0.68</v>
      </c>
      <c r="AH16" s="662"/>
      <c r="AI16" s="662"/>
    </row>
    <row r="17" spans="1:39" ht="18" x14ac:dyDescent="0.25">
      <c r="B17" s="72"/>
      <c r="C17" s="4"/>
      <c r="D17" s="3"/>
      <c r="E17" s="3"/>
      <c r="F17" s="3"/>
      <c r="G17" s="72"/>
      <c r="H17" s="161"/>
      <c r="I17" s="3"/>
      <c r="J17" s="3"/>
      <c r="K17" s="3"/>
      <c r="L17" s="4"/>
      <c r="M17" s="4"/>
      <c r="T17" s="1">
        <v>43117</v>
      </c>
      <c r="U17" t="s">
        <v>866</v>
      </c>
      <c r="X17" s="663" t="s">
        <v>776</v>
      </c>
      <c r="Y17" s="665">
        <v>1.28</v>
      </c>
      <c r="Z17" s="665">
        <v>1.1499999999999999</v>
      </c>
      <c r="AA17" s="81">
        <v>0.61</v>
      </c>
      <c r="AB17" s="2">
        <v>0.56000000000000005</v>
      </c>
      <c r="AC17" s="687">
        <v>0.76</v>
      </c>
      <c r="AD17" s="662">
        <v>0.75</v>
      </c>
      <c r="AE17" s="662">
        <v>0.45</v>
      </c>
      <c r="AF17" s="662">
        <v>0.27</v>
      </c>
      <c r="AG17" s="662">
        <v>0.56000000000000005</v>
      </c>
      <c r="AH17" s="662"/>
      <c r="AI17" s="662"/>
      <c r="AJ17" s="686"/>
    </row>
    <row r="18" spans="1:39" x14ac:dyDescent="0.25">
      <c r="B18" s="72"/>
      <c r="C18" s="4"/>
      <c r="D18" s="3"/>
      <c r="E18" s="3"/>
      <c r="F18" s="3"/>
      <c r="G18" s="72"/>
      <c r="H18" s="161"/>
      <c r="I18" s="3"/>
      <c r="J18" s="3"/>
      <c r="K18" s="3"/>
      <c r="L18" s="4"/>
      <c r="M18" s="4"/>
      <c r="T18" s="1">
        <v>43123</v>
      </c>
      <c r="U18" t="s">
        <v>882</v>
      </c>
      <c r="X18" s="663" t="s">
        <v>777</v>
      </c>
      <c r="Y18" s="665">
        <v>13.1</v>
      </c>
      <c r="Z18" s="665">
        <v>13.1</v>
      </c>
      <c r="AA18" s="81">
        <v>11.3</v>
      </c>
      <c r="AB18" s="2">
        <v>9.99</v>
      </c>
      <c r="AC18" s="687">
        <v>8.75</v>
      </c>
      <c r="AD18" s="662">
        <v>8.01</v>
      </c>
      <c r="AE18" s="662">
        <v>7.65</v>
      </c>
      <c r="AF18" s="662">
        <v>6.94</v>
      </c>
      <c r="AG18" s="662">
        <v>6.8</v>
      </c>
      <c r="AH18" s="662"/>
      <c r="AI18" s="662"/>
      <c r="AJ18" s="662"/>
      <c r="AK18" s="662"/>
      <c r="AL18" s="662"/>
      <c r="AM18" s="662"/>
    </row>
    <row r="19" spans="1:39" x14ac:dyDescent="0.25">
      <c r="B19" s="72"/>
      <c r="C19" s="4"/>
      <c r="D19" s="3"/>
      <c r="E19" s="3"/>
      <c r="F19" s="3"/>
      <c r="G19" s="72"/>
      <c r="H19" s="161"/>
      <c r="I19" s="3"/>
      <c r="J19" s="3"/>
      <c r="K19" s="3"/>
      <c r="L19" s="4"/>
      <c r="M19" s="4"/>
      <c r="T19" s="117">
        <v>43137</v>
      </c>
      <c r="U19" t="s">
        <v>852</v>
      </c>
      <c r="X19" s="663" t="s">
        <v>778</v>
      </c>
      <c r="Y19" s="665">
        <v>0.03</v>
      </c>
      <c r="Z19" s="665">
        <v>0.05</v>
      </c>
      <c r="AA19" s="81" t="s">
        <v>793</v>
      </c>
      <c r="AB19" s="2" t="s">
        <v>793</v>
      </c>
      <c r="AC19" s="687" t="s">
        <v>793</v>
      </c>
      <c r="AD19" s="662" t="s">
        <v>793</v>
      </c>
      <c r="AE19" s="662" t="s">
        <v>793</v>
      </c>
      <c r="AF19" s="662">
        <v>0.02</v>
      </c>
      <c r="AG19" s="662" t="s">
        <v>793</v>
      </c>
      <c r="AH19" s="662"/>
      <c r="AI19" s="662"/>
      <c r="AJ19" s="662"/>
      <c r="AK19" s="662"/>
      <c r="AL19" s="662"/>
      <c r="AM19" s="662"/>
    </row>
    <row r="20" spans="1:39" x14ac:dyDescent="0.25">
      <c r="B20" s="72"/>
      <c r="C20" s="4"/>
      <c r="D20" s="3"/>
      <c r="E20" s="3"/>
      <c r="F20" s="3"/>
      <c r="G20" s="72"/>
      <c r="H20" s="161"/>
      <c r="I20" s="3"/>
      <c r="J20" s="3"/>
      <c r="K20" s="3"/>
      <c r="L20" s="4"/>
      <c r="M20" s="4"/>
      <c r="X20" s="663" t="s">
        <v>779</v>
      </c>
      <c r="Y20" s="665">
        <v>19.600000000000001</v>
      </c>
      <c r="Z20" s="665">
        <v>19.100000000000001</v>
      </c>
      <c r="AA20" s="81">
        <v>18.100000000000001</v>
      </c>
      <c r="AB20" s="2">
        <v>15.8</v>
      </c>
      <c r="AC20" s="687">
        <v>18.2</v>
      </c>
      <c r="AD20" s="662">
        <v>21</v>
      </c>
      <c r="AE20" s="662">
        <v>19.2</v>
      </c>
      <c r="AF20" s="662">
        <v>23.3</v>
      </c>
      <c r="AG20" s="662">
        <v>24.2</v>
      </c>
      <c r="AH20" s="662"/>
      <c r="AI20" s="662"/>
      <c r="AJ20" s="662"/>
      <c r="AK20" s="662"/>
      <c r="AL20" s="662"/>
      <c r="AM20" s="662"/>
    </row>
    <row r="21" spans="1:39" x14ac:dyDescent="0.25">
      <c r="T21" s="1">
        <v>43221</v>
      </c>
      <c r="U21" t="s">
        <v>1015</v>
      </c>
      <c r="X21" s="663" t="s">
        <v>771</v>
      </c>
      <c r="Y21" s="665">
        <v>192.89</v>
      </c>
      <c r="Z21" s="665">
        <v>187</v>
      </c>
      <c r="AA21" s="81">
        <v>174.4</v>
      </c>
      <c r="AB21" s="81">
        <v>147.34</v>
      </c>
      <c r="AC21" s="687">
        <v>154.44</v>
      </c>
      <c r="AD21" s="662">
        <v>169.08</v>
      </c>
      <c r="AE21" s="662">
        <v>150.96</v>
      </c>
      <c r="AF21" s="662">
        <v>161.86000000000001</v>
      </c>
      <c r="AG21" s="662">
        <v>164.44</v>
      </c>
      <c r="AH21" s="662"/>
      <c r="AI21" s="662"/>
      <c r="AJ21" s="662"/>
      <c r="AK21" s="662"/>
      <c r="AL21" s="662"/>
      <c r="AM21" s="662"/>
    </row>
    <row r="22" spans="1:39" x14ac:dyDescent="0.25">
      <c r="U22" t="s">
        <v>1020</v>
      </c>
      <c r="X22" s="663" t="s">
        <v>783</v>
      </c>
      <c r="Y22" s="81"/>
      <c r="Z22" s="666">
        <f t="shared" ref="Z22:AF22" si="2">(Z21-Y21)/Y21</f>
        <v>-3.0535538389755749E-2</v>
      </c>
      <c r="AA22" s="666">
        <f t="shared" si="2"/>
        <v>-6.7379679144385002E-2</v>
      </c>
      <c r="AB22" s="666">
        <f t="shared" si="2"/>
        <v>-0.1551605504587156</v>
      </c>
      <c r="AC22" s="666">
        <f t="shared" si="2"/>
        <v>4.8187864802497586E-2</v>
      </c>
      <c r="AD22" s="666">
        <f t="shared" si="2"/>
        <v>9.4794094794094896E-2</v>
      </c>
      <c r="AE22" s="666">
        <f t="shared" si="2"/>
        <v>-0.10716820440028391</v>
      </c>
      <c r="AF22" s="666">
        <f t="shared" si="2"/>
        <v>7.2204557498675173E-2</v>
      </c>
      <c r="AG22" s="666">
        <f>(AG21-AE21)/AE21</f>
        <v>8.9295177530471573E-2</v>
      </c>
      <c r="AH22" s="662"/>
      <c r="AI22" s="662"/>
      <c r="AJ22" s="662"/>
      <c r="AK22" s="662"/>
      <c r="AL22" s="662"/>
      <c r="AM22" s="662"/>
    </row>
    <row r="23" spans="1:39" x14ac:dyDescent="0.25">
      <c r="C23" s="4"/>
      <c r="D23" s="3"/>
      <c r="E23" s="3"/>
      <c r="F23" s="3"/>
      <c r="H23" s="70"/>
      <c r="X23" s="663" t="s">
        <v>794</v>
      </c>
      <c r="Y23" s="81">
        <f t="shared" ref="Y23:AD23" si="3">SUM(Y13:Y15)</f>
        <v>157.67000000000002</v>
      </c>
      <c r="Z23" s="81">
        <f t="shared" si="3"/>
        <v>152.53</v>
      </c>
      <c r="AA23" s="81">
        <f t="shared" si="3"/>
        <v>143.49</v>
      </c>
      <c r="AB23" s="81">
        <f t="shared" si="3"/>
        <v>120.02</v>
      </c>
      <c r="AC23" s="81">
        <f t="shared" si="3"/>
        <v>126.06</v>
      </c>
      <c r="AD23" s="81">
        <f t="shared" si="3"/>
        <v>138.43</v>
      </c>
      <c r="AE23" s="81">
        <f>SUM(AE13:AE15)</f>
        <v>123.06</v>
      </c>
      <c r="AF23" s="81">
        <f>SUM(AF13:AF15)</f>
        <v>130.73000000000002</v>
      </c>
      <c r="AG23" s="81">
        <f>SUM(AG13:AG15)</f>
        <v>132.08000000000001</v>
      </c>
      <c r="AH23" s="662"/>
      <c r="AI23" s="662"/>
      <c r="AJ23" s="662"/>
      <c r="AK23" s="662"/>
      <c r="AL23" s="662"/>
    </row>
    <row r="24" spans="1:39" x14ac:dyDescent="0.25">
      <c r="A24" s="21" t="s">
        <v>81</v>
      </c>
      <c r="B24" s="12"/>
      <c r="C24" s="12">
        <f>SUM(C2:C23)</f>
        <v>50</v>
      </c>
      <c r="D24" s="13"/>
      <c r="E24" s="13"/>
      <c r="F24" s="13">
        <f>SUM(F2:F23)</f>
        <v>3582.5000000000005</v>
      </c>
      <c r="G24" s="12"/>
      <c r="H24" s="75">
        <f>SUM(H2:H23)</f>
        <v>50</v>
      </c>
      <c r="I24" s="12"/>
      <c r="J24" s="12"/>
      <c r="K24" s="13">
        <f>SUM(K2:K23)</f>
        <v>3639.4500000000003</v>
      </c>
      <c r="L24" s="12"/>
      <c r="M24" s="13">
        <f>SUM(M2:M23)</f>
        <v>57</v>
      </c>
      <c r="X24" s="663" t="s">
        <v>795</v>
      </c>
      <c r="Z24" s="180">
        <f t="shared" ref="Z24:AF24" si="4">(Z23-Y23)/Y23</f>
        <v>-3.259973362085377E-2</v>
      </c>
      <c r="AA24" s="180">
        <f t="shared" si="4"/>
        <v>-5.9267029436832049E-2</v>
      </c>
      <c r="AB24" s="180">
        <f t="shared" si="4"/>
        <v>-0.16356540525472166</v>
      </c>
      <c r="AC24" s="180">
        <f t="shared" si="4"/>
        <v>5.0324945842359657E-2</v>
      </c>
      <c r="AD24" s="180">
        <f t="shared" si="4"/>
        <v>9.8127875614786642E-2</v>
      </c>
      <c r="AE24" s="180">
        <f t="shared" si="4"/>
        <v>-0.11103084591490286</v>
      </c>
      <c r="AF24" s="180">
        <f t="shared" si="4"/>
        <v>6.232732000650102E-2</v>
      </c>
      <c r="AG24" s="180">
        <f>(AG23-AE23)/AE23</f>
        <v>7.3297578417032425E-2</v>
      </c>
      <c r="AI24" s="662"/>
      <c r="AJ24" s="662"/>
      <c r="AK24" s="662"/>
      <c r="AL24" s="662"/>
    </row>
    <row r="25" spans="1:39" ht="15.75" thickBot="1" x14ac:dyDescent="0.3">
      <c r="A25" s="277" t="s">
        <v>191</v>
      </c>
      <c r="B25" s="278"/>
      <c r="C25" s="279">
        <f>SumByColor($A$25,C2:C23)</f>
        <v>50</v>
      </c>
      <c r="D25" s="279"/>
      <c r="E25" s="279"/>
      <c r="F25" s="280">
        <f>SumByColor($A$25,F2:F23)</f>
        <v>3583</v>
      </c>
      <c r="G25" s="279"/>
      <c r="H25" s="279">
        <f>SumByColor($A$25,H2:H23)</f>
        <v>50</v>
      </c>
      <c r="I25" s="279"/>
      <c r="J25" s="279"/>
      <c r="K25" s="280">
        <f>SumByColor($A$25,K2:K23)</f>
        <v>3639</v>
      </c>
      <c r="L25" s="279"/>
      <c r="M25" s="280">
        <f>SumByColor($A$25,M2:M23)</f>
        <v>56</v>
      </c>
      <c r="T25" s="1">
        <v>43306</v>
      </c>
      <c r="U25" t="s">
        <v>82</v>
      </c>
      <c r="X25" s="663" t="s">
        <v>780</v>
      </c>
      <c r="Y25" s="666">
        <f t="shared" ref="Y25:AD25" si="5">Y23/Y21</f>
        <v>0.81740888589351457</v>
      </c>
      <c r="Z25" s="666">
        <f t="shared" si="5"/>
        <v>0.81566844919786097</v>
      </c>
      <c r="AA25" s="666">
        <f t="shared" si="5"/>
        <v>0.82276376146788999</v>
      </c>
      <c r="AB25" s="666">
        <f t="shared" si="5"/>
        <v>0.81457852585855839</v>
      </c>
      <c r="AC25" s="666">
        <f t="shared" si="5"/>
        <v>0.81623931623931623</v>
      </c>
      <c r="AD25" s="666">
        <f t="shared" si="5"/>
        <v>0.81872486396971844</v>
      </c>
      <c r="AE25" s="666">
        <f>AE23/AE21</f>
        <v>0.81518282988871227</v>
      </c>
      <c r="AF25" s="666">
        <f>AF23/AF21</f>
        <v>0.80767329791177567</v>
      </c>
      <c r="AG25" s="666">
        <f>AG23/AG21</f>
        <v>0.80321089759182684</v>
      </c>
    </row>
    <row r="27" spans="1:39" x14ac:dyDescent="0.25">
      <c r="B27" s="72"/>
      <c r="C27" s="4"/>
      <c r="D27" s="3"/>
      <c r="E27" s="3"/>
      <c r="F27" s="3"/>
      <c r="G27" s="4"/>
      <c r="H27" s="4"/>
      <c r="I27" s="4"/>
      <c r="J27" s="4"/>
      <c r="K27" s="4"/>
      <c r="L27" s="4"/>
      <c r="M27" s="4"/>
    </row>
    <row r="29" spans="1:39" x14ac:dyDescent="0.25">
      <c r="B29" s="162" t="s">
        <v>113</v>
      </c>
      <c r="C29" s="162" t="s">
        <v>145</v>
      </c>
      <c r="D29" s="163" t="s">
        <v>144</v>
      </c>
      <c r="E29" s="165" t="s">
        <v>146</v>
      </c>
      <c r="F29" s="166" t="s">
        <v>65</v>
      </c>
      <c r="G29" s="177" t="s">
        <v>150</v>
      </c>
      <c r="H29" s="166" t="s">
        <v>88</v>
      </c>
      <c r="I29" s="166" t="s">
        <v>153</v>
      </c>
      <c r="J29" s="571" t="s">
        <v>487</v>
      </c>
      <c r="K29" s="571" t="s">
        <v>149</v>
      </c>
    </row>
    <row r="30" spans="1:39" x14ac:dyDescent="0.25">
      <c r="A30">
        <v>50</v>
      </c>
      <c r="B30" s="164">
        <v>43184</v>
      </c>
      <c r="C30" s="10">
        <v>50</v>
      </c>
      <c r="D30" s="39">
        <v>71.650000000000006</v>
      </c>
      <c r="E30" s="39">
        <v>72.84</v>
      </c>
      <c r="F30" s="39">
        <f t="shared" ref="F30:F35" si="6">C30*(E30-D30)</f>
        <v>59.499999999999886</v>
      </c>
      <c r="G30" s="39">
        <f t="shared" ref="G30:G35" si="7">D30*C30</f>
        <v>3582.5000000000005</v>
      </c>
      <c r="H30" s="179">
        <f t="shared" ref="H30:H35" si="8">(E30-D30)/D30</f>
        <v>1.6608513607815737E-2</v>
      </c>
      <c r="I30" s="39">
        <v>71</v>
      </c>
      <c r="J30" s="10"/>
      <c r="K30" s="10"/>
    </row>
    <row r="31" spans="1:39" x14ac:dyDescent="0.25">
      <c r="A31" s="4">
        <v>50</v>
      </c>
      <c r="B31" s="164">
        <v>43185</v>
      </c>
      <c r="C31" s="10">
        <v>50</v>
      </c>
      <c r="D31" s="39">
        <v>71.650000000000006</v>
      </c>
      <c r="E31" s="39">
        <v>75.540000000000006</v>
      </c>
      <c r="F31" s="39">
        <f t="shared" si="6"/>
        <v>194.50000000000003</v>
      </c>
      <c r="G31" s="39">
        <f t="shared" si="7"/>
        <v>3582.5000000000005</v>
      </c>
      <c r="H31" s="179">
        <f t="shared" si="8"/>
        <v>5.4291695743196096E-2</v>
      </c>
      <c r="I31" s="39"/>
      <c r="J31" s="10"/>
      <c r="K31" s="39">
        <v>1005</v>
      </c>
    </row>
    <row r="32" spans="1:39" x14ac:dyDescent="0.25">
      <c r="A32" s="4">
        <v>50</v>
      </c>
      <c r="B32" s="164">
        <v>43191</v>
      </c>
      <c r="C32" s="10">
        <v>50</v>
      </c>
      <c r="D32" s="39">
        <v>71.08</v>
      </c>
      <c r="E32" s="39">
        <v>75.39</v>
      </c>
      <c r="F32" s="39">
        <f t="shared" si="6"/>
        <v>215.50000000000011</v>
      </c>
      <c r="G32" s="39">
        <f t="shared" si="7"/>
        <v>3554</v>
      </c>
      <c r="H32" s="179">
        <f t="shared" si="8"/>
        <v>6.0635903207653379E-2</v>
      </c>
      <c r="I32" s="275"/>
      <c r="J32" s="10"/>
      <c r="K32" s="39">
        <v>1026</v>
      </c>
      <c r="L32" t="s">
        <v>184</v>
      </c>
    </row>
    <row r="33" spans="1:22" x14ac:dyDescent="0.25">
      <c r="A33" s="4">
        <v>50</v>
      </c>
      <c r="B33" s="164">
        <v>43226</v>
      </c>
      <c r="C33" s="10">
        <v>50</v>
      </c>
      <c r="D33" s="39">
        <v>71.08</v>
      </c>
      <c r="E33" s="39">
        <v>65.42</v>
      </c>
      <c r="F33" s="39">
        <f t="shared" si="6"/>
        <v>-282.99999999999983</v>
      </c>
      <c r="G33" s="39">
        <f t="shared" si="7"/>
        <v>3554</v>
      </c>
      <c r="H33" s="179">
        <f t="shared" si="8"/>
        <v>-7.9628587507034276E-2</v>
      </c>
      <c r="I33" s="39"/>
      <c r="J33" s="10"/>
      <c r="K33" s="39">
        <v>527</v>
      </c>
    </row>
    <row r="34" spans="1:22" x14ac:dyDescent="0.25">
      <c r="A34" s="4">
        <v>50</v>
      </c>
      <c r="B34" s="164">
        <v>43276</v>
      </c>
      <c r="C34" s="10">
        <v>50</v>
      </c>
      <c r="D34" s="39">
        <v>71.08</v>
      </c>
      <c r="E34" s="39">
        <v>71.14</v>
      </c>
      <c r="F34" s="39">
        <f t="shared" si="6"/>
        <v>3.0000000000001137</v>
      </c>
      <c r="G34" s="39">
        <f t="shared" si="7"/>
        <v>3554</v>
      </c>
      <c r="H34" s="180">
        <f t="shared" si="8"/>
        <v>8.4411930219474216E-4</v>
      </c>
      <c r="I34" s="39"/>
      <c r="J34" s="10"/>
      <c r="K34" s="39">
        <v>813</v>
      </c>
    </row>
    <row r="35" spans="1:22" x14ac:dyDescent="0.25">
      <c r="A35" s="4">
        <v>50</v>
      </c>
      <c r="B35" s="164">
        <v>43279</v>
      </c>
      <c r="C35" s="10">
        <v>50</v>
      </c>
      <c r="D35" s="39">
        <v>70.510000000000005</v>
      </c>
      <c r="E35" s="39">
        <v>70.33</v>
      </c>
      <c r="F35" s="39">
        <f t="shared" si="6"/>
        <v>-9.0000000000003411</v>
      </c>
      <c r="G35" s="39">
        <f t="shared" si="7"/>
        <v>3525.5000000000005</v>
      </c>
      <c r="H35" s="180">
        <f t="shared" si="8"/>
        <v>-2.5528293859028053E-3</v>
      </c>
      <c r="I35" s="275"/>
      <c r="J35" s="10"/>
      <c r="K35" s="39">
        <v>801</v>
      </c>
    </row>
    <row r="36" spans="1:22" x14ac:dyDescent="0.25">
      <c r="A36" s="4"/>
      <c r="B36" s="164">
        <v>43286</v>
      </c>
      <c r="C36" s="10">
        <v>0</v>
      </c>
      <c r="D36" s="39"/>
      <c r="E36" s="39"/>
      <c r="F36" s="39">
        <v>113.95</v>
      </c>
      <c r="G36" s="39"/>
      <c r="H36" s="180"/>
      <c r="I36" s="173"/>
      <c r="J36" s="10"/>
      <c r="K36" s="39">
        <v>924.08</v>
      </c>
    </row>
    <row r="37" spans="1:22" x14ac:dyDescent="0.25">
      <c r="A37" s="4"/>
      <c r="B37" s="164"/>
      <c r="C37" s="10"/>
      <c r="D37" s="39"/>
      <c r="E37" s="39"/>
      <c r="F37" s="39"/>
      <c r="G37" s="39"/>
      <c r="H37" s="180"/>
      <c r="I37" s="275"/>
      <c r="J37" s="10"/>
      <c r="K37" s="39"/>
    </row>
    <row r="38" spans="1:22" x14ac:dyDescent="0.25">
      <c r="A38" s="8"/>
      <c r="B38" s="164"/>
      <c r="C38" s="10"/>
      <c r="D38" s="39"/>
      <c r="E38" s="39"/>
      <c r="F38" s="39"/>
      <c r="G38" s="39"/>
      <c r="H38" s="180"/>
      <c r="I38" s="39"/>
      <c r="J38" s="10"/>
      <c r="K38" s="39"/>
      <c r="L38" s="8"/>
      <c r="M38" s="8"/>
    </row>
    <row r="39" spans="1:22" x14ac:dyDescent="0.25">
      <c r="A39" s="8"/>
      <c r="B39" s="164"/>
      <c r="C39" s="10"/>
      <c r="D39" s="39"/>
      <c r="E39" s="39"/>
      <c r="F39" s="39"/>
      <c r="G39" s="39"/>
      <c r="H39" s="180"/>
      <c r="I39" s="173"/>
      <c r="J39" s="10"/>
      <c r="K39" s="39"/>
      <c r="L39" s="8"/>
      <c r="M39" s="8"/>
    </row>
    <row r="40" spans="1:22" x14ac:dyDescent="0.25">
      <c r="A40" s="8"/>
      <c r="B40" s="164"/>
      <c r="C40" s="10"/>
      <c r="D40" s="39"/>
      <c r="E40" s="39"/>
      <c r="F40" s="39"/>
      <c r="G40" s="39"/>
      <c r="H40" s="180"/>
      <c r="I40" s="275"/>
      <c r="J40" s="10"/>
      <c r="K40" s="39"/>
    </row>
    <row r="41" spans="1:22" x14ac:dyDescent="0.25">
      <c r="A41" s="8"/>
      <c r="B41" s="164"/>
      <c r="C41" s="10"/>
      <c r="D41" s="39"/>
      <c r="E41" s="39"/>
      <c r="F41" s="39"/>
      <c r="G41" s="39"/>
      <c r="H41" s="180"/>
      <c r="I41" s="275"/>
      <c r="J41" s="10"/>
      <c r="K41" s="39"/>
    </row>
    <row r="42" spans="1:22" ht="20.25" thickBot="1" x14ac:dyDescent="0.35">
      <c r="A42" s="8"/>
      <c r="B42" s="164"/>
      <c r="C42" s="10"/>
      <c r="D42" s="39"/>
      <c r="E42" s="39"/>
      <c r="F42" s="39"/>
      <c r="G42" s="39"/>
      <c r="H42" s="180"/>
      <c r="I42" s="173"/>
      <c r="J42" s="10"/>
      <c r="K42" s="39"/>
      <c r="O42" s="884" t="s">
        <v>78</v>
      </c>
      <c r="P42" s="884"/>
      <c r="T42" s="89" t="s">
        <v>112</v>
      </c>
    </row>
    <row r="43" spans="1:22" ht="15.75" thickTop="1" x14ac:dyDescent="0.25">
      <c r="A43" s="8"/>
      <c r="B43" s="164"/>
      <c r="C43" s="10"/>
      <c r="D43" s="39"/>
      <c r="E43" s="39"/>
      <c r="F43" s="39"/>
      <c r="G43" s="39"/>
      <c r="H43" s="179"/>
      <c r="I43" s="173"/>
      <c r="J43" s="10"/>
      <c r="K43" s="39"/>
      <c r="O43" s="81">
        <v>1.1000000000000001</v>
      </c>
      <c r="P43" s="81">
        <f>O43*$Q$4</f>
        <v>76.813000000000002</v>
      </c>
      <c r="Q43" s="2"/>
      <c r="T43" s="125" t="s">
        <v>97</v>
      </c>
      <c r="U43" s="96">
        <v>66.98</v>
      </c>
      <c r="V43" s="667"/>
    </row>
    <row r="44" spans="1:22" x14ac:dyDescent="0.25">
      <c r="A44" s="8"/>
      <c r="B44" s="164"/>
      <c r="C44" s="10"/>
      <c r="D44" s="39"/>
      <c r="E44" s="39"/>
      <c r="F44" s="39"/>
      <c r="G44" s="39"/>
      <c r="H44" s="180"/>
      <c r="I44" s="173"/>
      <c r="J44" s="10"/>
      <c r="K44" s="39"/>
      <c r="O44" s="81">
        <v>1.0900000000000001</v>
      </c>
      <c r="P44" s="81">
        <f t="shared" ref="P44:P63" si="9">O44*$Q$4</f>
        <v>76.114699999999999</v>
      </c>
      <c r="Q44" s="2"/>
      <c r="T44" s="91" t="s">
        <v>98</v>
      </c>
      <c r="U44" s="86">
        <v>67.05</v>
      </c>
      <c r="V44" s="86"/>
    </row>
    <row r="45" spans="1:22" x14ac:dyDescent="0.25">
      <c r="A45" s="8"/>
      <c r="B45" s="164"/>
      <c r="C45" s="10"/>
      <c r="D45" s="39"/>
      <c r="E45" s="39"/>
      <c r="F45" s="39"/>
      <c r="G45" s="39"/>
      <c r="H45" s="180"/>
      <c r="I45" s="275"/>
      <c r="J45" s="10"/>
      <c r="K45" s="39"/>
      <c r="O45" s="81">
        <v>1.08</v>
      </c>
      <c r="P45" s="81">
        <f t="shared" si="9"/>
        <v>75.41640000000001</v>
      </c>
      <c r="Q45" s="2"/>
      <c r="T45" s="91" t="s">
        <v>99</v>
      </c>
      <c r="U45" s="86" t="s">
        <v>626</v>
      </c>
      <c r="V45" s="86"/>
    </row>
    <row r="46" spans="1:22" x14ac:dyDescent="0.25">
      <c r="A46" s="8"/>
      <c r="B46" s="164"/>
      <c r="C46" s="10"/>
      <c r="D46" s="39"/>
      <c r="E46" s="39"/>
      <c r="F46" s="39"/>
      <c r="G46" s="39"/>
      <c r="H46" s="180"/>
      <c r="I46" s="173"/>
      <c r="J46" s="173"/>
      <c r="K46" s="39"/>
      <c r="O46" s="81">
        <v>1.07</v>
      </c>
      <c r="P46" s="81">
        <f t="shared" si="9"/>
        <v>74.718100000000007</v>
      </c>
      <c r="Q46" s="2"/>
      <c r="T46" s="91" t="s">
        <v>100</v>
      </c>
      <c r="U46" s="86" t="s">
        <v>627</v>
      </c>
      <c r="V46" s="86"/>
    </row>
    <row r="47" spans="1:22" x14ac:dyDescent="0.25">
      <c r="A47" s="8"/>
      <c r="B47" s="164"/>
      <c r="C47" s="10"/>
      <c r="D47" s="39"/>
      <c r="E47" s="39"/>
      <c r="F47" s="39"/>
      <c r="G47" s="39"/>
      <c r="H47" s="180"/>
      <c r="I47" s="173"/>
      <c r="J47" s="173"/>
      <c r="K47" s="39"/>
      <c r="O47" s="81">
        <v>1.06</v>
      </c>
      <c r="P47" s="81">
        <f t="shared" si="9"/>
        <v>74.019800000000004</v>
      </c>
      <c r="Q47" s="2"/>
      <c r="T47" s="91" t="s">
        <v>101</v>
      </c>
      <c r="U47" s="86">
        <v>79.099999999999994</v>
      </c>
      <c r="V47" s="86"/>
    </row>
    <row r="48" spans="1:22" x14ac:dyDescent="0.25">
      <c r="A48" s="8"/>
      <c r="B48" s="164"/>
      <c r="C48" s="10"/>
      <c r="D48" s="39"/>
      <c r="E48" s="39"/>
      <c r="F48" s="39"/>
      <c r="G48" s="39"/>
      <c r="H48" s="180"/>
      <c r="I48" s="275"/>
      <c r="J48" s="10"/>
      <c r="K48" s="39"/>
      <c r="O48" s="81">
        <v>1.05</v>
      </c>
      <c r="P48" s="81">
        <f t="shared" si="9"/>
        <v>73.3215</v>
      </c>
      <c r="Q48" s="2"/>
      <c r="T48" s="91" t="s">
        <v>102</v>
      </c>
      <c r="U48" s="86">
        <v>0.98934999999999995</v>
      </c>
      <c r="V48" s="86"/>
    </row>
    <row r="49" spans="1:22" x14ac:dyDescent="0.25">
      <c r="A49" s="4"/>
      <c r="B49" s="164"/>
      <c r="C49" s="10"/>
      <c r="D49" s="39"/>
      <c r="E49" s="39"/>
      <c r="F49" s="39"/>
      <c r="G49" s="39"/>
      <c r="H49" s="180"/>
      <c r="I49" s="275"/>
      <c r="J49" s="10"/>
      <c r="K49" s="39"/>
      <c r="O49" s="81">
        <v>1.04</v>
      </c>
      <c r="P49" s="81">
        <f t="shared" si="9"/>
        <v>72.623199999999997</v>
      </c>
      <c r="Q49" s="2"/>
      <c r="T49" s="91" t="s">
        <v>103</v>
      </c>
      <c r="U49" s="86" t="s">
        <v>538</v>
      </c>
      <c r="V49" s="86"/>
    </row>
    <row r="50" spans="1:22" x14ac:dyDescent="0.25">
      <c r="B50" s="10"/>
      <c r="C50" s="10"/>
      <c r="D50" s="39"/>
      <c r="E50" s="39"/>
      <c r="F50" s="39"/>
      <c r="G50" s="39"/>
      <c r="H50" s="180"/>
      <c r="I50" s="275"/>
      <c r="J50" s="10"/>
      <c r="K50" s="10"/>
      <c r="O50" s="81">
        <v>1.03</v>
      </c>
      <c r="P50" s="81">
        <f t="shared" si="9"/>
        <v>71.924899999999994</v>
      </c>
      <c r="Q50" s="2"/>
      <c r="T50" s="91"/>
      <c r="U50" s="86"/>
      <c r="V50" s="86"/>
    </row>
    <row r="51" spans="1:22" x14ac:dyDescent="0.25">
      <c r="B51" s="10"/>
      <c r="C51" s="10"/>
      <c r="D51" s="39"/>
      <c r="E51" s="39"/>
      <c r="F51" s="39"/>
      <c r="G51" s="39"/>
      <c r="H51" s="180"/>
      <c r="I51" s="275"/>
      <c r="J51" s="10"/>
      <c r="K51" s="10"/>
      <c r="O51" s="81">
        <v>1.02</v>
      </c>
      <c r="P51" s="81">
        <f t="shared" si="9"/>
        <v>71.226600000000005</v>
      </c>
      <c r="Q51" s="2"/>
      <c r="T51" s="91" t="s">
        <v>104</v>
      </c>
      <c r="U51" s="86" t="s">
        <v>628</v>
      </c>
      <c r="V51" s="86"/>
    </row>
    <row r="52" spans="1:22" x14ac:dyDescent="0.25">
      <c r="B52" s="10"/>
      <c r="C52" s="10"/>
      <c r="D52" s="39"/>
      <c r="E52" s="39"/>
      <c r="F52" s="39"/>
      <c r="G52" s="39"/>
      <c r="H52" s="180"/>
      <c r="I52" s="275"/>
      <c r="J52" s="10"/>
      <c r="K52" s="10"/>
      <c r="O52" s="81">
        <v>1.01</v>
      </c>
      <c r="P52" s="81">
        <f t="shared" si="9"/>
        <v>70.528300000000002</v>
      </c>
      <c r="Q52" s="2"/>
      <c r="T52" s="91" t="s">
        <v>105</v>
      </c>
      <c r="U52" s="86" t="s">
        <v>404</v>
      </c>
      <c r="V52" s="86"/>
    </row>
    <row r="53" spans="1:22" x14ac:dyDescent="0.25">
      <c r="O53" s="81">
        <v>1</v>
      </c>
      <c r="P53" s="81">
        <f t="shared" si="9"/>
        <v>69.83</v>
      </c>
      <c r="Q53" s="2"/>
      <c r="T53" s="91" t="s">
        <v>106</v>
      </c>
      <c r="U53" s="88">
        <v>7113649</v>
      </c>
      <c r="V53" s="88"/>
    </row>
    <row r="54" spans="1:22" x14ac:dyDescent="0.25">
      <c r="L54" t="s">
        <v>65</v>
      </c>
      <c r="M54" s="39">
        <f>M95+K95-F95</f>
        <v>810.1299999999901</v>
      </c>
      <c r="O54" s="81">
        <v>0.99</v>
      </c>
      <c r="P54" s="81">
        <f t="shared" si="9"/>
        <v>69.131699999999995</v>
      </c>
      <c r="Q54" s="2"/>
      <c r="T54" s="91" t="s">
        <v>109</v>
      </c>
      <c r="U54" s="88">
        <v>10291100</v>
      </c>
      <c r="V54" s="88"/>
    </row>
    <row r="55" spans="1:22" x14ac:dyDescent="0.25">
      <c r="A55" s="304" t="s">
        <v>1</v>
      </c>
      <c r="B55" s="304" t="s">
        <v>2</v>
      </c>
      <c r="C55" s="304" t="s">
        <v>4</v>
      </c>
      <c r="D55" s="306" t="s">
        <v>5</v>
      </c>
      <c r="E55" s="306" t="s">
        <v>94</v>
      </c>
      <c r="F55" s="306" t="s">
        <v>60</v>
      </c>
      <c r="G55" s="304" t="s">
        <v>3</v>
      </c>
      <c r="H55" s="304" t="s">
        <v>6</v>
      </c>
      <c r="I55" s="304" t="s">
        <v>7</v>
      </c>
      <c r="J55" s="304" t="s">
        <v>95</v>
      </c>
      <c r="K55" s="304" t="s">
        <v>61</v>
      </c>
      <c r="L55" s="304" t="s">
        <v>37</v>
      </c>
      <c r="M55" s="304" t="s">
        <v>38</v>
      </c>
      <c r="O55" s="81">
        <v>0.98</v>
      </c>
      <c r="P55" s="81">
        <f t="shared" si="9"/>
        <v>68.433399999999992</v>
      </c>
      <c r="Q55" s="2"/>
      <c r="T55" s="91" t="s">
        <v>107</v>
      </c>
      <c r="U55" s="86" t="s">
        <v>629</v>
      </c>
      <c r="V55" s="86"/>
    </row>
    <row r="56" spans="1:22" x14ac:dyDescent="0.25">
      <c r="A56" s="307" t="s">
        <v>55</v>
      </c>
      <c r="B56" s="297">
        <v>42214</v>
      </c>
      <c r="C56" s="298">
        <v>10</v>
      </c>
      <c r="D56" s="299">
        <v>113.01</v>
      </c>
      <c r="E56" s="299">
        <v>0</v>
      </c>
      <c r="F56" s="299">
        <f t="shared" ref="F56:F81" si="10">C56*D56 + E56</f>
        <v>1130.1000000000001</v>
      </c>
      <c r="G56" s="297">
        <v>42263</v>
      </c>
      <c r="H56" s="302">
        <v>10</v>
      </c>
      <c r="I56" s="299">
        <v>109.35</v>
      </c>
      <c r="J56" s="299">
        <v>0.02</v>
      </c>
      <c r="K56" s="299">
        <f>I56*H56-J56</f>
        <v>1093.48</v>
      </c>
      <c r="L56" s="297">
        <v>42276</v>
      </c>
      <c r="M56" s="299">
        <v>6.45</v>
      </c>
      <c r="O56" s="81">
        <v>0.97</v>
      </c>
      <c r="P56" s="81">
        <f t="shared" si="9"/>
        <v>67.735100000000003</v>
      </c>
      <c r="T56" s="91" t="s">
        <v>110</v>
      </c>
      <c r="U56" s="86">
        <v>6.69</v>
      </c>
      <c r="V56" s="86"/>
    </row>
    <row r="57" spans="1:22" x14ac:dyDescent="0.25">
      <c r="A57" s="308" t="s">
        <v>71</v>
      </c>
      <c r="B57" s="297">
        <v>42247</v>
      </c>
      <c r="C57" s="298">
        <v>15</v>
      </c>
      <c r="D57" s="299">
        <v>105.85</v>
      </c>
      <c r="E57" s="299">
        <v>0</v>
      </c>
      <c r="F57" s="299">
        <f t="shared" si="10"/>
        <v>1587.75</v>
      </c>
      <c r="G57" s="297">
        <v>42284</v>
      </c>
      <c r="H57" s="302">
        <v>10</v>
      </c>
      <c r="I57" s="299">
        <v>97.5</v>
      </c>
      <c r="J57" s="299">
        <v>0.02</v>
      </c>
      <c r="K57" s="299">
        <f>I57*H57-J57</f>
        <v>974.98</v>
      </c>
      <c r="L57" s="297">
        <v>42369</v>
      </c>
      <c r="M57" s="299">
        <v>10.75</v>
      </c>
      <c r="O57" s="81">
        <v>0.96</v>
      </c>
      <c r="P57" s="81">
        <f t="shared" si="9"/>
        <v>67.036799999999999</v>
      </c>
      <c r="T57" s="91" t="s">
        <v>111</v>
      </c>
      <c r="U57" s="86">
        <v>9.94</v>
      </c>
      <c r="V57" s="86"/>
    </row>
    <row r="58" spans="1:22" x14ac:dyDescent="0.25">
      <c r="A58" s="298"/>
      <c r="B58" s="297">
        <v>42278</v>
      </c>
      <c r="C58" s="298">
        <v>10</v>
      </c>
      <c r="D58" s="299">
        <v>96.7</v>
      </c>
      <c r="E58" s="299">
        <v>0</v>
      </c>
      <c r="F58" s="299">
        <f t="shared" si="10"/>
        <v>967</v>
      </c>
      <c r="G58" s="297">
        <v>42409</v>
      </c>
      <c r="H58" s="302">
        <v>10</v>
      </c>
      <c r="I58" s="299">
        <v>88.05</v>
      </c>
      <c r="J58" s="299">
        <v>0.02</v>
      </c>
      <c r="K58" s="299">
        <f>I58*H58-J58</f>
        <v>880.48</v>
      </c>
      <c r="L58" s="297">
        <v>42460</v>
      </c>
      <c r="M58" s="299">
        <v>30.1</v>
      </c>
      <c r="O58" s="81">
        <v>0.95</v>
      </c>
      <c r="P58" s="81">
        <f t="shared" si="9"/>
        <v>66.338499999999996</v>
      </c>
      <c r="T58" s="91" t="s">
        <v>108</v>
      </c>
      <c r="U58" s="86" t="s">
        <v>539</v>
      </c>
      <c r="V58" s="86"/>
    </row>
    <row r="59" spans="1:22" x14ac:dyDescent="0.25">
      <c r="A59" s="298"/>
      <c r="B59" s="297">
        <v>42284</v>
      </c>
      <c r="C59" s="298">
        <v>10</v>
      </c>
      <c r="D59" s="299">
        <v>94.5</v>
      </c>
      <c r="E59" s="299">
        <v>0</v>
      </c>
      <c r="F59" s="299">
        <f t="shared" si="10"/>
        <v>945</v>
      </c>
      <c r="G59" s="297">
        <v>42447</v>
      </c>
      <c r="H59" s="302">
        <v>20</v>
      </c>
      <c r="I59" s="299">
        <v>90.59</v>
      </c>
      <c r="J59" s="299">
        <v>0.04</v>
      </c>
      <c r="K59" s="299">
        <f>I59*H59-J59</f>
        <v>1811.7600000000002</v>
      </c>
      <c r="L59" s="297">
        <v>42550</v>
      </c>
      <c r="M59" s="299">
        <v>47</v>
      </c>
      <c r="O59" s="81">
        <v>0.94</v>
      </c>
      <c r="P59" s="81">
        <f t="shared" si="9"/>
        <v>65.640199999999993</v>
      </c>
    </row>
    <row r="60" spans="1:22" x14ac:dyDescent="0.25">
      <c r="A60" s="298"/>
      <c r="B60" s="621">
        <v>42376</v>
      </c>
      <c r="C60" s="298">
        <v>25</v>
      </c>
      <c r="D60" s="299">
        <v>96.5</v>
      </c>
      <c r="E60" s="299">
        <v>0</v>
      </c>
      <c r="F60" s="299">
        <f t="shared" si="10"/>
        <v>2412.5</v>
      </c>
      <c r="G60" s="297">
        <v>42478</v>
      </c>
      <c r="H60" s="302">
        <v>25</v>
      </c>
      <c r="I60" s="299">
        <v>99.45</v>
      </c>
      <c r="J60" s="299">
        <v>0.05</v>
      </c>
      <c r="K60" s="299">
        <f>I60*H60-J60</f>
        <v>2486.1999999999998</v>
      </c>
      <c r="L60" s="297">
        <v>42642</v>
      </c>
      <c r="M60" s="299">
        <v>94</v>
      </c>
      <c r="O60" s="81">
        <v>0.93</v>
      </c>
      <c r="P60" s="81">
        <f t="shared" si="9"/>
        <v>64.941900000000004</v>
      </c>
    </row>
    <row r="61" spans="1:22" x14ac:dyDescent="0.25">
      <c r="A61" s="298"/>
      <c r="B61" s="297">
        <v>42402</v>
      </c>
      <c r="C61" s="298">
        <v>10</v>
      </c>
      <c r="D61" s="299">
        <v>82.55</v>
      </c>
      <c r="E61" s="299">
        <v>0</v>
      </c>
      <c r="F61" s="299">
        <f t="shared" si="10"/>
        <v>825.5</v>
      </c>
      <c r="G61" s="298"/>
      <c r="H61" s="298"/>
      <c r="I61" s="298"/>
      <c r="J61" s="298"/>
      <c r="K61" s="298"/>
      <c r="L61" s="297">
        <v>42734</v>
      </c>
      <c r="M61" s="299">
        <v>117.5</v>
      </c>
      <c r="O61" s="81">
        <v>0.92</v>
      </c>
      <c r="P61" s="81">
        <f t="shared" si="9"/>
        <v>64.243600000000001</v>
      </c>
    </row>
    <row r="62" spans="1:22" x14ac:dyDescent="0.25">
      <c r="A62" s="298"/>
      <c r="B62" s="297">
        <v>42426</v>
      </c>
      <c r="C62" s="298">
        <v>20</v>
      </c>
      <c r="D62" s="299">
        <v>88.03</v>
      </c>
      <c r="E62" s="299">
        <v>0</v>
      </c>
      <c r="F62" s="299">
        <f t="shared" si="10"/>
        <v>1760.6</v>
      </c>
      <c r="G62" s="298"/>
      <c r="H62" s="302"/>
      <c r="I62" s="298"/>
      <c r="J62" s="298"/>
      <c r="K62" s="298"/>
      <c r="L62" s="297">
        <v>42824</v>
      </c>
      <c r="M62" s="299">
        <v>130</v>
      </c>
      <c r="O62" s="81">
        <v>0.91</v>
      </c>
      <c r="P62" s="81">
        <f t="shared" si="9"/>
        <v>63.545299999999997</v>
      </c>
    </row>
    <row r="63" spans="1:22" x14ac:dyDescent="0.25">
      <c r="A63" s="320"/>
      <c r="B63" s="297">
        <v>42488</v>
      </c>
      <c r="C63" s="298">
        <v>25</v>
      </c>
      <c r="D63" s="299">
        <v>98.25</v>
      </c>
      <c r="E63" s="299">
        <v>0</v>
      </c>
      <c r="F63" s="299">
        <f t="shared" si="10"/>
        <v>2456.25</v>
      </c>
      <c r="G63" s="298"/>
      <c r="H63" s="298"/>
      <c r="I63" s="298"/>
      <c r="J63" s="298"/>
      <c r="K63" s="298"/>
      <c r="L63" s="297">
        <v>42916</v>
      </c>
      <c r="M63" s="299">
        <v>130</v>
      </c>
      <c r="O63" s="81">
        <v>0.9</v>
      </c>
      <c r="P63" s="81">
        <f t="shared" si="9"/>
        <v>62.847000000000001</v>
      </c>
    </row>
    <row r="64" spans="1:22" x14ac:dyDescent="0.25">
      <c r="A64" s="320" t="s">
        <v>206</v>
      </c>
      <c r="B64" s="297">
        <v>42489</v>
      </c>
      <c r="C64" s="298">
        <v>20</v>
      </c>
      <c r="D64" s="299">
        <v>90.34</v>
      </c>
      <c r="E64" s="299">
        <v>0</v>
      </c>
      <c r="F64" s="299">
        <f t="shared" si="10"/>
        <v>1806.8000000000002</v>
      </c>
      <c r="G64" s="298"/>
      <c r="H64" s="298"/>
      <c r="I64" s="298"/>
      <c r="J64" s="298"/>
      <c r="K64" s="298"/>
      <c r="L64" s="298"/>
      <c r="M64" s="298"/>
    </row>
    <row r="65" spans="1:13" x14ac:dyDescent="0.25">
      <c r="A65" s="320">
        <v>92.64</v>
      </c>
      <c r="B65" s="297">
        <v>42489</v>
      </c>
      <c r="C65" s="298">
        <v>30</v>
      </c>
      <c r="D65" s="299">
        <v>89.5</v>
      </c>
      <c r="E65" s="299">
        <v>0</v>
      </c>
      <c r="F65" s="299">
        <f t="shared" si="10"/>
        <v>2685</v>
      </c>
      <c r="G65" s="297">
        <v>42552</v>
      </c>
      <c r="H65" s="302">
        <v>100</v>
      </c>
      <c r="I65" s="299">
        <v>83.74</v>
      </c>
      <c r="J65" s="299">
        <v>0.18</v>
      </c>
      <c r="K65" s="299">
        <f t="shared" ref="K65:K80" si="11">I65*H65-J65</f>
        <v>8373.82</v>
      </c>
      <c r="L65" s="298"/>
      <c r="M65" s="298"/>
    </row>
    <row r="66" spans="1:13" x14ac:dyDescent="0.25">
      <c r="A66" s="298"/>
      <c r="B66" s="297">
        <v>42545</v>
      </c>
      <c r="C66" s="298">
        <v>100</v>
      </c>
      <c r="D66" s="299">
        <v>80.47</v>
      </c>
      <c r="E66" s="299">
        <v>0</v>
      </c>
      <c r="F66" s="299">
        <f t="shared" si="10"/>
        <v>8047</v>
      </c>
      <c r="G66" s="297">
        <v>42646</v>
      </c>
      <c r="H66" s="302">
        <v>50</v>
      </c>
      <c r="I66" s="299">
        <v>77.7</v>
      </c>
      <c r="J66" s="299">
        <v>0.08</v>
      </c>
      <c r="K66" s="299">
        <f t="shared" si="11"/>
        <v>3884.92</v>
      </c>
      <c r="L66" s="298"/>
      <c r="M66" s="298"/>
    </row>
    <row r="67" spans="1:13" x14ac:dyDescent="0.25">
      <c r="A67" s="298"/>
      <c r="B67" s="297">
        <v>42577</v>
      </c>
      <c r="C67" s="298">
        <v>20</v>
      </c>
      <c r="D67" s="299">
        <v>80.64</v>
      </c>
      <c r="E67" s="299">
        <v>0</v>
      </c>
      <c r="F67" s="299">
        <f t="shared" si="10"/>
        <v>1612.8</v>
      </c>
      <c r="G67" s="297">
        <v>42683</v>
      </c>
      <c r="H67" s="302">
        <v>50</v>
      </c>
      <c r="I67" s="299">
        <v>78.98</v>
      </c>
      <c r="J67" s="299">
        <v>0.09</v>
      </c>
      <c r="K67" s="299">
        <f t="shared" si="11"/>
        <v>3948.91</v>
      </c>
      <c r="L67" s="298"/>
      <c r="M67" s="298"/>
    </row>
    <row r="68" spans="1:13" x14ac:dyDescent="0.25">
      <c r="A68" s="298"/>
      <c r="B68" s="297">
        <v>42580</v>
      </c>
      <c r="C68" s="298">
        <v>30</v>
      </c>
      <c r="D68" s="299">
        <v>79.38</v>
      </c>
      <c r="E68" s="299">
        <v>0</v>
      </c>
      <c r="F68" s="299">
        <f t="shared" si="10"/>
        <v>2381.3999999999996</v>
      </c>
      <c r="G68" s="297">
        <v>42685</v>
      </c>
      <c r="H68" s="302">
        <v>50</v>
      </c>
      <c r="I68" s="298">
        <v>76.45</v>
      </c>
      <c r="J68" s="298">
        <v>0.08</v>
      </c>
      <c r="K68" s="299">
        <f t="shared" si="11"/>
        <v>3822.42</v>
      </c>
      <c r="L68" s="298"/>
      <c r="M68" s="298"/>
    </row>
    <row r="69" spans="1:13" x14ac:dyDescent="0.25">
      <c r="A69" s="298"/>
      <c r="B69" s="297">
        <v>42608</v>
      </c>
      <c r="C69" s="298">
        <v>20</v>
      </c>
      <c r="D69" s="299">
        <v>79.28</v>
      </c>
      <c r="E69" s="299">
        <v>0</v>
      </c>
      <c r="F69" s="299">
        <f t="shared" si="10"/>
        <v>1585.6</v>
      </c>
      <c r="G69" s="297">
        <v>42697</v>
      </c>
      <c r="H69" s="302">
        <v>50</v>
      </c>
      <c r="I69" s="299">
        <v>75.3</v>
      </c>
      <c r="J69" s="299">
        <v>0.08</v>
      </c>
      <c r="K69" s="299">
        <f t="shared" si="11"/>
        <v>3764.92</v>
      </c>
      <c r="L69" s="298"/>
      <c r="M69" s="298"/>
    </row>
    <row r="70" spans="1:13" x14ac:dyDescent="0.25">
      <c r="A70" s="298"/>
      <c r="B70" s="297">
        <v>42611</v>
      </c>
      <c r="C70" s="298">
        <v>30</v>
      </c>
      <c r="D70" s="299">
        <v>77.680000000000007</v>
      </c>
      <c r="E70" s="299">
        <v>0</v>
      </c>
      <c r="F70" s="299">
        <f t="shared" si="10"/>
        <v>2330.4</v>
      </c>
      <c r="G70" s="297">
        <v>42717</v>
      </c>
      <c r="H70" s="302">
        <v>50</v>
      </c>
      <c r="I70" s="299">
        <v>74.78</v>
      </c>
      <c r="J70" s="299">
        <v>0.08</v>
      </c>
      <c r="K70" s="299">
        <f t="shared" si="11"/>
        <v>3738.92</v>
      </c>
      <c r="L70" s="298"/>
      <c r="M70" s="298"/>
    </row>
    <row r="71" spans="1:13" x14ac:dyDescent="0.25">
      <c r="A71" s="298"/>
      <c r="B71" s="297">
        <v>42646</v>
      </c>
      <c r="C71" s="298">
        <v>50</v>
      </c>
      <c r="D71" s="299">
        <v>77.28</v>
      </c>
      <c r="E71" s="299">
        <v>0</v>
      </c>
      <c r="F71" s="299">
        <f t="shared" si="10"/>
        <v>3864</v>
      </c>
      <c r="G71" s="297">
        <v>42717</v>
      </c>
      <c r="H71" s="302">
        <v>50</v>
      </c>
      <c r="I71" s="299">
        <v>75.73</v>
      </c>
      <c r="J71" s="299">
        <v>0.08</v>
      </c>
      <c r="K71" s="299">
        <f t="shared" si="11"/>
        <v>3786.42</v>
      </c>
      <c r="L71" s="298"/>
      <c r="M71" s="298"/>
    </row>
    <row r="72" spans="1:13" x14ac:dyDescent="0.25">
      <c r="A72" s="298"/>
      <c r="B72" s="297">
        <v>42649</v>
      </c>
      <c r="C72" s="298">
        <v>50</v>
      </c>
      <c r="D72" s="299">
        <v>76.38</v>
      </c>
      <c r="E72" s="299">
        <v>0</v>
      </c>
      <c r="F72" s="299">
        <f t="shared" si="10"/>
        <v>3819</v>
      </c>
      <c r="G72" s="297">
        <v>42738</v>
      </c>
      <c r="H72" s="302">
        <v>50</v>
      </c>
      <c r="I72" s="299">
        <v>73.58</v>
      </c>
      <c r="J72" s="299">
        <v>0.08</v>
      </c>
      <c r="K72" s="299">
        <f t="shared" si="11"/>
        <v>3678.92</v>
      </c>
      <c r="L72" s="298"/>
      <c r="M72" s="298"/>
    </row>
    <row r="73" spans="1:13" x14ac:dyDescent="0.25">
      <c r="A73" s="298"/>
      <c r="B73" s="297">
        <v>42685</v>
      </c>
      <c r="C73" s="298">
        <v>50</v>
      </c>
      <c r="D73" s="299">
        <v>75.78</v>
      </c>
      <c r="E73" s="299">
        <v>0</v>
      </c>
      <c r="F73" s="299">
        <f t="shared" si="10"/>
        <v>3789</v>
      </c>
      <c r="G73" s="297">
        <v>42760</v>
      </c>
      <c r="H73" s="302">
        <v>50</v>
      </c>
      <c r="I73" s="299">
        <v>71.78</v>
      </c>
      <c r="J73" s="299">
        <v>0.08</v>
      </c>
      <c r="K73" s="299">
        <f t="shared" si="11"/>
        <v>3588.92</v>
      </c>
      <c r="L73" s="298"/>
      <c r="M73" s="298"/>
    </row>
    <row r="74" spans="1:13" x14ac:dyDescent="0.25">
      <c r="A74" s="298"/>
      <c r="B74" s="297">
        <v>42692</v>
      </c>
      <c r="C74" s="298">
        <v>50</v>
      </c>
      <c r="D74" s="299">
        <v>74.45</v>
      </c>
      <c r="E74" s="299">
        <v>0</v>
      </c>
      <c r="F74" s="299">
        <f t="shared" si="10"/>
        <v>3722.5</v>
      </c>
      <c r="G74" s="297">
        <v>42781</v>
      </c>
      <c r="H74" s="302">
        <v>50</v>
      </c>
      <c r="I74" s="299">
        <v>68.98</v>
      </c>
      <c r="J74" s="299">
        <v>0.08</v>
      </c>
      <c r="K74" s="299">
        <f t="shared" si="11"/>
        <v>3448.92</v>
      </c>
      <c r="L74" s="298"/>
      <c r="M74" s="298"/>
    </row>
    <row r="75" spans="1:13" x14ac:dyDescent="0.25">
      <c r="A75" s="298"/>
      <c r="B75" s="297">
        <v>42705</v>
      </c>
      <c r="C75" s="298">
        <v>50</v>
      </c>
      <c r="D75" s="299">
        <v>73.319999999999993</v>
      </c>
      <c r="E75" s="299">
        <v>0</v>
      </c>
      <c r="F75" s="299">
        <f t="shared" si="10"/>
        <v>3665.9999999999995</v>
      </c>
      <c r="G75" s="297">
        <v>42781</v>
      </c>
      <c r="H75" s="302">
        <v>50</v>
      </c>
      <c r="I75" s="299">
        <v>69.75</v>
      </c>
      <c r="J75" s="299">
        <v>0.08</v>
      </c>
      <c r="K75" s="299">
        <f t="shared" si="11"/>
        <v>3487.42</v>
      </c>
      <c r="L75" s="298"/>
      <c r="M75" s="298"/>
    </row>
    <row r="76" spans="1:13" x14ac:dyDescent="0.25">
      <c r="A76" s="298"/>
      <c r="B76" s="297">
        <v>42717</v>
      </c>
      <c r="C76" s="298">
        <v>50</v>
      </c>
      <c r="D76" s="299">
        <v>75.180000000000007</v>
      </c>
      <c r="E76" s="299">
        <v>0</v>
      </c>
      <c r="F76" s="299">
        <f t="shared" si="10"/>
        <v>3759.0000000000005</v>
      </c>
      <c r="G76" s="297">
        <v>42940</v>
      </c>
      <c r="H76" s="302">
        <v>50</v>
      </c>
      <c r="I76" s="299">
        <v>74.08</v>
      </c>
      <c r="J76" s="299">
        <v>0.09</v>
      </c>
      <c r="K76" s="299">
        <f t="shared" si="11"/>
        <v>3703.91</v>
      </c>
      <c r="L76" s="298"/>
      <c r="M76" s="298"/>
    </row>
    <row r="77" spans="1:13" x14ac:dyDescent="0.25">
      <c r="A77" s="298"/>
      <c r="B77" s="297">
        <v>42733</v>
      </c>
      <c r="C77" s="298">
        <v>50</v>
      </c>
      <c r="D77" s="299">
        <v>72.08</v>
      </c>
      <c r="E77" s="299">
        <v>0</v>
      </c>
      <c r="F77" s="299">
        <f t="shared" si="10"/>
        <v>3604</v>
      </c>
      <c r="G77" s="297">
        <v>42977</v>
      </c>
      <c r="H77" s="302">
        <v>50</v>
      </c>
      <c r="I77" s="299">
        <v>80.08</v>
      </c>
      <c r="J77" s="299">
        <v>0.09</v>
      </c>
      <c r="K77" s="299">
        <f t="shared" si="11"/>
        <v>4003.91</v>
      </c>
      <c r="L77" s="298"/>
      <c r="M77" s="298"/>
    </row>
    <row r="78" spans="1:13" x14ac:dyDescent="0.25">
      <c r="A78" s="298"/>
      <c r="B78" s="297">
        <v>42752</v>
      </c>
      <c r="C78" s="298">
        <v>50</v>
      </c>
      <c r="D78" s="299">
        <v>71.88</v>
      </c>
      <c r="E78" s="299">
        <v>0</v>
      </c>
      <c r="F78" s="299">
        <f t="shared" si="10"/>
        <v>3594</v>
      </c>
      <c r="G78" s="297">
        <v>42977</v>
      </c>
      <c r="H78" s="302">
        <v>50</v>
      </c>
      <c r="I78" s="299">
        <v>81.08</v>
      </c>
      <c r="J78" s="299">
        <v>0.09</v>
      </c>
      <c r="K78" s="299">
        <f t="shared" si="11"/>
        <v>4053.91</v>
      </c>
      <c r="L78" s="298"/>
      <c r="M78" s="298"/>
    </row>
    <row r="79" spans="1:13" x14ac:dyDescent="0.25">
      <c r="A79" s="298"/>
      <c r="B79" s="297">
        <v>42755</v>
      </c>
      <c r="C79" s="298">
        <v>50</v>
      </c>
      <c r="D79" s="299">
        <v>70.78</v>
      </c>
      <c r="E79" s="299">
        <v>0</v>
      </c>
      <c r="F79" s="299">
        <f t="shared" si="10"/>
        <v>3539</v>
      </c>
      <c r="G79" s="297">
        <v>42978</v>
      </c>
      <c r="H79" s="302">
        <v>50</v>
      </c>
      <c r="I79" s="299">
        <v>83.18</v>
      </c>
      <c r="J79" s="299">
        <v>0.1</v>
      </c>
      <c r="K79" s="299">
        <f t="shared" si="11"/>
        <v>4158.8999999999996</v>
      </c>
      <c r="L79" s="298"/>
      <c r="M79" s="298"/>
    </row>
    <row r="80" spans="1:13" x14ac:dyDescent="0.25">
      <c r="A80" s="298"/>
      <c r="B80" s="297">
        <v>42773</v>
      </c>
      <c r="C80" s="298">
        <v>50</v>
      </c>
      <c r="D80" s="299">
        <v>69.48</v>
      </c>
      <c r="E80" s="299">
        <v>0</v>
      </c>
      <c r="F80" s="299">
        <f t="shared" si="10"/>
        <v>3474</v>
      </c>
      <c r="G80" s="297">
        <v>42984</v>
      </c>
      <c r="H80" s="302">
        <v>50</v>
      </c>
      <c r="I80" s="299">
        <v>82.98</v>
      </c>
      <c r="J80" s="299">
        <v>-0.03</v>
      </c>
      <c r="K80" s="299">
        <f t="shared" si="11"/>
        <v>4149.03</v>
      </c>
      <c r="L80" s="298"/>
      <c r="M80" s="298"/>
    </row>
    <row r="81" spans="1:13" x14ac:dyDescent="0.25">
      <c r="A81" s="298"/>
      <c r="B81" s="297">
        <v>42774</v>
      </c>
      <c r="C81" s="298">
        <v>50</v>
      </c>
      <c r="D81" s="299">
        <v>67.680000000000007</v>
      </c>
      <c r="E81" s="299">
        <v>0</v>
      </c>
      <c r="F81" s="299">
        <f t="shared" si="10"/>
        <v>3384.0000000000005</v>
      </c>
      <c r="G81" s="298"/>
      <c r="H81" s="298"/>
      <c r="I81" s="298"/>
      <c r="J81" s="298"/>
      <c r="K81" s="298"/>
      <c r="L81" s="298"/>
      <c r="M81" s="298"/>
    </row>
    <row r="82" spans="1:13" x14ac:dyDescent="0.25">
      <c r="A82" s="298"/>
      <c r="B82" s="297"/>
      <c r="C82" s="298"/>
      <c r="D82" s="299"/>
      <c r="E82" s="299"/>
      <c r="F82" s="299"/>
      <c r="G82" s="298"/>
      <c r="H82" s="298"/>
      <c r="I82" s="298"/>
      <c r="J82" s="298"/>
      <c r="K82" s="298"/>
      <c r="L82" s="298"/>
      <c r="M82" s="298"/>
    </row>
    <row r="83" spans="1:13" x14ac:dyDescent="0.25">
      <c r="A83" s="298"/>
      <c r="B83" s="368">
        <v>42983</v>
      </c>
      <c r="C83" s="7">
        <v>50</v>
      </c>
      <c r="D83" s="43">
        <v>81.88</v>
      </c>
      <c r="E83" s="43">
        <v>0</v>
      </c>
      <c r="F83" s="43">
        <f t="shared" ref="F83:F88" si="12">C83*D83 + E83</f>
        <v>4094</v>
      </c>
      <c r="G83" s="368">
        <v>43018</v>
      </c>
      <c r="H83" s="7">
        <v>50</v>
      </c>
      <c r="I83" s="43">
        <v>83.07</v>
      </c>
      <c r="J83" s="43">
        <v>0.1</v>
      </c>
      <c r="K83" s="43">
        <f t="shared" ref="K83:K88" si="13">H83*I83   - J83</f>
        <v>4153.3999999999996</v>
      </c>
      <c r="L83" s="72">
        <v>43006</v>
      </c>
      <c r="M83" s="669">
        <v>26</v>
      </c>
    </row>
    <row r="84" spans="1:13" x14ac:dyDescent="0.25">
      <c r="A84" s="298"/>
      <c r="B84" s="368">
        <v>42992</v>
      </c>
      <c r="C84" s="7">
        <v>50</v>
      </c>
      <c r="D84" s="43">
        <v>81.81</v>
      </c>
      <c r="E84" s="43">
        <v>0</v>
      </c>
      <c r="F84" s="43">
        <f t="shared" si="12"/>
        <v>4090.5</v>
      </c>
      <c r="G84" s="368">
        <v>43035</v>
      </c>
      <c r="H84" s="80">
        <v>50</v>
      </c>
      <c r="I84" s="43">
        <v>76.28</v>
      </c>
      <c r="J84" s="43">
        <v>0.09</v>
      </c>
      <c r="K84" s="43">
        <f t="shared" si="13"/>
        <v>3813.91</v>
      </c>
      <c r="L84" s="72">
        <v>43098</v>
      </c>
      <c r="M84" s="668">
        <v>52</v>
      </c>
    </row>
    <row r="85" spans="1:13" x14ac:dyDescent="0.25">
      <c r="A85" s="298"/>
      <c r="B85" s="368">
        <v>43020</v>
      </c>
      <c r="C85" s="7">
        <v>50</v>
      </c>
      <c r="D85" s="43">
        <v>81.680000000000007</v>
      </c>
      <c r="E85" s="43">
        <v>0</v>
      </c>
      <c r="F85" s="43">
        <f t="shared" si="12"/>
        <v>4084.0000000000005</v>
      </c>
      <c r="G85" s="368">
        <v>43068</v>
      </c>
      <c r="H85" s="80">
        <v>50</v>
      </c>
      <c r="I85" s="43">
        <v>74.180000000000007</v>
      </c>
      <c r="J85" s="43">
        <v>0.09</v>
      </c>
      <c r="K85" s="43">
        <f t="shared" si="13"/>
        <v>3708.9100000000003</v>
      </c>
      <c r="L85" s="72"/>
      <c r="M85" s="3"/>
    </row>
    <row r="86" spans="1:13" x14ac:dyDescent="0.25">
      <c r="A86" s="298"/>
      <c r="B86" s="368">
        <v>43035</v>
      </c>
      <c r="C86" s="7">
        <v>50</v>
      </c>
      <c r="D86" s="43">
        <v>73.88</v>
      </c>
      <c r="E86" s="43">
        <v>0</v>
      </c>
      <c r="F86" s="43">
        <f t="shared" si="12"/>
        <v>3694</v>
      </c>
      <c r="G86" s="368">
        <v>43102</v>
      </c>
      <c r="H86" s="80">
        <v>50</v>
      </c>
      <c r="I86" s="43">
        <v>73.58</v>
      </c>
      <c r="J86" s="43">
        <v>7.0000000000000007E-2</v>
      </c>
      <c r="K86" s="43">
        <f t="shared" si="13"/>
        <v>3678.93</v>
      </c>
      <c r="L86" s="72"/>
      <c r="M86" s="3"/>
    </row>
    <row r="87" spans="1:13" x14ac:dyDescent="0.25">
      <c r="A87" s="298"/>
      <c r="B87" s="368">
        <v>43053</v>
      </c>
      <c r="C87" s="7">
        <v>50</v>
      </c>
      <c r="D87" s="43">
        <v>71.58</v>
      </c>
      <c r="E87" s="43">
        <v>0</v>
      </c>
      <c r="F87" s="43">
        <f t="shared" si="12"/>
        <v>3579</v>
      </c>
      <c r="G87" s="368">
        <v>43105</v>
      </c>
      <c r="H87" s="80">
        <v>50</v>
      </c>
      <c r="I87" s="43">
        <v>74.510000000000005</v>
      </c>
      <c r="J87" s="43">
        <v>0.09</v>
      </c>
      <c r="K87" s="43">
        <f t="shared" si="13"/>
        <v>3725.4100000000003</v>
      </c>
      <c r="L87" s="72"/>
      <c r="M87" s="3"/>
    </row>
    <row r="88" spans="1:13" x14ac:dyDescent="0.25">
      <c r="A88" s="298"/>
      <c r="B88" s="695">
        <v>43090</v>
      </c>
      <c r="C88" s="7">
        <v>50</v>
      </c>
      <c r="D88" s="43">
        <v>73.28</v>
      </c>
      <c r="E88" s="43">
        <v>0</v>
      </c>
      <c r="F88" s="43">
        <f t="shared" si="12"/>
        <v>3664</v>
      </c>
      <c r="G88" s="368">
        <v>43126</v>
      </c>
      <c r="H88" s="80">
        <v>50</v>
      </c>
      <c r="I88" s="43">
        <v>83.97</v>
      </c>
      <c r="J88" s="43">
        <v>0.1</v>
      </c>
      <c r="K88" s="43">
        <f t="shared" si="13"/>
        <v>4198.3999999999996</v>
      </c>
      <c r="L88" s="72"/>
      <c r="M88" s="3"/>
    </row>
    <row r="89" spans="1:13" x14ac:dyDescent="0.25">
      <c r="A89" s="298"/>
      <c r="B89" s="297"/>
      <c r="C89" s="298"/>
      <c r="D89" s="299"/>
      <c r="E89" s="299"/>
      <c r="F89" s="299"/>
      <c r="G89" s="298"/>
      <c r="H89" s="298"/>
      <c r="I89" s="298"/>
      <c r="J89" s="298"/>
      <c r="K89" s="298"/>
      <c r="L89" s="298"/>
      <c r="M89" s="298"/>
    </row>
    <row r="90" spans="1:13" x14ac:dyDescent="0.25">
      <c r="A90" s="298"/>
      <c r="B90" s="297"/>
      <c r="C90" s="298"/>
      <c r="D90" s="299"/>
      <c r="E90" s="299"/>
      <c r="F90" s="299"/>
      <c r="G90" s="298"/>
      <c r="H90" s="298"/>
      <c r="I90" s="298"/>
      <c r="J90" s="298"/>
      <c r="K90" s="298"/>
      <c r="L90" s="298"/>
      <c r="M90" s="298"/>
    </row>
    <row r="91" spans="1:13" x14ac:dyDescent="0.25">
      <c r="A91" s="298"/>
      <c r="B91" s="297"/>
      <c r="C91" s="298"/>
      <c r="D91" s="299"/>
      <c r="E91" s="299"/>
      <c r="F91" s="299"/>
      <c r="G91" s="298"/>
      <c r="H91" s="298"/>
      <c r="I91" s="298"/>
      <c r="J91" s="298"/>
      <c r="K91" s="298"/>
      <c r="L91" s="298"/>
      <c r="M91" s="298"/>
    </row>
    <row r="92" spans="1:13" x14ac:dyDescent="0.25">
      <c r="A92" s="298"/>
      <c r="B92" s="297"/>
      <c r="C92" s="298"/>
      <c r="D92" s="299"/>
      <c r="E92" s="299"/>
      <c r="F92" s="299"/>
      <c r="G92" s="298"/>
      <c r="H92" s="298"/>
      <c r="I92" s="298"/>
      <c r="J92" s="298"/>
      <c r="K92" s="298"/>
      <c r="L92" s="298"/>
      <c r="M92" s="298"/>
    </row>
    <row r="93" spans="1:13" x14ac:dyDescent="0.25">
      <c r="A93" s="298"/>
      <c r="B93" s="298"/>
      <c r="C93" s="298"/>
      <c r="D93" s="299"/>
      <c r="E93" s="299"/>
      <c r="F93" s="299"/>
      <c r="G93" s="298"/>
      <c r="H93" s="298"/>
      <c r="I93" s="298"/>
      <c r="J93" s="298"/>
      <c r="K93" s="298"/>
      <c r="L93" s="298"/>
      <c r="M93" s="298"/>
    </row>
    <row r="94" spans="1:13" x14ac:dyDescent="0.25">
      <c r="A94" s="298"/>
      <c r="B94" s="298"/>
      <c r="C94" s="298"/>
      <c r="D94" s="299"/>
      <c r="E94" s="299"/>
      <c r="F94" s="299"/>
      <c r="G94" s="298"/>
      <c r="H94" s="302"/>
      <c r="I94" s="298"/>
      <c r="J94" s="298"/>
      <c r="K94" s="298"/>
      <c r="L94" s="298"/>
      <c r="M94" s="298"/>
    </row>
    <row r="95" spans="1:13" x14ac:dyDescent="0.25">
      <c r="A95" s="21" t="s">
        <v>81</v>
      </c>
      <c r="B95" s="12"/>
      <c r="C95" s="12">
        <f>SUM(C56:C94)</f>
        <v>1225</v>
      </c>
      <c r="D95" s="13"/>
      <c r="E95" s="13"/>
      <c r="F95" s="13">
        <f>SUM(F56:F94)</f>
        <v>95953.7</v>
      </c>
      <c r="G95" s="12"/>
      <c r="H95" s="75">
        <f>SUM(H56:H94)</f>
        <v>1225</v>
      </c>
      <c r="I95" s="12"/>
      <c r="J95" s="12"/>
      <c r="K95" s="13">
        <f>SUM(K56:K94)</f>
        <v>96120.029999999984</v>
      </c>
      <c r="L95" s="12"/>
      <c r="M95" s="13">
        <f>SUM(M56:M94)</f>
        <v>643.79999999999995</v>
      </c>
    </row>
    <row r="96" spans="1:13" ht="15.75" thickBot="1" x14ac:dyDescent="0.3">
      <c r="A96" s="378" t="s">
        <v>191</v>
      </c>
      <c r="B96" s="379"/>
      <c r="C96" s="380">
        <f>SumByColor($A$25,C56:C94)</f>
        <v>300</v>
      </c>
      <c r="D96" s="380"/>
      <c r="E96" s="380"/>
      <c r="F96" s="381">
        <f>SumByColor($A$25,F56:F94)</f>
        <v>23205</v>
      </c>
      <c r="G96" s="380"/>
      <c r="H96" s="380">
        <f>SumByColor($A$25,H56:H94)</f>
        <v>300</v>
      </c>
      <c r="I96" s="380"/>
      <c r="J96" s="380"/>
      <c r="K96" s="381">
        <f>SumByColor($A$25,K56:K94)</f>
        <v>23278</v>
      </c>
      <c r="L96" s="380"/>
      <c r="M96" s="381">
        <f>SumByColor($A$25,M56:M94)</f>
        <v>78</v>
      </c>
    </row>
    <row r="103" spans="1:12" x14ac:dyDescent="0.25">
      <c r="A103" s="622"/>
      <c r="B103" s="622"/>
      <c r="C103" s="622"/>
      <c r="D103" s="623"/>
      <c r="E103" s="623"/>
      <c r="F103" s="623"/>
      <c r="G103" s="622"/>
      <c r="H103" s="622"/>
      <c r="I103" s="622"/>
      <c r="J103" s="622"/>
      <c r="K103" s="622"/>
      <c r="L103" s="622"/>
    </row>
    <row r="104" spans="1:12" x14ac:dyDescent="0.25">
      <c r="A104" s="622"/>
      <c r="B104" s="414" t="s">
        <v>113</v>
      </c>
      <c r="C104" s="414" t="s">
        <v>145</v>
      </c>
      <c r="D104" s="415" t="s">
        <v>144</v>
      </c>
      <c r="E104" s="416" t="s">
        <v>146</v>
      </c>
      <c r="F104" s="417" t="s">
        <v>65</v>
      </c>
      <c r="G104" s="418" t="s">
        <v>150</v>
      </c>
      <c r="H104" s="417" t="s">
        <v>88</v>
      </c>
      <c r="I104" s="417" t="s">
        <v>153</v>
      </c>
      <c r="J104" s="624" t="s">
        <v>487</v>
      </c>
      <c r="K104" s="624" t="s">
        <v>149</v>
      </c>
      <c r="L104" s="622"/>
    </row>
    <row r="105" spans="1:12" x14ac:dyDescent="0.25">
      <c r="A105" s="298"/>
      <c r="B105" s="297">
        <v>42304</v>
      </c>
      <c r="C105" s="298">
        <v>25</v>
      </c>
      <c r="D105" s="299">
        <v>102.2</v>
      </c>
      <c r="E105" s="299">
        <v>110.96</v>
      </c>
      <c r="F105" s="299">
        <f>C105*(E105-D105)</f>
        <v>218.99999999999977</v>
      </c>
      <c r="G105" s="299">
        <f>D105*C105</f>
        <v>2555</v>
      </c>
      <c r="H105" s="300">
        <f>(E105-D105)/D105</f>
        <v>8.5714285714285618E-2</v>
      </c>
      <c r="I105" s="625"/>
      <c r="J105" s="298"/>
      <c r="K105" s="298"/>
      <c r="L105" s="298"/>
    </row>
    <row r="106" spans="1:12" x14ac:dyDescent="0.25">
      <c r="A106" s="298"/>
      <c r="B106" s="297">
        <v>42332</v>
      </c>
      <c r="C106" s="298">
        <v>25</v>
      </c>
      <c r="D106" s="299">
        <v>102.2</v>
      </c>
      <c r="E106" s="299">
        <v>106.36</v>
      </c>
      <c r="F106" s="299">
        <f t="shared" ref="F106:F114" si="14">C106*(E106-D106)</f>
        <v>103.99999999999991</v>
      </c>
      <c r="G106" s="299">
        <f t="shared" ref="G106:G169" si="15">D106*C106</f>
        <v>2555</v>
      </c>
      <c r="H106" s="300">
        <f t="shared" ref="H106:H169" si="16">(E106-D106)/D106</f>
        <v>4.070450097847355E-2</v>
      </c>
      <c r="I106" s="625"/>
      <c r="J106" s="298"/>
      <c r="K106" s="298"/>
      <c r="L106" s="298"/>
    </row>
    <row r="107" spans="1:12" x14ac:dyDescent="0.25">
      <c r="A107" s="298"/>
      <c r="B107" s="297">
        <v>42349</v>
      </c>
      <c r="C107" s="298">
        <v>25</v>
      </c>
      <c r="D107" s="299">
        <v>102.2</v>
      </c>
      <c r="E107" s="299">
        <v>100.03</v>
      </c>
      <c r="F107" s="299">
        <f t="shared" si="14"/>
        <v>-54.250000000000043</v>
      </c>
      <c r="G107" s="299">
        <f t="shared" si="15"/>
        <v>2555</v>
      </c>
      <c r="H107" s="300">
        <f t="shared" si="16"/>
        <v>-2.1232876712328784E-2</v>
      </c>
      <c r="I107" s="625"/>
      <c r="J107" s="298"/>
      <c r="K107" s="298"/>
      <c r="L107" s="298"/>
    </row>
    <row r="108" spans="1:12" x14ac:dyDescent="0.25">
      <c r="A108" s="298"/>
      <c r="B108" s="297">
        <v>42361</v>
      </c>
      <c r="C108" s="298">
        <v>25</v>
      </c>
      <c r="D108" s="299">
        <v>102.2</v>
      </c>
      <c r="E108" s="299">
        <v>102.86</v>
      </c>
      <c r="F108" s="299">
        <f t="shared" si="14"/>
        <v>16.499999999999915</v>
      </c>
      <c r="G108" s="299">
        <f t="shared" si="15"/>
        <v>2555</v>
      </c>
      <c r="H108" s="300">
        <f t="shared" si="16"/>
        <v>6.4579256360077939E-3</v>
      </c>
      <c r="I108" s="625"/>
      <c r="J108" s="298"/>
      <c r="K108" s="298"/>
      <c r="L108" s="298"/>
    </row>
    <row r="109" spans="1:12" x14ac:dyDescent="0.25">
      <c r="A109" s="298"/>
      <c r="B109" s="297">
        <v>42376</v>
      </c>
      <c r="C109" s="319">
        <v>50</v>
      </c>
      <c r="D109" s="318">
        <v>99.13</v>
      </c>
      <c r="E109" s="318">
        <v>96.25</v>
      </c>
      <c r="F109" s="299">
        <f t="shared" si="14"/>
        <v>-143.99999999999977</v>
      </c>
      <c r="G109" s="299">
        <f t="shared" si="15"/>
        <v>4956.5</v>
      </c>
      <c r="H109" s="300">
        <f t="shared" si="16"/>
        <v>-2.9052759003328918E-2</v>
      </c>
      <c r="I109" s="625"/>
      <c r="J109" s="298"/>
      <c r="K109" s="298"/>
      <c r="L109" s="298"/>
    </row>
    <row r="110" spans="1:12" x14ac:dyDescent="0.25">
      <c r="A110" s="298"/>
      <c r="B110" s="297">
        <v>42402</v>
      </c>
      <c r="C110" s="319">
        <v>60</v>
      </c>
      <c r="D110" s="318">
        <v>96.37</v>
      </c>
      <c r="E110" s="318">
        <v>82.71</v>
      </c>
      <c r="F110" s="299">
        <f t="shared" si="14"/>
        <v>-819.60000000000059</v>
      </c>
      <c r="G110" s="299">
        <f t="shared" si="15"/>
        <v>5782.2000000000007</v>
      </c>
      <c r="H110" s="300">
        <f t="shared" si="16"/>
        <v>-0.14174535643872585</v>
      </c>
      <c r="I110" s="625"/>
      <c r="J110" s="298"/>
      <c r="K110" s="298"/>
      <c r="L110" s="298"/>
    </row>
    <row r="111" spans="1:12" x14ac:dyDescent="0.25">
      <c r="A111" s="298"/>
      <c r="B111" s="297">
        <v>42409</v>
      </c>
      <c r="C111" s="319">
        <v>50</v>
      </c>
      <c r="D111" s="318">
        <v>98.03</v>
      </c>
      <c r="E111" s="318">
        <v>87.25</v>
      </c>
      <c r="F111" s="299">
        <f t="shared" si="14"/>
        <v>-539</v>
      </c>
      <c r="G111" s="299">
        <f t="shared" si="15"/>
        <v>4901.5</v>
      </c>
      <c r="H111" s="300">
        <f t="shared" si="16"/>
        <v>-0.10996633683566256</v>
      </c>
      <c r="I111" s="625"/>
      <c r="J111" s="298"/>
      <c r="K111" s="298"/>
      <c r="L111" s="298"/>
    </row>
    <row r="112" spans="1:12" x14ac:dyDescent="0.25">
      <c r="A112" s="298"/>
      <c r="B112" s="297">
        <v>42426</v>
      </c>
      <c r="C112" s="319">
        <v>70</v>
      </c>
      <c r="D112" s="318">
        <v>95.18</v>
      </c>
      <c r="E112" s="318">
        <v>88.03</v>
      </c>
      <c r="F112" s="299">
        <f t="shared" si="14"/>
        <v>-500.5000000000004</v>
      </c>
      <c r="G112" s="299">
        <f t="shared" si="15"/>
        <v>6662.6</v>
      </c>
      <c r="H112" s="301">
        <f t="shared" si="16"/>
        <v>-7.5120823702458553E-2</v>
      </c>
      <c r="I112" s="626"/>
      <c r="J112" s="298"/>
      <c r="K112" s="298"/>
      <c r="L112" s="298"/>
    </row>
    <row r="113" spans="1:12" x14ac:dyDescent="0.25">
      <c r="A113" s="298"/>
      <c r="B113" s="297">
        <v>42430</v>
      </c>
      <c r="C113" s="319">
        <v>70</v>
      </c>
      <c r="D113" s="318">
        <v>95.18</v>
      </c>
      <c r="E113" s="318">
        <v>89.69</v>
      </c>
      <c r="F113" s="299">
        <f t="shared" si="14"/>
        <v>-384.30000000000064</v>
      </c>
      <c r="G113" s="299">
        <f t="shared" si="15"/>
        <v>6662.6</v>
      </c>
      <c r="H113" s="301">
        <f t="shared" si="16"/>
        <v>-5.7680184912796896E-2</v>
      </c>
      <c r="I113" s="626"/>
      <c r="J113" s="298"/>
      <c r="K113" s="298"/>
      <c r="L113" s="298"/>
    </row>
    <row r="114" spans="1:12" x14ac:dyDescent="0.25">
      <c r="A114" s="298"/>
      <c r="B114" s="297">
        <v>42431</v>
      </c>
      <c r="C114" s="319">
        <v>70</v>
      </c>
      <c r="D114" s="318">
        <v>95.18</v>
      </c>
      <c r="E114" s="318">
        <v>88.8</v>
      </c>
      <c r="F114" s="299">
        <f t="shared" si="14"/>
        <v>-446.6000000000007</v>
      </c>
      <c r="G114" s="299">
        <f t="shared" si="15"/>
        <v>6662.6</v>
      </c>
      <c r="H114" s="301">
        <f t="shared" si="16"/>
        <v>-6.7030888842193839E-2</v>
      </c>
      <c r="I114" s="626"/>
      <c r="J114" s="298"/>
      <c r="K114" s="298"/>
      <c r="L114" s="298"/>
    </row>
    <row r="115" spans="1:12" x14ac:dyDescent="0.25">
      <c r="A115" s="298"/>
      <c r="B115" s="297">
        <v>42445</v>
      </c>
      <c r="C115" s="319">
        <v>70</v>
      </c>
      <c r="D115" s="318">
        <v>95.176000000000002</v>
      </c>
      <c r="E115" s="318">
        <v>90.28</v>
      </c>
      <c r="F115" s="299">
        <f>C115*(E115-D115)</f>
        <v>-342.72</v>
      </c>
      <c r="G115" s="299">
        <f t="shared" si="15"/>
        <v>6662.32</v>
      </c>
      <c r="H115" s="301">
        <f t="shared" si="16"/>
        <v>-5.1441539884004378E-2</v>
      </c>
      <c r="I115" s="626"/>
      <c r="J115" s="298"/>
      <c r="K115" s="298"/>
      <c r="L115" s="298"/>
    </row>
    <row r="116" spans="1:12" x14ac:dyDescent="0.25">
      <c r="A116" s="298"/>
      <c r="B116" s="297">
        <v>42447</v>
      </c>
      <c r="C116" s="319">
        <v>50</v>
      </c>
      <c r="D116" s="318">
        <v>97.010999999999996</v>
      </c>
      <c r="E116" s="318">
        <v>90.59</v>
      </c>
      <c r="F116" s="299">
        <f>C116*(E116-D116)</f>
        <v>-321.04999999999961</v>
      </c>
      <c r="G116" s="299">
        <f t="shared" si="15"/>
        <v>4850.55</v>
      </c>
      <c r="H116" s="301">
        <f t="shared" si="16"/>
        <v>-6.6188370390986517E-2</v>
      </c>
      <c r="I116" s="626"/>
      <c r="J116" s="298"/>
      <c r="K116" s="298"/>
      <c r="L116" s="298"/>
    </row>
    <row r="117" spans="1:12" x14ac:dyDescent="0.25">
      <c r="A117" s="298"/>
      <c r="B117" s="297">
        <v>42452</v>
      </c>
      <c r="C117" s="319">
        <v>50</v>
      </c>
      <c r="D117" s="318">
        <v>97.010999999999996</v>
      </c>
      <c r="E117" s="318">
        <v>93.72</v>
      </c>
      <c r="F117" s="299">
        <f>C117*(E117-D117)</f>
        <v>-164.54999999999984</v>
      </c>
      <c r="G117" s="299">
        <f t="shared" si="15"/>
        <v>4850.55</v>
      </c>
      <c r="H117" s="301">
        <f t="shared" si="16"/>
        <v>-3.3923988001360636E-2</v>
      </c>
      <c r="I117" s="626"/>
      <c r="J117" s="298"/>
      <c r="K117" s="298"/>
      <c r="L117" s="298"/>
    </row>
    <row r="118" spans="1:12" x14ac:dyDescent="0.25">
      <c r="A118" s="298"/>
      <c r="B118" s="297">
        <v>42459</v>
      </c>
      <c r="C118" s="319">
        <v>50</v>
      </c>
      <c r="D118" s="318">
        <v>96.409000000000006</v>
      </c>
      <c r="E118" s="318">
        <v>91.97</v>
      </c>
      <c r="F118" s="299">
        <f t="shared" ref="F118:F181" si="17">C118*(E118-D118)</f>
        <v>-221.95000000000036</v>
      </c>
      <c r="G118" s="299">
        <f t="shared" si="15"/>
        <v>4820.4500000000007</v>
      </c>
      <c r="H118" s="301">
        <f t="shared" si="16"/>
        <v>-4.604341918285644E-2</v>
      </c>
      <c r="I118" s="626" t="s">
        <v>184</v>
      </c>
      <c r="J118" s="298"/>
      <c r="K118" s="298"/>
      <c r="L118" s="298"/>
    </row>
    <row r="119" spans="1:12" x14ac:dyDescent="0.25">
      <c r="A119" s="298"/>
      <c r="B119" s="297">
        <v>42469</v>
      </c>
      <c r="C119" s="319">
        <v>50</v>
      </c>
      <c r="D119" s="318">
        <v>96.409000000000006</v>
      </c>
      <c r="E119" s="318">
        <v>96.09</v>
      </c>
      <c r="F119" s="299">
        <f t="shared" si="17"/>
        <v>-15.950000000000131</v>
      </c>
      <c r="G119" s="299">
        <f t="shared" si="15"/>
        <v>4820.4500000000007</v>
      </c>
      <c r="H119" s="301">
        <f t="shared" si="16"/>
        <v>-3.3088197160016449E-3</v>
      </c>
      <c r="I119" s="626"/>
      <c r="J119" s="298"/>
      <c r="K119" s="298"/>
      <c r="L119" s="298"/>
    </row>
    <row r="120" spans="1:12" x14ac:dyDescent="0.25">
      <c r="A120" s="298"/>
      <c r="B120" s="297">
        <v>42475</v>
      </c>
      <c r="C120" s="319">
        <v>50</v>
      </c>
      <c r="D120" s="318">
        <v>96.409000000000006</v>
      </c>
      <c r="E120" s="318">
        <v>98.29</v>
      </c>
      <c r="F120" s="299">
        <f t="shared" si="17"/>
        <v>94.050000000000011</v>
      </c>
      <c r="G120" s="299">
        <f t="shared" si="15"/>
        <v>4820.4500000000007</v>
      </c>
      <c r="H120" s="301">
        <f t="shared" si="16"/>
        <v>1.951062660125092E-2</v>
      </c>
      <c r="I120" s="626"/>
      <c r="J120" s="298"/>
      <c r="K120" s="298"/>
      <c r="L120" s="298"/>
    </row>
    <row r="121" spans="1:12" x14ac:dyDescent="0.25">
      <c r="A121" s="298"/>
      <c r="B121" s="297">
        <v>42478</v>
      </c>
      <c r="C121" s="319">
        <v>25</v>
      </c>
      <c r="D121" s="318">
        <v>93.37</v>
      </c>
      <c r="E121" s="318">
        <v>99.2</v>
      </c>
      <c r="F121" s="299">
        <f t="shared" si="17"/>
        <v>145.74999999999994</v>
      </c>
      <c r="G121" s="299">
        <f t="shared" si="15"/>
        <v>2334.25</v>
      </c>
      <c r="H121" s="301">
        <f t="shared" si="16"/>
        <v>6.2439755810217393E-2</v>
      </c>
      <c r="I121" s="626"/>
      <c r="J121" s="298"/>
      <c r="K121" s="298"/>
      <c r="L121" s="298"/>
    </row>
    <row r="122" spans="1:12" x14ac:dyDescent="0.25">
      <c r="A122" s="298"/>
      <c r="B122" s="297">
        <v>42488</v>
      </c>
      <c r="C122" s="319">
        <v>50</v>
      </c>
      <c r="D122" s="318">
        <v>95.81</v>
      </c>
      <c r="E122" s="318">
        <v>97</v>
      </c>
      <c r="F122" s="299">
        <f t="shared" si="17"/>
        <v>59.499999999999886</v>
      </c>
      <c r="G122" s="299">
        <f t="shared" si="15"/>
        <v>4790.5</v>
      </c>
      <c r="H122" s="301">
        <f t="shared" si="16"/>
        <v>1.2420415405490009E-2</v>
      </c>
      <c r="I122" s="626"/>
      <c r="J122" s="298"/>
      <c r="K122" s="298"/>
      <c r="L122" s="298"/>
    </row>
    <row r="123" spans="1:12" x14ac:dyDescent="0.25">
      <c r="A123" s="298"/>
      <c r="B123" s="297">
        <v>42489</v>
      </c>
      <c r="C123" s="319">
        <v>70</v>
      </c>
      <c r="D123" s="318">
        <v>94.247</v>
      </c>
      <c r="E123" s="299">
        <v>88.21</v>
      </c>
      <c r="F123" s="299">
        <f t="shared" si="17"/>
        <v>-422.59000000000043</v>
      </c>
      <c r="G123" s="299">
        <f t="shared" si="15"/>
        <v>6597.29</v>
      </c>
      <c r="H123" s="301">
        <f t="shared" si="16"/>
        <v>-6.4055089286661704E-2</v>
      </c>
      <c r="I123" s="626"/>
      <c r="J123" s="298"/>
      <c r="K123" s="298"/>
      <c r="L123" s="298"/>
    </row>
    <row r="124" spans="1:12" x14ac:dyDescent="0.25">
      <c r="A124" s="298"/>
      <c r="B124" s="297">
        <v>42489</v>
      </c>
      <c r="C124" s="298">
        <v>100</v>
      </c>
      <c r="D124" s="299">
        <v>92.822999999999993</v>
      </c>
      <c r="E124" s="299">
        <v>88.21</v>
      </c>
      <c r="F124" s="299">
        <f t="shared" si="17"/>
        <v>-461.29999999999995</v>
      </c>
      <c r="G124" s="299">
        <f t="shared" si="15"/>
        <v>9282.2999999999993</v>
      </c>
      <c r="H124" s="301">
        <f t="shared" si="16"/>
        <v>-4.9696734645508119E-2</v>
      </c>
      <c r="I124" s="626"/>
      <c r="J124" s="298"/>
      <c r="K124" s="298"/>
      <c r="L124" s="298"/>
    </row>
    <row r="125" spans="1:12" x14ac:dyDescent="0.25">
      <c r="A125" s="298"/>
      <c r="B125" s="297">
        <v>42498</v>
      </c>
      <c r="C125" s="298">
        <v>100</v>
      </c>
      <c r="D125" s="299">
        <v>92.822999999999993</v>
      </c>
      <c r="E125" s="299">
        <v>84.68</v>
      </c>
      <c r="F125" s="299">
        <f t="shared" si="17"/>
        <v>-814.29999999999859</v>
      </c>
      <c r="G125" s="299">
        <f t="shared" si="15"/>
        <v>9282.2999999999993</v>
      </c>
      <c r="H125" s="301">
        <f t="shared" si="16"/>
        <v>-8.7726102366870146E-2</v>
      </c>
      <c r="I125" s="626"/>
      <c r="J125" s="298"/>
      <c r="K125" s="298"/>
      <c r="L125" s="298"/>
    </row>
    <row r="126" spans="1:12" x14ac:dyDescent="0.25">
      <c r="A126" s="298"/>
      <c r="B126" s="297">
        <v>42502</v>
      </c>
      <c r="C126" s="298">
        <v>100</v>
      </c>
      <c r="D126" s="299">
        <v>92.822999999999993</v>
      </c>
      <c r="E126" s="299">
        <v>82.77</v>
      </c>
      <c r="F126" s="299">
        <f t="shared" si="17"/>
        <v>-1005.2999999999997</v>
      </c>
      <c r="G126" s="299">
        <f t="shared" si="15"/>
        <v>9282.2999999999993</v>
      </c>
      <c r="H126" s="301">
        <f t="shared" si="16"/>
        <v>-0.10830289906596423</v>
      </c>
      <c r="I126" s="626"/>
      <c r="J126" s="298"/>
      <c r="K126" s="298"/>
      <c r="L126" s="298"/>
    </row>
    <row r="127" spans="1:12" x14ac:dyDescent="0.25">
      <c r="A127" s="298"/>
      <c r="B127" s="297">
        <v>42514</v>
      </c>
      <c r="C127" s="298">
        <v>100</v>
      </c>
      <c r="D127" s="299">
        <v>92.82</v>
      </c>
      <c r="E127" s="299">
        <v>86.22</v>
      </c>
      <c r="F127" s="299">
        <f t="shared" si="17"/>
        <v>-659.99999999999943</v>
      </c>
      <c r="G127" s="299">
        <f t="shared" si="15"/>
        <v>9282</v>
      </c>
      <c r="H127" s="301">
        <f t="shared" si="16"/>
        <v>-7.1105365223012224E-2</v>
      </c>
      <c r="I127" s="626"/>
      <c r="J127" s="298"/>
      <c r="K127" s="298"/>
      <c r="L127" s="298"/>
    </row>
    <row r="128" spans="1:12" x14ac:dyDescent="0.25">
      <c r="A128" s="298"/>
      <c r="B128" s="297">
        <v>42527</v>
      </c>
      <c r="C128" s="298">
        <v>100</v>
      </c>
      <c r="D128" s="299">
        <v>92.822999999999993</v>
      </c>
      <c r="E128" s="299">
        <v>87.6</v>
      </c>
      <c r="F128" s="299">
        <f t="shared" si="17"/>
        <v>-522.29999999999995</v>
      </c>
      <c r="G128" s="299">
        <f t="shared" si="15"/>
        <v>9282.2999999999993</v>
      </c>
      <c r="H128" s="301">
        <f t="shared" si="16"/>
        <v>-5.6268381758831316E-2</v>
      </c>
      <c r="I128" s="626"/>
      <c r="J128" s="298"/>
      <c r="K128" s="298"/>
      <c r="L128" s="298"/>
    </row>
    <row r="129" spans="1:12" x14ac:dyDescent="0.25">
      <c r="A129" s="298"/>
      <c r="B129" s="297">
        <v>42535</v>
      </c>
      <c r="C129" s="298">
        <v>100</v>
      </c>
      <c r="D129" s="299">
        <v>92.82</v>
      </c>
      <c r="E129" s="299">
        <v>83.57</v>
      </c>
      <c r="F129" s="299">
        <f t="shared" si="17"/>
        <v>-925</v>
      </c>
      <c r="G129" s="299">
        <f t="shared" si="15"/>
        <v>9282</v>
      </c>
      <c r="H129" s="301">
        <f t="shared" si="16"/>
        <v>-9.965524671407025E-2</v>
      </c>
      <c r="I129" s="377">
        <v>88.5</v>
      </c>
      <c r="J129" s="298"/>
      <c r="K129" s="298"/>
      <c r="L129" s="298"/>
    </row>
    <row r="130" spans="1:12" x14ac:dyDescent="0.25">
      <c r="A130" s="298"/>
      <c r="B130" s="297">
        <v>42542</v>
      </c>
      <c r="C130" s="298">
        <v>100</v>
      </c>
      <c r="D130" s="299">
        <v>92.82</v>
      </c>
      <c r="E130" s="299">
        <v>81.790000000000006</v>
      </c>
      <c r="F130" s="299">
        <f t="shared" si="17"/>
        <v>-1102.9999999999986</v>
      </c>
      <c r="G130" s="299">
        <f t="shared" si="15"/>
        <v>9282</v>
      </c>
      <c r="H130" s="301">
        <f t="shared" si="16"/>
        <v>-0.11883214824391282</v>
      </c>
      <c r="I130" s="626"/>
      <c r="J130" s="298"/>
      <c r="K130" s="298"/>
      <c r="L130" s="298"/>
    </row>
    <row r="131" spans="1:12" x14ac:dyDescent="0.25">
      <c r="A131" s="298"/>
      <c r="B131" s="297">
        <v>42545</v>
      </c>
      <c r="C131" s="298">
        <v>200</v>
      </c>
      <c r="D131" s="299">
        <v>86.647000000000006</v>
      </c>
      <c r="E131" s="299">
        <v>80.47</v>
      </c>
      <c r="F131" s="299">
        <f t="shared" si="17"/>
        <v>-1235.4000000000015</v>
      </c>
      <c r="G131" s="299">
        <f t="shared" si="15"/>
        <v>17329.400000000001</v>
      </c>
      <c r="H131" s="301">
        <f t="shared" si="16"/>
        <v>-7.1289254099968918E-2</v>
      </c>
      <c r="I131" s="626"/>
      <c r="J131" s="298"/>
      <c r="K131" s="298"/>
      <c r="L131" s="298"/>
    </row>
    <row r="132" spans="1:12" x14ac:dyDescent="0.25">
      <c r="A132" s="298"/>
      <c r="B132" s="297">
        <v>42548</v>
      </c>
      <c r="C132" s="298">
        <v>200</v>
      </c>
      <c r="D132" s="299">
        <v>86.647000000000006</v>
      </c>
      <c r="E132" s="299">
        <v>78.25</v>
      </c>
      <c r="F132" s="299">
        <f t="shared" si="17"/>
        <v>-1679.400000000001</v>
      </c>
      <c r="G132" s="299">
        <f t="shared" si="15"/>
        <v>17329.400000000001</v>
      </c>
      <c r="H132" s="301">
        <f t="shared" si="16"/>
        <v>-9.6910452756587134E-2</v>
      </c>
      <c r="I132" s="626"/>
      <c r="J132" s="298"/>
      <c r="K132" s="298"/>
      <c r="L132" s="298"/>
    </row>
    <row r="133" spans="1:12" x14ac:dyDescent="0.25">
      <c r="A133" s="298"/>
      <c r="B133" s="297">
        <v>42549</v>
      </c>
      <c r="C133" s="298">
        <v>200</v>
      </c>
      <c r="D133" s="299">
        <v>86.647000000000006</v>
      </c>
      <c r="E133" s="299">
        <v>82.31</v>
      </c>
      <c r="F133" s="299">
        <f t="shared" si="17"/>
        <v>-867.40000000000066</v>
      </c>
      <c r="G133" s="299">
        <f t="shared" si="15"/>
        <v>17329.400000000001</v>
      </c>
      <c r="H133" s="301">
        <f t="shared" si="16"/>
        <v>-5.0053666024213218E-2</v>
      </c>
      <c r="I133" s="626"/>
      <c r="J133" s="298"/>
      <c r="K133" s="298"/>
      <c r="L133" s="298"/>
    </row>
    <row r="134" spans="1:12" x14ac:dyDescent="0.25">
      <c r="A134" s="298"/>
      <c r="B134" s="297">
        <v>42550</v>
      </c>
      <c r="C134" s="298">
        <v>200</v>
      </c>
      <c r="D134" s="299">
        <v>86.411500000000004</v>
      </c>
      <c r="E134" s="299">
        <v>82.27</v>
      </c>
      <c r="F134" s="299">
        <f t="shared" si="17"/>
        <v>-828.30000000000155</v>
      </c>
      <c r="G134" s="299">
        <f t="shared" si="15"/>
        <v>17282.3</v>
      </c>
      <c r="H134" s="301">
        <f t="shared" si="16"/>
        <v>-4.7927648519005078E-2</v>
      </c>
      <c r="I134" s="626" t="s">
        <v>184</v>
      </c>
      <c r="J134" s="298"/>
      <c r="K134" s="298"/>
      <c r="L134" s="298"/>
    </row>
    <row r="135" spans="1:12" x14ac:dyDescent="0.25">
      <c r="A135" s="298"/>
      <c r="B135" s="297">
        <v>42552</v>
      </c>
      <c r="C135" s="298">
        <v>100</v>
      </c>
      <c r="D135" s="299">
        <v>89.084800000000001</v>
      </c>
      <c r="E135" s="299">
        <v>84.86</v>
      </c>
      <c r="F135" s="299">
        <f t="shared" si="17"/>
        <v>-422.48000000000019</v>
      </c>
      <c r="G135" s="299">
        <f t="shared" si="15"/>
        <v>8908.48</v>
      </c>
      <c r="H135" s="301">
        <f t="shared" si="16"/>
        <v>-4.7424476453895636E-2</v>
      </c>
      <c r="I135" s="626"/>
      <c r="J135" s="298"/>
      <c r="K135" s="298"/>
      <c r="L135" s="298"/>
    </row>
    <row r="136" spans="1:12" x14ac:dyDescent="0.25">
      <c r="A136" s="298"/>
      <c r="B136" s="297">
        <v>42556</v>
      </c>
      <c r="C136" s="298">
        <v>100</v>
      </c>
      <c r="D136" s="299">
        <v>89.084800000000001</v>
      </c>
      <c r="E136" s="299">
        <v>83.89</v>
      </c>
      <c r="F136" s="299">
        <f t="shared" si="17"/>
        <v>-519.48</v>
      </c>
      <c r="G136" s="299">
        <f t="shared" si="15"/>
        <v>8908.48</v>
      </c>
      <c r="H136" s="301">
        <f t="shared" si="16"/>
        <v>-5.8312978196055902E-2</v>
      </c>
      <c r="I136" s="626"/>
      <c r="J136" s="298"/>
      <c r="K136" s="298"/>
      <c r="L136" s="298"/>
    </row>
    <row r="137" spans="1:12" x14ac:dyDescent="0.25">
      <c r="A137" s="298"/>
      <c r="B137" s="297">
        <v>42559</v>
      </c>
      <c r="C137" s="298">
        <v>100</v>
      </c>
      <c r="D137" s="299">
        <v>89.084800000000001</v>
      </c>
      <c r="E137" s="299">
        <v>86.55</v>
      </c>
      <c r="F137" s="299">
        <f t="shared" si="17"/>
        <v>-253.48000000000042</v>
      </c>
      <c r="G137" s="299">
        <f t="shared" si="15"/>
        <v>8908.48</v>
      </c>
      <c r="H137" s="301">
        <f t="shared" si="16"/>
        <v>-2.8453787851575176E-2</v>
      </c>
      <c r="I137" s="626"/>
      <c r="J137" s="298"/>
      <c r="K137" s="298"/>
      <c r="L137" s="298"/>
    </row>
    <row r="138" spans="1:12" x14ac:dyDescent="0.25">
      <c r="A138" s="298"/>
      <c r="B138" s="297">
        <v>42569</v>
      </c>
      <c r="C138" s="298">
        <v>100</v>
      </c>
      <c r="D138" s="299">
        <v>89.084800000000001</v>
      </c>
      <c r="E138" s="299">
        <v>86.93</v>
      </c>
      <c r="F138" s="299">
        <f t="shared" si="17"/>
        <v>-215.47999999999945</v>
      </c>
      <c r="G138" s="299">
        <f t="shared" si="15"/>
        <v>8908.48</v>
      </c>
      <c r="H138" s="301">
        <f t="shared" si="16"/>
        <v>-2.4188189230934957E-2</v>
      </c>
      <c r="I138" s="626"/>
      <c r="J138" s="298"/>
      <c r="K138" s="298"/>
      <c r="L138" s="298"/>
    </row>
    <row r="139" spans="1:12" x14ac:dyDescent="0.25">
      <c r="A139" s="298"/>
      <c r="B139" s="297">
        <v>42570</v>
      </c>
      <c r="C139" s="298">
        <v>100</v>
      </c>
      <c r="D139" s="299">
        <v>89.084800000000001</v>
      </c>
      <c r="E139" s="299">
        <v>85.44</v>
      </c>
      <c r="F139" s="299">
        <f t="shared" si="17"/>
        <v>-364.48000000000036</v>
      </c>
      <c r="G139" s="299">
        <f t="shared" si="15"/>
        <v>8908.48</v>
      </c>
      <c r="H139" s="301">
        <f t="shared" si="16"/>
        <v>-4.0913825927655488E-2</v>
      </c>
      <c r="I139" s="626"/>
      <c r="J139" s="298"/>
      <c r="K139" s="298"/>
      <c r="L139" s="298"/>
    </row>
    <row r="140" spans="1:12" x14ac:dyDescent="0.25">
      <c r="A140" s="298"/>
      <c r="B140" s="297">
        <v>42571</v>
      </c>
      <c r="C140" s="298">
        <v>100</v>
      </c>
      <c r="D140" s="299">
        <v>89.084800000000001</v>
      </c>
      <c r="E140" s="299">
        <v>86.66</v>
      </c>
      <c r="F140" s="299">
        <f t="shared" si="17"/>
        <v>-242.48000000000047</v>
      </c>
      <c r="G140" s="299">
        <f t="shared" si="15"/>
        <v>8908.48</v>
      </c>
      <c r="H140" s="301">
        <f t="shared" si="16"/>
        <v>-2.7219009303495148E-2</v>
      </c>
      <c r="I140" s="626"/>
      <c r="J140" s="298"/>
      <c r="K140" s="298"/>
      <c r="L140" s="298"/>
    </row>
    <row r="141" spans="1:12" x14ac:dyDescent="0.25">
      <c r="A141" s="298"/>
      <c r="B141" s="297">
        <v>42572</v>
      </c>
      <c r="C141" s="298">
        <v>100</v>
      </c>
      <c r="D141" s="299">
        <v>89.084800000000001</v>
      </c>
      <c r="E141" s="299">
        <v>87.24</v>
      </c>
      <c r="F141" s="299">
        <f t="shared" si="17"/>
        <v>-184.48000000000064</v>
      </c>
      <c r="G141" s="299">
        <f t="shared" si="15"/>
        <v>8908.48</v>
      </c>
      <c r="H141" s="301">
        <f t="shared" si="16"/>
        <v>-2.0708358777255003E-2</v>
      </c>
      <c r="I141" s="626"/>
      <c r="J141" s="298"/>
      <c r="K141" s="298"/>
      <c r="L141" s="298"/>
    </row>
    <row r="142" spans="1:12" x14ac:dyDescent="0.25">
      <c r="A142" s="298"/>
      <c r="B142" s="297">
        <v>42575</v>
      </c>
      <c r="C142" s="298">
        <v>100</v>
      </c>
      <c r="D142" s="299">
        <v>89.084800000000001</v>
      </c>
      <c r="E142" s="299">
        <v>86.55</v>
      </c>
      <c r="F142" s="299">
        <f t="shared" si="17"/>
        <v>-253.48000000000042</v>
      </c>
      <c r="G142" s="299">
        <f t="shared" si="15"/>
        <v>8908.48</v>
      </c>
      <c r="H142" s="301">
        <f t="shared" si="16"/>
        <v>-2.8453787851575176E-2</v>
      </c>
      <c r="I142" s="627"/>
      <c r="J142" s="298"/>
      <c r="K142" s="298"/>
      <c r="L142" s="298"/>
    </row>
    <row r="143" spans="1:12" x14ac:dyDescent="0.25">
      <c r="A143" s="298"/>
      <c r="B143" s="297">
        <v>42576</v>
      </c>
      <c r="C143" s="298">
        <v>100</v>
      </c>
      <c r="D143" s="299">
        <v>89.084800000000001</v>
      </c>
      <c r="E143" s="299">
        <v>88.55</v>
      </c>
      <c r="F143" s="299">
        <f t="shared" si="17"/>
        <v>-53.480000000000416</v>
      </c>
      <c r="G143" s="299">
        <f t="shared" si="15"/>
        <v>8908.48</v>
      </c>
      <c r="H143" s="301">
        <f t="shared" si="16"/>
        <v>-6.0032687955746001E-3</v>
      </c>
      <c r="I143" s="626" t="s">
        <v>241</v>
      </c>
      <c r="J143" s="298"/>
      <c r="K143" s="298"/>
      <c r="L143" s="298"/>
    </row>
    <row r="144" spans="1:12" x14ac:dyDescent="0.25">
      <c r="A144" s="298"/>
      <c r="B144" s="297">
        <v>42577</v>
      </c>
      <c r="C144" s="298">
        <v>120</v>
      </c>
      <c r="D144" s="299">
        <v>87.677300000000002</v>
      </c>
      <c r="E144" s="299">
        <v>81.05</v>
      </c>
      <c r="F144" s="299">
        <f t="shared" si="17"/>
        <v>-795.27600000000064</v>
      </c>
      <c r="G144" s="299">
        <f t="shared" si="15"/>
        <v>10521.276</v>
      </c>
      <c r="H144" s="301">
        <f t="shared" si="16"/>
        <v>-7.5587409740035388E-2</v>
      </c>
      <c r="I144" s="626"/>
      <c r="J144" s="298"/>
      <c r="K144" s="298"/>
      <c r="L144" s="298"/>
    </row>
    <row r="145" spans="1:12" x14ac:dyDescent="0.25">
      <c r="A145" s="298"/>
      <c r="B145" s="297">
        <v>42580</v>
      </c>
      <c r="C145" s="298">
        <v>150</v>
      </c>
      <c r="D145" s="299">
        <v>86.017899999999997</v>
      </c>
      <c r="E145" s="299">
        <v>79.47</v>
      </c>
      <c r="F145" s="299">
        <f t="shared" si="17"/>
        <v>-982.18499999999972</v>
      </c>
      <c r="G145" s="299">
        <f t="shared" si="15"/>
        <v>12902.684999999999</v>
      </c>
      <c r="H145" s="301">
        <f t="shared" si="16"/>
        <v>-7.6122527985454172E-2</v>
      </c>
      <c r="I145" s="626"/>
      <c r="J145" s="298"/>
      <c r="K145" s="298"/>
      <c r="L145" s="298"/>
    </row>
    <row r="146" spans="1:12" x14ac:dyDescent="0.25">
      <c r="A146" s="298"/>
      <c r="B146" s="297">
        <v>42593</v>
      </c>
      <c r="C146" s="298">
        <v>150</v>
      </c>
      <c r="D146" s="299">
        <v>86.017899999999997</v>
      </c>
      <c r="E146" s="299">
        <v>78.900000000000006</v>
      </c>
      <c r="F146" s="299">
        <f t="shared" si="17"/>
        <v>-1067.6849999999988</v>
      </c>
      <c r="G146" s="299">
        <f t="shared" si="15"/>
        <v>12902.684999999999</v>
      </c>
      <c r="H146" s="301">
        <f t="shared" si="16"/>
        <v>-8.2749055719797765E-2</v>
      </c>
      <c r="I146" s="626"/>
      <c r="J146" s="298"/>
      <c r="K146" s="298"/>
      <c r="L146" s="298"/>
    </row>
    <row r="147" spans="1:12" x14ac:dyDescent="0.25">
      <c r="A147" s="298"/>
      <c r="B147" s="297">
        <v>42597</v>
      </c>
      <c r="C147" s="298">
        <v>150</v>
      </c>
      <c r="D147" s="299">
        <v>86.017899999999997</v>
      </c>
      <c r="E147" s="299">
        <v>79.650000000000006</v>
      </c>
      <c r="F147" s="299">
        <f t="shared" si="17"/>
        <v>-955.18499999999881</v>
      </c>
      <c r="G147" s="299">
        <f t="shared" si="15"/>
        <v>12902.684999999999</v>
      </c>
      <c r="H147" s="301">
        <f t="shared" si="16"/>
        <v>-7.4029940279871892E-2</v>
      </c>
      <c r="I147" s="626"/>
      <c r="J147" s="298"/>
      <c r="K147" s="298"/>
      <c r="L147" s="298"/>
    </row>
    <row r="148" spans="1:12" x14ac:dyDescent="0.25">
      <c r="A148" s="298"/>
      <c r="B148" s="297">
        <v>42599</v>
      </c>
      <c r="C148" s="298">
        <v>150</v>
      </c>
      <c r="D148" s="299">
        <v>86.017899999999997</v>
      </c>
      <c r="E148" s="299">
        <v>80.7</v>
      </c>
      <c r="F148" s="299">
        <f t="shared" si="17"/>
        <v>-797.68499999999915</v>
      </c>
      <c r="G148" s="299">
        <f t="shared" si="15"/>
        <v>12902.684999999999</v>
      </c>
      <c r="H148" s="301">
        <f t="shared" si="16"/>
        <v>-6.1823178663975693E-2</v>
      </c>
      <c r="I148" s="626"/>
      <c r="J148" s="298"/>
      <c r="K148" s="298"/>
      <c r="L148" s="298"/>
    </row>
    <row r="149" spans="1:12" x14ac:dyDescent="0.25">
      <c r="A149" s="298"/>
      <c r="B149" s="297">
        <v>42600</v>
      </c>
      <c r="C149" s="298">
        <v>150</v>
      </c>
      <c r="D149" s="299">
        <v>86.017899999999997</v>
      </c>
      <c r="E149" s="299">
        <v>80.59</v>
      </c>
      <c r="F149" s="299">
        <f t="shared" si="17"/>
        <v>-814.18499999999904</v>
      </c>
      <c r="G149" s="299">
        <f t="shared" si="15"/>
        <v>12902.684999999999</v>
      </c>
      <c r="H149" s="301">
        <f t="shared" si="16"/>
        <v>-6.3101982261831474E-2</v>
      </c>
      <c r="I149" s="626"/>
      <c r="J149" s="298"/>
      <c r="K149" s="298"/>
      <c r="L149" s="298"/>
    </row>
    <row r="150" spans="1:12" x14ac:dyDescent="0.25">
      <c r="A150" s="298"/>
      <c r="B150" s="297">
        <v>42601</v>
      </c>
      <c r="C150" s="298">
        <v>150</v>
      </c>
      <c r="D150" s="299">
        <v>86.017899999999997</v>
      </c>
      <c r="E150" s="299">
        <v>81</v>
      </c>
      <c r="F150" s="299">
        <f t="shared" si="17"/>
        <v>-752.6849999999996</v>
      </c>
      <c r="G150" s="299">
        <f t="shared" si="15"/>
        <v>12902.684999999999</v>
      </c>
      <c r="H150" s="301">
        <f t="shared" si="16"/>
        <v>-5.8335532488005375E-2</v>
      </c>
      <c r="I150" s="626"/>
      <c r="J150" s="298"/>
      <c r="K150" s="298"/>
      <c r="L150" s="298"/>
    </row>
    <row r="151" spans="1:12" x14ac:dyDescent="0.25">
      <c r="A151" s="298"/>
      <c r="B151" s="297">
        <v>42605</v>
      </c>
      <c r="C151" s="298">
        <v>150</v>
      </c>
      <c r="D151" s="299">
        <v>86.017899999999997</v>
      </c>
      <c r="E151" s="299">
        <v>81.47</v>
      </c>
      <c r="F151" s="299">
        <f t="shared" si="17"/>
        <v>-682.18499999999972</v>
      </c>
      <c r="G151" s="299">
        <f t="shared" si="15"/>
        <v>12902.684999999999</v>
      </c>
      <c r="H151" s="301">
        <f t="shared" si="16"/>
        <v>-5.2871553478985173E-2</v>
      </c>
      <c r="I151" s="626"/>
      <c r="J151" s="298"/>
      <c r="K151" s="298"/>
      <c r="L151" s="298"/>
    </row>
    <row r="152" spans="1:12" x14ac:dyDescent="0.25">
      <c r="A152" s="298"/>
      <c r="B152" s="297">
        <v>42606</v>
      </c>
      <c r="C152" s="298">
        <v>150</v>
      </c>
      <c r="D152" s="299">
        <v>86.017899999999997</v>
      </c>
      <c r="E152" s="299">
        <v>80.5</v>
      </c>
      <c r="F152" s="299">
        <f t="shared" si="17"/>
        <v>-827.6849999999996</v>
      </c>
      <c r="G152" s="299">
        <f t="shared" si="15"/>
        <v>12902.684999999999</v>
      </c>
      <c r="H152" s="301">
        <f t="shared" si="16"/>
        <v>-6.4148276114622621E-2</v>
      </c>
      <c r="I152" s="626"/>
      <c r="J152" s="298"/>
      <c r="K152" s="298"/>
      <c r="L152" s="298"/>
    </row>
    <row r="153" spans="1:12" x14ac:dyDescent="0.25">
      <c r="A153" s="298"/>
      <c r="B153" s="297">
        <v>42607</v>
      </c>
      <c r="C153" s="298">
        <v>150</v>
      </c>
      <c r="D153" s="299">
        <v>86.017899999999997</v>
      </c>
      <c r="E153" s="299">
        <v>80.08</v>
      </c>
      <c r="F153" s="299">
        <f t="shared" si="17"/>
        <v>-890.68499999999983</v>
      </c>
      <c r="G153" s="299">
        <f t="shared" si="15"/>
        <v>12902.684999999999</v>
      </c>
      <c r="H153" s="301">
        <f t="shared" si="16"/>
        <v>-6.9030980760981131E-2</v>
      </c>
      <c r="I153" s="626"/>
      <c r="J153" s="298"/>
      <c r="K153" s="298"/>
      <c r="L153" s="298"/>
    </row>
    <row r="154" spans="1:12" x14ac:dyDescent="0.25">
      <c r="A154" s="298"/>
      <c r="B154" s="297">
        <v>42608</v>
      </c>
      <c r="C154" s="298">
        <v>170</v>
      </c>
      <c r="D154" s="299">
        <v>85.225200000000001</v>
      </c>
      <c r="E154" s="299">
        <v>79.77</v>
      </c>
      <c r="F154" s="299">
        <f t="shared" si="17"/>
        <v>-927.38400000000081</v>
      </c>
      <c r="G154" s="299">
        <f t="shared" si="15"/>
        <v>14488.284</v>
      </c>
      <c r="H154" s="301">
        <f t="shared" si="16"/>
        <v>-6.4009236704636707E-2</v>
      </c>
      <c r="I154" s="626"/>
      <c r="J154" s="298"/>
      <c r="K154" s="298"/>
      <c r="L154" s="298"/>
    </row>
    <row r="155" spans="1:12" x14ac:dyDescent="0.25">
      <c r="A155" s="298"/>
      <c r="B155" s="297">
        <v>42609</v>
      </c>
      <c r="C155" s="298">
        <v>170</v>
      </c>
      <c r="D155" s="299">
        <v>85.225200000000001</v>
      </c>
      <c r="E155" s="299">
        <v>77.92</v>
      </c>
      <c r="F155" s="299">
        <f t="shared" si="17"/>
        <v>-1241.8839999999998</v>
      </c>
      <c r="G155" s="299">
        <f t="shared" si="15"/>
        <v>14488.284</v>
      </c>
      <c r="H155" s="301">
        <f t="shared" si="16"/>
        <v>-8.5716431290275633E-2</v>
      </c>
      <c r="I155" s="626"/>
      <c r="J155" s="298"/>
      <c r="K155" s="298"/>
      <c r="L155" s="298"/>
    </row>
    <row r="156" spans="1:12" x14ac:dyDescent="0.25">
      <c r="A156" s="298"/>
      <c r="B156" s="297">
        <v>42614</v>
      </c>
      <c r="C156" s="298">
        <v>200</v>
      </c>
      <c r="D156" s="299">
        <v>84.093400000000003</v>
      </c>
      <c r="E156" s="299">
        <v>77.42</v>
      </c>
      <c r="F156" s="299">
        <f t="shared" si="17"/>
        <v>-1334.6800000000003</v>
      </c>
      <c r="G156" s="299">
        <f t="shared" si="15"/>
        <v>16818.68</v>
      </c>
      <c r="H156" s="301">
        <f t="shared" si="16"/>
        <v>-7.9357000668304534E-2</v>
      </c>
      <c r="I156" s="626"/>
      <c r="J156" s="298"/>
      <c r="K156" s="298"/>
      <c r="L156" s="298"/>
    </row>
    <row r="157" spans="1:12" x14ac:dyDescent="0.25">
      <c r="A157" s="298"/>
      <c r="B157" s="297">
        <v>42615</v>
      </c>
      <c r="C157" s="298">
        <v>200</v>
      </c>
      <c r="D157" s="299">
        <v>84.093400000000003</v>
      </c>
      <c r="E157" s="299">
        <v>76.89</v>
      </c>
      <c r="F157" s="299">
        <f t="shared" si="17"/>
        <v>-1440.6800000000003</v>
      </c>
      <c r="G157" s="299">
        <f t="shared" si="15"/>
        <v>16818.68</v>
      </c>
      <c r="H157" s="301">
        <f t="shared" si="16"/>
        <v>-8.5659516680262685E-2</v>
      </c>
      <c r="I157" s="626"/>
      <c r="J157" s="298"/>
      <c r="K157" s="298"/>
      <c r="L157" s="298"/>
    </row>
    <row r="158" spans="1:12" x14ac:dyDescent="0.25">
      <c r="A158" s="298"/>
      <c r="B158" s="297">
        <v>42619</v>
      </c>
      <c r="C158" s="298">
        <v>200</v>
      </c>
      <c r="D158" s="299">
        <v>84.093400000000003</v>
      </c>
      <c r="E158" s="299">
        <v>77.88</v>
      </c>
      <c r="F158" s="299">
        <f t="shared" si="17"/>
        <v>-1242.6800000000014</v>
      </c>
      <c r="G158" s="299">
        <f t="shared" si="15"/>
        <v>16818.68</v>
      </c>
      <c r="H158" s="301">
        <f t="shared" si="16"/>
        <v>-7.3886892431510753E-2</v>
      </c>
      <c r="I158" s="626"/>
      <c r="J158" s="298"/>
      <c r="K158" s="298"/>
      <c r="L158" s="298"/>
    </row>
    <row r="159" spans="1:12" x14ac:dyDescent="0.25">
      <c r="A159" s="298"/>
      <c r="B159" s="297">
        <v>42632</v>
      </c>
      <c r="C159" s="298">
        <v>200</v>
      </c>
      <c r="D159" s="299">
        <v>84.093400000000003</v>
      </c>
      <c r="E159" s="299">
        <v>78.989999999999995</v>
      </c>
      <c r="F159" s="299">
        <f t="shared" si="17"/>
        <v>-1020.6800000000015</v>
      </c>
      <c r="G159" s="299">
        <f t="shared" si="15"/>
        <v>16818.68</v>
      </c>
      <c r="H159" s="301">
        <f t="shared" si="16"/>
        <v>-6.0687283425334304E-2</v>
      </c>
      <c r="I159" s="626"/>
      <c r="J159" s="298"/>
      <c r="K159" s="298"/>
      <c r="L159" s="298"/>
    </row>
    <row r="160" spans="1:12" x14ac:dyDescent="0.25">
      <c r="A160" s="298"/>
      <c r="B160" s="297">
        <v>42633</v>
      </c>
      <c r="C160" s="298">
        <v>200</v>
      </c>
      <c r="D160" s="299">
        <v>84.093400000000003</v>
      </c>
      <c r="E160" s="299">
        <v>81.78</v>
      </c>
      <c r="F160" s="299">
        <f t="shared" si="17"/>
        <v>-462.68000000000029</v>
      </c>
      <c r="G160" s="299">
        <f t="shared" si="15"/>
        <v>16818.68</v>
      </c>
      <c r="H160" s="301">
        <f t="shared" si="16"/>
        <v>-2.7509887815215003E-2</v>
      </c>
      <c r="I160" s="626"/>
      <c r="J160" s="298"/>
      <c r="K160" s="298"/>
      <c r="L160" s="298"/>
    </row>
    <row r="161" spans="1:12" x14ac:dyDescent="0.25">
      <c r="A161" s="298"/>
      <c r="B161" s="297">
        <v>42635</v>
      </c>
      <c r="C161" s="298">
        <v>200</v>
      </c>
      <c r="D161" s="299">
        <v>84.093400000000003</v>
      </c>
      <c r="E161" s="299">
        <v>81.52</v>
      </c>
      <c r="F161" s="299">
        <f t="shared" si="17"/>
        <v>-514.68000000000131</v>
      </c>
      <c r="G161" s="299">
        <f t="shared" si="15"/>
        <v>16818.68</v>
      </c>
      <c r="H161" s="301">
        <f t="shared" si="16"/>
        <v>-3.060168812296811E-2</v>
      </c>
      <c r="I161" s="626"/>
      <c r="J161" s="298"/>
      <c r="K161" s="298"/>
      <c r="L161" s="298"/>
    </row>
    <row r="162" spans="1:12" x14ac:dyDescent="0.25">
      <c r="A162" s="298"/>
      <c r="B162" s="297">
        <v>42640</v>
      </c>
      <c r="C162" s="298">
        <v>200</v>
      </c>
      <c r="D162" s="299">
        <v>84.093400000000003</v>
      </c>
      <c r="E162" s="299">
        <v>79.25</v>
      </c>
      <c r="F162" s="299">
        <f t="shared" si="17"/>
        <v>-968.68000000000052</v>
      </c>
      <c r="G162" s="299">
        <f t="shared" si="15"/>
        <v>16818.68</v>
      </c>
      <c r="H162" s="301">
        <f t="shared" si="16"/>
        <v>-5.7595483117581198E-2</v>
      </c>
      <c r="I162" s="626" t="s">
        <v>184</v>
      </c>
      <c r="J162" s="298"/>
      <c r="K162" s="298"/>
      <c r="L162" s="298"/>
    </row>
    <row r="163" spans="1:12" x14ac:dyDescent="0.25">
      <c r="A163" s="298"/>
      <c r="B163" s="297">
        <v>42643</v>
      </c>
      <c r="C163" s="298">
        <v>200</v>
      </c>
      <c r="D163" s="299">
        <v>83.623400000000004</v>
      </c>
      <c r="E163" s="299">
        <v>79.12</v>
      </c>
      <c r="F163" s="299">
        <f t="shared" si="17"/>
        <v>-900.67999999999984</v>
      </c>
      <c r="G163" s="299">
        <f t="shared" si="15"/>
        <v>16724.68</v>
      </c>
      <c r="H163" s="301">
        <f t="shared" si="16"/>
        <v>-5.3853347268826658E-2</v>
      </c>
      <c r="I163" s="299">
        <v>83</v>
      </c>
      <c r="J163" s="298"/>
      <c r="K163" s="298"/>
      <c r="L163" s="298"/>
    </row>
    <row r="164" spans="1:12" x14ac:dyDescent="0.25">
      <c r="A164" s="298"/>
      <c r="B164" s="297">
        <v>42646</v>
      </c>
      <c r="C164" s="298">
        <v>200</v>
      </c>
      <c r="D164" s="299">
        <v>83.518799999999999</v>
      </c>
      <c r="E164" s="299">
        <v>78.03</v>
      </c>
      <c r="F164" s="299">
        <f t="shared" si="17"/>
        <v>-1097.7599999999995</v>
      </c>
      <c r="G164" s="299">
        <f t="shared" si="15"/>
        <v>16703.759999999998</v>
      </c>
      <c r="H164" s="301">
        <f t="shared" si="16"/>
        <v>-6.5719335047917327E-2</v>
      </c>
      <c r="I164" s="626"/>
      <c r="J164" s="298"/>
      <c r="K164" s="298"/>
      <c r="L164" s="298"/>
    </row>
    <row r="165" spans="1:12" x14ac:dyDescent="0.25">
      <c r="A165" s="298"/>
      <c r="B165" s="297">
        <v>42649</v>
      </c>
      <c r="C165" s="298">
        <v>250</v>
      </c>
      <c r="D165" s="299">
        <v>82.090999999999994</v>
      </c>
      <c r="E165" s="299">
        <v>76.209999999999994</v>
      </c>
      <c r="F165" s="299">
        <f t="shared" si="17"/>
        <v>-1470.25</v>
      </c>
      <c r="G165" s="299">
        <f t="shared" si="15"/>
        <v>20522.75</v>
      </c>
      <c r="H165" s="301">
        <f t="shared" si="16"/>
        <v>-7.1640009258018542E-2</v>
      </c>
      <c r="I165" s="626"/>
      <c r="J165" s="298"/>
      <c r="K165" s="298"/>
      <c r="L165" s="298"/>
    </row>
    <row r="166" spans="1:12" x14ac:dyDescent="0.25">
      <c r="A166" s="298"/>
      <c r="B166" s="297">
        <v>42650</v>
      </c>
      <c r="C166" s="298">
        <v>250</v>
      </c>
      <c r="D166" s="299">
        <v>82.090999999999994</v>
      </c>
      <c r="E166" s="299">
        <v>75.239999999999995</v>
      </c>
      <c r="F166" s="299">
        <f t="shared" si="17"/>
        <v>-1712.7499999999998</v>
      </c>
      <c r="G166" s="299">
        <f t="shared" si="15"/>
        <v>20522.75</v>
      </c>
      <c r="H166" s="301">
        <f t="shared" si="16"/>
        <v>-8.3456164500371535E-2</v>
      </c>
      <c r="I166" s="626"/>
      <c r="J166" s="298"/>
      <c r="K166" s="298"/>
      <c r="L166" s="298"/>
    </row>
    <row r="167" spans="1:12" x14ac:dyDescent="0.25">
      <c r="A167" s="298"/>
      <c r="B167" s="297">
        <v>42661</v>
      </c>
      <c r="C167" s="298">
        <v>250</v>
      </c>
      <c r="D167" s="299">
        <v>82.090999999999994</v>
      </c>
      <c r="E167" s="299">
        <v>73.41</v>
      </c>
      <c r="F167" s="299">
        <f t="shared" si="17"/>
        <v>-2170.2499999999995</v>
      </c>
      <c r="G167" s="299">
        <f t="shared" si="15"/>
        <v>20522.75</v>
      </c>
      <c r="H167" s="301">
        <f t="shared" si="16"/>
        <v>-0.105748498617388</v>
      </c>
      <c r="I167" s="626"/>
      <c r="J167" s="298"/>
      <c r="K167" s="298"/>
      <c r="L167" s="298"/>
    </row>
    <row r="168" spans="1:12" x14ac:dyDescent="0.25">
      <c r="A168" s="298"/>
      <c r="B168" s="297">
        <v>42676</v>
      </c>
      <c r="C168" s="298">
        <v>250</v>
      </c>
      <c r="D168" s="299">
        <v>82.090999999999994</v>
      </c>
      <c r="E168" s="299">
        <v>72.510000000000005</v>
      </c>
      <c r="F168" s="299">
        <f t="shared" si="17"/>
        <v>-2395.2499999999973</v>
      </c>
      <c r="G168" s="299">
        <f t="shared" si="15"/>
        <v>20522.75</v>
      </c>
      <c r="H168" s="301">
        <f t="shared" si="16"/>
        <v>-0.11671194162575665</v>
      </c>
      <c r="I168" s="626"/>
      <c r="J168" s="298"/>
      <c r="K168" s="298"/>
      <c r="L168" s="298"/>
    </row>
    <row r="169" spans="1:12" x14ac:dyDescent="0.25">
      <c r="A169" s="298"/>
      <c r="B169" s="297">
        <v>42701</v>
      </c>
      <c r="C169" s="298">
        <v>200</v>
      </c>
      <c r="D169" s="299">
        <v>82.49</v>
      </c>
      <c r="E169" s="299">
        <v>75.44</v>
      </c>
      <c r="F169" s="299">
        <f t="shared" si="17"/>
        <v>-1409.9999999999995</v>
      </c>
      <c r="G169" s="299">
        <f t="shared" si="15"/>
        <v>16498</v>
      </c>
      <c r="H169" s="301">
        <f t="shared" si="16"/>
        <v>-8.5464904836949906E-2</v>
      </c>
      <c r="I169" s="419" t="s">
        <v>296</v>
      </c>
      <c r="J169" s="298"/>
      <c r="K169" s="298"/>
      <c r="L169" s="298"/>
    </row>
    <row r="170" spans="1:12" x14ac:dyDescent="0.25">
      <c r="A170" s="298"/>
      <c r="B170" s="297">
        <v>42704</v>
      </c>
      <c r="C170" s="298">
        <v>200</v>
      </c>
      <c r="D170" s="299">
        <v>82.49</v>
      </c>
      <c r="E170" s="299">
        <v>73.7</v>
      </c>
      <c r="F170" s="299">
        <f t="shared" si="17"/>
        <v>-1757.9999999999984</v>
      </c>
      <c r="G170" s="299">
        <f t="shared" ref="G170:G202" si="18">D170*C170</f>
        <v>16498</v>
      </c>
      <c r="H170" s="301">
        <f t="shared" ref="H170:H204" si="19">(E170-D170)/D170</f>
        <v>-0.10655837071160132</v>
      </c>
      <c r="I170" s="626"/>
      <c r="J170" s="298"/>
      <c r="K170" s="298"/>
      <c r="L170" s="298"/>
    </row>
    <row r="171" spans="1:12" x14ac:dyDescent="0.25">
      <c r="A171" s="298"/>
      <c r="B171" s="297">
        <v>42705</v>
      </c>
      <c r="C171" s="298">
        <v>250</v>
      </c>
      <c r="D171" s="299">
        <v>80.656000000000006</v>
      </c>
      <c r="E171" s="299">
        <v>72.84</v>
      </c>
      <c r="F171" s="299">
        <f t="shared" si="17"/>
        <v>-1954.0000000000007</v>
      </c>
      <c r="G171" s="299">
        <f t="shared" si="18"/>
        <v>20164</v>
      </c>
      <c r="H171" s="301">
        <f t="shared" si="19"/>
        <v>-9.6905375917476722E-2</v>
      </c>
      <c r="I171" s="626"/>
      <c r="J171" s="298"/>
      <c r="K171" s="298"/>
      <c r="L171" s="298"/>
    </row>
    <row r="172" spans="1:12" x14ac:dyDescent="0.25">
      <c r="A172" s="298"/>
      <c r="B172" s="297">
        <v>42717</v>
      </c>
      <c r="C172" s="298">
        <v>200</v>
      </c>
      <c r="D172" s="299">
        <v>82.125900000000001</v>
      </c>
      <c r="E172" s="299">
        <v>74.84</v>
      </c>
      <c r="F172" s="299">
        <f t="shared" si="17"/>
        <v>-1457.1799999999996</v>
      </c>
      <c r="G172" s="299">
        <f t="shared" si="18"/>
        <v>16425.18</v>
      </c>
      <c r="H172" s="301">
        <f t="shared" si="19"/>
        <v>-8.8716227158545574E-2</v>
      </c>
      <c r="I172" s="626"/>
      <c r="J172" s="298"/>
      <c r="K172" s="298"/>
      <c r="L172" s="298"/>
    </row>
    <row r="173" spans="1:12" x14ac:dyDescent="0.25">
      <c r="A173" s="298"/>
      <c r="B173" s="297">
        <v>42717</v>
      </c>
      <c r="C173" s="298">
        <v>150</v>
      </c>
      <c r="D173" s="299">
        <v>84.257800000000003</v>
      </c>
      <c r="E173" s="299">
        <v>74.84</v>
      </c>
      <c r="F173" s="299">
        <f t="shared" si="17"/>
        <v>-1412.67</v>
      </c>
      <c r="G173" s="299">
        <f t="shared" si="18"/>
        <v>12638.67</v>
      </c>
      <c r="H173" s="301">
        <f t="shared" si="19"/>
        <v>-0.11177362807953685</v>
      </c>
      <c r="I173" s="626"/>
      <c r="J173" s="298"/>
      <c r="K173" s="298"/>
      <c r="L173" s="298"/>
    </row>
    <row r="174" spans="1:12" x14ac:dyDescent="0.25">
      <c r="A174" s="298"/>
      <c r="B174" s="297">
        <v>42717</v>
      </c>
      <c r="C174" s="298">
        <v>200</v>
      </c>
      <c r="D174" s="299">
        <v>81.988399999999999</v>
      </c>
      <c r="E174" s="299">
        <v>74.84</v>
      </c>
      <c r="F174" s="299">
        <f t="shared" si="17"/>
        <v>-1429.6799999999989</v>
      </c>
      <c r="G174" s="299">
        <f t="shared" si="18"/>
        <v>16397.68</v>
      </c>
      <c r="H174" s="301">
        <f t="shared" si="19"/>
        <v>-8.718794366032262E-2</v>
      </c>
      <c r="I174" s="419" t="s">
        <v>305</v>
      </c>
      <c r="J174" s="298"/>
      <c r="K174" s="298"/>
      <c r="L174" s="298"/>
    </row>
    <row r="175" spans="1:12" x14ac:dyDescent="0.25">
      <c r="A175" s="298"/>
      <c r="B175" s="297">
        <v>42733</v>
      </c>
      <c r="C175" s="298">
        <v>250</v>
      </c>
      <c r="D175" s="299">
        <v>80.886700000000005</v>
      </c>
      <c r="E175" s="299">
        <v>72.08</v>
      </c>
      <c r="F175" s="299">
        <f t="shared" si="17"/>
        <v>-2201.6750000000015</v>
      </c>
      <c r="G175" s="299">
        <f t="shared" si="18"/>
        <v>20221.675000000003</v>
      </c>
      <c r="H175" s="301">
        <f t="shared" si="19"/>
        <v>-0.10887698472060309</v>
      </c>
      <c r="I175" s="626"/>
      <c r="J175" s="298"/>
      <c r="K175" s="298"/>
      <c r="L175" s="298"/>
    </row>
    <row r="176" spans="1:12" x14ac:dyDescent="0.25">
      <c r="A176" s="298"/>
      <c r="B176" s="297">
        <v>42734</v>
      </c>
      <c r="C176" s="298">
        <v>250</v>
      </c>
      <c r="D176" s="299">
        <v>79.536699999999996</v>
      </c>
      <c r="E176" s="299">
        <v>72.08</v>
      </c>
      <c r="F176" s="299">
        <f t="shared" si="17"/>
        <v>-1864.1749999999995</v>
      </c>
      <c r="G176" s="299">
        <f t="shared" si="18"/>
        <v>19884.174999999999</v>
      </c>
      <c r="H176" s="301">
        <f t="shared" si="19"/>
        <v>-9.3751689471652688E-2</v>
      </c>
      <c r="I176" s="626" t="s">
        <v>184</v>
      </c>
      <c r="J176" s="298"/>
      <c r="K176" s="298"/>
      <c r="L176" s="298"/>
    </row>
    <row r="177" spans="1:12" x14ac:dyDescent="0.25">
      <c r="A177" s="298"/>
      <c r="B177" s="297">
        <v>42738</v>
      </c>
      <c r="C177" s="298">
        <v>200</v>
      </c>
      <c r="D177" s="299">
        <v>81.026300000000006</v>
      </c>
      <c r="E177" s="299">
        <v>74.16</v>
      </c>
      <c r="F177" s="299">
        <f t="shared" si="17"/>
        <v>-1373.260000000002</v>
      </c>
      <c r="G177" s="299">
        <f t="shared" si="18"/>
        <v>16205.260000000002</v>
      </c>
      <c r="H177" s="301">
        <f t="shared" si="19"/>
        <v>-8.4741620930488121E-2</v>
      </c>
      <c r="I177" s="626"/>
      <c r="J177" s="298"/>
      <c r="K177" s="298"/>
      <c r="L177" s="298"/>
    </row>
    <row r="178" spans="1:12" x14ac:dyDescent="0.25">
      <c r="A178" s="298"/>
      <c r="B178" s="297">
        <v>42739</v>
      </c>
      <c r="C178" s="298">
        <v>200</v>
      </c>
      <c r="D178" s="299">
        <v>81.026300000000006</v>
      </c>
      <c r="E178" s="299">
        <v>76.38</v>
      </c>
      <c r="F178" s="299">
        <f t="shared" si="17"/>
        <v>-929.26000000000215</v>
      </c>
      <c r="G178" s="299">
        <f t="shared" si="18"/>
        <v>16205.260000000002</v>
      </c>
      <c r="H178" s="301">
        <f t="shared" si="19"/>
        <v>-5.7343109582938014E-2</v>
      </c>
      <c r="I178" s="626"/>
      <c r="J178" s="298"/>
      <c r="K178" s="298"/>
      <c r="L178" s="298"/>
    </row>
    <row r="179" spans="1:12" x14ac:dyDescent="0.25">
      <c r="A179" s="298"/>
      <c r="B179" s="297">
        <v>42746</v>
      </c>
      <c r="C179" s="298">
        <v>200</v>
      </c>
      <c r="D179" s="299">
        <v>81.026300000000006</v>
      </c>
      <c r="E179" s="299">
        <v>73.77</v>
      </c>
      <c r="F179" s="299">
        <f t="shared" si="17"/>
        <v>-1451.260000000002</v>
      </c>
      <c r="G179" s="299">
        <f t="shared" si="18"/>
        <v>16205.260000000002</v>
      </c>
      <c r="H179" s="301">
        <f t="shared" si="19"/>
        <v>-8.9554872923976653E-2</v>
      </c>
      <c r="I179" s="626"/>
      <c r="J179" s="298"/>
      <c r="K179" s="298"/>
      <c r="L179" s="298"/>
    </row>
    <row r="180" spans="1:12" x14ac:dyDescent="0.25">
      <c r="A180" s="298"/>
      <c r="B180" s="297">
        <v>43056</v>
      </c>
      <c r="C180" s="298">
        <v>250</v>
      </c>
      <c r="D180" s="299">
        <v>79.197000000000003</v>
      </c>
      <c r="E180" s="299">
        <v>71.91</v>
      </c>
      <c r="F180" s="299">
        <f t="shared" si="17"/>
        <v>-1821.7500000000016</v>
      </c>
      <c r="G180" s="299">
        <f t="shared" si="18"/>
        <v>19799.25</v>
      </c>
      <c r="H180" s="301">
        <f t="shared" si="19"/>
        <v>-9.2011061025038907E-2</v>
      </c>
      <c r="I180" s="419">
        <v>79</v>
      </c>
      <c r="J180" s="298"/>
      <c r="K180" s="298"/>
      <c r="L180" s="298"/>
    </row>
    <row r="181" spans="1:12" x14ac:dyDescent="0.25">
      <c r="A181" s="298" t="s">
        <v>331</v>
      </c>
      <c r="B181" s="297">
        <v>42755</v>
      </c>
      <c r="C181" s="298">
        <v>300</v>
      </c>
      <c r="D181" s="299">
        <v>77.794200000000004</v>
      </c>
      <c r="E181" s="299">
        <v>71.010000000000005</v>
      </c>
      <c r="F181" s="299">
        <f t="shared" si="17"/>
        <v>-2035.2599999999995</v>
      </c>
      <c r="G181" s="299">
        <f t="shared" si="18"/>
        <v>23338.260000000002</v>
      </c>
      <c r="H181" s="301">
        <f t="shared" si="19"/>
        <v>-8.7207015433027113E-2</v>
      </c>
      <c r="I181" s="626"/>
      <c r="J181" s="298"/>
      <c r="K181" s="298"/>
      <c r="L181" s="298"/>
    </row>
    <row r="182" spans="1:12" x14ac:dyDescent="0.25">
      <c r="A182" s="298" t="s">
        <v>350</v>
      </c>
      <c r="B182" s="297">
        <v>42760</v>
      </c>
      <c r="C182" s="298">
        <v>250</v>
      </c>
      <c r="D182" s="299">
        <v>78.997900000000001</v>
      </c>
      <c r="E182" s="299">
        <v>71.78</v>
      </c>
      <c r="F182" s="299">
        <f t="shared" ref="F182:F204" si="20">C182*(E182-D182)</f>
        <v>-1804.4750000000001</v>
      </c>
      <c r="G182" s="299">
        <f t="shared" si="18"/>
        <v>19749.474999999999</v>
      </c>
      <c r="H182" s="301">
        <f t="shared" si="19"/>
        <v>-9.1368251561117442E-2</v>
      </c>
      <c r="I182" s="419" t="s">
        <v>364</v>
      </c>
      <c r="J182" s="298"/>
      <c r="K182" s="298"/>
      <c r="L182" s="298"/>
    </row>
    <row r="183" spans="1:12" x14ac:dyDescent="0.25">
      <c r="A183" s="298" t="s">
        <v>350</v>
      </c>
      <c r="B183" s="297">
        <v>42762</v>
      </c>
      <c r="C183" s="298">
        <v>250</v>
      </c>
      <c r="D183" s="299">
        <v>78.997900000000001</v>
      </c>
      <c r="E183" s="299">
        <v>71.260000000000005</v>
      </c>
      <c r="F183" s="299">
        <f t="shared" si="20"/>
        <v>-1934.474999999999</v>
      </c>
      <c r="G183" s="299">
        <f t="shared" si="18"/>
        <v>19749.474999999999</v>
      </c>
      <c r="H183" s="301">
        <f t="shared" si="19"/>
        <v>-9.7950705018740952E-2</v>
      </c>
      <c r="I183" s="626"/>
      <c r="J183" s="298"/>
      <c r="K183" s="298"/>
      <c r="L183" s="298"/>
    </row>
    <row r="184" spans="1:12" x14ac:dyDescent="0.25">
      <c r="A184" s="298" t="s">
        <v>386</v>
      </c>
      <c r="B184" s="297">
        <v>42771</v>
      </c>
      <c r="C184" s="298">
        <v>250</v>
      </c>
      <c r="D184" s="299">
        <v>78.997900000000001</v>
      </c>
      <c r="E184" s="299">
        <v>72.34</v>
      </c>
      <c r="F184" s="299">
        <f t="shared" si="20"/>
        <v>-1664.4749999999995</v>
      </c>
      <c r="G184" s="299">
        <f t="shared" si="18"/>
        <v>19749.474999999999</v>
      </c>
      <c r="H184" s="301">
        <f t="shared" si="19"/>
        <v>-8.4279455529830516E-2</v>
      </c>
      <c r="I184" s="626"/>
      <c r="J184" s="298"/>
      <c r="K184" s="298"/>
      <c r="L184" s="298"/>
    </row>
    <row r="185" spans="1:12" x14ac:dyDescent="0.25">
      <c r="A185" s="298" t="s">
        <v>331</v>
      </c>
      <c r="B185" s="297">
        <v>42773</v>
      </c>
      <c r="C185" s="298">
        <v>300</v>
      </c>
      <c r="D185" s="299">
        <v>77.411100000000005</v>
      </c>
      <c r="E185" s="299">
        <v>73.13</v>
      </c>
      <c r="F185" s="299">
        <f t="shared" si="20"/>
        <v>-1284.3300000000027</v>
      </c>
      <c r="G185" s="299">
        <f t="shared" si="18"/>
        <v>23223.33</v>
      </c>
      <c r="H185" s="301">
        <f t="shared" si="19"/>
        <v>-5.5303438395785734E-2</v>
      </c>
      <c r="I185" s="626"/>
      <c r="J185" s="298"/>
      <c r="K185" s="298"/>
      <c r="L185" s="298"/>
    </row>
    <row r="186" spans="1:12" x14ac:dyDescent="0.25">
      <c r="A186" s="298" t="s">
        <v>399</v>
      </c>
      <c r="B186" s="297">
        <v>42774</v>
      </c>
      <c r="C186" s="298">
        <v>350</v>
      </c>
      <c r="D186" s="299">
        <v>76.020899999999997</v>
      </c>
      <c r="E186" s="299">
        <v>66</v>
      </c>
      <c r="F186" s="299">
        <f t="shared" si="20"/>
        <v>-3507.3149999999991</v>
      </c>
      <c r="G186" s="299">
        <f t="shared" si="18"/>
        <v>26607.314999999999</v>
      </c>
      <c r="H186" s="301">
        <f t="shared" si="19"/>
        <v>-0.13181769750160807</v>
      </c>
      <c r="I186" s="626"/>
      <c r="J186" s="298"/>
      <c r="K186" s="298"/>
      <c r="L186" s="298"/>
    </row>
    <row r="187" spans="1:12" x14ac:dyDescent="0.25">
      <c r="A187" s="298" t="s">
        <v>417</v>
      </c>
      <c r="B187" s="297">
        <v>42781</v>
      </c>
      <c r="C187" s="298">
        <v>300</v>
      </c>
      <c r="D187" s="299">
        <v>77.194699999999997</v>
      </c>
      <c r="E187" s="299">
        <v>68.98</v>
      </c>
      <c r="F187" s="299">
        <f t="shared" si="20"/>
        <v>-2464.409999999998</v>
      </c>
      <c r="G187" s="299">
        <f t="shared" si="18"/>
        <v>23158.41</v>
      </c>
      <c r="H187" s="301">
        <f t="shared" si="19"/>
        <v>-0.10641533680421057</v>
      </c>
      <c r="I187" s="626"/>
      <c r="J187" s="298"/>
      <c r="K187" s="298"/>
      <c r="L187" s="298"/>
    </row>
    <row r="188" spans="1:12" x14ac:dyDescent="0.25">
      <c r="A188" s="298" t="s">
        <v>420</v>
      </c>
      <c r="B188" s="297">
        <v>42781</v>
      </c>
      <c r="C188" s="298">
        <v>250</v>
      </c>
      <c r="D188" s="299">
        <v>78.683999999999997</v>
      </c>
      <c r="E188" s="299">
        <v>69.8</v>
      </c>
      <c r="F188" s="299">
        <f t="shared" si="20"/>
        <v>-2221</v>
      </c>
      <c r="G188" s="299">
        <f t="shared" si="18"/>
        <v>19671</v>
      </c>
      <c r="H188" s="301">
        <f t="shared" si="19"/>
        <v>-0.11290732550454985</v>
      </c>
      <c r="I188" s="626"/>
      <c r="J188" s="298"/>
      <c r="K188" s="298"/>
      <c r="L188" s="298"/>
    </row>
    <row r="189" spans="1:12" x14ac:dyDescent="0.25">
      <c r="A189" s="298" t="s">
        <v>434</v>
      </c>
      <c r="B189" s="297">
        <v>42788</v>
      </c>
      <c r="C189" s="298">
        <v>250</v>
      </c>
      <c r="D189" s="299">
        <v>78.683999999999997</v>
      </c>
      <c r="E189" s="299">
        <v>68.83</v>
      </c>
      <c r="F189" s="299">
        <f t="shared" si="20"/>
        <v>-2463.5</v>
      </c>
      <c r="G189" s="299">
        <f t="shared" si="18"/>
        <v>19671</v>
      </c>
      <c r="H189" s="301">
        <f t="shared" si="19"/>
        <v>-0.12523511768593359</v>
      </c>
      <c r="I189" s="626"/>
      <c r="J189" s="298"/>
      <c r="K189" s="298"/>
      <c r="L189" s="298"/>
    </row>
    <row r="190" spans="1:12" x14ac:dyDescent="0.25">
      <c r="A190" s="298" t="s">
        <v>386</v>
      </c>
      <c r="B190" s="297">
        <v>42789</v>
      </c>
      <c r="C190" s="298">
        <v>250</v>
      </c>
      <c r="D190" s="299">
        <v>78.683999999999997</v>
      </c>
      <c r="E190" s="299">
        <v>69.94</v>
      </c>
      <c r="F190" s="299">
        <f t="shared" si="20"/>
        <v>-2186</v>
      </c>
      <c r="G190" s="299">
        <f t="shared" si="18"/>
        <v>19671</v>
      </c>
      <c r="H190" s="301">
        <f t="shared" si="19"/>
        <v>-0.11112805652991714</v>
      </c>
      <c r="I190" s="626"/>
      <c r="J190" s="298"/>
      <c r="K190" s="298"/>
      <c r="L190" s="298"/>
    </row>
    <row r="191" spans="1:12" x14ac:dyDescent="0.25">
      <c r="A191" s="298">
        <v>250</v>
      </c>
      <c r="B191" s="297">
        <v>42808</v>
      </c>
      <c r="C191" s="298">
        <v>250</v>
      </c>
      <c r="D191" s="299">
        <v>78.683999999999997</v>
      </c>
      <c r="E191" s="299">
        <v>67.77</v>
      </c>
      <c r="F191" s="299">
        <f t="shared" si="20"/>
        <v>-2728.5000000000005</v>
      </c>
      <c r="G191" s="299">
        <f t="shared" si="18"/>
        <v>19671</v>
      </c>
      <c r="H191" s="301">
        <f t="shared" si="19"/>
        <v>-0.13870672563672415</v>
      </c>
      <c r="I191" s="626"/>
      <c r="J191" s="298"/>
      <c r="K191" s="298"/>
      <c r="L191" s="298"/>
    </row>
    <row r="192" spans="1:12" x14ac:dyDescent="0.25">
      <c r="A192" s="298">
        <v>250</v>
      </c>
      <c r="B192" s="297">
        <v>42809</v>
      </c>
      <c r="C192" s="298">
        <v>250</v>
      </c>
      <c r="D192" s="299">
        <v>78.683999999999997</v>
      </c>
      <c r="E192" s="299">
        <v>68.47</v>
      </c>
      <c r="F192" s="299">
        <f t="shared" si="20"/>
        <v>-2553.4999999999995</v>
      </c>
      <c r="G192" s="299">
        <f t="shared" si="18"/>
        <v>19671</v>
      </c>
      <c r="H192" s="301">
        <f t="shared" si="19"/>
        <v>-0.12981038076356055</v>
      </c>
      <c r="I192" s="626"/>
      <c r="J192" s="298">
        <v>43.23</v>
      </c>
      <c r="K192" s="298"/>
      <c r="L192" s="298"/>
    </row>
    <row r="193" spans="1:12" x14ac:dyDescent="0.25">
      <c r="A193" s="298">
        <v>250</v>
      </c>
      <c r="B193" s="297">
        <v>42819</v>
      </c>
      <c r="C193" s="298">
        <v>250</v>
      </c>
      <c r="D193" s="299">
        <v>78.683999999999997</v>
      </c>
      <c r="E193" s="299">
        <v>67.510000000000005</v>
      </c>
      <c r="F193" s="299">
        <f t="shared" si="20"/>
        <v>-2793.4999999999982</v>
      </c>
      <c r="G193" s="299">
        <f t="shared" si="18"/>
        <v>19671</v>
      </c>
      <c r="H193" s="301">
        <f t="shared" si="19"/>
        <v>-0.14201108230389906</v>
      </c>
      <c r="I193" s="626"/>
      <c r="J193" s="298"/>
      <c r="K193" s="298"/>
      <c r="L193" s="298"/>
    </row>
    <row r="194" spans="1:12" x14ac:dyDescent="0.25">
      <c r="A194" s="298">
        <v>250</v>
      </c>
      <c r="B194" s="297">
        <v>42820</v>
      </c>
      <c r="C194" s="298">
        <v>250</v>
      </c>
      <c r="D194" s="299">
        <v>78.164000000000001</v>
      </c>
      <c r="E194" s="299">
        <v>67.92</v>
      </c>
      <c r="F194" s="299">
        <f t="shared" si="20"/>
        <v>-2561</v>
      </c>
      <c r="G194" s="299">
        <f t="shared" si="18"/>
        <v>19541</v>
      </c>
      <c r="H194" s="301">
        <f t="shared" si="19"/>
        <v>-0.13105777595824164</v>
      </c>
      <c r="I194" s="626" t="s">
        <v>184</v>
      </c>
      <c r="J194" s="298">
        <v>44.78</v>
      </c>
      <c r="K194" s="298"/>
      <c r="L194" s="298"/>
    </row>
    <row r="195" spans="1:12" x14ac:dyDescent="0.25">
      <c r="A195" s="298">
        <v>250</v>
      </c>
      <c r="B195" s="297">
        <v>42821</v>
      </c>
      <c r="C195" s="298">
        <v>250</v>
      </c>
      <c r="D195" s="299">
        <v>78.164000000000001</v>
      </c>
      <c r="E195" s="299">
        <v>66.02</v>
      </c>
      <c r="F195" s="299">
        <f t="shared" si="20"/>
        <v>-3036.0000000000014</v>
      </c>
      <c r="G195" s="299">
        <f t="shared" si="18"/>
        <v>19541</v>
      </c>
      <c r="H195" s="301">
        <f t="shared" si="19"/>
        <v>-0.15536564147177737</v>
      </c>
      <c r="I195" s="626"/>
      <c r="J195" s="298"/>
      <c r="K195" s="298"/>
      <c r="L195" s="298"/>
    </row>
    <row r="196" spans="1:12" x14ac:dyDescent="0.25">
      <c r="A196" s="298">
        <v>250</v>
      </c>
      <c r="B196" s="297">
        <v>42862</v>
      </c>
      <c r="C196" s="298">
        <v>250</v>
      </c>
      <c r="D196" s="299">
        <v>78.164000000000001</v>
      </c>
      <c r="E196" s="299">
        <v>67.8</v>
      </c>
      <c r="F196" s="299">
        <f t="shared" si="20"/>
        <v>-2591.0000000000009</v>
      </c>
      <c r="G196" s="299">
        <f t="shared" si="18"/>
        <v>19541</v>
      </c>
      <c r="H196" s="301">
        <f t="shared" si="19"/>
        <v>-0.13259300956962289</v>
      </c>
      <c r="I196" s="626"/>
      <c r="J196" s="298"/>
      <c r="K196" s="298"/>
      <c r="L196" s="298"/>
    </row>
    <row r="197" spans="1:12" x14ac:dyDescent="0.25">
      <c r="A197" s="298">
        <v>250</v>
      </c>
      <c r="B197" s="297">
        <v>42917</v>
      </c>
      <c r="C197" s="298">
        <v>250</v>
      </c>
      <c r="D197" s="299">
        <v>77.644000000000005</v>
      </c>
      <c r="E197" s="299">
        <v>70.78</v>
      </c>
      <c r="F197" s="299">
        <f t="shared" si="20"/>
        <v>-1716.0000000000011</v>
      </c>
      <c r="G197" s="299">
        <f t="shared" si="18"/>
        <v>19411</v>
      </c>
      <c r="H197" s="301">
        <f t="shared" si="19"/>
        <v>-8.8403482561434293E-2</v>
      </c>
      <c r="I197" s="626"/>
      <c r="J197" s="298"/>
      <c r="K197" s="298"/>
      <c r="L197" s="298"/>
    </row>
    <row r="198" spans="1:12" x14ac:dyDescent="0.25">
      <c r="A198" s="298">
        <v>200</v>
      </c>
      <c r="B198" s="297">
        <v>42940</v>
      </c>
      <c r="C198" s="298">
        <v>200</v>
      </c>
      <c r="D198" s="299">
        <v>78.535399999999996</v>
      </c>
      <c r="E198" s="299">
        <v>74.39</v>
      </c>
      <c r="F198" s="299">
        <f t="shared" si="20"/>
        <v>-829.07999999999902</v>
      </c>
      <c r="G198" s="299">
        <f t="shared" si="18"/>
        <v>15707.08</v>
      </c>
      <c r="H198" s="301">
        <f t="shared" si="19"/>
        <v>-5.2783840153612198E-2</v>
      </c>
      <c r="I198" s="626" t="s">
        <v>685</v>
      </c>
      <c r="J198" s="298"/>
      <c r="K198" s="298"/>
      <c r="L198" s="298"/>
    </row>
    <row r="199" spans="1:12" x14ac:dyDescent="0.25">
      <c r="A199" s="298">
        <v>200</v>
      </c>
      <c r="B199" s="297">
        <v>42947</v>
      </c>
      <c r="C199" s="298">
        <v>200</v>
      </c>
      <c r="D199" s="299">
        <v>78.540000000000006</v>
      </c>
      <c r="E199" s="299">
        <v>76.09</v>
      </c>
      <c r="F199" s="299">
        <f t="shared" si="20"/>
        <v>-490.00000000000057</v>
      </c>
      <c r="G199" s="299">
        <f t="shared" si="18"/>
        <v>15708.000000000002</v>
      </c>
      <c r="H199" s="301">
        <f t="shared" si="19"/>
        <v>-3.1194295900178286E-2</v>
      </c>
      <c r="I199" s="626"/>
      <c r="J199" s="298"/>
      <c r="K199" s="298"/>
      <c r="L199" s="298"/>
    </row>
    <row r="200" spans="1:12" x14ac:dyDescent="0.25">
      <c r="A200" s="298">
        <v>200</v>
      </c>
      <c r="B200" s="297">
        <v>42953</v>
      </c>
      <c r="C200" s="298">
        <v>200</v>
      </c>
      <c r="D200" s="299">
        <v>78.540000000000006</v>
      </c>
      <c r="E200" s="299">
        <v>73.16</v>
      </c>
      <c r="F200" s="299">
        <f t="shared" si="20"/>
        <v>-1076.0000000000018</v>
      </c>
      <c r="G200" s="299">
        <f t="shared" si="18"/>
        <v>15708.000000000002</v>
      </c>
      <c r="H200" s="301">
        <f t="shared" si="19"/>
        <v>-6.8500127323656859E-2</v>
      </c>
      <c r="I200" s="626"/>
      <c r="J200" s="298"/>
      <c r="K200" s="298"/>
      <c r="L200" s="298"/>
    </row>
    <row r="201" spans="1:12" x14ac:dyDescent="0.25">
      <c r="A201" s="298">
        <v>100</v>
      </c>
      <c r="B201" s="297">
        <v>42977</v>
      </c>
      <c r="C201" s="298">
        <v>100</v>
      </c>
      <c r="D201" s="299">
        <v>76.489999999999995</v>
      </c>
      <c r="E201" s="299">
        <v>81.23</v>
      </c>
      <c r="F201" s="299">
        <f t="shared" si="20"/>
        <v>474.00000000000091</v>
      </c>
      <c r="G201" s="299">
        <f t="shared" si="18"/>
        <v>7648.9999999999991</v>
      </c>
      <c r="H201" s="301">
        <f t="shared" si="19"/>
        <v>6.1968884821545424E-2</v>
      </c>
      <c r="I201" s="626" t="s">
        <v>672</v>
      </c>
      <c r="J201" s="298"/>
      <c r="K201" s="298"/>
      <c r="L201" s="298"/>
    </row>
    <row r="202" spans="1:12" x14ac:dyDescent="0.25">
      <c r="A202" s="298">
        <v>50</v>
      </c>
      <c r="B202" s="297">
        <v>42981</v>
      </c>
      <c r="C202" s="298">
        <v>50</v>
      </c>
      <c r="D202" s="299">
        <v>69.81</v>
      </c>
      <c r="E202" s="299">
        <v>83.75</v>
      </c>
      <c r="F202" s="299">
        <f t="shared" si="20"/>
        <v>696.99999999999989</v>
      </c>
      <c r="G202" s="299">
        <f t="shared" si="18"/>
        <v>3490.5</v>
      </c>
      <c r="H202" s="301">
        <f t="shared" si="19"/>
        <v>0.19968485890273596</v>
      </c>
      <c r="I202" s="626"/>
      <c r="J202" s="298"/>
      <c r="K202" s="298"/>
      <c r="L202" s="298"/>
    </row>
    <row r="203" spans="1:12" x14ac:dyDescent="0.25">
      <c r="A203" s="298">
        <v>50</v>
      </c>
      <c r="B203" s="297">
        <v>42983</v>
      </c>
      <c r="C203" s="298">
        <v>100</v>
      </c>
      <c r="D203" s="299">
        <v>75.84</v>
      </c>
      <c r="E203" s="299">
        <v>82.56</v>
      </c>
      <c r="F203" s="299">
        <f t="shared" si="20"/>
        <v>671.99999999999989</v>
      </c>
      <c r="G203" s="299"/>
      <c r="H203" s="301">
        <f t="shared" si="19"/>
        <v>8.8607594936708847E-2</v>
      </c>
      <c r="I203" s="626">
        <v>75</v>
      </c>
      <c r="J203" s="298"/>
      <c r="K203" s="298"/>
      <c r="L203" s="298"/>
    </row>
    <row r="204" spans="1:12" x14ac:dyDescent="0.25">
      <c r="A204" s="298">
        <v>0</v>
      </c>
      <c r="B204" s="297">
        <v>42984</v>
      </c>
      <c r="C204" s="298">
        <v>50</v>
      </c>
      <c r="D204" s="299">
        <v>68.706999999999994</v>
      </c>
      <c r="E204" s="299">
        <v>82.98</v>
      </c>
      <c r="F204" s="299">
        <f t="shared" si="20"/>
        <v>713.65000000000055</v>
      </c>
      <c r="G204" s="299">
        <f>D204*C204</f>
        <v>3435.3499999999995</v>
      </c>
      <c r="H204" s="301">
        <f t="shared" si="19"/>
        <v>0.2077372029050899</v>
      </c>
      <c r="I204" s="626"/>
      <c r="J204" s="298"/>
      <c r="K204" s="298"/>
      <c r="L204" s="298"/>
    </row>
    <row r="205" spans="1:12" x14ac:dyDescent="0.25">
      <c r="A205" s="721"/>
      <c r="B205" s="721"/>
      <c r="C205" s="721"/>
      <c r="D205" s="722"/>
      <c r="E205" s="722"/>
      <c r="F205" s="722"/>
      <c r="G205" s="722"/>
      <c r="H205" s="723"/>
      <c r="I205" s="724"/>
      <c r="J205" s="721"/>
      <c r="K205" s="721"/>
      <c r="L205" s="721"/>
    </row>
    <row r="206" spans="1:12" x14ac:dyDescent="0.25">
      <c r="A206" s="721"/>
      <c r="B206" s="721"/>
      <c r="C206" s="721"/>
      <c r="D206" s="722"/>
      <c r="E206" s="722"/>
      <c r="F206" s="722"/>
      <c r="G206" s="722"/>
      <c r="H206" s="723"/>
      <c r="I206" s="724"/>
      <c r="J206" s="721"/>
      <c r="K206" s="721"/>
      <c r="L206" s="721"/>
    </row>
    <row r="207" spans="1:12" x14ac:dyDescent="0.25">
      <c r="A207" s="721"/>
      <c r="B207" s="725">
        <v>42984</v>
      </c>
      <c r="C207" s="721">
        <v>50</v>
      </c>
      <c r="D207" s="722">
        <v>81.88</v>
      </c>
      <c r="E207" s="722">
        <v>82.66</v>
      </c>
      <c r="F207" s="722">
        <f t="shared" ref="F207:F225" si="21">C207*(E207-D207)</f>
        <v>39.000000000000057</v>
      </c>
      <c r="G207" s="722">
        <f t="shared" ref="G207:G225" si="22">D207*C207</f>
        <v>4094</v>
      </c>
      <c r="H207" s="726">
        <f t="shared" ref="H207:H225" si="23">(E207-D207)/D207</f>
        <v>9.5261358085002579E-3</v>
      </c>
      <c r="I207" s="727"/>
      <c r="J207" s="721"/>
      <c r="K207" s="721"/>
      <c r="L207" s="721"/>
    </row>
    <row r="208" spans="1:12" x14ac:dyDescent="0.25">
      <c r="A208" s="721"/>
      <c r="B208" s="725">
        <v>42988</v>
      </c>
      <c r="C208" s="721">
        <v>50</v>
      </c>
      <c r="D208" s="722">
        <v>81.88</v>
      </c>
      <c r="E208" s="722">
        <v>85.1</v>
      </c>
      <c r="F208" s="722">
        <f t="shared" si="21"/>
        <v>160.99999999999994</v>
      </c>
      <c r="G208" s="722">
        <f t="shared" si="22"/>
        <v>4094</v>
      </c>
      <c r="H208" s="726">
        <f t="shared" si="23"/>
        <v>3.9325842696629199E-2</v>
      </c>
      <c r="I208" s="724"/>
      <c r="J208" s="721"/>
      <c r="K208" s="721"/>
      <c r="L208" s="721"/>
    </row>
    <row r="209" spans="1:12" x14ac:dyDescent="0.25">
      <c r="A209" s="721"/>
      <c r="B209" s="725">
        <v>42992</v>
      </c>
      <c r="C209" s="721">
        <v>100</v>
      </c>
      <c r="D209" s="722">
        <v>81.844999999999999</v>
      </c>
      <c r="E209" s="722">
        <v>82.28</v>
      </c>
      <c r="F209" s="722">
        <f t="shared" si="21"/>
        <v>43.500000000000227</v>
      </c>
      <c r="G209" s="722">
        <f t="shared" si="22"/>
        <v>8184.5</v>
      </c>
      <c r="H209" s="726">
        <f t="shared" si="23"/>
        <v>5.3149245525078168E-3</v>
      </c>
      <c r="I209" s="724"/>
      <c r="J209" s="721"/>
      <c r="K209" s="721"/>
      <c r="L209" s="721"/>
    </row>
    <row r="210" spans="1:12" x14ac:dyDescent="0.25">
      <c r="A210" s="721">
        <v>0</v>
      </c>
      <c r="B210" s="725">
        <v>43018</v>
      </c>
      <c r="C210" s="721">
        <v>50</v>
      </c>
      <c r="D210" s="722">
        <v>80.102000000000004</v>
      </c>
      <c r="E210" s="722">
        <v>81.98</v>
      </c>
      <c r="F210" s="722">
        <f t="shared" si="21"/>
        <v>93.9</v>
      </c>
      <c r="G210" s="722">
        <f t="shared" si="22"/>
        <v>4005.1000000000004</v>
      </c>
      <c r="H210" s="726">
        <f t="shared" si="23"/>
        <v>2.3445107487952862E-2</v>
      </c>
      <c r="I210" s="722">
        <v>75.5</v>
      </c>
      <c r="J210" s="721"/>
      <c r="K210" s="722">
        <v>805.57</v>
      </c>
      <c r="L210" s="721"/>
    </row>
    <row r="211" spans="1:12" x14ac:dyDescent="0.25">
      <c r="A211" s="721">
        <v>0</v>
      </c>
      <c r="B211" s="725">
        <v>43020</v>
      </c>
      <c r="C211" s="721">
        <v>100</v>
      </c>
      <c r="D211" s="722">
        <v>80.891000000000005</v>
      </c>
      <c r="E211" s="722">
        <v>81.680000000000007</v>
      </c>
      <c r="F211" s="722">
        <f t="shared" si="21"/>
        <v>78.900000000000148</v>
      </c>
      <c r="G211" s="722">
        <f t="shared" si="22"/>
        <v>8089.1</v>
      </c>
      <c r="H211" s="723">
        <f t="shared" si="23"/>
        <v>9.7538663139286382E-3</v>
      </c>
      <c r="I211" s="722">
        <v>80</v>
      </c>
      <c r="J211" s="721"/>
      <c r="K211" s="722">
        <v>757</v>
      </c>
      <c r="L211" s="721"/>
    </row>
    <row r="212" spans="1:12" x14ac:dyDescent="0.25">
      <c r="A212" s="721">
        <v>50</v>
      </c>
      <c r="B212" s="725">
        <v>43035</v>
      </c>
      <c r="C212" s="721">
        <v>150</v>
      </c>
      <c r="D212" s="722">
        <v>78.554000000000002</v>
      </c>
      <c r="E212" s="722">
        <v>73.28</v>
      </c>
      <c r="F212" s="722">
        <f t="shared" si="21"/>
        <v>-791.10000000000014</v>
      </c>
      <c r="G212" s="722">
        <f t="shared" si="22"/>
        <v>11783.1</v>
      </c>
      <c r="H212" s="723">
        <f t="shared" si="23"/>
        <v>-6.713852891004915E-2</v>
      </c>
      <c r="I212" s="724"/>
      <c r="J212" s="721"/>
      <c r="K212" s="722">
        <v>-132</v>
      </c>
      <c r="L212" s="721"/>
    </row>
    <row r="213" spans="1:12" x14ac:dyDescent="0.25">
      <c r="A213" s="721"/>
      <c r="B213" s="725">
        <v>43035</v>
      </c>
      <c r="C213" s="721">
        <v>100</v>
      </c>
      <c r="D213" s="722">
        <v>79.691900000000004</v>
      </c>
      <c r="E213" s="722">
        <v>76.28</v>
      </c>
      <c r="F213" s="722">
        <f t="shared" si="21"/>
        <v>-341.19000000000028</v>
      </c>
      <c r="G213" s="722">
        <f t="shared" si="22"/>
        <v>7969.1900000000005</v>
      </c>
      <c r="H213" s="723">
        <f t="shared" si="23"/>
        <v>-4.2813636015705522E-2</v>
      </c>
      <c r="I213" s="728" t="s">
        <v>732</v>
      </c>
      <c r="J213" s="721"/>
      <c r="K213" s="722">
        <v>317</v>
      </c>
      <c r="L213" s="721"/>
    </row>
    <row r="214" spans="1:12" x14ac:dyDescent="0.25">
      <c r="A214" s="721"/>
      <c r="B214" s="725">
        <v>43044</v>
      </c>
      <c r="C214" s="721">
        <v>100</v>
      </c>
      <c r="D214" s="722">
        <v>79.69</v>
      </c>
      <c r="E214" s="722">
        <v>73.459999999999994</v>
      </c>
      <c r="F214" s="722">
        <f t="shared" si="21"/>
        <v>-623.00000000000045</v>
      </c>
      <c r="G214" s="722">
        <f t="shared" si="22"/>
        <v>7969</v>
      </c>
      <c r="H214" s="723">
        <f t="shared" si="23"/>
        <v>-7.8177939515623088E-2</v>
      </c>
      <c r="I214" s="724"/>
      <c r="J214" s="721">
        <v>23.71</v>
      </c>
      <c r="K214" s="722">
        <v>35</v>
      </c>
      <c r="L214" s="721"/>
    </row>
    <row r="215" spans="1:12" x14ac:dyDescent="0.25">
      <c r="A215" s="729">
        <v>50</v>
      </c>
      <c r="B215" s="725">
        <v>43053</v>
      </c>
      <c r="C215" s="721">
        <v>150</v>
      </c>
      <c r="D215" s="722">
        <v>76.989999999999995</v>
      </c>
      <c r="E215" s="722">
        <v>71.150000000000006</v>
      </c>
      <c r="F215" s="722">
        <f t="shared" si="21"/>
        <v>-875.99999999999841</v>
      </c>
      <c r="G215" s="722">
        <f t="shared" si="22"/>
        <v>11548.5</v>
      </c>
      <c r="H215" s="723">
        <f t="shared" si="23"/>
        <v>-7.5854007013897773E-2</v>
      </c>
      <c r="I215" s="722">
        <v>76.5</v>
      </c>
      <c r="J215" s="721"/>
      <c r="K215" s="722">
        <v>-217</v>
      </c>
      <c r="L215" s="721"/>
    </row>
    <row r="216" spans="1:12" x14ac:dyDescent="0.25">
      <c r="A216" s="729">
        <v>50</v>
      </c>
      <c r="B216" s="725">
        <v>43068</v>
      </c>
      <c r="C216" s="721">
        <v>100</v>
      </c>
      <c r="D216" s="722">
        <v>78.392799999999994</v>
      </c>
      <c r="E216" s="722">
        <v>73.67</v>
      </c>
      <c r="F216" s="722">
        <f t="shared" si="21"/>
        <v>-472.27999999999923</v>
      </c>
      <c r="G216" s="722">
        <f t="shared" si="22"/>
        <v>7839.28</v>
      </c>
      <c r="H216" s="723">
        <f t="shared" si="23"/>
        <v>-6.0245328652631269E-2</v>
      </c>
      <c r="I216" s="728" t="s">
        <v>742</v>
      </c>
      <c r="J216" s="721"/>
      <c r="K216" s="722">
        <v>186</v>
      </c>
      <c r="L216" s="721"/>
    </row>
    <row r="217" spans="1:12" x14ac:dyDescent="0.25">
      <c r="A217" s="729">
        <v>100</v>
      </c>
      <c r="B217" s="725">
        <v>43090</v>
      </c>
      <c r="C217" s="721">
        <v>150</v>
      </c>
      <c r="D217" s="722">
        <v>76.688500000000005</v>
      </c>
      <c r="E217" s="722">
        <v>73.02</v>
      </c>
      <c r="F217" s="722">
        <f t="shared" si="21"/>
        <v>-550.27500000000134</v>
      </c>
      <c r="G217" s="722">
        <f t="shared" si="22"/>
        <v>11503.275000000001</v>
      </c>
      <c r="H217" s="723">
        <f t="shared" si="23"/>
        <v>-4.7836377031758456E-2</v>
      </c>
      <c r="I217" s="724"/>
      <c r="J217" s="721">
        <v>43.77</v>
      </c>
      <c r="K217" s="722">
        <v>108</v>
      </c>
      <c r="L217" s="721"/>
    </row>
    <row r="218" spans="1:12" x14ac:dyDescent="0.25">
      <c r="A218" s="729">
        <v>100</v>
      </c>
      <c r="B218" s="725">
        <v>43098</v>
      </c>
      <c r="C218" s="721">
        <v>150</v>
      </c>
      <c r="D218" s="722">
        <v>76.341999999999999</v>
      </c>
      <c r="E218" s="722">
        <v>72</v>
      </c>
      <c r="F218" s="722">
        <f t="shared" si="21"/>
        <v>-651.29999999999984</v>
      </c>
      <c r="G218" s="722">
        <f t="shared" si="22"/>
        <v>11451.3</v>
      </c>
      <c r="H218" s="723">
        <f t="shared" si="23"/>
        <v>-5.6875638573786365E-2</v>
      </c>
      <c r="I218" s="724" t="s">
        <v>797</v>
      </c>
      <c r="J218" s="721"/>
      <c r="K218" s="722">
        <v>7</v>
      </c>
      <c r="L218" s="721"/>
    </row>
    <row r="219" spans="1:12" x14ac:dyDescent="0.25">
      <c r="A219" s="729">
        <v>100</v>
      </c>
      <c r="B219" s="725">
        <v>43098</v>
      </c>
      <c r="C219" s="721">
        <v>200</v>
      </c>
      <c r="D219" s="722">
        <v>75.17</v>
      </c>
      <c r="E219" s="722">
        <v>71.64</v>
      </c>
      <c r="F219" s="722">
        <f t="shared" si="21"/>
        <v>-706.00000000000023</v>
      </c>
      <c r="G219" s="722">
        <f t="shared" si="22"/>
        <v>15034</v>
      </c>
      <c r="H219" s="723">
        <f t="shared" si="23"/>
        <v>-4.6960223493414943E-2</v>
      </c>
      <c r="I219" s="728">
        <v>75</v>
      </c>
      <c r="J219" s="721"/>
      <c r="K219" s="722">
        <v>-47</v>
      </c>
      <c r="L219" s="721"/>
    </row>
    <row r="220" spans="1:12" x14ac:dyDescent="0.25">
      <c r="A220" s="729">
        <v>50</v>
      </c>
      <c r="B220" s="725">
        <v>43102</v>
      </c>
      <c r="C220" s="721">
        <v>150</v>
      </c>
      <c r="D220" s="722">
        <v>75.698999999999998</v>
      </c>
      <c r="E220" s="722">
        <v>74.099999999999994</v>
      </c>
      <c r="F220" s="722">
        <f t="shared" si="21"/>
        <v>-239.85000000000056</v>
      </c>
      <c r="G220" s="722">
        <f t="shared" si="22"/>
        <v>11354.85</v>
      </c>
      <c r="H220" s="726">
        <f t="shared" si="23"/>
        <v>-2.1123132405976353E-2</v>
      </c>
      <c r="I220" s="728" t="s">
        <v>802</v>
      </c>
      <c r="J220" s="721"/>
      <c r="K220" s="722">
        <v>419</v>
      </c>
      <c r="L220" s="721"/>
    </row>
    <row r="221" spans="1:12" x14ac:dyDescent="0.25">
      <c r="A221" s="729">
        <v>0</v>
      </c>
      <c r="B221" s="725">
        <v>43105</v>
      </c>
      <c r="C221" s="721">
        <v>100</v>
      </c>
      <c r="D221" s="722">
        <v>76.293999999999997</v>
      </c>
      <c r="E221" s="722">
        <v>74.52</v>
      </c>
      <c r="F221" s="722">
        <f t="shared" si="21"/>
        <v>-177.40000000000009</v>
      </c>
      <c r="G221" s="722">
        <f t="shared" si="22"/>
        <v>7629.4</v>
      </c>
      <c r="H221" s="723">
        <f t="shared" si="23"/>
        <v>-2.3252156132854498E-2</v>
      </c>
      <c r="I221" s="728" t="s">
        <v>828</v>
      </c>
      <c r="J221" s="721"/>
      <c r="K221" s="722">
        <v>481</v>
      </c>
      <c r="L221" s="721"/>
    </row>
    <row r="222" spans="1:12" x14ac:dyDescent="0.25">
      <c r="A222" s="729">
        <v>0</v>
      </c>
      <c r="B222" s="725">
        <v>43109</v>
      </c>
      <c r="C222" s="721">
        <v>100</v>
      </c>
      <c r="D222" s="722">
        <v>76.290000000000006</v>
      </c>
      <c r="E222" s="722">
        <v>78.099999999999994</v>
      </c>
      <c r="F222" s="722">
        <f t="shared" si="21"/>
        <v>180.99999999999881</v>
      </c>
      <c r="G222" s="722">
        <f t="shared" si="22"/>
        <v>7629.0000000000009</v>
      </c>
      <c r="H222" s="723">
        <f t="shared" si="23"/>
        <v>2.3725258880587075E-2</v>
      </c>
      <c r="I222" s="724"/>
      <c r="J222" s="721"/>
      <c r="K222" s="722">
        <v>839</v>
      </c>
      <c r="L222" s="721"/>
    </row>
    <row r="223" spans="1:12" x14ac:dyDescent="0.25">
      <c r="A223" s="729">
        <v>0</v>
      </c>
      <c r="B223" s="725">
        <v>43110</v>
      </c>
      <c r="C223" s="721">
        <v>100</v>
      </c>
      <c r="D223" s="722">
        <v>76.290000000000006</v>
      </c>
      <c r="E223" s="722">
        <v>78.709999999999994</v>
      </c>
      <c r="F223" s="722">
        <f t="shared" si="21"/>
        <v>241.99999999999875</v>
      </c>
      <c r="G223" s="722">
        <f t="shared" si="22"/>
        <v>7629.0000000000009</v>
      </c>
      <c r="H223" s="723">
        <f t="shared" si="23"/>
        <v>3.1721064359680001E-2</v>
      </c>
      <c r="I223" s="728">
        <v>76</v>
      </c>
      <c r="J223" s="728">
        <v>67.739999999999995</v>
      </c>
      <c r="K223" s="722">
        <v>900.23</v>
      </c>
      <c r="L223" s="721"/>
    </row>
    <row r="224" spans="1:12" x14ac:dyDescent="0.25">
      <c r="A224" s="729">
        <v>0</v>
      </c>
      <c r="B224" s="725">
        <v>43117</v>
      </c>
      <c r="C224" s="721">
        <v>100</v>
      </c>
      <c r="D224" s="722">
        <v>76.290000000000006</v>
      </c>
      <c r="E224" s="722">
        <v>81.739999999999995</v>
      </c>
      <c r="F224" s="722">
        <f t="shared" si="21"/>
        <v>544.99999999999886</v>
      </c>
      <c r="G224" s="722">
        <f t="shared" si="22"/>
        <v>7629.0000000000009</v>
      </c>
      <c r="H224" s="723">
        <f t="shared" si="23"/>
        <v>7.143793419845311E-2</v>
      </c>
      <c r="I224" s="728">
        <v>76</v>
      </c>
      <c r="J224" s="728"/>
      <c r="K224" s="722">
        <v>1203</v>
      </c>
      <c r="L224" s="721"/>
    </row>
    <row r="225" spans="1:12" x14ac:dyDescent="0.25">
      <c r="A225" s="729">
        <v>0</v>
      </c>
      <c r="B225" s="725">
        <v>43126</v>
      </c>
      <c r="C225" s="721">
        <v>50</v>
      </c>
      <c r="D225" s="722">
        <v>68.62</v>
      </c>
      <c r="E225" s="722">
        <v>83.97</v>
      </c>
      <c r="F225" s="722">
        <f t="shared" si="21"/>
        <v>767.49999999999977</v>
      </c>
      <c r="G225" s="722">
        <f t="shared" si="22"/>
        <v>3431</v>
      </c>
      <c r="H225" s="723">
        <f t="shared" si="23"/>
        <v>0.22369571553482939</v>
      </c>
      <c r="I225" s="724"/>
      <c r="J225" s="721"/>
      <c r="K225" s="722">
        <v>1426</v>
      </c>
      <c r="L225" s="721"/>
    </row>
    <row r="226" spans="1:12" x14ac:dyDescent="0.25">
      <c r="A226" s="721"/>
      <c r="B226" s="721"/>
      <c r="C226" s="721"/>
      <c r="D226" s="722"/>
      <c r="E226" s="722"/>
      <c r="F226" s="722"/>
      <c r="G226" s="721"/>
      <c r="H226" s="721"/>
      <c r="I226" s="721"/>
      <c r="J226" s="721"/>
      <c r="K226" s="721"/>
      <c r="L226" s="721"/>
    </row>
    <row r="227" spans="1:12" x14ac:dyDescent="0.25">
      <c r="A227" s="721"/>
      <c r="B227" s="721"/>
      <c r="C227" s="721"/>
      <c r="D227" s="722"/>
      <c r="E227" s="722"/>
      <c r="F227" s="722"/>
      <c r="G227" s="721"/>
      <c r="H227" s="721"/>
      <c r="I227" s="721"/>
      <c r="J227" s="721"/>
      <c r="K227" s="721"/>
      <c r="L227" s="721"/>
    </row>
    <row r="228" spans="1:12" x14ac:dyDescent="0.25">
      <c r="A228" s="721"/>
      <c r="B228" s="721"/>
      <c r="C228" s="721"/>
      <c r="D228" s="722"/>
      <c r="E228" s="722"/>
      <c r="F228" s="722"/>
      <c r="G228" s="721"/>
      <c r="H228" s="721"/>
      <c r="I228" s="721"/>
      <c r="J228" s="721"/>
      <c r="K228" s="721"/>
      <c r="L228" s="721"/>
    </row>
    <row r="229" spans="1:12" x14ac:dyDescent="0.25">
      <c r="A229" s="721"/>
      <c r="B229" s="721"/>
      <c r="C229" s="721"/>
      <c r="D229" s="722"/>
      <c r="E229" s="722"/>
      <c r="F229" s="722"/>
      <c r="G229" s="721"/>
      <c r="H229" s="721"/>
      <c r="I229" s="721"/>
      <c r="J229" s="721"/>
      <c r="K229" s="721"/>
      <c r="L229" s="721"/>
    </row>
    <row r="230" spans="1:12" x14ac:dyDescent="0.25">
      <c r="A230" s="721"/>
      <c r="B230" s="721"/>
      <c r="C230" s="721"/>
      <c r="D230" s="722"/>
      <c r="E230" s="722"/>
      <c r="F230" s="722"/>
      <c r="G230" s="721"/>
      <c r="H230" s="721"/>
      <c r="I230" s="721"/>
      <c r="J230" s="721"/>
      <c r="K230" s="721"/>
      <c r="L230" s="721"/>
    </row>
    <row r="231" spans="1:12" x14ac:dyDescent="0.25">
      <c r="A231" s="721"/>
      <c r="B231" s="721"/>
      <c r="C231" s="721"/>
      <c r="D231" s="722"/>
      <c r="E231" s="722"/>
      <c r="F231" s="722"/>
      <c r="G231" s="721"/>
      <c r="H231" s="721"/>
      <c r="I231" s="721"/>
      <c r="J231" s="721"/>
      <c r="K231" s="721"/>
      <c r="L231" s="721"/>
    </row>
    <row r="232" spans="1:12" x14ac:dyDescent="0.25">
      <c r="A232" s="721"/>
      <c r="B232" s="721"/>
      <c r="C232" s="721"/>
      <c r="D232" s="722"/>
      <c r="E232" s="722"/>
      <c r="F232" s="722"/>
      <c r="G232" s="721"/>
      <c r="H232" s="721"/>
      <c r="I232" s="721"/>
      <c r="J232" s="721"/>
      <c r="K232" s="721"/>
      <c r="L232" s="721"/>
    </row>
  </sheetData>
  <mergeCells count="1">
    <mergeCell ref="O42:P42"/>
  </mergeCells>
  <conditionalFormatting sqref="H45:I45 H48:I52 I32 H34 H35:I35 H37:I37 H36 H38:H39 F34:F42 H40:I41 H42 H44 H46:H47 F44:F52 AA24:AG24">
    <cfRule type="expression" dxfId="159" priority="96">
      <formula>F24&gt;0</formula>
    </cfRule>
    <cfRule type="expression" dxfId="158"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157" priority="79">
      <formula>F30&gt;0</formula>
    </cfRule>
    <cfRule type="expression" dxfId="156" priority="80">
      <formula>F30&lt;0</formula>
    </cfRule>
  </conditionalFormatting>
  <conditionalFormatting sqref="H43 H30:H33">
    <cfRule type="expression" dxfId="155" priority="77">
      <formula>H30&gt;0</formula>
    </cfRule>
    <cfRule type="expression" dxfId="154" priority="78">
      <formula>H30&lt;0</formula>
    </cfRule>
  </conditionalFormatting>
  <conditionalFormatting sqref="F115:F116 H115:I116 H117 H118:I128 H129 H130:I162 H163 H164:I168 H169 H170:I173 H174 F120:F188 H175:I188 I189:I196 H197:I201 F197:F201 F203 H203:I203 I202 H205:I206 F205:F206">
    <cfRule type="expression" dxfId="153" priority="59">
      <formula>F115&gt;0</formula>
    </cfRule>
    <cfRule type="expression" dxfId="152" priority="60">
      <formula>F115&lt;0</formula>
    </cfRule>
  </conditionalFormatting>
  <conditionalFormatting sqref="F112:F114">
    <cfRule type="expression" dxfId="151" priority="57">
      <formula>F112&gt;0</formula>
    </cfRule>
    <cfRule type="expression" dxfId="150" priority="58">
      <formula>F112&lt;0</formula>
    </cfRule>
  </conditionalFormatting>
  <conditionalFormatting sqref="H112:I112">
    <cfRule type="expression" dxfId="149" priority="55">
      <formula>H112&gt;0</formula>
    </cfRule>
    <cfRule type="expression" dxfId="148" priority="56">
      <formula>H112&lt;0</formula>
    </cfRule>
  </conditionalFormatting>
  <conditionalFormatting sqref="H113:I113">
    <cfRule type="expression" dxfId="147" priority="53">
      <formula>H113&gt;0</formula>
    </cfRule>
    <cfRule type="expression" dxfId="146" priority="54">
      <formula>H113&lt;0</formula>
    </cfRule>
  </conditionalFormatting>
  <conditionalFormatting sqref="H114:I114">
    <cfRule type="expression" dxfId="145" priority="51">
      <formula>H114&gt;0</formula>
    </cfRule>
    <cfRule type="expression" dxfId="144" priority="52">
      <formula>H114&lt;0</formula>
    </cfRule>
  </conditionalFormatting>
  <conditionalFormatting sqref="F105:F111">
    <cfRule type="expression" dxfId="143" priority="49">
      <formula>F105&gt;0</formula>
    </cfRule>
    <cfRule type="expression" dxfId="142" priority="50">
      <formula>F105&lt;0</formula>
    </cfRule>
  </conditionalFormatting>
  <conditionalFormatting sqref="H105:I111">
    <cfRule type="expression" dxfId="141" priority="47">
      <formula>H105&gt;0</formula>
    </cfRule>
    <cfRule type="expression" dxfId="140" priority="48">
      <formula>H105&lt;0</formula>
    </cfRule>
  </conditionalFormatting>
  <conditionalFormatting sqref="I117 F117:F119">
    <cfRule type="expression" dxfId="139" priority="45">
      <formula>F117&gt;0</formula>
    </cfRule>
    <cfRule type="expression" dxfId="138" priority="46">
      <formula>F117&lt;0</formula>
    </cfRule>
  </conditionalFormatting>
  <conditionalFormatting sqref="F189:F196 H189:H196">
    <cfRule type="expression" dxfId="137" priority="43">
      <formula>F189&gt;0</formula>
    </cfRule>
    <cfRule type="expression" dxfId="136" priority="44">
      <formula>F189&lt;0</formula>
    </cfRule>
  </conditionalFormatting>
  <conditionalFormatting sqref="H202 F202">
    <cfRule type="expression" dxfId="135" priority="41">
      <formula>F202&gt;0</formula>
    </cfRule>
    <cfRule type="expression" dxfId="134" priority="42">
      <formula>F202&lt;0</formula>
    </cfRule>
  </conditionalFormatting>
  <conditionalFormatting sqref="I204">
    <cfRule type="expression" dxfId="133" priority="39">
      <formula>I204&gt;0</formula>
    </cfRule>
    <cfRule type="expression" dxfId="132" priority="40">
      <formula>I204&lt;0</formula>
    </cfRule>
  </conditionalFormatting>
  <conditionalFormatting sqref="H204 F204">
    <cfRule type="expression" dxfId="131" priority="37">
      <formula>F204&gt;0</formula>
    </cfRule>
    <cfRule type="expression" dxfId="130" priority="38">
      <formula>F204&lt;0</formula>
    </cfRule>
  </conditionalFormatting>
  <conditionalFormatting sqref="M54">
    <cfRule type="expression" dxfId="129" priority="35">
      <formula>M54&gt;0</formula>
    </cfRule>
    <cfRule type="expression" dxfId="128" priority="36">
      <formula>M54&lt;0</formula>
    </cfRule>
  </conditionalFormatting>
  <conditionalFormatting sqref="K39:K49">
    <cfRule type="expression" dxfId="127" priority="33">
      <formula>K39&gt;0</formula>
    </cfRule>
    <cfRule type="expression" dxfId="126" priority="34">
      <formula>K39&lt;0</formula>
    </cfRule>
  </conditionalFormatting>
  <conditionalFormatting sqref="Q10">
    <cfRule type="expression" dxfId="125" priority="31">
      <formula>Q10&gt;0</formula>
    </cfRule>
    <cfRule type="expression" dxfId="124" priority="32">
      <formula>Q10&lt;0</formula>
    </cfRule>
  </conditionalFormatting>
  <conditionalFormatting sqref="Z10">
    <cfRule type="expression" dxfId="123" priority="29">
      <formula>Z10&gt;0</formula>
    </cfRule>
    <cfRule type="expression" dxfId="122" priority="30">
      <formula>Z10&lt;0</formula>
    </cfRule>
  </conditionalFormatting>
  <conditionalFormatting sqref="AA10:AE10">
    <cfRule type="expression" dxfId="121" priority="27">
      <formula>AA10&gt;0</formula>
    </cfRule>
    <cfRule type="expression" dxfId="120" priority="28">
      <formula>AA10&lt;0</formula>
    </cfRule>
  </conditionalFormatting>
  <conditionalFormatting sqref="Z24">
    <cfRule type="expression" dxfId="119" priority="25">
      <formula>Z24&gt;0</formula>
    </cfRule>
    <cfRule type="expression" dxfId="118" priority="26">
      <formula>Z24&lt;0</formula>
    </cfRule>
  </conditionalFormatting>
  <conditionalFormatting sqref="AF10:AG10">
    <cfRule type="expression" dxfId="117" priority="17">
      <formula>AF10&gt;0</formula>
    </cfRule>
    <cfRule type="expression" dxfId="116" priority="18">
      <formula>AF10&lt;0</formula>
    </cfRule>
  </conditionalFormatting>
  <conditionalFormatting sqref="H222:I222 H225:I225 I208:I209 H211 H212:I212 H214:I214 H213 H215:H216 F211:F219 H217:I218 H219 H221 H223:H224 F221:F225">
    <cfRule type="expression" dxfId="115" priority="15">
      <formula>F208&gt;0</formula>
    </cfRule>
    <cfRule type="expression" dxfId="114" priority="16">
      <formula>F208&lt;0</formula>
    </cfRule>
  </conditionalFormatting>
  <conditionalFormatting sqref="F220 F207:F210">
    <cfRule type="expression" dxfId="113" priority="13">
      <formula>F207&gt;0</formula>
    </cfRule>
    <cfRule type="expression" dxfId="112" priority="14">
      <formula>F207&lt;0</formula>
    </cfRule>
  </conditionalFormatting>
  <conditionalFormatting sqref="H207:I207 H220 H208:H210">
    <cfRule type="expression" dxfId="111" priority="11">
      <formula>H207&gt;0</formula>
    </cfRule>
    <cfRule type="expression" dxfId="110" priority="12">
      <formula>H207&lt;0</formula>
    </cfRule>
  </conditionalFormatting>
  <conditionalFormatting sqref="K210:K225">
    <cfRule type="expression" dxfId="109" priority="9">
      <formula>K210&gt;0</formula>
    </cfRule>
    <cfRule type="expression" dxfId="108" priority="10">
      <formula>K210&lt;0</formula>
    </cfRule>
  </conditionalFormatting>
  <conditionalFormatting sqref="K31">
    <cfRule type="expression" dxfId="107" priority="7">
      <formula>K31&gt;0</formula>
    </cfRule>
    <cfRule type="expression" dxfId="106" priority="8">
      <formula>K31&lt;0</formula>
    </cfRule>
  </conditionalFormatting>
  <conditionalFormatting sqref="K32:K38">
    <cfRule type="expression" dxfId="105" priority="5">
      <formula>K32&gt;0</formula>
    </cfRule>
    <cfRule type="expression" dxfId="104" priority="6">
      <formula>K32&lt;0</formula>
    </cfRule>
  </conditionalFormatting>
  <conditionalFormatting sqref="Q7">
    <cfRule type="expression" dxfId="103" priority="3">
      <formula>Q7&gt;0</formula>
    </cfRule>
    <cfRule type="expression" dxfId="102" priority="4">
      <formula>Q7&lt;0</formula>
    </cfRule>
  </conditionalFormatting>
  <conditionalFormatting sqref="Q8">
    <cfRule type="expression" dxfId="101" priority="1">
      <formula>Q8&gt;0</formula>
    </cfRule>
    <cfRule type="expression" dxfId="100"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53</v>
      </c>
      <c r="B2" s="72"/>
      <c r="C2" s="4"/>
      <c r="D2" s="3"/>
      <c r="E2" s="3"/>
      <c r="F2" s="3"/>
      <c r="G2" s="72"/>
      <c r="H2" s="3"/>
      <c r="I2" s="3"/>
      <c r="J2" s="3"/>
      <c r="K2" s="4"/>
      <c r="L2" s="72"/>
      <c r="M2" s="3"/>
      <c r="O2" s="11" t="s">
        <v>57</v>
      </c>
      <c r="Q2">
        <f>C18-H18</f>
        <v>0</v>
      </c>
      <c r="T2" s="1">
        <v>42318</v>
      </c>
      <c r="U2" t="s">
        <v>82</v>
      </c>
      <c r="W2" s="130">
        <v>42830</v>
      </c>
      <c r="X2" s="10">
        <v>69.25</v>
      </c>
      <c r="Y2" s="10">
        <v>69.45</v>
      </c>
      <c r="Z2" s="10">
        <v>67.89</v>
      </c>
      <c r="AA2" s="10">
        <v>67.91</v>
      </c>
      <c r="AB2" s="93">
        <v>385600</v>
      </c>
      <c r="AC2" s="10">
        <v>67.91</v>
      </c>
      <c r="AD2" s="2">
        <f>Y2-Z2</f>
        <v>1.5600000000000023</v>
      </c>
      <c r="AE2" s="134">
        <f>AC2/AC3-1</f>
        <v>-1.0923390620448559E-2</v>
      </c>
    </row>
    <row r="3" spans="1:31" x14ac:dyDescent="0.25">
      <c r="A3" s="22" t="s">
        <v>71</v>
      </c>
      <c r="B3" s="72"/>
      <c r="C3" s="4"/>
      <c r="D3" s="3"/>
      <c r="E3" s="3"/>
      <c r="F3" s="3"/>
      <c r="G3" s="4"/>
      <c r="H3" s="4"/>
      <c r="I3" s="4"/>
      <c r="J3" s="4"/>
      <c r="K3" s="4"/>
      <c r="L3" s="72"/>
      <c r="M3" s="4"/>
      <c r="O3" s="11" t="s">
        <v>58</v>
      </c>
      <c r="Q3" s="2">
        <f>IF(Q2=0, Q4, (F18-K18-M18)/Q2)</f>
        <v>86.66</v>
      </c>
      <c r="W3" s="130">
        <v>42829</v>
      </c>
      <c r="X3" s="10">
        <v>68.05</v>
      </c>
      <c r="Y3" s="10">
        <v>68.75</v>
      </c>
      <c r="Z3" s="10">
        <v>67.3</v>
      </c>
      <c r="AA3" s="10">
        <v>68.66</v>
      </c>
      <c r="AB3" s="93">
        <v>422700</v>
      </c>
      <c r="AC3" s="10">
        <v>68.66</v>
      </c>
      <c r="AD3" s="2">
        <f t="shared" ref="AD3:AD66" si="0">Y3-Z3</f>
        <v>1.4500000000000028</v>
      </c>
      <c r="AE3" s="134">
        <f t="shared" ref="AE3:AE66" si="1">AC3/AC4-1</f>
        <v>7.0401877383394762E-3</v>
      </c>
    </row>
    <row r="4" spans="1:31" x14ac:dyDescent="0.25">
      <c r="B4" s="72"/>
      <c r="C4" s="4"/>
      <c r="D4" s="3"/>
      <c r="E4" s="3"/>
      <c r="F4" s="3"/>
      <c r="G4" s="4"/>
      <c r="H4" s="4"/>
      <c r="I4" s="4"/>
      <c r="J4" s="4"/>
      <c r="K4" s="4"/>
      <c r="L4" s="4"/>
      <c r="M4" s="4"/>
      <c r="O4" s="11" t="s">
        <v>66</v>
      </c>
      <c r="Q4" s="54">
        <v>86.66</v>
      </c>
      <c r="R4" s="405">
        <v>2.2599999999999999E-2</v>
      </c>
      <c r="W4" s="130">
        <v>42828</v>
      </c>
      <c r="X4" s="10">
        <v>68.099999999999994</v>
      </c>
      <c r="Y4" s="10">
        <v>68.489999999999995</v>
      </c>
      <c r="Z4" s="10">
        <v>67.099999999999994</v>
      </c>
      <c r="AA4" s="10">
        <v>68.180000000000007</v>
      </c>
      <c r="AB4" s="93">
        <v>539900</v>
      </c>
      <c r="AC4" s="10">
        <v>68.180000000000007</v>
      </c>
      <c r="AD4" s="2">
        <f t="shared" si="0"/>
        <v>1.3900000000000006</v>
      </c>
      <c r="AE4" s="134">
        <f t="shared" si="1"/>
        <v>3.8280329799764701E-3</v>
      </c>
    </row>
    <row r="5" spans="1:31" x14ac:dyDescent="0.25">
      <c r="B5" s="4"/>
      <c r="C5" s="4"/>
      <c r="D5" s="3"/>
      <c r="E5" s="3"/>
      <c r="F5" s="3"/>
      <c r="G5" s="4"/>
      <c r="H5" s="4"/>
      <c r="I5" s="4"/>
      <c r="J5" s="4"/>
      <c r="K5" s="4"/>
      <c r="L5" s="4"/>
      <c r="M5" s="4"/>
      <c r="O5" s="11" t="s">
        <v>67</v>
      </c>
      <c r="Q5" s="3">
        <f>Q4*Q2</f>
        <v>0</v>
      </c>
      <c r="W5" s="130">
        <v>42825</v>
      </c>
      <c r="X5" s="10">
        <v>68.209999999999994</v>
      </c>
      <c r="Y5" s="10">
        <v>68.650000000000006</v>
      </c>
      <c r="Z5" s="10">
        <v>67.88</v>
      </c>
      <c r="AA5" s="10">
        <v>67.92</v>
      </c>
      <c r="AB5" s="93">
        <v>322900</v>
      </c>
      <c r="AC5" s="10">
        <v>67.92</v>
      </c>
      <c r="AD5" s="2">
        <f t="shared" si="0"/>
        <v>0.77000000000001023</v>
      </c>
      <c r="AE5" s="134">
        <f t="shared" si="1"/>
        <v>-6.000292697204701E-3</v>
      </c>
    </row>
    <row r="6" spans="1:31" x14ac:dyDescent="0.25">
      <c r="B6" s="4"/>
      <c r="C6" s="4"/>
      <c r="D6" s="3"/>
      <c r="E6" s="3"/>
      <c r="F6" s="3"/>
      <c r="G6" s="4"/>
      <c r="H6" s="4"/>
      <c r="I6" s="4"/>
      <c r="J6" s="4"/>
      <c r="K6" s="4"/>
      <c r="L6" s="4"/>
      <c r="M6" s="4"/>
      <c r="O6" s="11" t="s">
        <v>64</v>
      </c>
      <c r="Q6" s="2">
        <f>Q3*Q2</f>
        <v>0</v>
      </c>
      <c r="W6" s="130">
        <v>42824</v>
      </c>
      <c r="X6" s="10">
        <v>67.55</v>
      </c>
      <c r="Y6" s="10">
        <v>68.36</v>
      </c>
      <c r="Z6" s="10">
        <v>67.55</v>
      </c>
      <c r="AA6" s="10">
        <v>68.33</v>
      </c>
      <c r="AB6" s="93">
        <v>243400</v>
      </c>
      <c r="AC6" s="10">
        <v>68.33</v>
      </c>
      <c r="AD6" s="2">
        <f t="shared" si="0"/>
        <v>0.81000000000000227</v>
      </c>
      <c r="AE6" s="134">
        <f t="shared" si="1"/>
        <v>1.049985211475879E-2</v>
      </c>
    </row>
    <row r="7" spans="1:31" x14ac:dyDescent="0.25">
      <c r="B7" s="4"/>
      <c r="C7" s="4"/>
      <c r="D7" s="3"/>
      <c r="E7" s="3"/>
      <c r="F7" s="3"/>
      <c r="G7" s="4"/>
      <c r="H7" s="4"/>
      <c r="I7" s="4"/>
      <c r="J7" s="4"/>
      <c r="K7" s="4"/>
      <c r="L7" s="4"/>
      <c r="M7" s="4"/>
      <c r="O7" s="11" t="s">
        <v>177</v>
      </c>
      <c r="Q7" s="2">
        <f>Q10+Q8</f>
        <v>33.940000000000055</v>
      </c>
      <c r="R7">
        <v>0</v>
      </c>
      <c r="W7" s="130">
        <v>42823</v>
      </c>
      <c r="X7" s="10">
        <v>67.47</v>
      </c>
      <c r="Y7" s="10">
        <v>67.900000000000006</v>
      </c>
      <c r="Z7" s="10">
        <v>67.260000000000005</v>
      </c>
      <c r="AA7" s="10">
        <v>67.62</v>
      </c>
      <c r="AB7" s="93">
        <v>150900</v>
      </c>
      <c r="AC7" s="10">
        <v>67.62</v>
      </c>
      <c r="AD7" s="2">
        <f t="shared" si="0"/>
        <v>0.64000000000000057</v>
      </c>
      <c r="AE7" s="134">
        <f t="shared" si="1"/>
        <v>-2.956830277941469E-4</v>
      </c>
    </row>
    <row r="8" spans="1:31" x14ac:dyDescent="0.25">
      <c r="B8" s="4"/>
      <c r="C8" s="4"/>
      <c r="D8" s="3"/>
      <c r="E8" s="3"/>
      <c r="F8" s="3"/>
      <c r="G8" s="4"/>
      <c r="H8" s="4"/>
      <c r="I8" s="4"/>
      <c r="J8" s="4"/>
      <c r="K8" s="4"/>
      <c r="L8" s="4"/>
      <c r="M8" s="4"/>
      <c r="O8" s="11" t="s">
        <v>179</v>
      </c>
      <c r="P8" s="33"/>
      <c r="Q8" s="2">
        <f>K18+M18-F18+Q2*Q4</f>
        <v>0</v>
      </c>
      <c r="W8" s="130">
        <v>42822</v>
      </c>
      <c r="X8" s="10">
        <v>66.930000000000007</v>
      </c>
      <c r="Y8" s="10">
        <v>67.97</v>
      </c>
      <c r="Z8" s="10">
        <v>66.72</v>
      </c>
      <c r="AA8" s="10">
        <v>67.64</v>
      </c>
      <c r="AB8" s="93">
        <v>172600</v>
      </c>
      <c r="AC8" s="10">
        <v>67.64</v>
      </c>
      <c r="AD8" s="2">
        <f t="shared" si="0"/>
        <v>1.25</v>
      </c>
      <c r="AE8" s="134">
        <f t="shared" si="1"/>
        <v>7.4471254095918038E-3</v>
      </c>
    </row>
    <row r="9" spans="1:31" x14ac:dyDescent="0.25">
      <c r="B9" s="4"/>
      <c r="C9" s="4"/>
      <c r="D9" s="3"/>
      <c r="E9" s="3"/>
      <c r="F9" s="3"/>
      <c r="G9" s="4"/>
      <c r="H9" s="4"/>
      <c r="I9" s="4"/>
      <c r="J9" s="4"/>
      <c r="K9" s="4"/>
      <c r="L9" s="4"/>
      <c r="M9" s="4"/>
      <c r="O9" s="11" t="s">
        <v>204</v>
      </c>
      <c r="Q9" s="134">
        <f>IF(Q2=0, 0, Q8/Q6)</f>
        <v>0</v>
      </c>
      <c r="W9" s="130">
        <v>42821</v>
      </c>
      <c r="X9" s="10">
        <v>65.67</v>
      </c>
      <c r="Y9" s="10">
        <v>67.349999999999994</v>
      </c>
      <c r="Z9" s="10">
        <v>65.510000000000005</v>
      </c>
      <c r="AA9" s="10">
        <v>67.14</v>
      </c>
      <c r="AB9" s="93">
        <v>310500</v>
      </c>
      <c r="AC9" s="10">
        <v>67.14</v>
      </c>
      <c r="AD9" s="2">
        <f t="shared" si="0"/>
        <v>1.8399999999999892</v>
      </c>
      <c r="AE9" s="134">
        <f t="shared" si="1"/>
        <v>6.1441630451071205E-3</v>
      </c>
    </row>
    <row r="10" spans="1:31" x14ac:dyDescent="0.25">
      <c r="O10" s="11" t="s">
        <v>203</v>
      </c>
      <c r="P10" s="33"/>
      <c r="Q10" s="2">
        <f>M33</f>
        <v>33.940000000000055</v>
      </c>
      <c r="W10" s="130">
        <v>42818</v>
      </c>
      <c r="X10" s="10">
        <v>66.63</v>
      </c>
      <c r="Y10" s="10">
        <v>67.5</v>
      </c>
      <c r="Z10" s="10">
        <v>66.38</v>
      </c>
      <c r="AA10" s="10">
        <v>66.73</v>
      </c>
      <c r="AB10" s="93">
        <v>283200</v>
      </c>
      <c r="AC10" s="10">
        <v>66.73</v>
      </c>
      <c r="AD10" s="2">
        <f t="shared" si="0"/>
        <v>1.1200000000000045</v>
      </c>
      <c r="AE10" s="134">
        <f t="shared" si="1"/>
        <v>5.424137411481178E-3</v>
      </c>
    </row>
    <row r="11" spans="1:31" x14ac:dyDescent="0.25">
      <c r="O11" s="11" t="s">
        <v>175</v>
      </c>
      <c r="P11" s="33"/>
      <c r="Q11" s="134">
        <f>IF(U58="N/A (N/A)", 0, VALUE(TRIM(CLEAN(MID(U58, FIND("(", U58)+1, 5)))))</f>
        <v>7.4000000000000003E-3</v>
      </c>
      <c r="W11" s="130">
        <v>42817</v>
      </c>
      <c r="X11" s="10">
        <v>65.739999999999995</v>
      </c>
      <c r="Y11" s="10">
        <v>66.88</v>
      </c>
      <c r="Z11" s="10">
        <v>65.47</v>
      </c>
      <c r="AA11" s="10">
        <v>66.37</v>
      </c>
      <c r="AB11" s="93">
        <v>290700</v>
      </c>
      <c r="AC11" s="10">
        <v>66.37</v>
      </c>
      <c r="AD11" s="2">
        <f t="shared" si="0"/>
        <v>1.4099999999999966</v>
      </c>
      <c r="AE11" s="134">
        <f t="shared" si="1"/>
        <v>7.8967350037966177E-3</v>
      </c>
    </row>
    <row r="12" spans="1:31" x14ac:dyDescent="0.25">
      <c r="W12" s="130">
        <v>42816</v>
      </c>
      <c r="X12" s="10">
        <v>66.67</v>
      </c>
      <c r="Y12" s="10">
        <v>68.14</v>
      </c>
      <c r="Z12" s="10">
        <v>65.650000000000006</v>
      </c>
      <c r="AA12" s="10">
        <v>65.849999999999994</v>
      </c>
      <c r="AB12" s="93">
        <v>370400</v>
      </c>
      <c r="AC12" s="10">
        <v>65.849999999999994</v>
      </c>
      <c r="AD12" s="2">
        <f t="shared" si="0"/>
        <v>2.4899999999999949</v>
      </c>
      <c r="AE12" s="134">
        <f t="shared" si="1"/>
        <v>-1.5989240884638489E-2</v>
      </c>
    </row>
    <row r="13" spans="1:31" x14ac:dyDescent="0.25">
      <c r="W13" s="130">
        <v>42815</v>
      </c>
      <c r="X13" s="10">
        <v>69.28</v>
      </c>
      <c r="Y13" s="10">
        <v>69.28</v>
      </c>
      <c r="Z13" s="10">
        <v>66.86</v>
      </c>
      <c r="AA13" s="10">
        <v>66.92</v>
      </c>
      <c r="AB13" s="93">
        <v>264000</v>
      </c>
      <c r="AC13" s="10">
        <v>66.92</v>
      </c>
      <c r="AD13" s="2">
        <f t="shared" si="0"/>
        <v>2.4200000000000017</v>
      </c>
      <c r="AE13" s="134">
        <f t="shared" si="1"/>
        <v>-2.8314215188035452E-2</v>
      </c>
    </row>
    <row r="14" spans="1:31" x14ac:dyDescent="0.25">
      <c r="W14" s="130">
        <v>42814</v>
      </c>
      <c r="X14" s="10">
        <v>68.849999999999994</v>
      </c>
      <c r="Y14" s="10">
        <v>69.290000000000006</v>
      </c>
      <c r="Z14" s="10">
        <v>68.510000000000005</v>
      </c>
      <c r="AA14" s="10">
        <v>68.87</v>
      </c>
      <c r="AB14" s="93">
        <v>204700</v>
      </c>
      <c r="AC14" s="10">
        <v>68.87</v>
      </c>
      <c r="AD14" s="2">
        <f t="shared" si="0"/>
        <v>0.78000000000000114</v>
      </c>
      <c r="AE14" s="134">
        <f t="shared" si="1"/>
        <v>4.3579314352126808E-4</v>
      </c>
    </row>
    <row r="15" spans="1:31" x14ac:dyDescent="0.25">
      <c r="W15" s="130">
        <v>42811</v>
      </c>
      <c r="X15" s="10">
        <v>68.33</v>
      </c>
      <c r="Y15" s="10">
        <v>69.06</v>
      </c>
      <c r="Z15" s="10">
        <v>68.239999999999995</v>
      </c>
      <c r="AA15" s="10">
        <v>68.84</v>
      </c>
      <c r="AB15" s="93">
        <v>532600</v>
      </c>
      <c r="AC15" s="10">
        <v>68.84</v>
      </c>
      <c r="AD15" s="2">
        <f t="shared" si="0"/>
        <v>0.82000000000000739</v>
      </c>
      <c r="AE15" s="134">
        <f t="shared" si="1"/>
        <v>3.6448461874909466E-3</v>
      </c>
    </row>
    <row r="16" spans="1:31" x14ac:dyDescent="0.25">
      <c r="W16" s="130">
        <v>42810</v>
      </c>
      <c r="X16" s="10">
        <v>69.09</v>
      </c>
      <c r="Y16" s="10">
        <v>69.430000000000007</v>
      </c>
      <c r="Z16" s="10">
        <v>68.42</v>
      </c>
      <c r="AA16" s="10">
        <v>68.59</v>
      </c>
      <c r="AB16" s="93">
        <v>172600</v>
      </c>
      <c r="AC16" s="10">
        <v>68.59</v>
      </c>
      <c r="AD16" s="2">
        <f t="shared" si="0"/>
        <v>1.0100000000000051</v>
      </c>
      <c r="AE16" s="134">
        <f t="shared" si="1"/>
        <v>-5.7979417306854852E-3</v>
      </c>
    </row>
    <row r="17" spans="1:31" x14ac:dyDescent="0.25">
      <c r="W17" s="130">
        <v>42809</v>
      </c>
      <c r="X17" s="10">
        <v>68.45</v>
      </c>
      <c r="Y17" s="10">
        <v>69.14</v>
      </c>
      <c r="Z17" s="10">
        <v>68.03</v>
      </c>
      <c r="AA17" s="10">
        <v>68.989999999999995</v>
      </c>
      <c r="AB17" s="93">
        <v>233600</v>
      </c>
      <c r="AC17" s="10">
        <v>68.989999999999995</v>
      </c>
      <c r="AD17" s="2">
        <f t="shared" si="0"/>
        <v>1.1099999999999994</v>
      </c>
      <c r="AE17" s="134">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30">
        <v>42808</v>
      </c>
      <c r="X18" s="10">
        <v>68.260000000000005</v>
      </c>
      <c r="Y18" s="10">
        <v>68.260000000000005</v>
      </c>
      <c r="Z18" s="10">
        <v>67.319999999999993</v>
      </c>
      <c r="AA18" s="10">
        <v>67.959999999999994</v>
      </c>
      <c r="AB18" s="93">
        <v>128900</v>
      </c>
      <c r="AC18" s="10">
        <v>67.959999999999994</v>
      </c>
      <c r="AD18" s="2">
        <f t="shared" si="0"/>
        <v>0.94000000000001194</v>
      </c>
      <c r="AE18" s="134">
        <f t="shared" si="1"/>
        <v>-8.172796263864579E-3</v>
      </c>
    </row>
    <row r="19" spans="1:31" x14ac:dyDescent="0.25">
      <c r="W19" s="130">
        <v>42807</v>
      </c>
      <c r="X19" s="10">
        <v>68.150000000000006</v>
      </c>
      <c r="Y19" s="10">
        <v>68.599999999999994</v>
      </c>
      <c r="Z19" s="10">
        <v>68.11</v>
      </c>
      <c r="AA19" s="10">
        <v>68.52</v>
      </c>
      <c r="AB19" s="93">
        <v>133600</v>
      </c>
      <c r="AC19" s="10">
        <v>68.52</v>
      </c>
      <c r="AD19" s="2">
        <f t="shared" si="0"/>
        <v>0.48999999999999488</v>
      </c>
      <c r="AE19" s="134">
        <f t="shared" si="1"/>
        <v>6.3151710970772434E-3</v>
      </c>
    </row>
    <row r="20" spans="1:31" x14ac:dyDescent="0.25">
      <c r="B20" s="162" t="s">
        <v>113</v>
      </c>
      <c r="C20" s="162" t="s">
        <v>145</v>
      </c>
      <c r="D20" s="163" t="s">
        <v>144</v>
      </c>
      <c r="E20" s="165" t="s">
        <v>146</v>
      </c>
      <c r="F20" s="166" t="s">
        <v>65</v>
      </c>
      <c r="W20" s="130">
        <v>42804</v>
      </c>
      <c r="X20" s="10">
        <v>68.94</v>
      </c>
      <c r="Y20" s="10">
        <v>69.2</v>
      </c>
      <c r="Z20" s="10">
        <v>67.53</v>
      </c>
      <c r="AA20" s="10">
        <v>68.09</v>
      </c>
      <c r="AB20" s="93">
        <v>317800</v>
      </c>
      <c r="AC20" s="10">
        <v>68.09</v>
      </c>
      <c r="AD20" s="2">
        <f t="shared" si="0"/>
        <v>1.6700000000000017</v>
      </c>
      <c r="AE20" s="134">
        <f t="shared" si="1"/>
        <v>-5.2593133674214698E-3</v>
      </c>
    </row>
    <row r="21" spans="1:31" x14ac:dyDescent="0.25">
      <c r="B21" s="164">
        <v>42304</v>
      </c>
      <c r="C21" s="10">
        <v>70</v>
      </c>
      <c r="D21" s="39">
        <v>45.66</v>
      </c>
      <c r="E21" s="39">
        <v>43.76</v>
      </c>
      <c r="F21" s="39">
        <v>-113.3</v>
      </c>
      <c r="W21" s="130">
        <v>42803</v>
      </c>
      <c r="X21" s="10">
        <v>69.42</v>
      </c>
      <c r="Y21" s="10">
        <v>69.77</v>
      </c>
      <c r="Z21" s="10">
        <v>68.319999999999993</v>
      </c>
      <c r="AA21" s="10">
        <v>68.45</v>
      </c>
      <c r="AB21" s="93">
        <v>117000</v>
      </c>
      <c r="AC21" s="10">
        <v>68.45</v>
      </c>
      <c r="AD21" s="2">
        <f t="shared" si="0"/>
        <v>1.4500000000000028</v>
      </c>
      <c r="AE21" s="134">
        <f t="shared" si="1"/>
        <v>-1.3262217096727702E-2</v>
      </c>
    </row>
    <row r="22" spans="1:31" x14ac:dyDescent="0.25">
      <c r="B22" s="164">
        <v>42310</v>
      </c>
      <c r="C22" s="10">
        <v>0</v>
      </c>
      <c r="D22" s="173" t="s">
        <v>128</v>
      </c>
      <c r="E22" s="39">
        <v>46.15</v>
      </c>
      <c r="F22" s="39">
        <v>33.94</v>
      </c>
      <c r="W22" s="130">
        <v>42802</v>
      </c>
      <c r="X22" s="10">
        <v>70.08</v>
      </c>
      <c r="Y22" s="10">
        <v>70.3</v>
      </c>
      <c r="Z22" s="10">
        <v>69.31</v>
      </c>
      <c r="AA22" s="10">
        <v>69.37</v>
      </c>
      <c r="AB22" s="93">
        <v>143500</v>
      </c>
      <c r="AC22" s="10">
        <v>69.37</v>
      </c>
      <c r="AD22" s="2">
        <f t="shared" si="0"/>
        <v>0.98999999999999488</v>
      </c>
      <c r="AE22" s="134">
        <f t="shared" si="1"/>
        <v>-8.4333905088620487E-3</v>
      </c>
    </row>
    <row r="23" spans="1:31" x14ac:dyDescent="0.25">
      <c r="B23" s="10"/>
      <c r="C23" s="10"/>
      <c r="D23" s="39"/>
      <c r="E23" s="39"/>
      <c r="F23" s="39"/>
      <c r="W23" s="130">
        <v>42801</v>
      </c>
      <c r="X23" s="10">
        <v>70.459999999999994</v>
      </c>
      <c r="Y23" s="10">
        <v>70.92</v>
      </c>
      <c r="Z23" s="10">
        <v>69.900000000000006</v>
      </c>
      <c r="AA23" s="10">
        <v>69.959999999999994</v>
      </c>
      <c r="AB23" s="93">
        <v>199900</v>
      </c>
      <c r="AC23" s="10">
        <v>69.959999999999994</v>
      </c>
      <c r="AD23" s="2">
        <f t="shared" si="0"/>
        <v>1.019999999999996</v>
      </c>
      <c r="AE23" s="134">
        <f t="shared" si="1"/>
        <v>-8.2222852282394232E-3</v>
      </c>
    </row>
    <row r="24" spans="1:31" x14ac:dyDescent="0.25">
      <c r="B24" s="10"/>
      <c r="C24" s="10"/>
      <c r="D24" s="39"/>
      <c r="E24" s="39"/>
      <c r="F24" s="39"/>
      <c r="W24" s="130">
        <v>42800</v>
      </c>
      <c r="X24" s="10">
        <v>70.17</v>
      </c>
      <c r="Y24" s="10">
        <v>70.790000000000006</v>
      </c>
      <c r="Z24" s="10">
        <v>69.77</v>
      </c>
      <c r="AA24" s="10">
        <v>70.540000000000006</v>
      </c>
      <c r="AB24" s="93">
        <v>159600</v>
      </c>
      <c r="AC24" s="10">
        <v>70.540000000000006</v>
      </c>
      <c r="AD24" s="2">
        <f t="shared" si="0"/>
        <v>1.0200000000000102</v>
      </c>
      <c r="AE24" s="134">
        <f t="shared" si="1"/>
        <v>2.1309845148458351E-3</v>
      </c>
    </row>
    <row r="25" spans="1:31" x14ac:dyDescent="0.25">
      <c r="B25" s="10"/>
      <c r="C25" s="10"/>
      <c r="D25" s="39"/>
      <c r="E25" s="39"/>
      <c r="F25" s="39"/>
      <c r="W25" s="130">
        <v>42797</v>
      </c>
      <c r="X25" s="10">
        <v>70.8</v>
      </c>
      <c r="Y25" s="10">
        <v>71.44</v>
      </c>
      <c r="Z25" s="10">
        <v>70.150000000000006</v>
      </c>
      <c r="AA25" s="10">
        <v>70.39</v>
      </c>
      <c r="AB25" s="93">
        <v>355600</v>
      </c>
      <c r="AC25" s="10">
        <v>70.39</v>
      </c>
      <c r="AD25" s="2">
        <f t="shared" si="0"/>
        <v>1.289999999999992</v>
      </c>
      <c r="AE25" s="134">
        <f t="shared" si="1"/>
        <v>-5.9313656263240144E-3</v>
      </c>
    </row>
    <row r="26" spans="1:31" x14ac:dyDescent="0.25">
      <c r="B26" s="10"/>
      <c r="C26" s="10"/>
      <c r="D26" s="39"/>
      <c r="E26" s="39"/>
      <c r="F26" s="39"/>
      <c r="W26" s="130">
        <v>42796</v>
      </c>
      <c r="X26" s="10">
        <v>72</v>
      </c>
      <c r="Y26" s="10">
        <v>72.08</v>
      </c>
      <c r="Z26" s="10">
        <v>70.709999999999994</v>
      </c>
      <c r="AA26" s="10">
        <v>70.81</v>
      </c>
      <c r="AB26" s="93">
        <v>183000</v>
      </c>
      <c r="AC26" s="10">
        <v>70.81</v>
      </c>
      <c r="AD26" s="2">
        <f t="shared" si="0"/>
        <v>1.3700000000000045</v>
      </c>
      <c r="AE26" s="134">
        <f t="shared" si="1"/>
        <v>-1.5981100611450638E-2</v>
      </c>
    </row>
    <row r="27" spans="1:31" x14ac:dyDescent="0.25">
      <c r="B27" s="10"/>
      <c r="C27" s="10"/>
      <c r="D27" s="39"/>
      <c r="E27" s="39"/>
      <c r="F27" s="39"/>
      <c r="W27" s="130">
        <v>42795</v>
      </c>
      <c r="X27" s="10">
        <v>71.28</v>
      </c>
      <c r="Y27" s="10">
        <v>72.28</v>
      </c>
      <c r="Z27" s="10">
        <v>71.28</v>
      </c>
      <c r="AA27" s="10">
        <v>71.959999999999994</v>
      </c>
      <c r="AB27" s="93">
        <v>372700</v>
      </c>
      <c r="AC27" s="10">
        <v>71.959999999999994</v>
      </c>
      <c r="AD27" s="2">
        <f t="shared" si="0"/>
        <v>1</v>
      </c>
      <c r="AE27" s="134">
        <f t="shared" si="1"/>
        <v>2.1433640880056615E-2</v>
      </c>
    </row>
    <row r="28" spans="1:31" x14ac:dyDescent="0.25">
      <c r="B28" s="10"/>
      <c r="C28" s="10"/>
      <c r="D28" s="39"/>
      <c r="E28" s="39"/>
      <c r="F28" s="39"/>
      <c r="W28" s="130">
        <v>42794</v>
      </c>
      <c r="X28" s="10">
        <v>72</v>
      </c>
      <c r="Y28" s="10">
        <v>72.069999999999993</v>
      </c>
      <c r="Z28" s="10">
        <v>70.42</v>
      </c>
      <c r="AA28" s="10">
        <v>70.45</v>
      </c>
      <c r="AB28" s="93">
        <v>289400</v>
      </c>
      <c r="AC28" s="10">
        <v>70.45</v>
      </c>
      <c r="AD28" s="2">
        <f t="shared" si="0"/>
        <v>1.6499999999999915</v>
      </c>
      <c r="AE28" s="134">
        <f t="shared" si="1"/>
        <v>-1.9621486223211804E-2</v>
      </c>
    </row>
    <row r="29" spans="1:31" x14ac:dyDescent="0.25">
      <c r="B29" s="10"/>
      <c r="C29" s="10"/>
      <c r="D29" s="39"/>
      <c r="E29" s="39"/>
      <c r="F29" s="39"/>
      <c r="W29" s="130">
        <v>42793</v>
      </c>
      <c r="X29" s="10">
        <v>70.2</v>
      </c>
      <c r="Y29" s="10">
        <v>71.97</v>
      </c>
      <c r="Z29" s="10">
        <v>70.069999999999993</v>
      </c>
      <c r="AA29" s="10">
        <v>71.86</v>
      </c>
      <c r="AB29" s="93">
        <v>606900</v>
      </c>
      <c r="AC29" s="10">
        <v>71.86</v>
      </c>
      <c r="AD29" s="2">
        <f t="shared" si="0"/>
        <v>1.9000000000000057</v>
      </c>
      <c r="AE29" s="134">
        <f t="shared" si="1"/>
        <v>2.5253245826794002E-2</v>
      </c>
    </row>
    <row r="30" spans="1:31" x14ac:dyDescent="0.25">
      <c r="B30" s="10"/>
      <c r="C30" s="10"/>
      <c r="D30" s="39"/>
      <c r="E30" s="39"/>
      <c r="F30" s="39"/>
      <c r="W30" s="130">
        <v>42790</v>
      </c>
      <c r="X30" s="10">
        <v>69.5</v>
      </c>
      <c r="Y30" s="10">
        <v>70.099999999999994</v>
      </c>
      <c r="Z30" s="10">
        <v>69.41</v>
      </c>
      <c r="AA30" s="10">
        <v>70.09</v>
      </c>
      <c r="AB30" s="93">
        <v>239900</v>
      </c>
      <c r="AC30" s="10">
        <v>70.09</v>
      </c>
      <c r="AD30" s="2">
        <f t="shared" si="0"/>
        <v>0.68999999999999773</v>
      </c>
      <c r="AE30" s="134">
        <f t="shared" si="1"/>
        <v>9.9971436732371188E-4</v>
      </c>
    </row>
    <row r="31" spans="1:31" x14ac:dyDescent="0.25">
      <c r="W31" s="130">
        <v>42789</v>
      </c>
      <c r="X31" s="10">
        <v>71.25</v>
      </c>
      <c r="Y31" s="10">
        <v>71.25</v>
      </c>
      <c r="Z31" s="10">
        <v>69.62</v>
      </c>
      <c r="AA31" s="10">
        <v>70.02</v>
      </c>
      <c r="AB31" s="93">
        <v>165700</v>
      </c>
      <c r="AC31" s="10">
        <v>70.02</v>
      </c>
      <c r="AD31" s="2">
        <f t="shared" si="0"/>
        <v>1.6299999999999955</v>
      </c>
      <c r="AE31" s="134">
        <f t="shared" si="1"/>
        <v>-1.3802816901408499E-2</v>
      </c>
    </row>
    <row r="32" spans="1:31" x14ac:dyDescent="0.25">
      <c r="W32" s="130">
        <v>42788</v>
      </c>
      <c r="X32" s="10">
        <v>71.08</v>
      </c>
      <c r="Y32" s="10">
        <v>71.23</v>
      </c>
      <c r="Z32" s="10">
        <v>70.66</v>
      </c>
      <c r="AA32" s="10">
        <v>71</v>
      </c>
      <c r="AB32" s="93">
        <v>196500</v>
      </c>
      <c r="AC32" s="10">
        <v>71</v>
      </c>
      <c r="AD32" s="2">
        <f t="shared" si="0"/>
        <v>0.57000000000000739</v>
      </c>
      <c r="AE32" s="134">
        <f t="shared" si="1"/>
        <v>-2.668914173338921E-3</v>
      </c>
    </row>
    <row r="33" spans="1:31" x14ac:dyDescent="0.25">
      <c r="L33" t="s">
        <v>203</v>
      </c>
      <c r="M33" s="2">
        <f>M51+K51-F51</f>
        <v>33.940000000000055</v>
      </c>
      <c r="W33" s="130">
        <v>42787</v>
      </c>
      <c r="X33" s="10">
        <v>70.64</v>
      </c>
      <c r="Y33" s="10">
        <v>71.27</v>
      </c>
      <c r="Z33" s="10">
        <v>70.3</v>
      </c>
      <c r="AA33" s="10">
        <v>71.19</v>
      </c>
      <c r="AB33" s="93">
        <v>249600</v>
      </c>
      <c r="AC33" s="10">
        <v>71.19</v>
      </c>
      <c r="AD33" s="2">
        <f t="shared" si="0"/>
        <v>0.96999999999999886</v>
      </c>
      <c r="AE33" s="134">
        <f t="shared" si="1"/>
        <v>1.1508951406649759E-2</v>
      </c>
    </row>
    <row r="34" spans="1:31" x14ac:dyDescent="0.25">
      <c r="A34" s="304" t="s">
        <v>1</v>
      </c>
      <c r="B34" s="304" t="s">
        <v>2</v>
      </c>
      <c r="C34" s="304" t="s">
        <v>4</v>
      </c>
      <c r="D34" s="306" t="s">
        <v>5</v>
      </c>
      <c r="E34" s="306" t="s">
        <v>94</v>
      </c>
      <c r="F34" s="306" t="s">
        <v>60</v>
      </c>
      <c r="G34" s="304" t="s">
        <v>3</v>
      </c>
      <c r="H34" s="304" t="s">
        <v>6</v>
      </c>
      <c r="I34" s="304" t="s">
        <v>7</v>
      </c>
      <c r="J34" s="304" t="s">
        <v>95</v>
      </c>
      <c r="K34" s="304" t="s">
        <v>61</v>
      </c>
      <c r="L34" s="304" t="s">
        <v>77</v>
      </c>
      <c r="M34" s="304" t="s">
        <v>38</v>
      </c>
      <c r="W34" s="130">
        <v>42783</v>
      </c>
      <c r="X34" s="10">
        <v>70.069999999999993</v>
      </c>
      <c r="Y34" s="10">
        <v>70.400000000000006</v>
      </c>
      <c r="Z34" s="10">
        <v>69.739999999999995</v>
      </c>
      <c r="AA34" s="10">
        <v>70.38</v>
      </c>
      <c r="AB34" s="93">
        <v>181700</v>
      </c>
      <c r="AC34" s="10">
        <v>70.38</v>
      </c>
      <c r="AD34" s="2">
        <f t="shared" si="0"/>
        <v>0.6600000000000108</v>
      </c>
      <c r="AE34" s="134">
        <f t="shared" si="1"/>
        <v>2.421307506053294E-3</v>
      </c>
    </row>
    <row r="35" spans="1:31" x14ac:dyDescent="0.25">
      <c r="A35" s="307" t="s">
        <v>53</v>
      </c>
      <c r="B35" s="297">
        <v>42214</v>
      </c>
      <c r="C35" s="298">
        <v>15</v>
      </c>
      <c r="D35" s="299">
        <v>47.8</v>
      </c>
      <c r="E35" s="299">
        <v>0</v>
      </c>
      <c r="F35" s="299">
        <f>C35*D35</f>
        <v>717</v>
      </c>
      <c r="G35" s="297">
        <v>42313</v>
      </c>
      <c r="H35" s="299">
        <v>70</v>
      </c>
      <c r="I35" s="299">
        <v>46.15</v>
      </c>
      <c r="J35" s="299">
        <v>0.06</v>
      </c>
      <c r="K35" s="298">
        <f>I35*H35-J35</f>
        <v>3230.44</v>
      </c>
      <c r="L35" s="297">
        <v>42247</v>
      </c>
      <c r="M35" s="299">
        <v>3.5</v>
      </c>
      <c r="W35" s="130">
        <v>42782</v>
      </c>
      <c r="X35" s="10">
        <v>70.63</v>
      </c>
      <c r="Y35" s="10">
        <v>70.69</v>
      </c>
      <c r="Z35" s="10">
        <v>69.790000000000006</v>
      </c>
      <c r="AA35" s="10">
        <v>70.209999999999994</v>
      </c>
      <c r="AB35" s="93">
        <v>103000</v>
      </c>
      <c r="AC35" s="10">
        <v>70.209999999999994</v>
      </c>
      <c r="AD35" s="2">
        <f t="shared" si="0"/>
        <v>0.89999999999999147</v>
      </c>
      <c r="AE35" s="134">
        <f t="shared" si="1"/>
        <v>-2.5571814178151353E-3</v>
      </c>
    </row>
    <row r="36" spans="1:31" x14ac:dyDescent="0.25">
      <c r="A36" s="308" t="s">
        <v>71</v>
      </c>
      <c r="B36" s="297">
        <v>42233</v>
      </c>
      <c r="C36" s="298">
        <v>20</v>
      </c>
      <c r="D36" s="299">
        <v>47.5</v>
      </c>
      <c r="E36" s="299">
        <v>0</v>
      </c>
      <c r="F36" s="299">
        <f>C36*D36</f>
        <v>950</v>
      </c>
      <c r="G36" s="298"/>
      <c r="H36" s="298"/>
      <c r="I36" s="298"/>
      <c r="J36" s="298"/>
      <c r="K36" s="298"/>
      <c r="L36" s="297">
        <v>42338</v>
      </c>
      <c r="M36" s="298"/>
      <c r="W36" s="130">
        <v>42781</v>
      </c>
      <c r="X36" s="10">
        <v>69.64</v>
      </c>
      <c r="Y36" s="10">
        <v>70.569999999999993</v>
      </c>
      <c r="Z36" s="10">
        <v>69.64</v>
      </c>
      <c r="AA36" s="10">
        <v>70.39</v>
      </c>
      <c r="AB36" s="93">
        <v>105100</v>
      </c>
      <c r="AC36" s="10">
        <v>70.39</v>
      </c>
      <c r="AD36" s="2">
        <f t="shared" si="0"/>
        <v>0.92999999999999261</v>
      </c>
      <c r="AE36" s="134" t="e">
        <f t="shared" si="1"/>
        <v>#DIV/0!</v>
      </c>
    </row>
    <row r="37" spans="1:31" x14ac:dyDescent="0.25">
      <c r="A37" s="298"/>
      <c r="B37" s="297">
        <v>42269</v>
      </c>
      <c r="C37" s="298">
        <v>35</v>
      </c>
      <c r="D37" s="299">
        <v>43.8</v>
      </c>
      <c r="E37" s="299">
        <v>0</v>
      </c>
      <c r="F37" s="299">
        <f>C37*D37</f>
        <v>1533</v>
      </c>
      <c r="G37" s="298"/>
      <c r="H37" s="298"/>
      <c r="I37" s="298"/>
      <c r="J37" s="298"/>
      <c r="K37" s="298"/>
      <c r="L37" s="298"/>
      <c r="M37" s="298"/>
      <c r="W37" s="130">
        <v>42781</v>
      </c>
      <c r="X37" s="10" t="s">
        <v>426</v>
      </c>
      <c r="Y37" s="10"/>
      <c r="Z37" s="10"/>
      <c r="AA37" s="10"/>
      <c r="AB37" s="93"/>
      <c r="AC37" s="10"/>
      <c r="AD37" s="2">
        <f t="shared" si="0"/>
        <v>0</v>
      </c>
      <c r="AE37" s="134">
        <f t="shared" si="1"/>
        <v>-1</v>
      </c>
    </row>
    <row r="38" spans="1:31" x14ac:dyDescent="0.25">
      <c r="A38" s="298"/>
      <c r="B38" s="298"/>
      <c r="C38" s="298"/>
      <c r="D38" s="299"/>
      <c r="E38" s="299"/>
      <c r="F38" s="299"/>
      <c r="G38" s="298"/>
      <c r="H38" s="298"/>
      <c r="I38" s="298"/>
      <c r="J38" s="298"/>
      <c r="K38" s="298"/>
      <c r="L38" s="298"/>
      <c r="M38" s="298"/>
      <c r="W38" s="130">
        <v>42780</v>
      </c>
      <c r="X38" s="10">
        <v>69.72</v>
      </c>
      <c r="Y38" s="10">
        <v>70.11</v>
      </c>
      <c r="Z38" s="10">
        <v>69.5</v>
      </c>
      <c r="AA38" s="10">
        <v>70.06</v>
      </c>
      <c r="AB38" s="93">
        <v>204100</v>
      </c>
      <c r="AC38" s="10">
        <v>69.930000000000007</v>
      </c>
      <c r="AD38" s="2">
        <f t="shared" si="0"/>
        <v>0.60999999999999943</v>
      </c>
      <c r="AE38" s="134">
        <f t="shared" si="1"/>
        <v>1.4302059496573705E-4</v>
      </c>
    </row>
    <row r="39" spans="1:31" x14ac:dyDescent="0.25">
      <c r="A39" s="298"/>
      <c r="B39" s="298"/>
      <c r="C39" s="298"/>
      <c r="D39" s="299"/>
      <c r="E39" s="299"/>
      <c r="F39" s="299"/>
      <c r="G39" s="298"/>
      <c r="H39" s="298"/>
      <c r="I39" s="298"/>
      <c r="J39" s="298"/>
      <c r="K39" s="298"/>
      <c r="L39" s="298"/>
      <c r="M39" s="298"/>
      <c r="W39" s="130">
        <v>42779</v>
      </c>
      <c r="X39" s="10">
        <v>70.45</v>
      </c>
      <c r="Y39" s="10">
        <v>70.75</v>
      </c>
      <c r="Z39" s="10">
        <v>69.959999999999994</v>
      </c>
      <c r="AA39" s="10">
        <v>70.040000000000006</v>
      </c>
      <c r="AB39" s="93">
        <v>185900</v>
      </c>
      <c r="AC39" s="10">
        <v>69.92</v>
      </c>
      <c r="AD39" s="2">
        <f t="shared" si="0"/>
        <v>0.79000000000000625</v>
      </c>
      <c r="AE39" s="134">
        <f t="shared" si="1"/>
        <v>-2.7100271002710175E-3</v>
      </c>
    </row>
    <row r="40" spans="1:31" x14ac:dyDescent="0.25">
      <c r="A40" s="298"/>
      <c r="B40" s="298"/>
      <c r="C40" s="298"/>
      <c r="D40" s="299"/>
      <c r="E40" s="299"/>
      <c r="F40" s="299"/>
      <c r="G40" s="298"/>
      <c r="H40" s="298"/>
      <c r="I40" s="298"/>
      <c r="J40" s="298"/>
      <c r="K40" s="298"/>
      <c r="L40" s="298"/>
      <c r="M40" s="298"/>
      <c r="W40" s="130">
        <v>42776</v>
      </c>
      <c r="X40" s="10">
        <v>70.709999999999994</v>
      </c>
      <c r="Y40" s="10">
        <v>70.83</v>
      </c>
      <c r="Z40" s="10">
        <v>69.84</v>
      </c>
      <c r="AA40" s="10">
        <v>70.239999999999995</v>
      </c>
      <c r="AB40" s="93">
        <v>274400</v>
      </c>
      <c r="AC40" s="10">
        <v>70.11</v>
      </c>
      <c r="AD40" s="2">
        <f t="shared" si="0"/>
        <v>0.98999999999999488</v>
      </c>
      <c r="AE40" s="134">
        <f t="shared" si="1"/>
        <v>-2.1349274124680129E-3</v>
      </c>
    </row>
    <row r="41" spans="1:31" x14ac:dyDescent="0.25">
      <c r="A41" s="298"/>
      <c r="B41" s="298"/>
      <c r="C41" s="298"/>
      <c r="D41" s="299"/>
      <c r="E41" s="299"/>
      <c r="F41" s="299"/>
      <c r="G41" s="298"/>
      <c r="H41" s="298"/>
      <c r="I41" s="298"/>
      <c r="J41" s="298"/>
      <c r="K41" s="298"/>
      <c r="L41" s="298"/>
      <c r="M41" s="298"/>
      <c r="O41" s="33"/>
      <c r="W41" s="130">
        <v>42775</v>
      </c>
      <c r="X41" s="10">
        <v>70.7</v>
      </c>
      <c r="Y41" s="10">
        <v>70.739999999999995</v>
      </c>
      <c r="Z41" s="10">
        <v>69.25</v>
      </c>
      <c r="AA41" s="10">
        <v>70.39</v>
      </c>
      <c r="AB41" s="93">
        <v>231200</v>
      </c>
      <c r="AC41" s="10">
        <v>70.260000000000005</v>
      </c>
      <c r="AD41" s="2">
        <f t="shared" si="0"/>
        <v>1.4899999999999949</v>
      </c>
      <c r="AE41" s="134">
        <f t="shared" si="1"/>
        <v>1.4145496535796775E-2</v>
      </c>
    </row>
    <row r="42" spans="1:31" ht="20.25" thickBot="1" x14ac:dyDescent="0.35">
      <c r="A42" s="298"/>
      <c r="B42" s="298"/>
      <c r="C42" s="298"/>
      <c r="D42" s="299"/>
      <c r="E42" s="299"/>
      <c r="F42" s="299"/>
      <c r="G42" s="298"/>
      <c r="H42" s="298"/>
      <c r="I42" s="298"/>
      <c r="J42" s="298"/>
      <c r="K42" s="298"/>
      <c r="L42" s="298"/>
      <c r="M42" s="298"/>
      <c r="O42" s="884" t="s">
        <v>78</v>
      </c>
      <c r="P42" s="884"/>
      <c r="Q42" s="33"/>
      <c r="T42" s="89" t="s">
        <v>112</v>
      </c>
      <c r="W42" s="130">
        <v>42774</v>
      </c>
      <c r="X42" s="10">
        <v>69.56</v>
      </c>
      <c r="Y42" s="10">
        <v>69.819999999999993</v>
      </c>
      <c r="Z42" s="10">
        <v>69.05</v>
      </c>
      <c r="AA42" s="10">
        <v>69.400000000000006</v>
      </c>
      <c r="AB42" s="93">
        <v>215300</v>
      </c>
      <c r="AC42" s="10">
        <v>69.28</v>
      </c>
      <c r="AD42" s="2">
        <f t="shared" si="0"/>
        <v>0.76999999999999602</v>
      </c>
      <c r="AE42" s="134">
        <f t="shared" si="1"/>
        <v>-4.7406981755494515E-3</v>
      </c>
    </row>
    <row r="43" spans="1:31" ht="15.75" thickTop="1" x14ac:dyDescent="0.25">
      <c r="A43" s="298"/>
      <c r="B43" s="298"/>
      <c r="C43" s="298"/>
      <c r="D43" s="299"/>
      <c r="E43" s="299"/>
      <c r="F43" s="299"/>
      <c r="G43" s="298"/>
      <c r="H43" s="298"/>
      <c r="I43" s="298"/>
      <c r="J43" s="298"/>
      <c r="K43" s="298"/>
      <c r="L43" s="298"/>
      <c r="M43" s="298"/>
      <c r="O43" s="81">
        <v>1.1000000000000001</v>
      </c>
      <c r="P43" s="81">
        <f>O43*$Q$4</f>
        <v>95.326000000000008</v>
      </c>
      <c r="Q43" s="33"/>
      <c r="T43" s="125" t="s">
        <v>97</v>
      </c>
      <c r="U43" s="96">
        <v>68.66</v>
      </c>
      <c r="W43" s="130">
        <v>42773</v>
      </c>
      <c r="X43" s="10">
        <v>70.25</v>
      </c>
      <c r="Y43" s="10">
        <v>70.69</v>
      </c>
      <c r="Z43" s="10">
        <v>69.540000000000006</v>
      </c>
      <c r="AA43" s="10">
        <v>69.73</v>
      </c>
      <c r="AB43" s="93">
        <v>227600</v>
      </c>
      <c r="AC43" s="10">
        <v>69.61</v>
      </c>
      <c r="AD43" s="2">
        <f t="shared" si="0"/>
        <v>1.1499999999999915</v>
      </c>
      <c r="AE43" s="134">
        <f t="shared" si="1"/>
        <v>-4.0062956073830813E-3</v>
      </c>
    </row>
    <row r="44" spans="1:31" x14ac:dyDescent="0.25">
      <c r="A44" s="298"/>
      <c r="B44" s="298"/>
      <c r="C44" s="298"/>
      <c r="D44" s="299"/>
      <c r="E44" s="299"/>
      <c r="F44" s="299"/>
      <c r="G44" s="298"/>
      <c r="H44" s="298"/>
      <c r="I44" s="298"/>
      <c r="J44" s="298"/>
      <c r="K44" s="298"/>
      <c r="L44" s="298"/>
      <c r="M44" s="298"/>
      <c r="O44" s="81">
        <v>1.0900000000000001</v>
      </c>
      <c r="P44" s="81">
        <f t="shared" ref="P44:P63" si="2">O44*$Q$4</f>
        <v>94.459400000000002</v>
      </c>
      <c r="Q44" s="33"/>
      <c r="T44" s="91" t="s">
        <v>98</v>
      </c>
      <c r="U44" s="86">
        <v>69.25</v>
      </c>
      <c r="W44" s="130">
        <v>42772</v>
      </c>
      <c r="X44" s="10">
        <v>70.05</v>
      </c>
      <c r="Y44" s="10">
        <v>70.27</v>
      </c>
      <c r="Z44" s="10">
        <v>69.56</v>
      </c>
      <c r="AA44" s="10">
        <v>70.010000000000005</v>
      </c>
      <c r="AB44" s="93">
        <v>162900</v>
      </c>
      <c r="AC44" s="10">
        <v>69.89</v>
      </c>
      <c r="AD44" s="2">
        <f t="shared" si="0"/>
        <v>0.70999999999999375</v>
      </c>
      <c r="AE44" s="134">
        <f t="shared" si="1"/>
        <v>-4.4159544159544373E-3</v>
      </c>
    </row>
    <row r="45" spans="1:31" x14ac:dyDescent="0.25">
      <c r="A45" s="298"/>
      <c r="B45" s="298"/>
      <c r="C45" s="298"/>
      <c r="D45" s="299"/>
      <c r="E45" s="299"/>
      <c r="F45" s="299"/>
      <c r="G45" s="298"/>
      <c r="H45" s="298"/>
      <c r="I45" s="298"/>
      <c r="J45" s="298"/>
      <c r="K45" s="298"/>
      <c r="L45" s="298"/>
      <c r="M45" s="298"/>
      <c r="O45" s="81">
        <v>1.08</v>
      </c>
      <c r="P45" s="81">
        <f t="shared" si="2"/>
        <v>93.592799999999997</v>
      </c>
      <c r="Q45" s="33"/>
      <c r="T45" s="91" t="s">
        <v>99</v>
      </c>
      <c r="U45" s="86" t="s">
        <v>128</v>
      </c>
      <c r="W45" s="130">
        <v>42769</v>
      </c>
      <c r="X45" s="10">
        <v>69.94</v>
      </c>
      <c r="Y45" s="10">
        <v>70.430000000000007</v>
      </c>
      <c r="Z45" s="10">
        <v>69.55</v>
      </c>
      <c r="AA45" s="10">
        <v>70.33</v>
      </c>
      <c r="AB45" s="93">
        <v>211500</v>
      </c>
      <c r="AC45" s="10">
        <v>70.2</v>
      </c>
      <c r="AD45" s="2">
        <f t="shared" si="0"/>
        <v>0.88000000000000966</v>
      </c>
      <c r="AE45" s="134">
        <f t="shared" si="1"/>
        <v>1.6949152542372836E-2</v>
      </c>
    </row>
    <row r="46" spans="1:31" x14ac:dyDescent="0.25">
      <c r="A46" s="298"/>
      <c r="B46" s="298"/>
      <c r="C46" s="298"/>
      <c r="D46" s="299"/>
      <c r="E46" s="299"/>
      <c r="F46" s="299"/>
      <c r="G46" s="298"/>
      <c r="H46" s="298"/>
      <c r="I46" s="298"/>
      <c r="J46" s="298"/>
      <c r="K46" s="298"/>
      <c r="L46" s="298"/>
      <c r="M46" s="298"/>
      <c r="O46" s="81">
        <v>1.07</v>
      </c>
      <c r="P46" s="81">
        <f t="shared" si="2"/>
        <v>92.726200000000006</v>
      </c>
      <c r="Q46" s="81"/>
      <c r="T46" s="91" t="s">
        <v>100</v>
      </c>
      <c r="U46" s="86" t="s">
        <v>630</v>
      </c>
      <c r="W46" s="130">
        <v>42768</v>
      </c>
      <c r="X46" s="10">
        <v>68.75</v>
      </c>
      <c r="Y46" s="10">
        <v>69.37</v>
      </c>
      <c r="Z46" s="10">
        <v>68.260000000000005</v>
      </c>
      <c r="AA46" s="10">
        <v>69.150000000000006</v>
      </c>
      <c r="AB46" s="93">
        <v>323200</v>
      </c>
      <c r="AC46" s="10">
        <v>69.03</v>
      </c>
      <c r="AD46" s="2">
        <f t="shared" si="0"/>
        <v>1.1099999999999994</v>
      </c>
      <c r="AE46" s="134">
        <f t="shared" si="1"/>
        <v>-5.188067444876765E-3</v>
      </c>
    </row>
    <row r="47" spans="1:31" x14ac:dyDescent="0.25">
      <c r="A47" s="298"/>
      <c r="B47" s="298"/>
      <c r="C47" s="298"/>
      <c r="D47" s="299"/>
      <c r="E47" s="299"/>
      <c r="F47" s="299"/>
      <c r="G47" s="298"/>
      <c r="H47" s="298"/>
      <c r="I47" s="298"/>
      <c r="J47" s="298"/>
      <c r="K47" s="298"/>
      <c r="L47" s="298"/>
      <c r="M47" s="298"/>
      <c r="O47" s="81">
        <v>1.06</v>
      </c>
      <c r="P47" s="81">
        <f t="shared" si="2"/>
        <v>91.8596</v>
      </c>
      <c r="Q47" s="81"/>
      <c r="T47" s="91" t="s">
        <v>101</v>
      </c>
      <c r="U47" s="86">
        <v>70.2</v>
      </c>
      <c r="W47" s="130">
        <v>42767</v>
      </c>
      <c r="X47" s="10">
        <v>69.959999999999994</v>
      </c>
      <c r="Y47" s="10">
        <v>70.31</v>
      </c>
      <c r="Z47" s="10">
        <v>69.02</v>
      </c>
      <c r="AA47" s="10">
        <v>69.510000000000005</v>
      </c>
      <c r="AB47" s="93">
        <v>276700</v>
      </c>
      <c r="AC47" s="10">
        <v>69.39</v>
      </c>
      <c r="AD47" s="2">
        <f t="shared" si="0"/>
        <v>1.2900000000000063</v>
      </c>
      <c r="AE47" s="134">
        <f t="shared" si="1"/>
        <v>-1.8699654775603536E-3</v>
      </c>
    </row>
    <row r="48" spans="1:31" x14ac:dyDescent="0.25">
      <c r="A48" s="298"/>
      <c r="B48" s="298"/>
      <c r="C48" s="298"/>
      <c r="D48" s="299"/>
      <c r="E48" s="299"/>
      <c r="F48" s="299"/>
      <c r="G48" s="298"/>
      <c r="H48" s="298"/>
      <c r="I48" s="298"/>
      <c r="J48" s="298"/>
      <c r="K48" s="298"/>
      <c r="L48" s="298"/>
      <c r="M48" s="298"/>
      <c r="O48" s="81">
        <v>1.05</v>
      </c>
      <c r="P48" s="81">
        <f t="shared" si="2"/>
        <v>90.992999999999995</v>
      </c>
      <c r="Q48" s="81"/>
      <c r="T48" s="91" t="s">
        <v>102</v>
      </c>
      <c r="U48" s="86">
        <v>1.4081300000000001</v>
      </c>
      <c r="W48" s="130">
        <v>42766</v>
      </c>
      <c r="X48" s="10">
        <v>69.680000000000007</v>
      </c>
      <c r="Y48" s="10">
        <v>70.39</v>
      </c>
      <c r="Z48" s="10">
        <v>68.7</v>
      </c>
      <c r="AA48" s="10">
        <v>69.64</v>
      </c>
      <c r="AB48" s="93">
        <v>373500</v>
      </c>
      <c r="AC48" s="10">
        <v>69.52</v>
      </c>
      <c r="AD48" s="2">
        <f t="shared" si="0"/>
        <v>1.6899999999999977</v>
      </c>
      <c r="AE48" s="134">
        <f t="shared" si="1"/>
        <v>-5.5786010585038293E-3</v>
      </c>
    </row>
    <row r="49" spans="1:31" x14ac:dyDescent="0.25">
      <c r="A49" s="298"/>
      <c r="B49" s="298"/>
      <c r="C49" s="298"/>
      <c r="D49" s="299"/>
      <c r="E49" s="299"/>
      <c r="F49" s="299"/>
      <c r="G49" s="298"/>
      <c r="H49" s="298"/>
      <c r="I49" s="298"/>
      <c r="J49" s="298"/>
      <c r="K49" s="298"/>
      <c r="L49" s="298"/>
      <c r="M49" s="298"/>
      <c r="O49" s="81">
        <v>1.04</v>
      </c>
      <c r="P49" s="81">
        <f t="shared" si="2"/>
        <v>90.126400000000004</v>
      </c>
      <c r="Q49" s="81"/>
      <c r="T49" s="91" t="s">
        <v>121</v>
      </c>
      <c r="U49" s="86" t="s">
        <v>348</v>
      </c>
      <c r="W49" s="130">
        <v>42765</v>
      </c>
      <c r="X49" s="10">
        <v>69.34</v>
      </c>
      <c r="Y49" s="10">
        <v>70.37</v>
      </c>
      <c r="Z49" s="10">
        <v>68.2</v>
      </c>
      <c r="AA49" s="10">
        <v>70.03</v>
      </c>
      <c r="AB49" s="93">
        <v>478000</v>
      </c>
      <c r="AC49" s="10">
        <v>69.91</v>
      </c>
      <c r="AD49" s="2">
        <f t="shared" si="0"/>
        <v>2.1700000000000017</v>
      </c>
      <c r="AE49" s="134">
        <f t="shared" si="1"/>
        <v>4.2930738408708535E-4</v>
      </c>
    </row>
    <row r="50" spans="1:31" x14ac:dyDescent="0.25">
      <c r="A50" s="298"/>
      <c r="B50" s="298"/>
      <c r="C50" s="298"/>
      <c r="D50" s="299"/>
      <c r="E50" s="299"/>
      <c r="F50" s="299"/>
      <c r="G50" s="298"/>
      <c r="H50" s="298"/>
      <c r="I50" s="298"/>
      <c r="J50" s="298"/>
      <c r="K50" s="298"/>
      <c r="L50" s="298"/>
      <c r="M50" s="298"/>
      <c r="O50" s="81">
        <v>1.03</v>
      </c>
      <c r="P50" s="81">
        <f t="shared" si="2"/>
        <v>89.259799999999998</v>
      </c>
      <c r="Q50" s="81"/>
      <c r="T50" s="91"/>
      <c r="U50" s="86"/>
      <c r="W50" s="130">
        <v>42762</v>
      </c>
      <c r="X50" s="10">
        <v>70.14</v>
      </c>
      <c r="Y50" s="10">
        <v>70.89</v>
      </c>
      <c r="Z50" s="10">
        <v>69.900000000000006</v>
      </c>
      <c r="AA50" s="10">
        <v>70</v>
      </c>
      <c r="AB50" s="93">
        <v>218400</v>
      </c>
      <c r="AC50" s="10">
        <v>69.88</v>
      </c>
      <c r="AD50" s="2">
        <f t="shared" si="0"/>
        <v>0.98999999999999488</v>
      </c>
      <c r="AE50" s="134">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81">
        <v>1.02</v>
      </c>
      <c r="P51" s="81">
        <f t="shared" si="2"/>
        <v>88.393199999999993</v>
      </c>
      <c r="Q51" s="81"/>
      <c r="T51" s="91" t="s">
        <v>104</v>
      </c>
      <c r="U51" s="86" t="s">
        <v>631</v>
      </c>
      <c r="W51" s="130">
        <v>42761</v>
      </c>
      <c r="X51" s="10">
        <v>69.44</v>
      </c>
      <c r="Y51" s="10">
        <v>70.260000000000005</v>
      </c>
      <c r="Z51" s="10">
        <v>69.150000000000006</v>
      </c>
      <c r="AA51" s="10">
        <v>70.23</v>
      </c>
      <c r="AB51" s="93">
        <v>410700</v>
      </c>
      <c r="AC51" s="10">
        <v>70.099999999999994</v>
      </c>
      <c r="AD51" s="2">
        <f t="shared" si="0"/>
        <v>1.1099999999999994</v>
      </c>
      <c r="AE51" s="134">
        <f t="shared" si="1"/>
        <v>1.1252163877668808E-2</v>
      </c>
    </row>
    <row r="52" spans="1:31" x14ac:dyDescent="0.25">
      <c r="A52" s="298"/>
      <c r="B52" s="298"/>
      <c r="C52" s="298"/>
      <c r="D52" s="299"/>
      <c r="E52" s="299"/>
      <c r="F52" s="299"/>
      <c r="G52" s="298"/>
      <c r="H52" s="298"/>
      <c r="I52" s="298"/>
      <c r="J52" s="298"/>
      <c r="K52" s="298"/>
      <c r="L52" s="298"/>
      <c r="M52" s="298"/>
      <c r="O52" s="81">
        <v>1.01</v>
      </c>
      <c r="P52" s="81">
        <f t="shared" si="2"/>
        <v>87.526600000000002</v>
      </c>
      <c r="Q52" s="81"/>
      <c r="T52" s="91" t="s">
        <v>105</v>
      </c>
      <c r="U52" s="86" t="s">
        <v>632</v>
      </c>
      <c r="W52" s="130">
        <v>42760</v>
      </c>
      <c r="X52" s="10">
        <v>69.7</v>
      </c>
      <c r="Y52" s="10">
        <v>69.7</v>
      </c>
      <c r="Z52" s="10">
        <v>69</v>
      </c>
      <c r="AA52" s="10">
        <v>69.44</v>
      </c>
      <c r="AB52" s="93">
        <v>361500</v>
      </c>
      <c r="AC52" s="10">
        <v>69.319999999999993</v>
      </c>
      <c r="AD52" s="2">
        <f t="shared" si="0"/>
        <v>0.70000000000000284</v>
      </c>
      <c r="AE52" s="134">
        <f t="shared" si="1"/>
        <v>7.21813194745069E-4</v>
      </c>
    </row>
    <row r="53" spans="1:31" x14ac:dyDescent="0.25">
      <c r="O53" s="81">
        <v>1</v>
      </c>
      <c r="P53" s="81">
        <f t="shared" si="2"/>
        <v>86.66</v>
      </c>
      <c r="Q53" s="81"/>
      <c r="T53" s="91" t="s">
        <v>106</v>
      </c>
      <c r="U53" s="88">
        <v>388327</v>
      </c>
      <c r="W53" s="130">
        <v>42759</v>
      </c>
      <c r="X53" s="10">
        <v>68</v>
      </c>
      <c r="Y53" s="10">
        <v>70.38</v>
      </c>
      <c r="Z53" s="10">
        <v>66.930000000000007</v>
      </c>
      <c r="AA53" s="10">
        <v>69.39</v>
      </c>
      <c r="AB53" s="93">
        <v>1062900</v>
      </c>
      <c r="AC53" s="10">
        <v>69.27</v>
      </c>
      <c r="AD53" s="2">
        <f t="shared" si="0"/>
        <v>3.4499999999999886</v>
      </c>
      <c r="AE53" s="134">
        <f t="shared" si="1"/>
        <v>5.4658952496954738E-2</v>
      </c>
    </row>
    <row r="54" spans="1:31" x14ac:dyDescent="0.25">
      <c r="O54" s="81">
        <v>0.99</v>
      </c>
      <c r="P54" s="81">
        <f t="shared" si="2"/>
        <v>85.793399999999991</v>
      </c>
      <c r="Q54" s="81"/>
      <c r="T54" s="91" t="s">
        <v>109</v>
      </c>
      <c r="U54" s="88">
        <v>273042</v>
      </c>
      <c r="W54" s="130">
        <v>42758</v>
      </c>
      <c r="X54" s="10">
        <v>67.33</v>
      </c>
      <c r="Y54" s="10">
        <v>67.98</v>
      </c>
      <c r="Z54" s="10">
        <v>65.75</v>
      </c>
      <c r="AA54" s="10">
        <v>65.8</v>
      </c>
      <c r="AB54" s="93">
        <v>329000</v>
      </c>
      <c r="AC54" s="10">
        <v>65.680000000000007</v>
      </c>
      <c r="AD54" s="2">
        <f t="shared" si="0"/>
        <v>2.230000000000004</v>
      </c>
      <c r="AE54" s="134">
        <f t="shared" si="1"/>
        <v>-2.6674570243034879E-2</v>
      </c>
    </row>
    <row r="55" spans="1:31" x14ac:dyDescent="0.25">
      <c r="O55" s="81">
        <v>0.98</v>
      </c>
      <c r="P55" s="81">
        <f t="shared" si="2"/>
        <v>84.9268</v>
      </c>
      <c r="Q55" s="81"/>
      <c r="T55" s="91" t="s">
        <v>107</v>
      </c>
      <c r="U55" s="86" t="s">
        <v>633</v>
      </c>
      <c r="W55" s="130">
        <v>42755</v>
      </c>
      <c r="X55" s="10">
        <v>67.510000000000005</v>
      </c>
      <c r="Y55" s="10">
        <v>67.989999999999995</v>
      </c>
      <c r="Z55" s="10">
        <v>67.2</v>
      </c>
      <c r="AA55" s="10">
        <v>67.599999999999994</v>
      </c>
      <c r="AB55" s="93">
        <v>209800</v>
      </c>
      <c r="AC55" s="10">
        <v>67.48</v>
      </c>
      <c r="AD55" s="2">
        <f t="shared" si="0"/>
        <v>0.78999999999999204</v>
      </c>
      <c r="AE55" s="134">
        <f t="shared" si="1"/>
        <v>2.0790020790020236E-3</v>
      </c>
    </row>
    <row r="56" spans="1:31" x14ac:dyDescent="0.25">
      <c r="O56" s="81">
        <v>0.97</v>
      </c>
      <c r="P56" s="81">
        <f t="shared" si="2"/>
        <v>84.060199999999995</v>
      </c>
      <c r="Q56" s="81"/>
      <c r="T56" s="91" t="s">
        <v>110</v>
      </c>
      <c r="U56" s="86">
        <v>21.32</v>
      </c>
      <c r="W56" s="130">
        <v>42754</v>
      </c>
      <c r="X56" s="10">
        <v>68.45</v>
      </c>
      <c r="Y56" s="10">
        <v>68.819999999999993</v>
      </c>
      <c r="Z56" s="10">
        <v>66.91</v>
      </c>
      <c r="AA56" s="10">
        <v>67.459999999999994</v>
      </c>
      <c r="AB56" s="93">
        <v>282800</v>
      </c>
      <c r="AC56" s="10">
        <v>67.34</v>
      </c>
      <c r="AD56" s="2">
        <f t="shared" si="0"/>
        <v>1.9099999999999966</v>
      </c>
      <c r="AE56" s="134">
        <f t="shared" si="1"/>
        <v>-1.4344262295081789E-2</v>
      </c>
    </row>
    <row r="57" spans="1:31" x14ac:dyDescent="0.25">
      <c r="O57" s="81">
        <v>0.96</v>
      </c>
      <c r="P57" s="81">
        <f t="shared" si="2"/>
        <v>83.193599999999989</v>
      </c>
      <c r="Q57" s="81"/>
      <c r="T57" s="91" t="s">
        <v>111</v>
      </c>
      <c r="U57" s="86">
        <v>3.19</v>
      </c>
      <c r="W57" s="130">
        <v>42753</v>
      </c>
      <c r="X57" s="10">
        <v>68.19</v>
      </c>
      <c r="Y57" s="10">
        <v>68.55</v>
      </c>
      <c r="Z57" s="10">
        <v>67.77</v>
      </c>
      <c r="AA57" s="10">
        <v>68.44</v>
      </c>
      <c r="AB57" s="93">
        <v>187200</v>
      </c>
      <c r="AC57" s="10">
        <v>68.319999999999993</v>
      </c>
      <c r="AD57" s="2">
        <f t="shared" si="0"/>
        <v>0.78000000000000114</v>
      </c>
      <c r="AE57" s="134">
        <f t="shared" si="1"/>
        <v>7.6696165191740828E-3</v>
      </c>
    </row>
    <row r="58" spans="1:31" x14ac:dyDescent="0.25">
      <c r="O58" s="81">
        <v>0.95</v>
      </c>
      <c r="P58" s="81">
        <f t="shared" si="2"/>
        <v>82.326999999999998</v>
      </c>
      <c r="Q58" s="81"/>
      <c r="T58" s="91" t="s">
        <v>108</v>
      </c>
      <c r="U58" s="86" t="s">
        <v>514</v>
      </c>
      <c r="W58" s="130">
        <v>42752</v>
      </c>
      <c r="X58" s="10">
        <v>69.319999999999993</v>
      </c>
      <c r="Y58" s="10">
        <v>69.319999999999993</v>
      </c>
      <c r="Z58" s="10">
        <v>67.819999999999993</v>
      </c>
      <c r="AA58" s="10">
        <v>67.92</v>
      </c>
      <c r="AB58" s="93">
        <v>187400</v>
      </c>
      <c r="AC58" s="10">
        <v>67.8</v>
      </c>
      <c r="AD58" s="2">
        <f t="shared" si="0"/>
        <v>1.5</v>
      </c>
      <c r="AE58" s="134">
        <f t="shared" si="1"/>
        <v>-2.389864670313846E-2</v>
      </c>
    </row>
    <row r="59" spans="1:31" x14ac:dyDescent="0.25">
      <c r="O59" s="81">
        <v>0.94</v>
      </c>
      <c r="P59" s="81">
        <f t="shared" si="2"/>
        <v>81.460399999999993</v>
      </c>
      <c r="Q59" s="81"/>
      <c r="W59" s="130">
        <v>42748</v>
      </c>
      <c r="X59" s="10">
        <v>69.010000000000005</v>
      </c>
      <c r="Y59" s="10">
        <v>69.78</v>
      </c>
      <c r="Z59" s="10">
        <v>69.010000000000005</v>
      </c>
      <c r="AA59" s="10">
        <v>69.58</v>
      </c>
      <c r="AB59" s="93">
        <v>173700</v>
      </c>
      <c r="AC59" s="10">
        <v>69.459999999999994</v>
      </c>
      <c r="AD59" s="2">
        <f t="shared" si="0"/>
        <v>0.76999999999999602</v>
      </c>
      <c r="AE59" s="134">
        <f t="shared" si="1"/>
        <v>1.253644314868807E-2</v>
      </c>
    </row>
    <row r="60" spans="1:31" x14ac:dyDescent="0.25">
      <c r="O60" s="81">
        <v>0.93</v>
      </c>
      <c r="P60" s="81">
        <f t="shared" si="2"/>
        <v>80.593800000000002</v>
      </c>
      <c r="Q60" s="81"/>
      <c r="W60" s="130">
        <v>42747</v>
      </c>
      <c r="X60" s="10">
        <v>69.48</v>
      </c>
      <c r="Y60" s="10">
        <v>69.48</v>
      </c>
      <c r="Z60" s="10">
        <v>67.27</v>
      </c>
      <c r="AA60" s="10">
        <v>68.72</v>
      </c>
      <c r="AB60" s="93">
        <v>189500</v>
      </c>
      <c r="AC60" s="10">
        <v>68.599999999999994</v>
      </c>
      <c r="AD60" s="2">
        <f t="shared" si="0"/>
        <v>2.210000000000008</v>
      </c>
      <c r="AE60" s="134">
        <f t="shared" si="1"/>
        <v>-1.3517400057521001E-2</v>
      </c>
    </row>
    <row r="61" spans="1:31" x14ac:dyDescent="0.25">
      <c r="O61" s="81">
        <v>0.92</v>
      </c>
      <c r="P61" s="81">
        <f t="shared" si="2"/>
        <v>79.727199999999996</v>
      </c>
      <c r="Q61" s="81"/>
      <c r="W61" s="130">
        <v>42746</v>
      </c>
      <c r="X61" s="10">
        <v>69.05</v>
      </c>
      <c r="Y61" s="10">
        <v>69.77</v>
      </c>
      <c r="Z61" s="10">
        <v>68.97</v>
      </c>
      <c r="AA61" s="10">
        <v>69.66</v>
      </c>
      <c r="AB61" s="93">
        <v>165400</v>
      </c>
      <c r="AC61" s="10">
        <v>69.540000000000006</v>
      </c>
      <c r="AD61" s="2">
        <f t="shared" si="0"/>
        <v>0.79999999999999716</v>
      </c>
      <c r="AE61" s="134">
        <f t="shared" si="1"/>
        <v>7.2421784472769257E-3</v>
      </c>
    </row>
    <row r="62" spans="1:31" x14ac:dyDescent="0.25">
      <c r="O62" s="81">
        <v>0.91</v>
      </c>
      <c r="P62" s="81">
        <f t="shared" si="2"/>
        <v>78.860600000000005</v>
      </c>
      <c r="Q62" s="81"/>
      <c r="W62" s="130">
        <v>42745</v>
      </c>
      <c r="X62" s="10">
        <v>68.099999999999994</v>
      </c>
      <c r="Y62" s="10">
        <v>69.349999999999994</v>
      </c>
      <c r="Z62" s="10">
        <v>67.69</v>
      </c>
      <c r="AA62" s="10">
        <v>69.16</v>
      </c>
      <c r="AB62" s="93">
        <v>256800</v>
      </c>
      <c r="AC62" s="10">
        <v>69.040000000000006</v>
      </c>
      <c r="AD62" s="2">
        <f t="shared" si="0"/>
        <v>1.6599999999999966</v>
      </c>
      <c r="AE62" s="134">
        <f t="shared" si="1"/>
        <v>1.4548126377663673E-2</v>
      </c>
    </row>
    <row r="63" spans="1:31" x14ac:dyDescent="0.25">
      <c r="O63" s="81">
        <v>0.9</v>
      </c>
      <c r="P63" s="81">
        <f t="shared" si="2"/>
        <v>77.994</v>
      </c>
      <c r="Q63" s="81"/>
      <c r="W63" s="130">
        <v>42744</v>
      </c>
      <c r="X63" s="10">
        <v>69.19</v>
      </c>
      <c r="Y63" s="10">
        <v>69.19</v>
      </c>
      <c r="Z63" s="10">
        <v>67.91</v>
      </c>
      <c r="AA63" s="10">
        <v>68.17</v>
      </c>
      <c r="AB63" s="93">
        <v>272600</v>
      </c>
      <c r="AC63" s="10">
        <v>68.05</v>
      </c>
      <c r="AD63" s="2">
        <f t="shared" si="0"/>
        <v>1.2800000000000011</v>
      </c>
      <c r="AE63" s="134">
        <f t="shared" si="1"/>
        <v>-1.4767627045026765E-2</v>
      </c>
    </row>
    <row r="64" spans="1:31" x14ac:dyDescent="0.25">
      <c r="O64" s="33"/>
      <c r="W64" s="130">
        <v>42741</v>
      </c>
      <c r="X64" s="10">
        <v>68.989999999999995</v>
      </c>
      <c r="Y64" s="10">
        <v>69.48</v>
      </c>
      <c r="Z64" s="10">
        <v>68.569999999999993</v>
      </c>
      <c r="AA64" s="10">
        <v>69.19</v>
      </c>
      <c r="AB64" s="93">
        <v>236800</v>
      </c>
      <c r="AC64" s="10">
        <v>69.069999999999993</v>
      </c>
      <c r="AD64" s="2">
        <f t="shared" si="0"/>
        <v>0.9100000000000108</v>
      </c>
      <c r="AE64" s="134">
        <f t="shared" si="1"/>
        <v>-1.4475969889993223E-4</v>
      </c>
    </row>
    <row r="65" spans="15:31" x14ac:dyDescent="0.25">
      <c r="O65" s="33"/>
      <c r="W65" s="130">
        <v>42740</v>
      </c>
      <c r="X65" s="10">
        <v>69.95</v>
      </c>
      <c r="Y65" s="10">
        <v>70.36</v>
      </c>
      <c r="Z65" s="10">
        <v>68.33</v>
      </c>
      <c r="AA65" s="10">
        <v>69.2</v>
      </c>
      <c r="AB65" s="93">
        <v>267200</v>
      </c>
      <c r="AC65" s="10">
        <v>69.08</v>
      </c>
      <c r="AD65" s="2">
        <f t="shared" si="0"/>
        <v>2.0300000000000011</v>
      </c>
      <c r="AE65" s="134">
        <f t="shared" si="1"/>
        <v>-1.3988010276905549E-2</v>
      </c>
    </row>
    <row r="66" spans="15:31" x14ac:dyDescent="0.25">
      <c r="O66" s="33"/>
      <c r="W66" s="130">
        <v>42739</v>
      </c>
      <c r="X66" s="10">
        <v>69.760000000000005</v>
      </c>
      <c r="Y66" s="10">
        <v>70.5</v>
      </c>
      <c r="Z66" s="10">
        <v>69.72</v>
      </c>
      <c r="AA66" s="10">
        <v>70.19</v>
      </c>
      <c r="AB66" s="93">
        <v>317500</v>
      </c>
      <c r="AC66" s="10">
        <v>70.06</v>
      </c>
      <c r="AD66" s="2">
        <f t="shared" si="0"/>
        <v>0.78000000000000114</v>
      </c>
      <c r="AE66" s="134">
        <f t="shared" si="1"/>
        <v>1.0237923576063457E-2</v>
      </c>
    </row>
    <row r="67" spans="15:31" x14ac:dyDescent="0.25">
      <c r="W67" s="130">
        <v>42738</v>
      </c>
      <c r="X67" s="10">
        <v>69.83</v>
      </c>
      <c r="Y67" s="10">
        <v>70.3</v>
      </c>
      <c r="Z67" s="10">
        <v>68.81</v>
      </c>
      <c r="AA67" s="10">
        <v>69.47</v>
      </c>
      <c r="AB67" s="93">
        <v>212000</v>
      </c>
      <c r="AC67" s="10">
        <v>69.349999999999994</v>
      </c>
      <c r="AD67" s="2">
        <f>Y67-Z67</f>
        <v>1.4899999999999949</v>
      </c>
      <c r="AE67" s="134">
        <f>AC67/AC68-1</f>
        <v>6.0931379660522644E-3</v>
      </c>
    </row>
    <row r="68" spans="15:31" x14ac:dyDescent="0.25">
      <c r="W68" s="130">
        <v>42734</v>
      </c>
      <c r="X68" s="10">
        <v>69.39</v>
      </c>
      <c r="Y68" s="10">
        <v>69.45</v>
      </c>
      <c r="Z68" s="10">
        <v>68.790000000000006</v>
      </c>
      <c r="AA68" s="10">
        <v>69.05</v>
      </c>
      <c r="AB68" s="93">
        <v>164100</v>
      </c>
      <c r="AC68" s="10">
        <v>68.930000000000007</v>
      </c>
      <c r="AD68" s="2">
        <f>Y68-Z68</f>
        <v>0.65999999999999659</v>
      </c>
      <c r="AE68" s="134" t="e">
        <f>AC68/AC69-1</f>
        <v>#DIV/0!</v>
      </c>
    </row>
    <row r="69" spans="15:31" x14ac:dyDescent="0.25">
      <c r="W69" s="130" t="s">
        <v>120</v>
      </c>
      <c r="X69" s="10"/>
      <c r="Y69" s="10"/>
      <c r="Z69" s="10"/>
      <c r="AA69" s="10"/>
      <c r="AB69" s="93"/>
      <c r="AC69" s="10"/>
      <c r="AD69" s="2">
        <f>Y69-Z69</f>
        <v>0</v>
      </c>
      <c r="AE69" s="134"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99" priority="5">
      <formula>F21&gt;0</formula>
    </cfRule>
    <cfRule type="expression" dxfId="98" priority="6">
      <formula>F21&lt;0</formula>
    </cfRule>
  </conditionalFormatting>
  <conditionalFormatting sqref="Q8">
    <cfRule type="expression" dxfId="97" priority="1">
      <formula>Q8&gt;0</formula>
    </cfRule>
    <cfRule type="expression" dxfId="96" priority="2">
      <formula>Q8&lt;0</formula>
    </cfRule>
  </conditionalFormatting>
  <conditionalFormatting sqref="Q7">
    <cfRule type="expression" dxfId="95" priority="3">
      <formula>Q7&gt;0</formula>
    </cfRule>
    <cfRule type="expression" dxfId="94"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32"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82" t="s">
        <v>70</v>
      </c>
    </row>
    <row r="2" spans="1:22" x14ac:dyDescent="0.25">
      <c r="A2" s="6" t="s">
        <v>170</v>
      </c>
      <c r="B2" s="402">
        <v>42622</v>
      </c>
      <c r="C2" s="7">
        <v>25</v>
      </c>
      <c r="D2" s="43">
        <v>66.959999999999994</v>
      </c>
      <c r="E2" s="43">
        <v>0</v>
      </c>
      <c r="F2" s="43">
        <f t="shared" ref="F2:F11" si="0">C2*D2+E2</f>
        <v>1673.9999999999998</v>
      </c>
      <c r="G2" s="368">
        <v>42900</v>
      </c>
      <c r="H2" s="7">
        <v>100</v>
      </c>
      <c r="I2" s="43">
        <v>59.58</v>
      </c>
      <c r="J2" s="43">
        <v>0.13</v>
      </c>
      <c r="K2" s="43">
        <f>H2*I2-J2</f>
        <v>5957.87</v>
      </c>
      <c r="L2" s="72">
        <v>42675</v>
      </c>
      <c r="M2" s="43">
        <v>12</v>
      </c>
      <c r="O2" s="11" t="s">
        <v>57</v>
      </c>
      <c r="Q2">
        <f>C27-H27</f>
        <v>0</v>
      </c>
      <c r="U2" s="118"/>
      <c r="V2" t="s">
        <v>1229</v>
      </c>
    </row>
    <row r="3" spans="1:22" x14ac:dyDescent="0.25">
      <c r="A3" s="22" t="s">
        <v>71</v>
      </c>
      <c r="B3" s="402">
        <v>42663</v>
      </c>
      <c r="C3" s="7">
        <v>25</v>
      </c>
      <c r="D3" s="43">
        <v>60.98</v>
      </c>
      <c r="E3" s="43">
        <v>0</v>
      </c>
      <c r="F3" s="43">
        <f t="shared" si="0"/>
        <v>1524.5</v>
      </c>
      <c r="G3" s="368">
        <v>42978</v>
      </c>
      <c r="H3" s="80">
        <v>50</v>
      </c>
      <c r="I3" s="43">
        <v>53.42</v>
      </c>
      <c r="J3" s="43">
        <v>0.06</v>
      </c>
      <c r="K3" s="43">
        <f>H3*I3-J3</f>
        <v>2670.94</v>
      </c>
      <c r="L3" s="72">
        <v>42768</v>
      </c>
      <c r="M3" s="43">
        <v>24</v>
      </c>
      <c r="O3" s="11" t="s">
        <v>58</v>
      </c>
      <c r="Q3" s="178">
        <f>IF(Q2=0, Q4, (F27-K27-M27)/Q2)</f>
        <v>45.739899999999999</v>
      </c>
      <c r="V3" t="s">
        <v>1161</v>
      </c>
    </row>
    <row r="4" spans="1:22" x14ac:dyDescent="0.25">
      <c r="B4" s="368">
        <v>42783</v>
      </c>
      <c r="C4" s="7">
        <v>25</v>
      </c>
      <c r="D4" s="43">
        <v>59.24</v>
      </c>
      <c r="E4" s="43">
        <v>0</v>
      </c>
      <c r="F4" s="43">
        <f t="shared" si="0"/>
        <v>1481</v>
      </c>
      <c r="G4" s="368">
        <v>43028</v>
      </c>
      <c r="H4" s="80">
        <v>100</v>
      </c>
      <c r="I4" s="43">
        <v>52.05</v>
      </c>
      <c r="J4" s="43">
        <v>0.12</v>
      </c>
      <c r="K4" s="43">
        <f t="shared" ref="K4:K15" si="1">H4*I4-J4</f>
        <v>5204.88</v>
      </c>
      <c r="L4" s="72">
        <v>42856</v>
      </c>
      <c r="M4" s="43">
        <v>36</v>
      </c>
      <c r="O4" s="11" t="s">
        <v>66</v>
      </c>
      <c r="Q4" s="54">
        <v>45.739899999999999</v>
      </c>
      <c r="R4" s="405">
        <v>1.55E-2</v>
      </c>
    </row>
    <row r="5" spans="1:22" x14ac:dyDescent="0.25">
      <c r="B5" s="368">
        <v>42831</v>
      </c>
      <c r="C5" s="7">
        <v>25</v>
      </c>
      <c r="D5" s="43">
        <v>57.58</v>
      </c>
      <c r="E5" s="43">
        <v>0</v>
      </c>
      <c r="F5" s="43">
        <f t="shared" si="0"/>
        <v>1439.5</v>
      </c>
      <c r="G5" s="368">
        <v>43046</v>
      </c>
      <c r="H5" s="80">
        <v>20</v>
      </c>
      <c r="I5" s="43">
        <v>51.15</v>
      </c>
      <c r="J5" s="43">
        <v>0.02</v>
      </c>
      <c r="K5" s="43">
        <f t="shared" si="1"/>
        <v>1022.98</v>
      </c>
      <c r="L5" s="72">
        <v>42948</v>
      </c>
      <c r="M5" s="43">
        <v>98</v>
      </c>
      <c r="O5" s="11" t="s">
        <v>67</v>
      </c>
      <c r="Q5" s="3">
        <f>Q4*Q2</f>
        <v>0</v>
      </c>
      <c r="U5" s="83">
        <v>43180</v>
      </c>
      <c r="V5" t="s">
        <v>962</v>
      </c>
    </row>
    <row r="6" spans="1:22" x14ac:dyDescent="0.25">
      <c r="B6" s="368">
        <v>42846</v>
      </c>
      <c r="C6" s="7">
        <v>50</v>
      </c>
      <c r="D6" s="43">
        <v>57.74</v>
      </c>
      <c r="E6" s="43">
        <v>-0.21</v>
      </c>
      <c r="F6" s="43">
        <f t="shared" si="0"/>
        <v>2886.79</v>
      </c>
      <c r="G6" s="368">
        <v>43047</v>
      </c>
      <c r="H6" s="80">
        <v>80</v>
      </c>
      <c r="I6" s="43">
        <v>51.5</v>
      </c>
      <c r="J6" s="43">
        <v>0.1</v>
      </c>
      <c r="K6" s="43">
        <f t="shared" si="1"/>
        <v>4119.8999999999996</v>
      </c>
      <c r="L6" s="1">
        <v>43041</v>
      </c>
      <c r="M6" s="43">
        <v>98</v>
      </c>
      <c r="O6" s="11" t="s">
        <v>64</v>
      </c>
      <c r="Q6" s="2">
        <f>Q3*Q2</f>
        <v>0</v>
      </c>
    </row>
    <row r="7" spans="1:22" x14ac:dyDescent="0.25">
      <c r="B7" s="368">
        <v>42864</v>
      </c>
      <c r="C7" s="7">
        <v>50</v>
      </c>
      <c r="D7" s="43">
        <v>56.91</v>
      </c>
      <c r="E7" s="43">
        <v>0</v>
      </c>
      <c r="F7" s="43">
        <f t="shared" si="0"/>
        <v>2845.5</v>
      </c>
      <c r="G7" s="368">
        <v>43068</v>
      </c>
      <c r="H7" s="80">
        <v>50</v>
      </c>
      <c r="I7" s="43">
        <v>56.28</v>
      </c>
      <c r="J7" s="43">
        <v>7.0000000000000007E-2</v>
      </c>
      <c r="K7" s="43">
        <f t="shared" si="1"/>
        <v>2813.93</v>
      </c>
      <c r="L7" s="1">
        <v>43133</v>
      </c>
      <c r="M7" s="43">
        <v>29.4</v>
      </c>
      <c r="O7" s="11" t="s">
        <v>177</v>
      </c>
      <c r="Q7" s="2">
        <f>Q10+Q8</f>
        <v>385.60000000000127</v>
      </c>
      <c r="R7">
        <v>0</v>
      </c>
    </row>
    <row r="8" spans="1:22" x14ac:dyDescent="0.25">
      <c r="B8" s="368">
        <v>42900</v>
      </c>
      <c r="C8" s="7">
        <v>100</v>
      </c>
      <c r="D8" s="43">
        <v>58.88</v>
      </c>
      <c r="E8" s="43">
        <v>0</v>
      </c>
      <c r="F8" s="43">
        <f t="shared" si="0"/>
        <v>5888</v>
      </c>
      <c r="G8" s="368">
        <v>43069</v>
      </c>
      <c r="H8" s="80">
        <v>50</v>
      </c>
      <c r="I8" s="43">
        <v>56.88</v>
      </c>
      <c r="J8" s="43">
        <v>7.0000000000000007E-2</v>
      </c>
      <c r="K8" s="43">
        <f t="shared" si="1"/>
        <v>2843.93</v>
      </c>
      <c r="L8" s="1">
        <v>43222</v>
      </c>
      <c r="M8" s="43">
        <v>73.5</v>
      </c>
      <c r="O8" s="11" t="s">
        <v>179</v>
      </c>
      <c r="P8" s="33"/>
      <c r="Q8" s="2">
        <f>K27+M27-F27+Q2*Q4</f>
        <v>335.65000000000146</v>
      </c>
      <c r="U8" s="769">
        <v>43292</v>
      </c>
      <c r="V8" t="s">
        <v>1160</v>
      </c>
    </row>
    <row r="9" spans="1:22" x14ac:dyDescent="0.25">
      <c r="B9" s="368">
        <v>42978</v>
      </c>
      <c r="C9" s="7">
        <v>50</v>
      </c>
      <c r="D9" s="43">
        <v>52.88</v>
      </c>
      <c r="E9" s="43">
        <v>0</v>
      </c>
      <c r="F9" s="43">
        <f t="shared" si="0"/>
        <v>2644</v>
      </c>
      <c r="G9" s="368">
        <v>43087</v>
      </c>
      <c r="H9" s="80">
        <v>25</v>
      </c>
      <c r="I9" s="43">
        <v>58</v>
      </c>
      <c r="J9" s="43">
        <v>0.03</v>
      </c>
      <c r="K9" s="43">
        <f t="shared" si="1"/>
        <v>1449.97</v>
      </c>
      <c r="L9" s="72">
        <v>43313</v>
      </c>
      <c r="M9" s="43">
        <v>73.5</v>
      </c>
      <c r="O9" s="11" t="s">
        <v>204</v>
      </c>
      <c r="Q9" s="179">
        <f>IF(Q2=0, 0, Q8/Q6)</f>
        <v>0</v>
      </c>
    </row>
    <row r="10" spans="1:22" x14ac:dyDescent="0.25">
      <c r="B10" s="368">
        <v>43017</v>
      </c>
      <c r="C10" s="7">
        <v>50</v>
      </c>
      <c r="D10" s="43">
        <v>50.2</v>
      </c>
      <c r="E10" s="43">
        <v>0</v>
      </c>
      <c r="F10" s="43">
        <f t="shared" si="0"/>
        <v>2510</v>
      </c>
      <c r="G10" s="368">
        <v>43091</v>
      </c>
      <c r="H10" s="80">
        <v>15</v>
      </c>
      <c r="I10" s="43">
        <v>60.17</v>
      </c>
      <c r="J10" s="43">
        <v>0.02</v>
      </c>
      <c r="K10" s="43">
        <f t="shared" si="1"/>
        <v>902.53000000000009</v>
      </c>
      <c r="L10" s="72">
        <v>43405</v>
      </c>
      <c r="M10" s="43">
        <v>147</v>
      </c>
      <c r="O10" s="11" t="s">
        <v>203</v>
      </c>
      <c r="P10" s="33"/>
      <c r="Q10" s="2">
        <f>M101</f>
        <v>49.949999999999818</v>
      </c>
      <c r="U10" s="83">
        <v>43320</v>
      </c>
      <c r="V10" t="s">
        <v>1223</v>
      </c>
    </row>
    <row r="11" spans="1:22" x14ac:dyDescent="0.25">
      <c r="B11" s="368">
        <v>43017</v>
      </c>
      <c r="C11" s="7">
        <v>50</v>
      </c>
      <c r="D11" s="43">
        <v>50.2</v>
      </c>
      <c r="E11" s="43">
        <v>0</v>
      </c>
      <c r="F11" s="43">
        <f t="shared" si="0"/>
        <v>2510</v>
      </c>
      <c r="G11" s="368">
        <v>43329</v>
      </c>
      <c r="H11" s="80">
        <v>150</v>
      </c>
      <c r="I11" s="43">
        <v>47.25</v>
      </c>
      <c r="J11" s="43">
        <v>0.09</v>
      </c>
      <c r="K11" s="43">
        <f t="shared" si="1"/>
        <v>7087.41</v>
      </c>
      <c r="L11" s="1">
        <v>43498</v>
      </c>
      <c r="M11" s="43">
        <v>147</v>
      </c>
      <c r="O11" s="11" t="s">
        <v>175</v>
      </c>
      <c r="P11" s="33"/>
      <c r="Q11" s="134">
        <f>R11*4/Q4</f>
        <v>4.285099005463501E-2</v>
      </c>
      <c r="R11">
        <v>0.49</v>
      </c>
      <c r="V11" t="s">
        <v>1222</v>
      </c>
    </row>
    <row r="12" spans="1:22" x14ac:dyDescent="0.25">
      <c r="B12" s="368">
        <v>43045</v>
      </c>
      <c r="C12" s="7">
        <v>25</v>
      </c>
      <c r="D12" s="43">
        <v>50.2</v>
      </c>
      <c r="E12" s="43">
        <v>0</v>
      </c>
      <c r="F12" s="43">
        <f t="shared" ref="F12:F22" si="2">C12*D12+E12</f>
        <v>1255</v>
      </c>
      <c r="G12" s="368">
        <v>43350</v>
      </c>
      <c r="H12" s="80">
        <v>100</v>
      </c>
      <c r="I12" s="43">
        <v>47.49</v>
      </c>
      <c r="J12" s="43">
        <v>0.06</v>
      </c>
      <c r="K12" s="43">
        <f t="shared" si="1"/>
        <v>4748.9399999999996</v>
      </c>
      <c r="O12" s="11" t="s">
        <v>921</v>
      </c>
      <c r="Q12" s="1" t="s">
        <v>1359</v>
      </c>
    </row>
    <row r="13" spans="1:22" x14ac:dyDescent="0.25">
      <c r="B13" s="368">
        <v>43045</v>
      </c>
      <c r="C13" s="7">
        <v>15</v>
      </c>
      <c r="D13" s="43">
        <v>50.2</v>
      </c>
      <c r="E13" s="43">
        <v>0</v>
      </c>
      <c r="F13" s="43">
        <f t="shared" si="2"/>
        <v>753</v>
      </c>
      <c r="G13" s="368">
        <v>43403</v>
      </c>
      <c r="H13" s="80">
        <v>100</v>
      </c>
      <c r="I13" s="43">
        <v>45.48</v>
      </c>
      <c r="J13" s="43">
        <v>0.06</v>
      </c>
      <c r="K13" s="43">
        <f t="shared" si="1"/>
        <v>4547.9399999999996</v>
      </c>
      <c r="O13" s="11" t="s">
        <v>947</v>
      </c>
      <c r="Q13" s="2">
        <f>Q4/3.02</f>
        <v>15.145662251655629</v>
      </c>
    </row>
    <row r="14" spans="1:22" x14ac:dyDescent="0.25">
      <c r="B14" s="368">
        <v>43045</v>
      </c>
      <c r="C14" s="7">
        <v>60</v>
      </c>
      <c r="D14" s="43">
        <v>50.2</v>
      </c>
      <c r="E14" s="43">
        <v>0</v>
      </c>
      <c r="F14" s="43">
        <f t="shared" si="2"/>
        <v>3012</v>
      </c>
      <c r="G14" s="368">
        <v>43482</v>
      </c>
      <c r="H14" s="80">
        <v>100</v>
      </c>
      <c r="I14" s="43">
        <v>42.48</v>
      </c>
      <c r="J14" s="43">
        <v>0.06</v>
      </c>
      <c r="K14" s="43">
        <f t="shared" si="1"/>
        <v>4247.9399999999996</v>
      </c>
      <c r="O14" s="11" t="s">
        <v>1034</v>
      </c>
      <c r="Q14" s="1">
        <v>43320</v>
      </c>
    </row>
    <row r="15" spans="1:22" x14ac:dyDescent="0.25">
      <c r="B15" s="368">
        <v>43133</v>
      </c>
      <c r="C15" s="7">
        <v>40</v>
      </c>
      <c r="D15" s="43">
        <v>57</v>
      </c>
      <c r="E15" s="43">
        <v>0</v>
      </c>
      <c r="F15" s="43">
        <f t="shared" si="2"/>
        <v>2280</v>
      </c>
      <c r="G15" s="368">
        <v>43516</v>
      </c>
      <c r="H15" s="80">
        <v>200</v>
      </c>
      <c r="I15" s="43">
        <v>46.88</v>
      </c>
      <c r="J15" s="43">
        <v>0.12</v>
      </c>
      <c r="K15" s="43">
        <f t="shared" si="1"/>
        <v>9375.8799999999992</v>
      </c>
    </row>
    <row r="16" spans="1:22" x14ac:dyDescent="0.25">
      <c r="B16" s="368">
        <v>43178</v>
      </c>
      <c r="C16" s="7">
        <v>50</v>
      </c>
      <c r="D16" s="43">
        <v>50.15</v>
      </c>
      <c r="E16" s="43">
        <v>0</v>
      </c>
      <c r="F16" s="43">
        <f t="shared" si="2"/>
        <v>2507.5</v>
      </c>
      <c r="H16" s="70"/>
    </row>
    <row r="17" spans="1:16" ht="20.25" thickBot="1" x14ac:dyDescent="0.35">
      <c r="B17" s="368">
        <v>43299</v>
      </c>
      <c r="C17" s="7">
        <v>50</v>
      </c>
      <c r="D17" s="43">
        <v>43.48</v>
      </c>
      <c r="E17" s="43">
        <v>0</v>
      </c>
      <c r="F17" s="43">
        <f t="shared" si="2"/>
        <v>2174</v>
      </c>
      <c r="H17" s="70"/>
      <c r="O17" s="884" t="s">
        <v>78</v>
      </c>
      <c r="P17" s="884"/>
    </row>
    <row r="18" spans="1:16" ht="15.75" thickTop="1" x14ac:dyDescent="0.25">
      <c r="B18" s="368">
        <v>43320</v>
      </c>
      <c r="C18" s="7">
        <v>100</v>
      </c>
      <c r="D18" s="43">
        <v>45.29</v>
      </c>
      <c r="E18" s="43">
        <v>0</v>
      </c>
      <c r="F18" s="43">
        <f t="shared" si="2"/>
        <v>4529</v>
      </c>
      <c r="G18" s="1"/>
      <c r="H18" s="70"/>
      <c r="O18" s="81">
        <v>1.1000000000000001</v>
      </c>
      <c r="P18" s="81">
        <f>O18*$Q$4</f>
        <v>50.313890000000001</v>
      </c>
    </row>
    <row r="19" spans="1:16" x14ac:dyDescent="0.25">
      <c r="B19" s="368">
        <v>43333</v>
      </c>
      <c r="C19" s="7">
        <v>50</v>
      </c>
      <c r="D19" s="43">
        <v>46.37</v>
      </c>
      <c r="E19" s="43">
        <v>0</v>
      </c>
      <c r="F19" s="43">
        <f t="shared" si="2"/>
        <v>2318.5</v>
      </c>
      <c r="H19" s="70"/>
      <c r="O19" s="81">
        <v>1.0900000000000001</v>
      </c>
      <c r="P19" s="81">
        <f t="shared" ref="P19:P38" si="3">O19*$Q$4</f>
        <v>49.856491000000005</v>
      </c>
    </row>
    <row r="20" spans="1:16" x14ac:dyDescent="0.25">
      <c r="B20" s="368">
        <v>43340</v>
      </c>
      <c r="C20" s="7">
        <v>100</v>
      </c>
      <c r="D20" s="43">
        <v>45.28</v>
      </c>
      <c r="E20" s="43">
        <v>0</v>
      </c>
      <c r="F20" s="43">
        <f t="shared" si="2"/>
        <v>4528</v>
      </c>
      <c r="H20" s="70"/>
      <c r="O20" s="81">
        <v>1.08</v>
      </c>
      <c r="P20" s="81">
        <f t="shared" si="3"/>
        <v>49.399092000000003</v>
      </c>
    </row>
    <row r="21" spans="1:16" x14ac:dyDescent="0.25">
      <c r="B21" s="368">
        <v>43361</v>
      </c>
      <c r="C21" s="7">
        <v>100</v>
      </c>
      <c r="D21" s="43">
        <v>45.2</v>
      </c>
      <c r="E21" s="43">
        <v>-0.5</v>
      </c>
      <c r="F21" s="43">
        <f t="shared" si="2"/>
        <v>4519.5</v>
      </c>
      <c r="H21" s="70"/>
      <c r="O21" s="81">
        <v>1.07</v>
      </c>
      <c r="P21" s="81">
        <f t="shared" si="3"/>
        <v>48.941693000000001</v>
      </c>
    </row>
    <row r="22" spans="1:16" x14ac:dyDescent="0.25">
      <c r="B22" s="368">
        <v>43437</v>
      </c>
      <c r="C22" s="7">
        <v>100</v>
      </c>
      <c r="D22" s="43">
        <v>41.18</v>
      </c>
      <c r="E22" s="43">
        <v>0</v>
      </c>
      <c r="F22" s="43">
        <f t="shared" si="2"/>
        <v>4118</v>
      </c>
      <c r="H22" s="70"/>
      <c r="O22" s="81">
        <v>1.06</v>
      </c>
      <c r="P22" s="81">
        <f t="shared" si="3"/>
        <v>48.484293999999998</v>
      </c>
    </row>
    <row r="23" spans="1:16" x14ac:dyDescent="0.25">
      <c r="H23" s="70"/>
      <c r="O23" s="81">
        <v>1.05</v>
      </c>
      <c r="P23" s="81">
        <f t="shared" si="3"/>
        <v>48.026895000000003</v>
      </c>
    </row>
    <row r="24" spans="1:16" x14ac:dyDescent="0.25">
      <c r="C24" s="4"/>
      <c r="D24" s="3"/>
      <c r="E24" s="3"/>
      <c r="F24" s="3"/>
      <c r="H24" s="70"/>
      <c r="O24" s="81">
        <v>1.04</v>
      </c>
      <c r="P24" s="81">
        <f t="shared" si="3"/>
        <v>47.569496000000001</v>
      </c>
    </row>
    <row r="25" spans="1:16" x14ac:dyDescent="0.25">
      <c r="H25" s="70"/>
      <c r="O25" s="81">
        <v>1.03</v>
      </c>
      <c r="P25" s="81">
        <f t="shared" si="3"/>
        <v>47.112096999999999</v>
      </c>
    </row>
    <row r="26" spans="1:16" x14ac:dyDescent="0.25">
      <c r="H26" s="70"/>
      <c r="O26" s="81">
        <v>1.02</v>
      </c>
      <c r="P26" s="81">
        <f t="shared" si="3"/>
        <v>46.654697999999996</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81">
        <v>1.01</v>
      </c>
      <c r="P27" s="81">
        <f t="shared" si="3"/>
        <v>46.197299000000001</v>
      </c>
    </row>
    <row r="28" spans="1:16" ht="15.75" thickBot="1" x14ac:dyDescent="0.3">
      <c r="A28" s="277" t="s">
        <v>191</v>
      </c>
      <c r="B28" s="409"/>
      <c r="C28" s="279">
        <f>SumByColor($A$28, C2:C26 )</f>
        <v>1140</v>
      </c>
      <c r="D28" s="279"/>
      <c r="E28" s="279"/>
      <c r="F28" s="280">
        <f>SumByColor($A$28, F2:F26 )</f>
        <v>57398</v>
      </c>
      <c r="G28" s="279"/>
      <c r="H28" s="279">
        <f>SumByColor($A$28, H2:H26 )</f>
        <v>1140</v>
      </c>
      <c r="I28" s="279"/>
      <c r="J28" s="279"/>
      <c r="K28" s="280">
        <f>SumByColor($A$28, K2:K26 )</f>
        <v>56996</v>
      </c>
      <c r="L28" s="279"/>
      <c r="M28" s="280">
        <f>SumByColor($A$28, M2:M26 )</f>
        <v>738</v>
      </c>
      <c r="O28" s="81">
        <v>1</v>
      </c>
      <c r="P28" s="81">
        <f t="shared" si="3"/>
        <v>45.739899999999999</v>
      </c>
    </row>
    <row r="29" spans="1:16" x14ac:dyDescent="0.25">
      <c r="O29" s="81">
        <v>0.99</v>
      </c>
      <c r="P29" s="81">
        <f t="shared" si="3"/>
        <v>45.282500999999996</v>
      </c>
    </row>
    <row r="30" spans="1:16" x14ac:dyDescent="0.25">
      <c r="B30" s="162" t="s">
        <v>113</v>
      </c>
      <c r="C30" s="162" t="s">
        <v>145</v>
      </c>
      <c r="D30" s="163" t="s">
        <v>144</v>
      </c>
      <c r="E30" s="165" t="s">
        <v>146</v>
      </c>
      <c r="F30" s="165" t="s">
        <v>65</v>
      </c>
      <c r="G30" s="177" t="s">
        <v>150</v>
      </c>
      <c r="H30" s="177" t="s">
        <v>88</v>
      </c>
      <c r="I30" s="177" t="s">
        <v>153</v>
      </c>
      <c r="J30" s="177" t="s">
        <v>149</v>
      </c>
      <c r="K30" s="177" t="s">
        <v>487</v>
      </c>
      <c r="L30" s="177" t="s">
        <v>947</v>
      </c>
      <c r="O30" s="81">
        <v>0.98</v>
      </c>
      <c r="P30" s="81">
        <f t="shared" si="3"/>
        <v>44.825102000000001</v>
      </c>
    </row>
    <row r="31" spans="1:16" x14ac:dyDescent="0.25">
      <c r="B31" s="164">
        <v>42622</v>
      </c>
      <c r="C31" s="10">
        <v>25</v>
      </c>
      <c r="D31" s="39">
        <v>66.959999999999994</v>
      </c>
      <c r="E31" s="39">
        <v>65.05</v>
      </c>
      <c r="F31" s="39">
        <f t="shared" ref="F31:F38" si="4">C31*(E31-D31)</f>
        <v>-47.749999999999915</v>
      </c>
      <c r="G31" s="39">
        <f t="shared" ref="G31:G38" si="5">D31*C31</f>
        <v>1673.9999999999998</v>
      </c>
      <c r="H31" s="179">
        <f t="shared" ref="H31:H38" si="6">(E31-D31)/D31</f>
        <v>-2.8524492234169606E-2</v>
      </c>
      <c r="I31" s="39"/>
      <c r="J31" s="39"/>
      <c r="K31" s="39"/>
      <c r="L31" s="39"/>
      <c r="O31" s="81">
        <v>0.97</v>
      </c>
      <c r="P31" s="81">
        <f t="shared" si="3"/>
        <v>44.367702999999999</v>
      </c>
    </row>
    <row r="32" spans="1:16" x14ac:dyDescent="0.25">
      <c r="B32" s="164">
        <v>42634</v>
      </c>
      <c r="C32" s="10">
        <v>25</v>
      </c>
      <c r="D32" s="39">
        <v>66.959999999999994</v>
      </c>
      <c r="E32" s="39">
        <v>65.260000000000005</v>
      </c>
      <c r="F32" s="39">
        <f t="shared" si="4"/>
        <v>-42.499999999999716</v>
      </c>
      <c r="G32" s="39">
        <f t="shared" si="5"/>
        <v>1673.9999999999998</v>
      </c>
      <c r="H32" s="179">
        <f t="shared" si="6"/>
        <v>-2.5388291517323608E-2</v>
      </c>
      <c r="I32" s="39"/>
      <c r="J32" s="39"/>
      <c r="K32" s="39"/>
      <c r="L32" s="39"/>
      <c r="O32" s="81">
        <v>0.96</v>
      </c>
      <c r="P32" s="81">
        <f t="shared" si="3"/>
        <v>43.910303999999996</v>
      </c>
    </row>
    <row r="33" spans="1:17" x14ac:dyDescent="0.25">
      <c r="B33" s="164">
        <v>42638</v>
      </c>
      <c r="C33" s="10">
        <v>25</v>
      </c>
      <c r="D33" s="39">
        <v>66.959999999999994</v>
      </c>
      <c r="E33" s="39">
        <v>64.650000000000006</v>
      </c>
      <c r="F33" s="39">
        <f t="shared" si="4"/>
        <v>-57.749999999999702</v>
      </c>
      <c r="G33" s="39">
        <f t="shared" si="5"/>
        <v>1673.9999999999998</v>
      </c>
      <c r="H33" s="179">
        <f t="shared" si="6"/>
        <v>-3.4498207885304485E-2</v>
      </c>
      <c r="I33" s="39"/>
      <c r="J33" s="39"/>
      <c r="K33" s="39"/>
      <c r="L33" s="39"/>
      <c r="O33" s="81">
        <v>0.95</v>
      </c>
      <c r="P33" s="81">
        <f t="shared" si="3"/>
        <v>43.452904999999994</v>
      </c>
    </row>
    <row r="34" spans="1:17" x14ac:dyDescent="0.25">
      <c r="B34" s="164">
        <v>42639</v>
      </c>
      <c r="C34" s="10">
        <v>25</v>
      </c>
      <c r="D34" s="39">
        <v>66.959999999999994</v>
      </c>
      <c r="E34" s="39">
        <v>63.9</v>
      </c>
      <c r="F34" s="39">
        <f t="shared" si="4"/>
        <v>-76.499999999999886</v>
      </c>
      <c r="G34" s="39">
        <f t="shared" si="5"/>
        <v>1673.9999999999998</v>
      </c>
      <c r="H34" s="179">
        <f t="shared" si="6"/>
        <v>-4.5698924731182727E-2</v>
      </c>
      <c r="I34" s="39"/>
      <c r="J34" s="39"/>
      <c r="K34" s="39"/>
      <c r="L34" s="39"/>
      <c r="O34" s="81">
        <v>0.94</v>
      </c>
      <c r="P34" s="81">
        <f t="shared" si="3"/>
        <v>42.995505999999999</v>
      </c>
    </row>
    <row r="35" spans="1:17" x14ac:dyDescent="0.25">
      <c r="B35" s="164">
        <v>42647</v>
      </c>
      <c r="C35" s="10">
        <v>25</v>
      </c>
      <c r="D35" s="39">
        <v>66.959999999999994</v>
      </c>
      <c r="E35" s="39">
        <v>63.05</v>
      </c>
      <c r="F35" s="39">
        <f t="shared" si="4"/>
        <v>-97.749999999999915</v>
      </c>
      <c r="G35" s="39">
        <f t="shared" si="5"/>
        <v>1673.9999999999998</v>
      </c>
      <c r="H35" s="179">
        <f t="shared" si="6"/>
        <v>-5.8393070489844635E-2</v>
      </c>
      <c r="I35" s="39"/>
      <c r="J35" s="39"/>
      <c r="K35" s="39"/>
      <c r="L35" s="39"/>
      <c r="O35" s="81">
        <v>0.93</v>
      </c>
      <c r="P35" s="81">
        <f t="shared" si="3"/>
        <v>42.538107000000004</v>
      </c>
    </row>
    <row r="36" spans="1:17" x14ac:dyDescent="0.25">
      <c r="B36" s="164">
        <v>42648</v>
      </c>
      <c r="C36" s="10">
        <v>25</v>
      </c>
      <c r="D36" s="39">
        <v>66.959999999999994</v>
      </c>
      <c r="E36" s="39">
        <v>63.05</v>
      </c>
      <c r="F36" s="39">
        <f t="shared" si="4"/>
        <v>-97.749999999999915</v>
      </c>
      <c r="G36" s="39">
        <f t="shared" si="5"/>
        <v>1673.9999999999998</v>
      </c>
      <c r="H36" s="179">
        <f t="shared" si="6"/>
        <v>-5.8393070489844635E-2</v>
      </c>
      <c r="I36" s="39"/>
      <c r="J36" s="39"/>
      <c r="K36" s="39"/>
      <c r="L36" s="39"/>
      <c r="O36" s="81">
        <v>0.92</v>
      </c>
      <c r="P36" s="81">
        <f t="shared" si="3"/>
        <v>42.080708000000001</v>
      </c>
    </row>
    <row r="37" spans="1:17" x14ac:dyDescent="0.25">
      <c r="B37" s="164">
        <v>42651</v>
      </c>
      <c r="C37" s="10">
        <v>25</v>
      </c>
      <c r="D37" s="39">
        <v>66.959999999999994</v>
      </c>
      <c r="E37" s="39">
        <v>62.13</v>
      </c>
      <c r="F37" s="39">
        <f t="shared" si="4"/>
        <v>-120.74999999999977</v>
      </c>
      <c r="G37" s="39">
        <f t="shared" si="5"/>
        <v>1673.9999999999998</v>
      </c>
      <c r="H37" s="179">
        <f t="shared" si="6"/>
        <v>-7.2132616487455073E-2</v>
      </c>
      <c r="I37" s="39"/>
      <c r="J37" s="39"/>
      <c r="K37" s="39"/>
      <c r="L37" s="39"/>
      <c r="O37" s="81">
        <v>0.91</v>
      </c>
      <c r="P37" s="81">
        <f t="shared" si="3"/>
        <v>41.623308999999999</v>
      </c>
    </row>
    <row r="38" spans="1:17" x14ac:dyDescent="0.25">
      <c r="B38" s="164">
        <v>42663</v>
      </c>
      <c r="C38" s="10">
        <v>50</v>
      </c>
      <c r="D38" s="39">
        <v>63.97</v>
      </c>
      <c r="E38" s="39">
        <v>61</v>
      </c>
      <c r="F38" s="39">
        <f t="shared" si="4"/>
        <v>-148.49999999999994</v>
      </c>
      <c r="G38" s="39">
        <f t="shared" si="5"/>
        <v>3198.5</v>
      </c>
      <c r="H38" s="179">
        <f t="shared" si="6"/>
        <v>-4.6428013131155209E-2</v>
      </c>
      <c r="I38" s="39"/>
      <c r="J38" s="39"/>
      <c r="K38" s="39"/>
      <c r="L38" s="39"/>
      <c r="O38" s="81">
        <v>0.9</v>
      </c>
      <c r="P38" s="81">
        <f t="shared" si="3"/>
        <v>41.165909999999997</v>
      </c>
    </row>
    <row r="39" spans="1:17" x14ac:dyDescent="0.25">
      <c r="B39" s="164">
        <v>42701</v>
      </c>
      <c r="C39" s="10">
        <v>50</v>
      </c>
      <c r="D39" s="39">
        <v>63.73</v>
      </c>
      <c r="E39" s="39">
        <v>62.3</v>
      </c>
      <c r="F39" s="39">
        <f t="shared" ref="F39:F44" si="7">C39*(E39-D39)</f>
        <v>-71.499999999999986</v>
      </c>
      <c r="G39" s="39">
        <f t="shared" ref="G39:G44" si="8">D39*C39</f>
        <v>3186.5</v>
      </c>
      <c r="H39" s="179">
        <f t="shared" ref="H39:H44" si="9">(E39-D39)/D39</f>
        <v>-2.2438412050839476E-2</v>
      </c>
      <c r="I39" s="39"/>
      <c r="J39" s="39"/>
      <c r="K39" s="39"/>
      <c r="L39" s="39"/>
    </row>
    <row r="40" spans="1:17" x14ac:dyDescent="0.25">
      <c r="B40" s="164">
        <v>42708</v>
      </c>
      <c r="C40" s="10">
        <v>50</v>
      </c>
      <c r="D40" s="39">
        <v>63.73</v>
      </c>
      <c r="E40" s="39">
        <v>60.94</v>
      </c>
      <c r="F40" s="39">
        <f t="shared" si="7"/>
        <v>-139.49999999999994</v>
      </c>
      <c r="G40" s="39">
        <f t="shared" si="8"/>
        <v>3186.5</v>
      </c>
      <c r="H40" s="179">
        <f t="shared" si="9"/>
        <v>-4.3778440294994496E-2</v>
      </c>
      <c r="I40" s="39"/>
      <c r="J40" s="39"/>
      <c r="K40" s="39"/>
      <c r="L40" s="39"/>
    </row>
    <row r="41" spans="1:17" x14ac:dyDescent="0.25">
      <c r="B41" s="164">
        <v>42731</v>
      </c>
      <c r="C41" s="10">
        <v>50</v>
      </c>
      <c r="D41" s="39">
        <v>63.73</v>
      </c>
      <c r="E41" s="39">
        <v>62.2</v>
      </c>
      <c r="F41" s="39">
        <f t="shared" si="7"/>
        <v>-76.499999999999702</v>
      </c>
      <c r="G41" s="39">
        <f t="shared" si="8"/>
        <v>3186.5</v>
      </c>
      <c r="H41" s="179">
        <f t="shared" si="9"/>
        <v>-2.4007531774674316E-2</v>
      </c>
      <c r="I41" s="39"/>
      <c r="J41" s="39"/>
      <c r="K41" s="39"/>
      <c r="L41" s="39"/>
    </row>
    <row r="42" spans="1:17" x14ac:dyDescent="0.25">
      <c r="B42" s="164">
        <v>42760</v>
      </c>
      <c r="C42" s="10">
        <v>50</v>
      </c>
      <c r="D42" s="39">
        <v>63.73</v>
      </c>
      <c r="E42" s="39">
        <v>63.01</v>
      </c>
      <c r="F42" s="39">
        <f t="shared" si="7"/>
        <v>-35.999999999999943</v>
      </c>
      <c r="G42" s="39">
        <f t="shared" si="8"/>
        <v>3186.5</v>
      </c>
      <c r="H42" s="179">
        <f t="shared" si="9"/>
        <v>-1.1297662011611469E-2</v>
      </c>
      <c r="I42" s="39"/>
      <c r="J42" s="39"/>
      <c r="K42" s="39"/>
      <c r="L42" s="39"/>
      <c r="Q42" s="2"/>
    </row>
    <row r="43" spans="1:17" x14ac:dyDescent="0.25">
      <c r="A43" t="s">
        <v>337</v>
      </c>
      <c r="B43" s="164">
        <v>42768</v>
      </c>
      <c r="C43" s="10">
        <v>50</v>
      </c>
      <c r="D43" s="39">
        <v>63.25</v>
      </c>
      <c r="E43" s="39">
        <v>61.72</v>
      </c>
      <c r="F43" s="39">
        <f t="shared" si="7"/>
        <v>-76.500000000000057</v>
      </c>
      <c r="G43" s="39">
        <f t="shared" si="8"/>
        <v>3162.5</v>
      </c>
      <c r="H43" s="179">
        <f t="shared" si="9"/>
        <v>-2.4189723320158122E-2</v>
      </c>
      <c r="I43" s="39"/>
      <c r="J43" s="39"/>
      <c r="K43" s="39"/>
      <c r="L43" s="39"/>
      <c r="Q43" s="2"/>
    </row>
    <row r="44" spans="1:17" x14ac:dyDescent="0.25">
      <c r="A44" t="s">
        <v>424</v>
      </c>
      <c r="B44" s="164">
        <v>42783</v>
      </c>
      <c r="C44" s="10">
        <v>75</v>
      </c>
      <c r="D44" s="39">
        <v>61.9133</v>
      </c>
      <c r="E44" s="39">
        <v>61.54</v>
      </c>
      <c r="F44" s="39">
        <f t="shared" si="7"/>
        <v>-27.997500000000031</v>
      </c>
      <c r="G44" s="39">
        <f t="shared" si="8"/>
        <v>4643.4975000000004</v>
      </c>
      <c r="H44" s="179">
        <f t="shared" si="9"/>
        <v>-6.0293991759444322E-3</v>
      </c>
      <c r="I44" s="39"/>
      <c r="J44" s="39"/>
      <c r="K44" s="39"/>
      <c r="L44" s="39"/>
      <c r="Q44" s="2"/>
    </row>
    <row r="45" spans="1:17" x14ac:dyDescent="0.25">
      <c r="A45">
        <v>50</v>
      </c>
      <c r="B45" s="164">
        <v>42809</v>
      </c>
      <c r="C45" s="10">
        <v>75</v>
      </c>
      <c r="D45" s="39">
        <v>61.9133</v>
      </c>
      <c r="E45" s="39">
        <v>61.16</v>
      </c>
      <c r="F45" s="39">
        <f t="shared" ref="F45:F51" si="10">C45*(E45-D45)</f>
        <v>-56.497500000000223</v>
      </c>
      <c r="G45" s="39">
        <f t="shared" ref="G45:G51" si="11">D45*C45</f>
        <v>4643.4975000000004</v>
      </c>
      <c r="H45" s="179">
        <f t="shared" ref="H45:H51" si="12">(E45-D45)/D45</f>
        <v>-1.2167014195657523E-2</v>
      </c>
      <c r="I45" s="39"/>
      <c r="J45" s="39">
        <v>-6.55</v>
      </c>
      <c r="K45" s="39"/>
      <c r="L45" s="39"/>
      <c r="Q45" s="2"/>
    </row>
    <row r="46" spans="1:17" x14ac:dyDescent="0.25">
      <c r="A46">
        <v>75</v>
      </c>
      <c r="B46" s="164">
        <v>42831</v>
      </c>
      <c r="C46" s="185">
        <v>100</v>
      </c>
      <c r="D46" s="186">
        <v>60.83</v>
      </c>
      <c r="E46" s="39">
        <v>58</v>
      </c>
      <c r="F46" s="39">
        <f t="shared" si="10"/>
        <v>-282.99999999999983</v>
      </c>
      <c r="G46" s="39">
        <f t="shared" si="11"/>
        <v>6083</v>
      </c>
      <c r="H46" s="179">
        <f t="shared" si="12"/>
        <v>-4.6523097156008525E-2</v>
      </c>
      <c r="I46" s="39"/>
      <c r="J46" s="39">
        <v>-251</v>
      </c>
      <c r="K46" s="39"/>
      <c r="L46" s="39"/>
      <c r="Q46" s="2"/>
    </row>
    <row r="47" spans="1:17" x14ac:dyDescent="0.25">
      <c r="A47">
        <v>75</v>
      </c>
      <c r="B47" s="164">
        <v>42846</v>
      </c>
      <c r="C47" s="10">
        <v>150</v>
      </c>
      <c r="D47" s="39">
        <v>59.7986</v>
      </c>
      <c r="E47" s="39">
        <v>57.73</v>
      </c>
      <c r="F47" s="39">
        <f t="shared" si="10"/>
        <v>-310.29000000000053</v>
      </c>
      <c r="G47" s="39">
        <f t="shared" si="11"/>
        <v>8969.7900000000009</v>
      </c>
      <c r="H47" s="179">
        <f t="shared" si="12"/>
        <v>-3.4592783108634707E-2</v>
      </c>
      <c r="I47" s="39"/>
      <c r="J47" s="39">
        <v>-260</v>
      </c>
      <c r="K47" s="39"/>
      <c r="L47" s="39"/>
      <c r="Q47" s="2"/>
    </row>
    <row r="48" spans="1:17" x14ac:dyDescent="0.25">
      <c r="A48">
        <v>75</v>
      </c>
      <c r="B48" s="164">
        <v>42857</v>
      </c>
      <c r="C48" s="10">
        <v>150</v>
      </c>
      <c r="D48" s="39">
        <v>59.558599999999998</v>
      </c>
      <c r="E48" s="39">
        <v>55.92</v>
      </c>
      <c r="F48" s="39">
        <f t="shared" si="10"/>
        <v>-545.78999999999951</v>
      </c>
      <c r="G48" s="39">
        <f t="shared" si="11"/>
        <v>8933.7899999999991</v>
      </c>
      <c r="H48" s="179">
        <f t="shared" si="12"/>
        <v>-6.1092772496331292E-2</v>
      </c>
      <c r="I48" s="39"/>
      <c r="J48" s="39">
        <v>-496</v>
      </c>
      <c r="K48" s="39"/>
      <c r="L48" s="39"/>
      <c r="Q48" s="2"/>
    </row>
    <row r="49" spans="1:17" x14ac:dyDescent="0.25">
      <c r="A49">
        <v>100</v>
      </c>
      <c r="B49" s="164">
        <v>42862</v>
      </c>
      <c r="C49" s="10">
        <v>150</v>
      </c>
      <c r="D49" s="39">
        <v>59.56</v>
      </c>
      <c r="E49" s="39">
        <v>57.3</v>
      </c>
      <c r="F49" s="39">
        <f t="shared" si="10"/>
        <v>-339.0000000000008</v>
      </c>
      <c r="G49" s="39">
        <f t="shared" si="11"/>
        <v>8934</v>
      </c>
      <c r="H49" s="179">
        <f t="shared" si="12"/>
        <v>-3.79449294828745E-2</v>
      </c>
      <c r="I49" s="39"/>
      <c r="J49" s="39">
        <v>-289</v>
      </c>
      <c r="K49" s="39"/>
      <c r="L49" s="39"/>
      <c r="Q49" s="2"/>
    </row>
    <row r="50" spans="1:17" x14ac:dyDescent="0.25">
      <c r="A50">
        <v>100</v>
      </c>
      <c r="B50" s="164">
        <v>42864</v>
      </c>
      <c r="C50" s="7">
        <v>200</v>
      </c>
      <c r="D50" s="43">
        <v>58.9</v>
      </c>
      <c r="E50" s="39">
        <v>56.98</v>
      </c>
      <c r="F50" s="39">
        <f t="shared" si="10"/>
        <v>-384.00000000000034</v>
      </c>
      <c r="G50" s="39">
        <f t="shared" si="11"/>
        <v>11780</v>
      </c>
      <c r="H50" s="179">
        <f t="shared" si="12"/>
        <v>-3.2597623089983055E-2</v>
      </c>
      <c r="I50" s="39"/>
      <c r="J50" s="39">
        <v>-333</v>
      </c>
      <c r="K50" s="39"/>
      <c r="L50" s="39"/>
      <c r="Q50" s="2"/>
    </row>
    <row r="51" spans="1:17" x14ac:dyDescent="0.25">
      <c r="A51">
        <v>100</v>
      </c>
      <c r="B51" s="164">
        <v>42900</v>
      </c>
      <c r="C51" s="10">
        <v>200</v>
      </c>
      <c r="D51" s="39">
        <v>58.5471</v>
      </c>
      <c r="E51" s="39">
        <v>58.75</v>
      </c>
      <c r="F51" s="39">
        <f t="shared" si="10"/>
        <v>40.579999999999927</v>
      </c>
      <c r="G51" s="39">
        <f t="shared" si="11"/>
        <v>11709.42</v>
      </c>
      <c r="H51" s="179">
        <f t="shared" si="12"/>
        <v>3.4655858274790664E-3</v>
      </c>
      <c r="I51" s="39"/>
      <c r="J51" s="39">
        <v>90.53</v>
      </c>
      <c r="K51" s="39"/>
      <c r="L51" s="39"/>
      <c r="Q51" s="2"/>
    </row>
    <row r="52" spans="1:17" x14ac:dyDescent="0.25">
      <c r="A52">
        <v>200</v>
      </c>
      <c r="B52" s="164">
        <v>42939</v>
      </c>
      <c r="C52" s="10">
        <v>200</v>
      </c>
      <c r="D52" s="39">
        <v>58.5471</v>
      </c>
      <c r="E52" s="39">
        <v>54.35</v>
      </c>
      <c r="F52" s="39">
        <f>C52*(E52-D52)</f>
        <v>-839.41999999999985</v>
      </c>
      <c r="G52" s="39">
        <f>D52*C52</f>
        <v>11709.42</v>
      </c>
      <c r="H52" s="179">
        <f>(E52-D52)/D52</f>
        <v>-7.1687581451515089E-2</v>
      </c>
      <c r="I52" s="39"/>
      <c r="J52" s="39">
        <v>-789</v>
      </c>
      <c r="K52" s="39"/>
      <c r="L52" s="39"/>
      <c r="Q52" s="2"/>
    </row>
    <row r="53" spans="1:17" x14ac:dyDescent="0.25">
      <c r="A53">
        <v>200</v>
      </c>
      <c r="B53" s="164">
        <v>42949</v>
      </c>
      <c r="C53" s="10">
        <v>200</v>
      </c>
      <c r="D53" s="39">
        <v>58.057000000000002</v>
      </c>
      <c r="E53" s="39">
        <v>56.07</v>
      </c>
      <c r="F53" s="39">
        <f>C53*(E53-D53)</f>
        <v>-397.40000000000038</v>
      </c>
      <c r="G53" s="39">
        <f>D53*C53</f>
        <v>11611.4</v>
      </c>
      <c r="H53" s="179">
        <f>(E53-D53)/D53</f>
        <v>-3.4224985789827272E-2</v>
      </c>
      <c r="I53" s="39"/>
      <c r="J53" s="39">
        <v>-347</v>
      </c>
      <c r="K53" s="39"/>
      <c r="L53" s="39"/>
      <c r="Q53" s="2"/>
    </row>
    <row r="54" spans="1:17" x14ac:dyDescent="0.25">
      <c r="A54">
        <v>150</v>
      </c>
      <c r="B54" s="164">
        <v>42978</v>
      </c>
      <c r="C54" s="10">
        <v>200</v>
      </c>
      <c r="D54" s="39">
        <v>57.92</v>
      </c>
      <c r="E54" s="39">
        <v>53.4</v>
      </c>
      <c r="F54" s="39">
        <f>C54*(E54-D54)</f>
        <v>-904.00000000000068</v>
      </c>
      <c r="G54" s="39">
        <f>D54*C54</f>
        <v>11584</v>
      </c>
      <c r="H54" s="179">
        <f>(E54-D54)/D54</f>
        <v>-7.8038674033149222E-2</v>
      </c>
      <c r="I54" s="39">
        <v>57</v>
      </c>
      <c r="J54" s="39">
        <v>-790</v>
      </c>
      <c r="K54" s="39"/>
      <c r="L54" s="39"/>
      <c r="Q54" s="2"/>
    </row>
    <row r="55" spans="1:17" x14ac:dyDescent="0.25">
      <c r="A55">
        <v>200</v>
      </c>
      <c r="B55" s="164">
        <v>43009</v>
      </c>
      <c r="C55" s="10">
        <v>200</v>
      </c>
      <c r="D55" s="39">
        <v>57.92</v>
      </c>
      <c r="E55" s="39">
        <v>51.76</v>
      </c>
      <c r="F55" s="39">
        <f>C55*(E55-D55)</f>
        <v>-1232.0000000000007</v>
      </c>
      <c r="G55" s="39">
        <f>D55*C55</f>
        <v>11584</v>
      </c>
      <c r="H55" s="179">
        <f>(E55-D55)/D55</f>
        <v>-0.10635359116022106</v>
      </c>
      <c r="I55" s="39"/>
      <c r="J55" s="39">
        <v>-1183</v>
      </c>
      <c r="K55" s="39"/>
      <c r="L55" s="39"/>
    </row>
    <row r="56" spans="1:17" x14ac:dyDescent="0.25">
      <c r="A56">
        <v>200</v>
      </c>
      <c r="B56" s="164">
        <v>43017</v>
      </c>
      <c r="C56" s="359">
        <v>300</v>
      </c>
      <c r="D56" s="360">
        <v>55.348300000000002</v>
      </c>
      <c r="E56" s="39">
        <v>50.19</v>
      </c>
      <c r="F56" s="39">
        <f>C56*(E56-D56)</f>
        <v>-1547.4900000000011</v>
      </c>
      <c r="G56" s="39">
        <f>D56*C56</f>
        <v>16604.490000000002</v>
      </c>
      <c r="H56" s="179">
        <f>(E56-D56)/D56</f>
        <v>-9.3197081030492429E-2</v>
      </c>
      <c r="I56" s="39">
        <v>55</v>
      </c>
      <c r="J56" s="39">
        <v>-1497</v>
      </c>
      <c r="K56" s="39"/>
      <c r="L56" s="39"/>
    </row>
    <row r="57" spans="1:17" x14ac:dyDescent="0.25">
      <c r="A57">
        <v>200</v>
      </c>
      <c r="B57" s="164">
        <v>43023</v>
      </c>
      <c r="C57" s="10">
        <v>300</v>
      </c>
      <c r="D57" s="39">
        <v>55.348300000000002</v>
      </c>
      <c r="E57" s="39">
        <v>51.53</v>
      </c>
      <c r="F57" s="39">
        <f t="shared" ref="F57:F65" si="13">C57*(E57-D57)</f>
        <v>-1145.4900000000002</v>
      </c>
      <c r="G57" s="39">
        <f t="shared" ref="G57:G65" si="14">D57*C57</f>
        <v>16604.490000000002</v>
      </c>
      <c r="H57" s="179">
        <f t="shared" ref="H57:H65" si="15">(E57-D57)/D57</f>
        <v>-6.8986762014370817E-2</v>
      </c>
      <c r="I57" s="39">
        <v>55</v>
      </c>
      <c r="J57" s="39">
        <v>-1497</v>
      </c>
      <c r="K57" s="39">
        <v>42.7</v>
      </c>
      <c r="L57" s="39"/>
    </row>
    <row r="58" spans="1:17" x14ac:dyDescent="0.25">
      <c r="A58">
        <v>100</v>
      </c>
      <c r="B58" s="164">
        <v>43028</v>
      </c>
      <c r="C58" s="10">
        <v>200</v>
      </c>
      <c r="D58" s="39">
        <v>56.997999999999998</v>
      </c>
      <c r="E58" s="39">
        <v>52.03</v>
      </c>
      <c r="F58" s="39">
        <f t="shared" si="13"/>
        <v>-993.59999999999923</v>
      </c>
      <c r="G58" s="39">
        <f t="shared" si="14"/>
        <v>11399.6</v>
      </c>
      <c r="H58" s="179">
        <f t="shared" si="15"/>
        <v>-8.7160953015895229E-2</v>
      </c>
      <c r="I58" s="173" t="s">
        <v>730</v>
      </c>
      <c r="J58" s="39">
        <v>-948</v>
      </c>
      <c r="K58" s="39">
        <v>46.9</v>
      </c>
      <c r="L58" s="39"/>
    </row>
    <row r="59" spans="1:17" x14ac:dyDescent="0.25">
      <c r="A59">
        <v>100</v>
      </c>
      <c r="B59" s="164">
        <v>43045</v>
      </c>
      <c r="C59" s="359">
        <v>300</v>
      </c>
      <c r="D59" s="360">
        <v>54.405299999999997</v>
      </c>
      <c r="E59" s="39">
        <v>50.1</v>
      </c>
      <c r="F59" s="39">
        <f t="shared" si="13"/>
        <v>-1291.5899999999986</v>
      </c>
      <c r="G59" s="39">
        <f t="shared" si="14"/>
        <v>16321.589999999998</v>
      </c>
      <c r="H59" s="179">
        <f t="shared" si="15"/>
        <v>-7.9133834387458496E-2</v>
      </c>
      <c r="I59" s="39"/>
      <c r="J59" s="39">
        <v>-1242</v>
      </c>
      <c r="K59" s="39" t="s">
        <v>184</v>
      </c>
      <c r="L59" s="39"/>
    </row>
    <row r="60" spans="1:17" x14ac:dyDescent="0.25">
      <c r="A60">
        <v>0</v>
      </c>
      <c r="B60" s="164">
        <v>43047</v>
      </c>
      <c r="C60" s="7">
        <v>200</v>
      </c>
      <c r="D60" s="43">
        <v>55.893599999999999</v>
      </c>
      <c r="E60" s="39">
        <v>51.5</v>
      </c>
      <c r="F60" s="39">
        <f t="shared" si="13"/>
        <v>-878.7199999999998</v>
      </c>
      <c r="G60" s="39">
        <f t="shared" si="14"/>
        <v>11178.72</v>
      </c>
      <c r="H60" s="179">
        <f t="shared" si="15"/>
        <v>-7.8606495198019086E-2</v>
      </c>
      <c r="I60" s="173" t="s">
        <v>744</v>
      </c>
      <c r="J60" s="39">
        <v>-829</v>
      </c>
      <c r="K60" s="39"/>
      <c r="L60" s="39"/>
    </row>
    <row r="61" spans="1:17" x14ac:dyDescent="0.25">
      <c r="A61">
        <v>50</v>
      </c>
      <c r="B61" s="164">
        <v>43068</v>
      </c>
      <c r="C61" s="10">
        <v>150</v>
      </c>
      <c r="D61" s="39">
        <v>55.765000000000001</v>
      </c>
      <c r="E61" s="39">
        <v>56.34</v>
      </c>
      <c r="F61" s="39">
        <f t="shared" si="13"/>
        <v>86.250000000000426</v>
      </c>
      <c r="G61" s="39">
        <f t="shared" si="14"/>
        <v>8364.75</v>
      </c>
      <c r="H61" s="179">
        <f t="shared" si="15"/>
        <v>1.0311127051017714E-2</v>
      </c>
      <c r="I61" s="39">
        <v>55.2</v>
      </c>
      <c r="J61" s="39">
        <v>136</v>
      </c>
      <c r="K61" s="39"/>
      <c r="L61" s="39"/>
    </row>
    <row r="62" spans="1:17" x14ac:dyDescent="0.25">
      <c r="A62">
        <v>0</v>
      </c>
      <c r="B62" s="164">
        <v>43069</v>
      </c>
      <c r="C62" s="10">
        <v>100</v>
      </c>
      <c r="D62" s="39">
        <v>55.208599999999997</v>
      </c>
      <c r="E62" s="39">
        <v>56.34</v>
      </c>
      <c r="F62" s="39">
        <f t="shared" si="13"/>
        <v>113.14000000000064</v>
      </c>
      <c r="G62" s="39">
        <f t="shared" si="14"/>
        <v>5520.86</v>
      </c>
      <c r="H62" s="179">
        <f t="shared" si="15"/>
        <v>2.0493184032922523E-2</v>
      </c>
      <c r="I62" s="39">
        <v>55</v>
      </c>
      <c r="J62" s="39">
        <v>217</v>
      </c>
      <c r="K62" s="39"/>
      <c r="L62" s="39"/>
    </row>
    <row r="63" spans="1:17" x14ac:dyDescent="0.25">
      <c r="A63">
        <v>75</v>
      </c>
      <c r="B63" s="164">
        <v>43087</v>
      </c>
      <c r="C63" s="10">
        <v>75</v>
      </c>
      <c r="D63" s="39">
        <v>54.28</v>
      </c>
      <c r="E63" s="39">
        <v>58</v>
      </c>
      <c r="F63" s="39">
        <f t="shared" si="13"/>
        <v>278.99999999999989</v>
      </c>
      <c r="G63" s="39">
        <f t="shared" si="14"/>
        <v>4071</v>
      </c>
      <c r="H63" s="179">
        <f t="shared" si="15"/>
        <v>6.8533529845246841E-2</v>
      </c>
      <c r="I63" s="39"/>
      <c r="J63" s="39">
        <v>329</v>
      </c>
      <c r="K63" s="39"/>
      <c r="L63" s="39"/>
    </row>
    <row r="64" spans="1:17" x14ac:dyDescent="0.25">
      <c r="A64">
        <v>60</v>
      </c>
      <c r="B64" s="164">
        <v>43091</v>
      </c>
      <c r="C64" s="10">
        <v>60</v>
      </c>
      <c r="D64" s="39">
        <v>52.8</v>
      </c>
      <c r="E64" s="39">
        <v>60.13</v>
      </c>
      <c r="F64" s="39">
        <f t="shared" si="13"/>
        <v>439.8000000000003</v>
      </c>
      <c r="G64" s="39">
        <f t="shared" si="14"/>
        <v>3168</v>
      </c>
      <c r="H64" s="179">
        <f t="shared" si="15"/>
        <v>0.13882575757575769</v>
      </c>
      <c r="I64" s="39"/>
      <c r="J64" s="39">
        <v>489</v>
      </c>
      <c r="K64" s="39"/>
      <c r="L64" s="39"/>
    </row>
    <row r="65" spans="1:12" x14ac:dyDescent="0.25">
      <c r="B65" s="164">
        <v>43133</v>
      </c>
      <c r="C65" s="10">
        <v>100</v>
      </c>
      <c r="D65" s="39">
        <v>54.483600000000003</v>
      </c>
      <c r="E65" s="39">
        <v>55.95</v>
      </c>
      <c r="F65" s="39">
        <f t="shared" si="13"/>
        <v>146.64000000000001</v>
      </c>
      <c r="G65" s="39">
        <f t="shared" si="14"/>
        <v>5448.3600000000006</v>
      </c>
      <c r="H65" s="179">
        <f t="shared" si="15"/>
        <v>2.6914521066889855E-2</v>
      </c>
      <c r="I65" s="39"/>
      <c r="J65" s="39">
        <v>197</v>
      </c>
      <c r="K65" s="39" t="s">
        <v>184</v>
      </c>
      <c r="L65" s="39"/>
    </row>
    <row r="66" spans="1:12" x14ac:dyDescent="0.25">
      <c r="B66" s="164">
        <v>43172</v>
      </c>
      <c r="C66" s="185">
        <v>100</v>
      </c>
      <c r="D66" s="186">
        <v>54.189599999999999</v>
      </c>
      <c r="E66" s="39">
        <v>51.99</v>
      </c>
      <c r="F66" s="39">
        <f t="shared" ref="F66:F82" si="16">C66*(E66-D66)</f>
        <v>-219.95999999999967</v>
      </c>
      <c r="G66" s="39">
        <f t="shared" ref="G66:G76" si="17">D66*C66</f>
        <v>5418.96</v>
      </c>
      <c r="H66" s="179">
        <f t="shared" ref="H66:H82" si="18">(E66-D66)/D66</f>
        <v>-4.0590814473625877E-2</v>
      </c>
      <c r="I66" s="173" t="s">
        <v>931</v>
      </c>
      <c r="J66" s="39">
        <f t="shared" ref="J66:J92" si="19">F66+$Q$10</f>
        <v>-170.00999999999985</v>
      </c>
      <c r="K66" s="39"/>
      <c r="L66" s="39"/>
    </row>
    <row r="67" spans="1:12" x14ac:dyDescent="0.25">
      <c r="A67">
        <v>100</v>
      </c>
      <c r="B67" s="164">
        <v>43178</v>
      </c>
      <c r="C67" s="10">
        <v>150</v>
      </c>
      <c r="D67" s="39">
        <v>52.8431</v>
      </c>
      <c r="E67" s="39">
        <v>50.21</v>
      </c>
      <c r="F67" s="39">
        <f t="shared" si="16"/>
        <v>-394.9649999999998</v>
      </c>
      <c r="G67" s="39">
        <f t="shared" si="17"/>
        <v>7926.4650000000001</v>
      </c>
      <c r="H67" s="179">
        <f t="shared" si="18"/>
        <v>-4.9828643663978815E-2</v>
      </c>
      <c r="I67" s="39"/>
      <c r="J67" s="39">
        <f t="shared" si="19"/>
        <v>-345.01499999999999</v>
      </c>
      <c r="K67" s="39"/>
      <c r="L67" s="39"/>
    </row>
    <row r="68" spans="1:12" x14ac:dyDescent="0.25">
      <c r="A68">
        <v>100</v>
      </c>
      <c r="B68" s="164">
        <v>43184</v>
      </c>
      <c r="C68" s="10">
        <v>150</v>
      </c>
      <c r="D68" s="39">
        <v>52.8431</v>
      </c>
      <c r="E68" s="39">
        <v>44.21</v>
      </c>
      <c r="F68" s="39">
        <f t="shared" si="16"/>
        <v>-1294.9649999999999</v>
      </c>
      <c r="G68" s="39">
        <f t="shared" si="17"/>
        <v>7926.4650000000001</v>
      </c>
      <c r="H68" s="179">
        <f t="shared" si="18"/>
        <v>-0.16337232297121099</v>
      </c>
      <c r="I68" s="39"/>
      <c r="J68" s="39">
        <f t="shared" si="19"/>
        <v>-1245.0150000000001</v>
      </c>
      <c r="K68" s="39"/>
      <c r="L68" s="39"/>
    </row>
    <row r="69" spans="1:12" x14ac:dyDescent="0.25">
      <c r="A69">
        <v>100</v>
      </c>
      <c r="B69" s="164">
        <v>43185</v>
      </c>
      <c r="C69" s="10">
        <v>150</v>
      </c>
      <c r="D69" s="39">
        <v>52.8431</v>
      </c>
      <c r="E69" s="39">
        <v>45.3</v>
      </c>
      <c r="F69" s="39">
        <f t="shared" si="16"/>
        <v>-1131.4650000000004</v>
      </c>
      <c r="G69" s="39">
        <f t="shared" si="17"/>
        <v>7926.4650000000001</v>
      </c>
      <c r="H69" s="179">
        <f t="shared" si="18"/>
        <v>-0.14274522123039721</v>
      </c>
      <c r="I69" s="39"/>
      <c r="J69" s="39">
        <f t="shared" si="19"/>
        <v>-1081.5150000000006</v>
      </c>
      <c r="K69" s="39"/>
      <c r="L69" s="39"/>
    </row>
    <row r="70" spans="1:12" x14ac:dyDescent="0.25">
      <c r="A70">
        <v>100</v>
      </c>
      <c r="B70" s="164">
        <v>43198</v>
      </c>
      <c r="C70" s="10">
        <v>150</v>
      </c>
      <c r="D70" s="39">
        <v>52.8431</v>
      </c>
      <c r="E70" s="39">
        <v>45.47</v>
      </c>
      <c r="F70" s="39">
        <f t="shared" si="16"/>
        <v>-1105.9650000000001</v>
      </c>
      <c r="G70" s="39">
        <f t="shared" si="17"/>
        <v>7926.4650000000001</v>
      </c>
      <c r="H70" s="179">
        <f t="shared" si="18"/>
        <v>-0.13952815031669227</v>
      </c>
      <c r="I70" s="39"/>
      <c r="J70" s="39">
        <f t="shared" si="19"/>
        <v>-1056.0150000000003</v>
      </c>
      <c r="K70" s="39"/>
      <c r="L70" s="39">
        <v>14.76</v>
      </c>
    </row>
    <row r="71" spans="1:12" x14ac:dyDescent="0.25">
      <c r="A71">
        <v>150</v>
      </c>
      <c r="B71" s="164">
        <v>43222</v>
      </c>
      <c r="C71" s="10">
        <v>150</v>
      </c>
      <c r="D71" s="39">
        <v>52.353000000000002</v>
      </c>
      <c r="E71" s="39">
        <v>42.49</v>
      </c>
      <c r="F71" s="39">
        <f t="shared" si="16"/>
        <v>-1479.4499999999998</v>
      </c>
      <c r="G71" s="39">
        <f t="shared" si="17"/>
        <v>7852.95</v>
      </c>
      <c r="H71" s="179">
        <f t="shared" si="18"/>
        <v>-0.18839417034362882</v>
      </c>
      <c r="I71" s="39"/>
      <c r="J71" s="39">
        <f t="shared" si="19"/>
        <v>-1429.5</v>
      </c>
      <c r="K71" s="39"/>
      <c r="L71" s="39">
        <v>13.8</v>
      </c>
    </row>
    <row r="72" spans="1:12" x14ac:dyDescent="0.25">
      <c r="A72">
        <v>150</v>
      </c>
      <c r="B72" s="164">
        <v>43279</v>
      </c>
      <c r="C72" s="10">
        <v>150</v>
      </c>
      <c r="D72" s="39">
        <v>52.353000000000002</v>
      </c>
      <c r="E72" s="39">
        <v>44.68</v>
      </c>
      <c r="F72" s="39">
        <f t="shared" si="16"/>
        <v>-1150.9500000000003</v>
      </c>
      <c r="G72" s="39">
        <f t="shared" si="17"/>
        <v>7852.95</v>
      </c>
      <c r="H72" s="179">
        <f t="shared" si="18"/>
        <v>-0.14656275667105995</v>
      </c>
      <c r="I72" s="39"/>
      <c r="J72" s="39">
        <f t="shared" si="19"/>
        <v>-1101.0000000000005</v>
      </c>
      <c r="K72" s="39"/>
      <c r="L72" s="39">
        <v>14.5</v>
      </c>
    </row>
    <row r="73" spans="1:12" x14ac:dyDescent="0.25">
      <c r="A73">
        <v>150</v>
      </c>
      <c r="B73" s="164">
        <v>43299</v>
      </c>
      <c r="C73" s="7">
        <v>200</v>
      </c>
      <c r="D73" s="43">
        <v>50.134799999999998</v>
      </c>
      <c r="E73" s="39">
        <v>43.48</v>
      </c>
      <c r="F73" s="39">
        <f t="shared" si="16"/>
        <v>-1330.9600000000003</v>
      </c>
      <c r="G73" s="39">
        <f t="shared" si="17"/>
        <v>10026.959999999999</v>
      </c>
      <c r="H73" s="179">
        <f t="shared" si="18"/>
        <v>-0.13273813798000594</v>
      </c>
      <c r="I73" s="39"/>
      <c r="J73" s="39">
        <f t="shared" si="19"/>
        <v>-1281.0100000000004</v>
      </c>
      <c r="K73" s="39"/>
      <c r="L73" s="39">
        <v>14.12</v>
      </c>
    </row>
    <row r="74" spans="1:12" x14ac:dyDescent="0.25">
      <c r="A74">
        <v>150</v>
      </c>
      <c r="B74" s="164">
        <v>43312</v>
      </c>
      <c r="C74" s="10">
        <v>200</v>
      </c>
      <c r="D74" s="39">
        <v>50.13</v>
      </c>
      <c r="E74" s="39">
        <v>46.06</v>
      </c>
      <c r="F74" s="39">
        <f t="shared" si="16"/>
        <v>-814</v>
      </c>
      <c r="G74" s="39">
        <f t="shared" si="17"/>
        <v>10026</v>
      </c>
      <c r="H74" s="179">
        <f t="shared" si="18"/>
        <v>-8.1188908837023746E-2</v>
      </c>
      <c r="I74" s="39"/>
      <c r="J74" s="39">
        <f t="shared" si="19"/>
        <v>-764.05000000000018</v>
      </c>
      <c r="K74" s="39"/>
      <c r="L74" s="39">
        <v>14.95</v>
      </c>
    </row>
    <row r="75" spans="1:12" x14ac:dyDescent="0.25">
      <c r="A75">
        <v>150</v>
      </c>
      <c r="B75" s="164">
        <v>43313</v>
      </c>
      <c r="C75" s="7">
        <v>200</v>
      </c>
      <c r="D75" s="43">
        <v>49.767299999999999</v>
      </c>
      <c r="E75" s="39">
        <v>45.08</v>
      </c>
      <c r="F75" s="39">
        <f t="shared" si="16"/>
        <v>-937.46</v>
      </c>
      <c r="G75" s="39">
        <f t="shared" si="17"/>
        <v>9953.4599999999991</v>
      </c>
      <c r="H75" s="179">
        <f t="shared" si="18"/>
        <v>-9.4184333889923713E-2</v>
      </c>
      <c r="I75" s="173" t="s">
        <v>1241</v>
      </c>
      <c r="J75" s="39">
        <f t="shared" si="19"/>
        <v>-887.51000000000022</v>
      </c>
      <c r="K75" s="39"/>
      <c r="L75" s="39">
        <v>14.64</v>
      </c>
    </row>
    <row r="76" spans="1:12" x14ac:dyDescent="0.25">
      <c r="B76" s="164">
        <v>43316</v>
      </c>
      <c r="C76" s="10">
        <v>200</v>
      </c>
      <c r="D76" s="39">
        <v>49.77</v>
      </c>
      <c r="E76" s="39">
        <v>47.24</v>
      </c>
      <c r="F76" s="39">
        <f t="shared" si="16"/>
        <v>-506.00000000000023</v>
      </c>
      <c r="G76" s="39">
        <f t="shared" si="17"/>
        <v>9954</v>
      </c>
      <c r="H76" s="179">
        <f t="shared" si="18"/>
        <v>-5.0833835643962245E-2</v>
      </c>
      <c r="I76" s="39"/>
      <c r="J76" s="39">
        <f t="shared" si="19"/>
        <v>-456.05000000000041</v>
      </c>
      <c r="K76" s="39"/>
      <c r="L76" s="39">
        <v>15.34</v>
      </c>
    </row>
    <row r="77" spans="1:12" x14ac:dyDescent="0.25">
      <c r="A77">
        <v>150</v>
      </c>
      <c r="B77" s="164">
        <v>43320</v>
      </c>
      <c r="C77" s="359">
        <v>300</v>
      </c>
      <c r="D77" s="360">
        <v>48.274900000000002</v>
      </c>
      <c r="E77" s="39">
        <v>45.22</v>
      </c>
      <c r="F77" s="39">
        <f t="shared" si="16"/>
        <v>-916.47000000000105</v>
      </c>
      <c r="G77" s="39">
        <f t="shared" ref="G77:G82" si="20">D77*C77</f>
        <v>14482.470000000001</v>
      </c>
      <c r="H77" s="179">
        <f t="shared" si="18"/>
        <v>-6.3281332535127022E-2</v>
      </c>
      <c r="I77" s="173" t="s">
        <v>1216</v>
      </c>
      <c r="J77" s="39">
        <f t="shared" si="19"/>
        <v>-866.52000000000123</v>
      </c>
      <c r="K77" s="39"/>
      <c r="L77" s="39">
        <v>14.68</v>
      </c>
    </row>
    <row r="78" spans="1:12" x14ac:dyDescent="0.25">
      <c r="A78">
        <v>150</v>
      </c>
      <c r="B78" s="164">
        <v>43328</v>
      </c>
      <c r="C78" s="10">
        <v>300</v>
      </c>
      <c r="D78" s="39">
        <v>48.274900000000002</v>
      </c>
      <c r="E78" s="39">
        <v>46.6</v>
      </c>
      <c r="F78" s="39">
        <f t="shared" si="16"/>
        <v>-502.47000000000025</v>
      </c>
      <c r="G78" s="39">
        <f t="shared" si="20"/>
        <v>14482.470000000001</v>
      </c>
      <c r="H78" s="179">
        <f t="shared" si="18"/>
        <v>-3.4695048565610717E-2</v>
      </c>
      <c r="I78" s="39"/>
      <c r="J78" s="39">
        <f t="shared" si="19"/>
        <v>-452.52000000000044</v>
      </c>
      <c r="K78" s="39"/>
      <c r="L78" s="39">
        <v>15.43</v>
      </c>
    </row>
    <row r="79" spans="1:12" x14ac:dyDescent="0.25">
      <c r="A79">
        <v>0</v>
      </c>
      <c r="B79" s="164">
        <v>43329</v>
      </c>
      <c r="C79" s="10">
        <v>150</v>
      </c>
      <c r="D79" s="39">
        <v>49.3003</v>
      </c>
      <c r="E79" s="39">
        <v>47.21</v>
      </c>
      <c r="F79" s="39">
        <f t="shared" si="16"/>
        <v>-313.54499999999985</v>
      </c>
      <c r="G79" s="39">
        <f t="shared" si="20"/>
        <v>7395.0450000000001</v>
      </c>
      <c r="H79" s="179">
        <f t="shared" si="18"/>
        <v>-4.2399336312355082E-2</v>
      </c>
      <c r="I79" s="39">
        <v>48.5</v>
      </c>
      <c r="J79" s="39">
        <f t="shared" si="19"/>
        <v>-263.59500000000003</v>
      </c>
      <c r="K79" s="39"/>
      <c r="L79" s="39">
        <v>15.63</v>
      </c>
    </row>
    <row r="80" spans="1:12" x14ac:dyDescent="0.25">
      <c r="A80">
        <v>50</v>
      </c>
      <c r="B80" s="164">
        <v>43333</v>
      </c>
      <c r="C80" s="7">
        <v>200</v>
      </c>
      <c r="D80" s="43">
        <v>48.567799999999998</v>
      </c>
      <c r="E80" s="39">
        <v>46.13</v>
      </c>
      <c r="F80" s="39">
        <f t="shared" si="16"/>
        <v>-487.55999999999915</v>
      </c>
      <c r="G80" s="39">
        <f t="shared" si="20"/>
        <v>9713.56</v>
      </c>
      <c r="H80" s="179">
        <f t="shared" si="18"/>
        <v>-5.0193749768364965E-2</v>
      </c>
      <c r="I80" s="173" t="s">
        <v>1250</v>
      </c>
      <c r="J80" s="39">
        <f t="shared" si="19"/>
        <v>-437.60999999999933</v>
      </c>
      <c r="K80" s="39"/>
      <c r="L80" s="39">
        <v>15.27</v>
      </c>
    </row>
    <row r="81" spans="1:12" x14ac:dyDescent="0.25">
      <c r="A81">
        <v>50</v>
      </c>
      <c r="B81" s="164">
        <v>43340</v>
      </c>
      <c r="C81" s="359">
        <v>300</v>
      </c>
      <c r="D81" s="360">
        <v>47.471800000000002</v>
      </c>
      <c r="E81" s="39">
        <v>45.38</v>
      </c>
      <c r="F81" s="39">
        <f t="shared" si="16"/>
        <v>-627.53999999999974</v>
      </c>
      <c r="G81" s="39">
        <f t="shared" si="20"/>
        <v>14241.54</v>
      </c>
      <c r="H81" s="179">
        <f t="shared" si="18"/>
        <v>-4.4064054870470451E-2</v>
      </c>
      <c r="I81" s="39"/>
      <c r="J81" s="39">
        <f t="shared" si="19"/>
        <v>-577.58999999999992</v>
      </c>
      <c r="K81" s="39"/>
      <c r="L81" s="39">
        <v>15.03</v>
      </c>
    </row>
    <row r="82" spans="1:12" x14ac:dyDescent="0.25">
      <c r="A82">
        <v>50</v>
      </c>
      <c r="B82" s="164">
        <v>43343</v>
      </c>
      <c r="C82" s="10">
        <v>300</v>
      </c>
      <c r="D82" s="39">
        <v>47.47</v>
      </c>
      <c r="E82" s="39">
        <v>46.01</v>
      </c>
      <c r="F82" s="39">
        <f t="shared" si="16"/>
        <v>-438.00000000000023</v>
      </c>
      <c r="G82" s="39">
        <f t="shared" si="20"/>
        <v>14241</v>
      </c>
      <c r="H82" s="179">
        <f t="shared" si="18"/>
        <v>-3.0756267116073328E-2</v>
      </c>
      <c r="I82" s="39"/>
      <c r="J82" s="39">
        <f t="shared" si="19"/>
        <v>-388.05000000000041</v>
      </c>
      <c r="K82" s="39"/>
      <c r="L82" s="39">
        <v>15.24</v>
      </c>
    </row>
    <row r="83" spans="1:12" x14ac:dyDescent="0.25">
      <c r="A83">
        <v>150</v>
      </c>
      <c r="B83" s="164">
        <v>43349</v>
      </c>
      <c r="C83" s="10">
        <v>300</v>
      </c>
      <c r="D83" s="39">
        <v>47.47</v>
      </c>
      <c r="E83" s="39">
        <v>47.01</v>
      </c>
      <c r="F83" s="39">
        <f t="shared" ref="F83:F89" si="21">C83*(E83-D83)</f>
        <v>-138.00000000000026</v>
      </c>
      <c r="G83" s="39">
        <f t="shared" ref="G83:G89" si="22">D83*C83</f>
        <v>14241</v>
      </c>
      <c r="H83" s="179">
        <f t="shared" ref="H83:H89" si="23">(E83-D83)/D83</f>
        <v>-9.6903307352011973E-3</v>
      </c>
      <c r="I83" s="39"/>
      <c r="J83" s="39">
        <f t="shared" si="19"/>
        <v>-88.050000000000438</v>
      </c>
      <c r="K83" s="39"/>
      <c r="L83" s="39">
        <v>15.57</v>
      </c>
    </row>
    <row r="84" spans="1:12" x14ac:dyDescent="0.25">
      <c r="A84">
        <v>50</v>
      </c>
      <c r="B84" s="164">
        <v>43350</v>
      </c>
      <c r="C84" s="7">
        <v>200</v>
      </c>
      <c r="D84" s="43">
        <v>47.463099999999997</v>
      </c>
      <c r="E84" s="39">
        <v>47.55</v>
      </c>
      <c r="F84" s="39">
        <f t="shared" si="21"/>
        <v>17.379999999999995</v>
      </c>
      <c r="G84" s="39">
        <f t="shared" si="22"/>
        <v>9492.619999999999</v>
      </c>
      <c r="H84" s="179">
        <f t="shared" si="23"/>
        <v>1.8308960013147051E-3</v>
      </c>
      <c r="I84" s="39"/>
      <c r="J84" s="39">
        <f t="shared" si="19"/>
        <v>67.329999999999814</v>
      </c>
      <c r="K84" s="39"/>
      <c r="L84" s="39">
        <v>15.75</v>
      </c>
    </row>
    <row r="85" spans="1:12" x14ac:dyDescent="0.25">
      <c r="A85">
        <v>50</v>
      </c>
      <c r="B85" s="164">
        <v>43360</v>
      </c>
      <c r="C85" s="7">
        <v>200</v>
      </c>
      <c r="D85" s="43">
        <v>47.463099999999997</v>
      </c>
      <c r="E85" s="39">
        <v>47.77</v>
      </c>
      <c r="F85" s="39">
        <f t="shared" si="21"/>
        <v>61.380000000001189</v>
      </c>
      <c r="G85" s="39">
        <f t="shared" si="22"/>
        <v>9492.619999999999</v>
      </c>
      <c r="H85" s="179">
        <f t="shared" si="23"/>
        <v>6.4660757514786423E-3</v>
      </c>
      <c r="I85" s="39"/>
      <c r="J85" s="39">
        <f t="shared" si="19"/>
        <v>111.33000000000101</v>
      </c>
      <c r="K85" s="39"/>
      <c r="L85" s="39">
        <v>15.82</v>
      </c>
    </row>
    <row r="86" spans="1:12" x14ac:dyDescent="0.25">
      <c r="A86">
        <v>50</v>
      </c>
      <c r="B86" s="164">
        <v>43361</v>
      </c>
      <c r="C86" s="359">
        <v>300</v>
      </c>
      <c r="D86" s="360">
        <v>46.707000000000001</v>
      </c>
      <c r="E86" s="39">
        <v>44.13</v>
      </c>
      <c r="F86" s="39">
        <f t="shared" si="21"/>
        <v>-773.09999999999945</v>
      </c>
      <c r="G86" s="39">
        <f t="shared" si="22"/>
        <v>14012.1</v>
      </c>
      <c r="H86" s="179">
        <f t="shared" si="23"/>
        <v>-5.5173742693814594E-2</v>
      </c>
      <c r="I86" s="39"/>
      <c r="J86" s="39">
        <f t="shared" si="19"/>
        <v>-723.14999999999964</v>
      </c>
      <c r="K86" s="39"/>
      <c r="L86" s="39">
        <v>14.61</v>
      </c>
    </row>
    <row r="87" spans="1:12" x14ac:dyDescent="0.25">
      <c r="A87">
        <v>200</v>
      </c>
      <c r="B87" s="164">
        <v>43385</v>
      </c>
      <c r="C87" s="10">
        <v>300</v>
      </c>
      <c r="D87" s="39">
        <v>46.71</v>
      </c>
      <c r="E87" s="39">
        <v>43.1</v>
      </c>
      <c r="F87" s="39">
        <f t="shared" si="21"/>
        <v>-1082.9999999999998</v>
      </c>
      <c r="G87" s="39">
        <f t="shared" si="22"/>
        <v>14013</v>
      </c>
      <c r="H87" s="179">
        <f t="shared" si="23"/>
        <v>-7.7285377863412538E-2</v>
      </c>
      <c r="I87" s="39"/>
      <c r="J87" s="39">
        <f t="shared" si="19"/>
        <v>-1033.05</v>
      </c>
      <c r="K87" s="39"/>
      <c r="L87" s="39">
        <v>14.27</v>
      </c>
    </row>
    <row r="88" spans="1:12" x14ac:dyDescent="0.25">
      <c r="A88">
        <v>200</v>
      </c>
      <c r="B88" s="164">
        <v>43403</v>
      </c>
      <c r="C88" s="7">
        <v>200</v>
      </c>
      <c r="D88" s="43">
        <v>47.32</v>
      </c>
      <c r="E88" s="39">
        <v>45.48</v>
      </c>
      <c r="F88" s="39">
        <f t="shared" si="21"/>
        <v>-368.00000000000068</v>
      </c>
      <c r="G88" s="39">
        <f t="shared" si="22"/>
        <v>9464</v>
      </c>
      <c r="H88" s="179">
        <f t="shared" si="23"/>
        <v>-3.8884192730346649E-2</v>
      </c>
      <c r="I88" s="39"/>
      <c r="J88" s="39">
        <f t="shared" si="19"/>
        <v>-318.05000000000086</v>
      </c>
      <c r="K88" s="39"/>
      <c r="L88" s="39">
        <v>15.06</v>
      </c>
    </row>
    <row r="89" spans="1:12" x14ac:dyDescent="0.25">
      <c r="A89">
        <v>200</v>
      </c>
      <c r="B89" s="164">
        <v>43405</v>
      </c>
      <c r="C89" s="7">
        <v>200</v>
      </c>
      <c r="D89" s="43">
        <v>46.585900000000002</v>
      </c>
      <c r="E89" s="39">
        <v>44.32</v>
      </c>
      <c r="F89" s="39">
        <f t="shared" si="21"/>
        <v>-453.1800000000004</v>
      </c>
      <c r="G89" s="39">
        <f t="shared" si="22"/>
        <v>9317.18</v>
      </c>
      <c r="H89" s="179">
        <f t="shared" si="23"/>
        <v>-4.8639180524579363E-2</v>
      </c>
      <c r="I89" s="39"/>
      <c r="J89" s="39">
        <f t="shared" si="19"/>
        <v>-403.23000000000059</v>
      </c>
      <c r="K89" s="39"/>
      <c r="L89" s="39">
        <v>14.68</v>
      </c>
    </row>
    <row r="90" spans="1:12" x14ac:dyDescent="0.25">
      <c r="A90">
        <v>200</v>
      </c>
      <c r="B90" s="164">
        <v>43417</v>
      </c>
      <c r="C90" s="10">
        <v>200</v>
      </c>
      <c r="D90" s="39">
        <v>46.585900000000002</v>
      </c>
      <c r="E90" s="39">
        <v>45.48</v>
      </c>
      <c r="F90" s="39">
        <f t="shared" ref="F90:F95" si="24">C90*(E90-D90)</f>
        <v>-221.18000000000109</v>
      </c>
      <c r="G90" s="39">
        <f t="shared" ref="G90:G95" si="25">D90*C90</f>
        <v>9317.18</v>
      </c>
      <c r="H90" s="179">
        <f t="shared" ref="H90:H96" si="26">(E90-D90)/D90</f>
        <v>-2.3738942469717347E-2</v>
      </c>
      <c r="I90" s="39"/>
      <c r="J90" s="39">
        <f t="shared" si="19"/>
        <v>-171.23000000000127</v>
      </c>
      <c r="K90" s="39"/>
      <c r="L90" s="39">
        <v>15.68</v>
      </c>
    </row>
    <row r="91" spans="1:12" x14ac:dyDescent="0.25">
      <c r="A91">
        <v>200</v>
      </c>
      <c r="B91" s="164">
        <v>43430</v>
      </c>
      <c r="C91" s="10">
        <v>200</v>
      </c>
      <c r="D91" s="39">
        <v>46.59</v>
      </c>
      <c r="E91" s="39">
        <v>42.38</v>
      </c>
      <c r="F91" s="39">
        <f t="shared" si="24"/>
        <v>-842.00000000000023</v>
      </c>
      <c r="G91" s="39">
        <f t="shared" si="25"/>
        <v>9318</v>
      </c>
      <c r="H91" s="179">
        <f t="shared" si="26"/>
        <v>-9.0362738785147043E-2</v>
      </c>
      <c r="I91" s="39"/>
      <c r="J91" s="39">
        <f t="shared" si="19"/>
        <v>-792.05000000000041</v>
      </c>
      <c r="K91" s="39"/>
      <c r="L91" s="39">
        <v>14.03</v>
      </c>
    </row>
    <row r="92" spans="1:12" x14ac:dyDescent="0.25">
      <c r="A92">
        <v>200</v>
      </c>
      <c r="B92" s="164">
        <v>43437</v>
      </c>
      <c r="C92" s="359">
        <v>300</v>
      </c>
      <c r="D92" s="360">
        <v>44.783900000000003</v>
      </c>
      <c r="E92" s="39">
        <v>41.5</v>
      </c>
      <c r="F92" s="39">
        <f t="shared" si="24"/>
        <v>-985.17000000000075</v>
      </c>
      <c r="G92" s="39">
        <f t="shared" si="25"/>
        <v>13435.17</v>
      </c>
      <c r="H92" s="179">
        <f t="shared" si="26"/>
        <v>-7.3327691424820138E-2</v>
      </c>
      <c r="I92" s="39"/>
      <c r="J92" s="39">
        <f t="shared" si="19"/>
        <v>-935.22000000000094</v>
      </c>
      <c r="K92" s="39"/>
      <c r="L92" s="39">
        <v>13.74</v>
      </c>
    </row>
    <row r="93" spans="1:12" x14ac:dyDescent="0.25">
      <c r="A93">
        <v>200</v>
      </c>
      <c r="B93" s="164">
        <v>43442</v>
      </c>
      <c r="C93" s="10">
        <v>300</v>
      </c>
      <c r="D93" s="39">
        <v>44.783900000000003</v>
      </c>
      <c r="E93" s="39">
        <v>38.479999999999997</v>
      </c>
      <c r="F93" s="39">
        <f t="shared" si="24"/>
        <v>-1891.1700000000017</v>
      </c>
      <c r="G93" s="39">
        <f t="shared" si="25"/>
        <v>13435.17</v>
      </c>
      <c r="H93" s="179">
        <f t="shared" si="26"/>
        <v>-0.14076264014523088</v>
      </c>
      <c r="I93" s="39"/>
      <c r="J93" s="39">
        <f>F93+$Q$10</f>
        <v>-1841.2200000000018</v>
      </c>
      <c r="K93" s="39"/>
      <c r="L93" s="39">
        <v>14.74</v>
      </c>
    </row>
    <row r="94" spans="1:12" x14ac:dyDescent="0.25">
      <c r="A94">
        <v>200</v>
      </c>
      <c r="B94" s="164">
        <v>43482</v>
      </c>
      <c r="C94" s="7">
        <v>200</v>
      </c>
      <c r="D94" s="43">
        <v>45.936199999999999</v>
      </c>
      <c r="E94" s="39">
        <v>42.97</v>
      </c>
      <c r="F94" s="39">
        <f t="shared" si="24"/>
        <v>-593.24000000000012</v>
      </c>
      <c r="G94" s="39">
        <f t="shared" si="25"/>
        <v>9187.24</v>
      </c>
      <c r="H94" s="179">
        <f t="shared" si="26"/>
        <v>-6.4572167484467605E-2</v>
      </c>
      <c r="I94" s="39"/>
      <c r="J94" s="39">
        <f>F94+$Q$10</f>
        <v>-543.2900000000003</v>
      </c>
      <c r="K94" s="39"/>
      <c r="L94" s="39">
        <v>14.23</v>
      </c>
    </row>
    <row r="95" spans="1:12" x14ac:dyDescent="0.25">
      <c r="A95">
        <v>200</v>
      </c>
      <c r="B95" s="164">
        <v>43498</v>
      </c>
      <c r="C95" s="7">
        <v>200</v>
      </c>
      <c r="D95" s="43">
        <v>45.201000000000001</v>
      </c>
      <c r="E95" s="39">
        <v>44.24</v>
      </c>
      <c r="F95" s="39">
        <f t="shared" si="24"/>
        <v>-192.1999999999997</v>
      </c>
      <c r="G95" s="39">
        <f t="shared" si="25"/>
        <v>9040.2000000000007</v>
      </c>
      <c r="H95" s="179">
        <f t="shared" si="26"/>
        <v>-2.1260591579832271E-2</v>
      </c>
      <c r="I95" s="39"/>
      <c r="J95" s="39">
        <f>F95+$Q$10</f>
        <v>-142.24999999999989</v>
      </c>
      <c r="K95" s="39"/>
      <c r="L95" s="39">
        <v>14.65</v>
      </c>
    </row>
    <row r="96" spans="1:12" x14ac:dyDescent="0.25">
      <c r="B96" s="164">
        <v>43516</v>
      </c>
      <c r="C96" s="10">
        <v>0</v>
      </c>
      <c r="D96" s="39">
        <v>45.2</v>
      </c>
      <c r="E96" s="39">
        <v>46.88</v>
      </c>
      <c r="F96" s="39">
        <v>335.65</v>
      </c>
      <c r="G96" s="39"/>
      <c r="H96" s="179">
        <f t="shared" si="26"/>
        <v>3.7168141592920347E-2</v>
      </c>
      <c r="I96" s="39"/>
      <c r="J96" s="39">
        <f>F96+$Q$10</f>
        <v>385.5999999999998</v>
      </c>
      <c r="K96" s="39"/>
      <c r="L96" s="39">
        <v>15.15</v>
      </c>
    </row>
    <row r="97" spans="1:13" x14ac:dyDescent="0.25">
      <c r="B97" s="164"/>
      <c r="C97" s="10"/>
      <c r="D97" s="39"/>
      <c r="E97" s="39"/>
      <c r="F97" s="39"/>
      <c r="G97" s="39"/>
      <c r="H97" s="179"/>
      <c r="I97" s="39"/>
      <c r="J97" s="39"/>
      <c r="K97" s="39"/>
      <c r="L97" s="39"/>
    </row>
    <row r="98" spans="1:13" x14ac:dyDescent="0.25">
      <c r="B98" s="164"/>
      <c r="C98" s="10"/>
      <c r="D98" s="39"/>
      <c r="E98" s="39"/>
      <c r="F98" s="39"/>
      <c r="G98" s="39"/>
      <c r="H98" s="179"/>
      <c r="I98" s="39"/>
      <c r="J98" s="39"/>
      <c r="K98" s="39"/>
      <c r="L98" s="39"/>
    </row>
    <row r="99" spans="1:13" x14ac:dyDescent="0.25">
      <c r="B99" s="164"/>
      <c r="C99" s="10"/>
      <c r="D99" s="39"/>
      <c r="E99" s="39"/>
      <c r="F99" s="39"/>
      <c r="G99" s="39"/>
      <c r="H99" s="179"/>
      <c r="I99" s="39"/>
      <c r="J99" s="39"/>
      <c r="K99" s="39"/>
      <c r="L99" s="39"/>
    </row>
    <row r="101" spans="1:13" x14ac:dyDescent="0.25">
      <c r="L101" t="s">
        <v>203</v>
      </c>
      <c r="M101" s="2">
        <f>M110+K110-F110</f>
        <v>49.949999999999818</v>
      </c>
    </row>
    <row r="102" spans="1:13" x14ac:dyDescent="0.25">
      <c r="A102" s="304" t="s">
        <v>1</v>
      </c>
      <c r="B102" s="304" t="s">
        <v>2</v>
      </c>
      <c r="C102" s="304" t="s">
        <v>4</v>
      </c>
      <c r="D102" s="306" t="s">
        <v>5</v>
      </c>
      <c r="E102" s="306" t="s">
        <v>94</v>
      </c>
      <c r="F102" s="306" t="s">
        <v>60</v>
      </c>
      <c r="G102" s="304" t="s">
        <v>3</v>
      </c>
      <c r="H102" s="304" t="s">
        <v>6</v>
      </c>
      <c r="I102" s="304" t="s">
        <v>7</v>
      </c>
      <c r="J102" s="304" t="s">
        <v>95</v>
      </c>
      <c r="K102" s="304" t="s">
        <v>61</v>
      </c>
      <c r="L102" s="304" t="s">
        <v>77</v>
      </c>
      <c r="M102" s="304" t="s">
        <v>38</v>
      </c>
    </row>
    <row r="103" spans="1:13" x14ac:dyDescent="0.25">
      <c r="A103" s="307" t="s">
        <v>170</v>
      </c>
      <c r="B103" s="309">
        <v>42376</v>
      </c>
      <c r="C103" s="298">
        <v>50</v>
      </c>
      <c r="D103" s="299">
        <v>55.15</v>
      </c>
      <c r="E103" s="299">
        <v>0</v>
      </c>
      <c r="F103" s="299">
        <f>C103*D103+E103</f>
        <v>2757.5</v>
      </c>
      <c r="G103" s="297">
        <v>42409</v>
      </c>
      <c r="H103" s="302">
        <v>50</v>
      </c>
      <c r="I103" s="299">
        <v>56.15</v>
      </c>
      <c r="J103" s="299">
        <v>0.05</v>
      </c>
      <c r="K103" s="298">
        <f>H103*I103-J103</f>
        <v>2807.45</v>
      </c>
      <c r="L103" s="297"/>
      <c r="M103" s="299"/>
    </row>
    <row r="104" spans="1:13" x14ac:dyDescent="0.25">
      <c r="A104" s="308" t="s">
        <v>71</v>
      </c>
      <c r="B104" s="309"/>
      <c r="C104" s="298"/>
      <c r="D104" s="299"/>
      <c r="E104" s="299"/>
      <c r="F104" s="299"/>
      <c r="G104" s="297"/>
      <c r="H104" s="298"/>
      <c r="I104" s="298"/>
      <c r="J104" s="298"/>
      <c r="K104" s="298"/>
      <c r="L104" s="298"/>
      <c r="M104" s="298"/>
    </row>
    <row r="105" spans="1:13" x14ac:dyDescent="0.25">
      <c r="A105" s="298"/>
      <c r="B105" s="297"/>
      <c r="C105" s="298"/>
      <c r="D105" s="299"/>
      <c r="E105" s="299"/>
      <c r="F105" s="299"/>
      <c r="G105" s="298"/>
      <c r="H105" s="298"/>
      <c r="I105" s="298"/>
      <c r="J105" s="298"/>
      <c r="K105" s="298"/>
      <c r="L105" s="298"/>
      <c r="M105" s="298"/>
    </row>
    <row r="106" spans="1:13" x14ac:dyDescent="0.25">
      <c r="A106" s="298"/>
      <c r="B106" s="297"/>
      <c r="C106" s="298"/>
      <c r="D106" s="299"/>
      <c r="E106" s="299"/>
      <c r="F106" s="299"/>
      <c r="G106" s="298"/>
      <c r="H106" s="298"/>
      <c r="I106" s="298"/>
      <c r="J106" s="298"/>
      <c r="K106" s="298"/>
      <c r="L106" s="298"/>
      <c r="M106" s="298"/>
    </row>
    <row r="107" spans="1:13" x14ac:dyDescent="0.25">
      <c r="A107" s="298"/>
      <c r="B107" s="298"/>
      <c r="C107" s="298"/>
      <c r="D107" s="299"/>
      <c r="E107" s="299"/>
      <c r="F107" s="299"/>
      <c r="G107" s="298"/>
      <c r="H107" s="298"/>
      <c r="I107" s="298"/>
      <c r="J107" s="298"/>
      <c r="K107" s="298"/>
      <c r="L107" s="298"/>
      <c r="M107" s="298"/>
    </row>
    <row r="108" spans="1:13" x14ac:dyDescent="0.25">
      <c r="A108" s="298"/>
      <c r="B108" s="298"/>
      <c r="C108" s="298"/>
      <c r="D108" s="299"/>
      <c r="E108" s="299"/>
      <c r="F108" s="299"/>
      <c r="G108" s="298"/>
      <c r="H108" s="298"/>
      <c r="I108" s="298"/>
      <c r="J108" s="298"/>
      <c r="K108" s="298"/>
      <c r="L108" s="298"/>
      <c r="M108" s="298"/>
    </row>
    <row r="109" spans="1:13" x14ac:dyDescent="0.25">
      <c r="A109" s="298"/>
      <c r="B109" s="298"/>
      <c r="C109" s="298"/>
      <c r="D109" s="299"/>
      <c r="E109" s="299"/>
      <c r="F109" s="299"/>
      <c r="G109" s="298"/>
      <c r="H109" s="298"/>
      <c r="I109" s="298"/>
      <c r="J109" s="298"/>
      <c r="K109" s="298"/>
      <c r="L109" s="298"/>
      <c r="M109" s="298"/>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8"/>
      <c r="B111" s="298"/>
      <c r="C111" s="298"/>
      <c r="D111" s="299"/>
      <c r="E111" s="299"/>
      <c r="F111" s="299"/>
      <c r="G111" s="298"/>
      <c r="H111" s="298"/>
      <c r="I111" s="298"/>
      <c r="J111" s="298"/>
      <c r="K111" s="298"/>
      <c r="L111" s="298"/>
      <c r="M111" s="298"/>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93" priority="59">
      <formula>F31&gt;0</formula>
    </cfRule>
    <cfRule type="expression" dxfId="92" priority="60">
      <formula>F31&lt;0</formula>
    </cfRule>
  </conditionalFormatting>
  <conditionalFormatting sqref="Q8">
    <cfRule type="expression" dxfId="91" priority="53">
      <formula>Q8&gt;0</formula>
    </cfRule>
    <cfRule type="expression" dxfId="90" priority="54">
      <formula>Q8&lt;0</formula>
    </cfRule>
  </conditionalFormatting>
  <conditionalFormatting sqref="Q7">
    <cfRule type="expression" dxfId="89" priority="55">
      <formula>Q7&gt;0</formula>
    </cfRule>
    <cfRule type="expression" dxfId="88" priority="56">
      <formula>Q7&lt;0</formula>
    </cfRule>
  </conditionalFormatting>
  <conditionalFormatting sqref="M101">
    <cfRule type="expression" dxfId="87" priority="51">
      <formula>M101&gt;0</formula>
    </cfRule>
    <cfRule type="expression" dxfId="86" priority="52">
      <formula>M101&lt;0</formula>
    </cfRule>
  </conditionalFormatting>
  <conditionalFormatting sqref="J45">
    <cfRule type="expression" dxfId="85" priority="49">
      <formula>J45&gt;0</formula>
    </cfRule>
    <cfRule type="expression" dxfId="84" priority="50">
      <formula>J45&lt;0</formula>
    </cfRule>
  </conditionalFormatting>
  <conditionalFormatting sqref="J46:J58 J59:K65 K69:K71 K66:K67">
    <cfRule type="expression" dxfId="83" priority="47">
      <formula>J46&gt;0</formula>
    </cfRule>
    <cfRule type="expression" dxfId="82" priority="48">
      <formula>J46&lt;0</formula>
    </cfRule>
  </conditionalFormatting>
  <conditionalFormatting sqref="Q10">
    <cfRule type="expression" dxfId="81" priority="45">
      <formula>Q10&gt;0</formula>
    </cfRule>
    <cfRule type="expression" dxfId="80" priority="46">
      <formula>Q10&lt;0</formula>
    </cfRule>
  </conditionalFormatting>
  <conditionalFormatting sqref="Q9">
    <cfRule type="expression" dxfId="79" priority="43">
      <formula>Q9&gt;0</formula>
    </cfRule>
    <cfRule type="expression" dxfId="78" priority="44">
      <formula>Q9&lt;0</formula>
    </cfRule>
  </conditionalFormatting>
  <conditionalFormatting sqref="F68 H68">
    <cfRule type="expression" dxfId="77" priority="41">
      <formula>F68&gt;0</formula>
    </cfRule>
    <cfRule type="expression" dxfId="76" priority="42">
      <formula>F68&lt;0</formula>
    </cfRule>
  </conditionalFormatting>
  <conditionalFormatting sqref="K68">
    <cfRule type="expression" dxfId="75" priority="39">
      <formula>K68&gt;0</formula>
    </cfRule>
    <cfRule type="expression" dxfId="74" priority="40">
      <formula>K68&lt;0</formula>
    </cfRule>
  </conditionalFormatting>
  <conditionalFormatting sqref="F69 H69">
    <cfRule type="expression" dxfId="73" priority="37">
      <formula>F69&gt;0</formula>
    </cfRule>
    <cfRule type="expression" dxfId="72" priority="38">
      <formula>F69&lt;0</formula>
    </cfRule>
  </conditionalFormatting>
  <conditionalFormatting sqref="F70:F72 H70:H72">
    <cfRule type="expression" dxfId="71" priority="33">
      <formula>F70&gt;0</formula>
    </cfRule>
    <cfRule type="expression" dxfId="70" priority="34">
      <formula>F70&lt;0</formula>
    </cfRule>
  </conditionalFormatting>
  <conditionalFormatting sqref="L59:L63">
    <cfRule type="expression" dxfId="69" priority="29">
      <formula>L59&gt;0</formula>
    </cfRule>
    <cfRule type="expression" dxfId="68" priority="30">
      <formula>L59&lt;0</formula>
    </cfRule>
  </conditionalFormatting>
  <conditionalFormatting sqref="F73:F75 H73:H75">
    <cfRule type="expression" dxfId="67" priority="25">
      <formula>F73&gt;0</formula>
    </cfRule>
    <cfRule type="expression" dxfId="66" priority="26">
      <formula>F73&lt;0</formula>
    </cfRule>
  </conditionalFormatting>
  <conditionalFormatting sqref="K72:K73">
    <cfRule type="expression" dxfId="65" priority="23">
      <formula>K72&gt;0</formula>
    </cfRule>
    <cfRule type="expression" dxfId="64" priority="24">
      <formula>K72&lt;0</formula>
    </cfRule>
  </conditionalFormatting>
  <conditionalFormatting sqref="K77">
    <cfRule type="expression" dxfId="63" priority="19">
      <formula>K77&gt;0</formula>
    </cfRule>
    <cfRule type="expression" dxfId="62" priority="20">
      <formula>K77&lt;0</formula>
    </cfRule>
  </conditionalFormatting>
  <conditionalFormatting sqref="K80 F79:F83 H79:H83">
    <cfRule type="expression" dxfId="61" priority="17">
      <formula>F79&gt;0</formula>
    </cfRule>
    <cfRule type="expression" dxfId="60" priority="18">
      <formula>F79&lt;0</formula>
    </cfRule>
  </conditionalFormatting>
  <conditionalFormatting sqref="K84 F84:F87 H84:H87">
    <cfRule type="expression" dxfId="59" priority="13">
      <formula>F84&gt;0</formula>
    </cfRule>
    <cfRule type="expression" dxfId="58" priority="14">
      <formula>F84&lt;0</formula>
    </cfRule>
  </conditionalFormatting>
  <conditionalFormatting sqref="K88 F88:F90 H88:H90">
    <cfRule type="expression" dxfId="57" priority="9">
      <formula>F88&gt;0</formula>
    </cfRule>
    <cfRule type="expression" dxfId="56" priority="10">
      <formula>F88&lt;0</formula>
    </cfRule>
  </conditionalFormatting>
  <conditionalFormatting sqref="J96 H96:H97 F96:F97">
    <cfRule type="expression" dxfId="55" priority="7">
      <formula>F96&gt;0</formula>
    </cfRule>
    <cfRule type="expression" dxfId="54" priority="8">
      <formula>F96&lt;0</formula>
    </cfRule>
  </conditionalFormatting>
  <conditionalFormatting sqref="H95 F95">
    <cfRule type="expression" dxfId="53" priority="5">
      <formula>F95&gt;0</formula>
    </cfRule>
    <cfRule type="expression" dxfId="52" priority="6">
      <formula>F95&lt;0</formula>
    </cfRule>
  </conditionalFormatting>
  <conditionalFormatting sqref="H92:H94 F92:F94">
    <cfRule type="expression" dxfId="51" priority="3">
      <formula>F92&gt;0</formula>
    </cfRule>
    <cfRule type="expression" dxfId="50" priority="4">
      <formula>F92&lt;0</formula>
    </cfRule>
  </conditionalFormatting>
  <conditionalFormatting sqref="J95">
    <cfRule type="expression" dxfId="49" priority="1">
      <formula>J95&gt;0</formula>
    </cfRule>
    <cfRule type="expression" dxfId="48"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91" t="s">
        <v>113</v>
      </c>
      <c r="X1" s="91" t="s">
        <v>114</v>
      </c>
      <c r="Y1" s="91" t="s">
        <v>115</v>
      </c>
      <c r="Z1" s="91" t="s">
        <v>116</v>
      </c>
      <c r="AA1" s="91" t="s">
        <v>117</v>
      </c>
      <c r="AB1" s="91" t="s">
        <v>118</v>
      </c>
      <c r="AC1" s="91" t="s">
        <v>119</v>
      </c>
      <c r="AD1" s="11" t="s">
        <v>125</v>
      </c>
      <c r="AE1" s="11" t="s">
        <v>127</v>
      </c>
    </row>
    <row r="2" spans="1:31" x14ac:dyDescent="0.25">
      <c r="A2" s="6" t="s">
        <v>56</v>
      </c>
      <c r="B2" s="157"/>
      <c r="C2" s="4"/>
      <c r="D2" s="3"/>
      <c r="E2" s="3"/>
      <c r="F2" s="3"/>
      <c r="G2" s="72"/>
      <c r="H2" s="4"/>
      <c r="I2" s="3"/>
      <c r="J2" s="4"/>
      <c r="K2" s="4"/>
      <c r="L2" s="72"/>
      <c r="M2" s="3"/>
      <c r="O2" s="11" t="s">
        <v>57</v>
      </c>
      <c r="Q2">
        <f>C18-H18</f>
        <v>0</v>
      </c>
      <c r="T2" s="156"/>
      <c r="W2" s="130">
        <v>42830</v>
      </c>
      <c r="X2" s="10">
        <v>34.619999999999997</v>
      </c>
      <c r="Y2" s="10">
        <v>34.65</v>
      </c>
      <c r="Z2" s="10">
        <v>33.99</v>
      </c>
      <c r="AA2" s="10">
        <v>34</v>
      </c>
      <c r="AB2" s="93">
        <v>10529600</v>
      </c>
      <c r="AC2" s="10">
        <v>34</v>
      </c>
      <c r="AD2" s="2">
        <f>Y2-Z2</f>
        <v>0.65999999999999659</v>
      </c>
      <c r="AE2" s="134">
        <f>AC2/AC3-1</f>
        <v>-7.8786110300554935E-3</v>
      </c>
    </row>
    <row r="3" spans="1:31" x14ac:dyDescent="0.25">
      <c r="A3" s="22" t="s">
        <v>71</v>
      </c>
      <c r="B3" s="157"/>
      <c r="C3" s="4"/>
      <c r="D3" s="3"/>
      <c r="E3" s="3"/>
      <c r="F3" s="3"/>
      <c r="G3" s="72"/>
      <c r="H3" s="4"/>
      <c r="I3" s="4"/>
      <c r="J3" s="4"/>
      <c r="K3" s="4"/>
      <c r="L3" s="4"/>
      <c r="M3" s="4"/>
      <c r="O3" s="11" t="s">
        <v>58</v>
      </c>
      <c r="Q3" s="2">
        <f>IF(Q2=0, Q4, (F18-K18-M18)/Q2)</f>
        <v>39.090000000000003</v>
      </c>
      <c r="W3" s="130">
        <v>42829</v>
      </c>
      <c r="X3" s="10">
        <v>33.9</v>
      </c>
      <c r="Y3" s="10">
        <v>34.43</v>
      </c>
      <c r="Z3" s="10">
        <v>33.9</v>
      </c>
      <c r="AA3" s="10">
        <v>34.270000000000003</v>
      </c>
      <c r="AB3" s="93">
        <v>9495100</v>
      </c>
      <c r="AC3" s="10">
        <v>34.270000000000003</v>
      </c>
      <c r="AD3" s="2">
        <f t="shared" ref="AD3:AD66" si="0">Y3-Z3</f>
        <v>0.53000000000000114</v>
      </c>
      <c r="AE3" s="134">
        <f t="shared" ref="AE3:AE66" si="1">AC3/AC4-1</f>
        <v>2.9265437518291026E-3</v>
      </c>
    </row>
    <row r="4" spans="1:31" x14ac:dyDescent="0.25">
      <c r="B4" s="72"/>
      <c r="C4" s="4"/>
      <c r="D4" s="3"/>
      <c r="E4" s="3"/>
      <c r="F4" s="3"/>
      <c r="G4" s="4"/>
      <c r="H4" s="4"/>
      <c r="I4" s="4"/>
      <c r="J4" s="4"/>
      <c r="K4" s="4"/>
      <c r="L4" s="4"/>
      <c r="M4" s="4"/>
      <c r="O4" s="11" t="s">
        <v>66</v>
      </c>
      <c r="Q4" s="54">
        <v>39.090000000000003</v>
      </c>
      <c r="R4" s="405">
        <v>-1.3899999999999999E-2</v>
      </c>
      <c r="W4" s="130">
        <v>42828</v>
      </c>
      <c r="X4" s="10">
        <v>35.36</v>
      </c>
      <c r="Y4" s="10">
        <v>35.4</v>
      </c>
      <c r="Z4" s="10">
        <v>33.799999999999997</v>
      </c>
      <c r="AA4" s="10">
        <v>34.17</v>
      </c>
      <c r="AB4" s="93">
        <v>31773500</v>
      </c>
      <c r="AC4" s="10">
        <v>34.17</v>
      </c>
      <c r="AD4" s="2">
        <f t="shared" si="0"/>
        <v>1.6000000000000014</v>
      </c>
      <c r="AE4" s="134">
        <f t="shared" si="1"/>
        <v>-3.3653846153846145E-2</v>
      </c>
    </row>
    <row r="5" spans="1:31" x14ac:dyDescent="0.25">
      <c r="B5" s="72"/>
      <c r="C5" s="4"/>
      <c r="D5" s="3"/>
      <c r="E5" s="3"/>
      <c r="F5" s="3"/>
      <c r="G5" s="4"/>
      <c r="H5" s="4"/>
      <c r="I5" s="4"/>
      <c r="J5" s="4"/>
      <c r="K5" s="4"/>
      <c r="L5" s="4"/>
      <c r="M5" s="4"/>
      <c r="O5" s="11" t="s">
        <v>67</v>
      </c>
      <c r="Q5" s="3">
        <f>Q4*Q2</f>
        <v>0</v>
      </c>
      <c r="W5" s="130">
        <v>42825</v>
      </c>
      <c r="X5" s="10">
        <v>35.35</v>
      </c>
      <c r="Y5" s="10">
        <v>35.51</v>
      </c>
      <c r="Z5" s="10">
        <v>35.270000000000003</v>
      </c>
      <c r="AA5" s="10">
        <v>35.36</v>
      </c>
      <c r="AB5" s="93">
        <v>11761600</v>
      </c>
      <c r="AC5" s="10">
        <v>35.36</v>
      </c>
      <c r="AD5" s="2">
        <f t="shared" si="0"/>
        <v>0.23999999999999488</v>
      </c>
      <c r="AE5" s="134">
        <f t="shared" si="1"/>
        <v>-1.4120304998587185E-3</v>
      </c>
    </row>
    <row r="6" spans="1:31" x14ac:dyDescent="0.25">
      <c r="B6" s="4"/>
      <c r="C6" s="4"/>
      <c r="D6" s="3"/>
      <c r="E6" s="3"/>
      <c r="F6" s="3"/>
      <c r="G6" s="4"/>
      <c r="H6" s="4"/>
      <c r="I6" s="4"/>
      <c r="J6" s="4"/>
      <c r="K6" s="4"/>
      <c r="L6" s="4"/>
      <c r="M6" s="4"/>
      <c r="O6" s="11" t="s">
        <v>64</v>
      </c>
      <c r="Q6" s="2">
        <f>Q3*Q2</f>
        <v>0</v>
      </c>
      <c r="W6" s="130">
        <v>42824</v>
      </c>
      <c r="X6" s="10">
        <v>35.5</v>
      </c>
      <c r="Y6" s="10">
        <v>35.79</v>
      </c>
      <c r="Z6" s="10">
        <v>35.32</v>
      </c>
      <c r="AA6" s="10">
        <v>35.409999999999997</v>
      </c>
      <c r="AB6" s="93">
        <v>8690900</v>
      </c>
      <c r="AC6" s="10">
        <v>35.409999999999997</v>
      </c>
      <c r="AD6" s="2">
        <f t="shared" si="0"/>
        <v>0.46999999999999886</v>
      </c>
      <c r="AE6" s="134">
        <f t="shared" si="1"/>
        <v>-3.6578503095104908E-3</v>
      </c>
    </row>
    <row r="7" spans="1:31" x14ac:dyDescent="0.25">
      <c r="B7" s="4"/>
      <c r="C7" s="4"/>
      <c r="D7" s="3"/>
      <c r="E7" s="3"/>
      <c r="F7" s="3"/>
      <c r="G7" s="4"/>
      <c r="H7" s="4"/>
      <c r="I7" s="4"/>
      <c r="J7" s="4"/>
      <c r="K7" s="4"/>
      <c r="L7" s="4"/>
      <c r="M7" s="4"/>
      <c r="O7" s="11" t="s">
        <v>177</v>
      </c>
      <c r="Q7" s="2">
        <f>Q10+Q8</f>
        <v>36.819999999999709</v>
      </c>
      <c r="R7">
        <v>0</v>
      </c>
      <c r="W7" s="130">
        <v>42823</v>
      </c>
      <c r="X7" s="10">
        <v>35.619999999999997</v>
      </c>
      <c r="Y7" s="10">
        <v>36.06</v>
      </c>
      <c r="Z7" s="10">
        <v>35.520000000000003</v>
      </c>
      <c r="AA7" s="10">
        <v>35.54</v>
      </c>
      <c r="AB7" s="93">
        <v>13864600</v>
      </c>
      <c r="AC7" s="10">
        <v>35.54</v>
      </c>
      <c r="AD7" s="2">
        <f t="shared" si="0"/>
        <v>0.53999999999999915</v>
      </c>
      <c r="AE7" s="134">
        <f t="shared" si="1"/>
        <v>-5.6242969628805817E-4</v>
      </c>
    </row>
    <row r="8" spans="1:31" x14ac:dyDescent="0.25">
      <c r="B8" s="4"/>
      <c r="C8" s="4"/>
      <c r="D8" s="3"/>
      <c r="E8" s="3"/>
      <c r="F8" s="3"/>
      <c r="G8" s="4"/>
      <c r="H8" s="4"/>
      <c r="I8" s="4"/>
      <c r="J8" s="4"/>
      <c r="K8" s="4"/>
      <c r="L8" s="4"/>
      <c r="M8" s="4"/>
      <c r="O8" s="11" t="s">
        <v>179</v>
      </c>
      <c r="P8" s="33"/>
      <c r="Q8" s="2">
        <f>K18+M18-F18+Q2*Q4</f>
        <v>0</v>
      </c>
      <c r="W8" s="130">
        <v>42822</v>
      </c>
      <c r="X8" s="10">
        <v>34.659999999999997</v>
      </c>
      <c r="Y8" s="10">
        <v>36.25</v>
      </c>
      <c r="Z8" s="10">
        <v>34.659999999999997</v>
      </c>
      <c r="AA8" s="10">
        <v>35.56</v>
      </c>
      <c r="AB8" s="93">
        <v>29591300</v>
      </c>
      <c r="AC8" s="10">
        <v>35.56</v>
      </c>
      <c r="AD8" s="2">
        <f t="shared" si="0"/>
        <v>1.5900000000000034</v>
      </c>
      <c r="AE8" s="134">
        <f t="shared" si="1"/>
        <v>2.4488619994238014E-2</v>
      </c>
    </row>
    <row r="9" spans="1:31" x14ac:dyDescent="0.25">
      <c r="B9" s="4"/>
      <c r="C9" s="4"/>
      <c r="D9" s="3"/>
      <c r="E9" s="3"/>
      <c r="F9" s="3"/>
      <c r="G9" s="4"/>
      <c r="H9" s="4"/>
      <c r="I9" s="4"/>
      <c r="J9" s="4"/>
      <c r="K9" s="4"/>
      <c r="L9" s="4"/>
      <c r="M9" s="4"/>
      <c r="O9" s="11" t="s">
        <v>204</v>
      </c>
      <c r="Q9" s="134">
        <f>IF(Q2=0, 0, Q8/Q6)</f>
        <v>0</v>
      </c>
      <c r="W9" s="130">
        <v>42821</v>
      </c>
      <c r="X9" s="10">
        <v>34.28</v>
      </c>
      <c r="Y9" s="10">
        <v>34.75</v>
      </c>
      <c r="Z9" s="10">
        <v>33.97</v>
      </c>
      <c r="AA9" s="10">
        <v>34.71</v>
      </c>
      <c r="AB9" s="93">
        <v>12924200</v>
      </c>
      <c r="AC9" s="10">
        <v>34.71</v>
      </c>
      <c r="AD9" s="2">
        <f t="shared" si="0"/>
        <v>0.78000000000000114</v>
      </c>
      <c r="AE9" s="134">
        <f t="shared" si="1"/>
        <v>4.3402777777776791E-3</v>
      </c>
    </row>
    <row r="10" spans="1:31" x14ac:dyDescent="0.25">
      <c r="B10" s="4"/>
      <c r="C10" s="4"/>
      <c r="D10" s="3"/>
      <c r="E10" s="3"/>
      <c r="F10" s="3"/>
      <c r="G10" s="4"/>
      <c r="H10" s="4"/>
      <c r="I10" s="4"/>
      <c r="J10" s="4"/>
      <c r="K10" s="4"/>
      <c r="L10" s="4"/>
      <c r="M10" s="4"/>
      <c r="O10" s="11" t="s">
        <v>203</v>
      </c>
      <c r="P10" s="33"/>
      <c r="Q10" s="2">
        <f>M29</f>
        <v>36.819999999999709</v>
      </c>
      <c r="W10" s="130">
        <v>42818</v>
      </c>
      <c r="X10" s="10">
        <v>34.4</v>
      </c>
      <c r="Y10" s="10">
        <v>35.07</v>
      </c>
      <c r="Z10" s="10">
        <v>34.08</v>
      </c>
      <c r="AA10" s="10">
        <v>34.56</v>
      </c>
      <c r="AB10" s="93">
        <v>16181400</v>
      </c>
      <c r="AC10" s="10">
        <v>34.56</v>
      </c>
      <c r="AD10" s="2">
        <f t="shared" si="0"/>
        <v>0.99000000000000199</v>
      </c>
      <c r="AE10" s="134">
        <f t="shared" si="1"/>
        <v>8.7565674255694059E-3</v>
      </c>
    </row>
    <row r="11" spans="1:31" x14ac:dyDescent="0.25">
      <c r="O11" s="11" t="s">
        <v>175</v>
      </c>
      <c r="P11" s="33"/>
      <c r="Q11" s="134">
        <f>VALUE(TRIM(CLEAN(MID(U58, FIND("(", U58)+1, 5))))</f>
        <v>4.2999999999999997E-2</v>
      </c>
      <c r="W11" s="130">
        <v>42817</v>
      </c>
      <c r="X11" s="10">
        <v>34</v>
      </c>
      <c r="Y11" s="10">
        <v>34.46</v>
      </c>
      <c r="Z11" s="10">
        <v>33.79</v>
      </c>
      <c r="AA11" s="10">
        <v>34.26</v>
      </c>
      <c r="AB11" s="93">
        <v>14485800</v>
      </c>
      <c r="AC11" s="10">
        <v>34.26</v>
      </c>
      <c r="AD11" s="2">
        <f t="shared" si="0"/>
        <v>0.67000000000000171</v>
      </c>
      <c r="AE11" s="134">
        <f t="shared" si="1"/>
        <v>-3.7801686536784729E-3</v>
      </c>
    </row>
    <row r="12" spans="1:31" x14ac:dyDescent="0.25">
      <c r="W12" s="130">
        <v>42816</v>
      </c>
      <c r="X12" s="10">
        <v>34.31</v>
      </c>
      <c r="Y12" s="10">
        <v>34.61</v>
      </c>
      <c r="Z12" s="10">
        <v>33.96</v>
      </c>
      <c r="AA12" s="10">
        <v>34.39</v>
      </c>
      <c r="AB12" s="93">
        <v>18824700</v>
      </c>
      <c r="AC12" s="10">
        <v>34.39</v>
      </c>
      <c r="AD12" s="2">
        <f t="shared" si="0"/>
        <v>0.64999999999999858</v>
      </c>
      <c r="AE12" s="134">
        <f t="shared" si="1"/>
        <v>-4.6309696092617925E-3</v>
      </c>
    </row>
    <row r="13" spans="1:31" x14ac:dyDescent="0.25">
      <c r="W13" s="130">
        <v>42815</v>
      </c>
      <c r="X13" s="10">
        <v>35.950000000000003</v>
      </c>
      <c r="Y13" s="10">
        <v>35.979999999999997</v>
      </c>
      <c r="Z13" s="10">
        <v>34.47</v>
      </c>
      <c r="AA13" s="10">
        <v>34.549999999999997</v>
      </c>
      <c r="AB13" s="93">
        <v>30648700</v>
      </c>
      <c r="AC13" s="10">
        <v>34.549999999999997</v>
      </c>
      <c r="AD13" s="2">
        <f t="shared" si="0"/>
        <v>1.509999999999998</v>
      </c>
      <c r="AE13" s="134">
        <f t="shared" si="1"/>
        <v>-3.2483898067768191E-2</v>
      </c>
    </row>
    <row r="14" spans="1:31" x14ac:dyDescent="0.25">
      <c r="W14" s="130">
        <v>42814</v>
      </c>
      <c r="X14" s="10">
        <v>36.36</v>
      </c>
      <c r="Y14" s="10">
        <v>36.450000000000003</v>
      </c>
      <c r="Z14" s="10">
        <v>35.6</v>
      </c>
      <c r="AA14" s="10">
        <v>35.71</v>
      </c>
      <c r="AB14" s="93">
        <v>38235800</v>
      </c>
      <c r="AC14" s="10">
        <v>35.71</v>
      </c>
      <c r="AD14" s="2">
        <f t="shared" si="0"/>
        <v>0.85000000000000142</v>
      </c>
      <c r="AE14" s="134">
        <f t="shared" si="1"/>
        <v>-1.7065785851912985E-2</v>
      </c>
    </row>
    <row r="15" spans="1:31" x14ac:dyDescent="0.25">
      <c r="W15" s="130">
        <v>42811</v>
      </c>
      <c r="X15" s="10">
        <v>37.130000000000003</v>
      </c>
      <c r="Y15" s="10">
        <v>37.159999999999997</v>
      </c>
      <c r="Z15" s="10">
        <v>36.299999999999997</v>
      </c>
      <c r="AA15" s="10">
        <v>36.33</v>
      </c>
      <c r="AB15" s="93">
        <v>19499400</v>
      </c>
      <c r="AC15" s="10">
        <v>36.33</v>
      </c>
      <c r="AD15" s="2">
        <f t="shared" si="0"/>
        <v>0.85999999999999943</v>
      </c>
      <c r="AE15" s="134">
        <f t="shared" si="1"/>
        <v>-2.0226537216828433E-2</v>
      </c>
    </row>
    <row r="16" spans="1:31" x14ac:dyDescent="0.25">
      <c r="W16" s="130">
        <v>42810</v>
      </c>
      <c r="X16" s="10">
        <v>37.090000000000003</v>
      </c>
      <c r="Y16" s="10">
        <v>37.119999999999997</v>
      </c>
      <c r="Z16" s="10">
        <v>36.770000000000003</v>
      </c>
      <c r="AA16" s="10">
        <v>37.08</v>
      </c>
      <c r="AB16" s="93">
        <v>12549200</v>
      </c>
      <c r="AC16" s="10">
        <v>37.08</v>
      </c>
      <c r="AD16" s="2">
        <f t="shared" si="0"/>
        <v>0.34999999999999432</v>
      </c>
      <c r="AE16" s="134">
        <f t="shared" si="1"/>
        <v>-2.6961445133477646E-4</v>
      </c>
    </row>
    <row r="17" spans="1:31" x14ac:dyDescent="0.25">
      <c r="W17" s="130">
        <v>42809</v>
      </c>
      <c r="X17" s="10">
        <v>37.07</v>
      </c>
      <c r="Y17" s="10">
        <v>37.159999999999997</v>
      </c>
      <c r="Z17" s="10">
        <v>36.79</v>
      </c>
      <c r="AA17" s="10">
        <v>37.090000000000003</v>
      </c>
      <c r="AB17" s="93">
        <v>27980200</v>
      </c>
      <c r="AC17" s="10">
        <v>37.090000000000003</v>
      </c>
      <c r="AD17" s="2">
        <f t="shared" si="0"/>
        <v>0.36999999999999744</v>
      </c>
      <c r="AE17" s="134">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30">
        <v>42808</v>
      </c>
      <c r="X18" s="10">
        <v>36.75</v>
      </c>
      <c r="Y18" s="10">
        <v>36.97</v>
      </c>
      <c r="Z18" s="10">
        <v>36.68</v>
      </c>
      <c r="AA18" s="10">
        <v>36.96</v>
      </c>
      <c r="AB18" s="93">
        <v>5820100</v>
      </c>
      <c r="AC18" s="10">
        <v>36.96</v>
      </c>
      <c r="AD18" s="2">
        <f t="shared" si="0"/>
        <v>0.28999999999999915</v>
      </c>
      <c r="AE18" s="134">
        <f t="shared" si="1"/>
        <v>2.4410089503661414E-3</v>
      </c>
    </row>
    <row r="19" spans="1:31" x14ac:dyDescent="0.25">
      <c r="W19" s="130">
        <v>42807</v>
      </c>
      <c r="X19" s="10">
        <v>37</v>
      </c>
      <c r="Y19" s="10">
        <v>37.130000000000003</v>
      </c>
      <c r="Z19" s="10">
        <v>36.83</v>
      </c>
      <c r="AA19" s="10">
        <v>36.869999999999997</v>
      </c>
      <c r="AB19" s="93">
        <v>10092000</v>
      </c>
      <c r="AC19" s="10">
        <v>36.869999999999997</v>
      </c>
      <c r="AD19" s="2">
        <f t="shared" si="0"/>
        <v>0.30000000000000426</v>
      </c>
      <c r="AE19" s="134">
        <f t="shared" si="1"/>
        <v>1.0860711376594612E-3</v>
      </c>
    </row>
    <row r="20" spans="1:31" x14ac:dyDescent="0.25">
      <c r="W20" s="130">
        <v>42804</v>
      </c>
      <c r="X20" s="10">
        <v>37.1</v>
      </c>
      <c r="Y20" s="10">
        <v>37.19</v>
      </c>
      <c r="Z20" s="10">
        <v>36.770000000000003</v>
      </c>
      <c r="AA20" s="10">
        <v>36.83</v>
      </c>
      <c r="AB20" s="93">
        <v>18245100</v>
      </c>
      <c r="AC20" s="10">
        <v>36.83</v>
      </c>
      <c r="AD20" s="2">
        <f t="shared" si="0"/>
        <v>0.4199999999999946</v>
      </c>
      <c r="AE20" s="134">
        <f t="shared" si="1"/>
        <v>0</v>
      </c>
    </row>
    <row r="21" spans="1:31" x14ac:dyDescent="0.25">
      <c r="B21" s="162" t="s">
        <v>113</v>
      </c>
      <c r="C21" s="162" t="s">
        <v>145</v>
      </c>
      <c r="D21" s="163" t="s">
        <v>144</v>
      </c>
      <c r="E21" s="165" t="s">
        <v>146</v>
      </c>
      <c r="F21" s="165" t="s">
        <v>65</v>
      </c>
      <c r="G21" s="177" t="s">
        <v>150</v>
      </c>
      <c r="H21" s="177" t="s">
        <v>88</v>
      </c>
      <c r="I21" s="177" t="s">
        <v>153</v>
      </c>
      <c r="W21" s="130">
        <v>42803</v>
      </c>
      <c r="X21" s="10">
        <v>37.33</v>
      </c>
      <c r="Y21" s="10">
        <v>37.35</v>
      </c>
      <c r="Z21" s="10">
        <v>36.78</v>
      </c>
      <c r="AA21" s="10">
        <v>36.83</v>
      </c>
      <c r="AB21" s="93">
        <v>12703600</v>
      </c>
      <c r="AC21" s="10">
        <v>36.83</v>
      </c>
      <c r="AD21" s="2">
        <f t="shared" si="0"/>
        <v>0.57000000000000028</v>
      </c>
      <c r="AE21" s="134">
        <f t="shared" si="1"/>
        <v>-1.1805741883552545E-2</v>
      </c>
    </row>
    <row r="22" spans="1:31" x14ac:dyDescent="0.25">
      <c r="B22" s="164"/>
      <c r="C22" s="10"/>
      <c r="D22" s="39"/>
      <c r="E22" s="39"/>
      <c r="F22" s="39"/>
      <c r="G22" s="39"/>
      <c r="H22" s="179"/>
      <c r="I22" s="39"/>
      <c r="W22" s="130">
        <v>42802</v>
      </c>
      <c r="X22" s="10">
        <v>37.11</v>
      </c>
      <c r="Y22" s="10">
        <v>37.69</v>
      </c>
      <c r="Z22" s="10">
        <v>37.11</v>
      </c>
      <c r="AA22" s="10">
        <v>37.270000000000003</v>
      </c>
      <c r="AB22" s="93">
        <v>11375600</v>
      </c>
      <c r="AC22" s="10">
        <v>37.270000000000003</v>
      </c>
      <c r="AD22" s="2">
        <f t="shared" si="0"/>
        <v>0.57999999999999829</v>
      </c>
      <c r="AE22" s="134" t="e">
        <f t="shared" si="1"/>
        <v>#DIV/0!</v>
      </c>
    </row>
    <row r="23" spans="1:31" x14ac:dyDescent="0.25">
      <c r="B23" s="164"/>
      <c r="C23" s="10"/>
      <c r="D23" s="39"/>
      <c r="E23" s="39"/>
      <c r="F23" s="39"/>
      <c r="G23" s="39"/>
      <c r="H23" s="179"/>
      <c r="I23" s="39"/>
      <c r="W23" s="130">
        <v>42802</v>
      </c>
      <c r="X23" s="10" t="s">
        <v>183</v>
      </c>
      <c r="Y23" s="10"/>
      <c r="Z23" s="10"/>
      <c r="AA23" s="10"/>
      <c r="AB23" s="93"/>
      <c r="AC23" s="10"/>
      <c r="AD23" s="2">
        <f t="shared" si="0"/>
        <v>0</v>
      </c>
      <c r="AE23" s="134">
        <f t="shared" si="1"/>
        <v>-1</v>
      </c>
    </row>
    <row r="24" spans="1:31" x14ac:dyDescent="0.25">
      <c r="B24" s="164"/>
      <c r="C24" s="10"/>
      <c r="D24" s="39"/>
      <c r="E24" s="39"/>
      <c r="F24" s="39"/>
      <c r="G24" s="39"/>
      <c r="H24" s="179"/>
      <c r="I24" s="39"/>
      <c r="W24" s="130">
        <v>42801</v>
      </c>
      <c r="X24" s="10">
        <v>37.76</v>
      </c>
      <c r="Y24" s="10">
        <v>37.840000000000003</v>
      </c>
      <c r="Z24" s="10">
        <v>37.299999999999997</v>
      </c>
      <c r="AA24" s="10">
        <v>37.520000000000003</v>
      </c>
      <c r="AB24" s="93">
        <v>17247500</v>
      </c>
      <c r="AC24" s="10">
        <v>37.14</v>
      </c>
      <c r="AD24" s="2">
        <f t="shared" si="0"/>
        <v>0.54000000000000625</v>
      </c>
      <c r="AE24" s="134">
        <f t="shared" si="1"/>
        <v>-1.0391686650679466E-2</v>
      </c>
    </row>
    <row r="25" spans="1:31" x14ac:dyDescent="0.25">
      <c r="B25" s="164"/>
      <c r="C25" s="10"/>
      <c r="D25" s="39"/>
      <c r="E25" s="39"/>
      <c r="F25" s="39"/>
      <c r="G25" s="39"/>
      <c r="H25" s="179"/>
      <c r="I25" s="39"/>
      <c r="W25" s="130">
        <v>42800</v>
      </c>
      <c r="X25" s="10">
        <v>37.979999999999997</v>
      </c>
      <c r="Y25" s="10">
        <v>38.549999999999997</v>
      </c>
      <c r="Z25" s="10">
        <v>37.200000000000003</v>
      </c>
      <c r="AA25" s="10">
        <v>37.909999999999997</v>
      </c>
      <c r="AB25" s="93">
        <v>20199100</v>
      </c>
      <c r="AC25" s="10">
        <v>37.53</v>
      </c>
      <c r="AD25" s="2">
        <f t="shared" si="0"/>
        <v>1.3499999999999943</v>
      </c>
      <c r="AE25" s="134">
        <f t="shared" si="1"/>
        <v>-8.1923890063425597E-3</v>
      </c>
    </row>
    <row r="26" spans="1:31" x14ac:dyDescent="0.25">
      <c r="B26" s="164"/>
      <c r="C26" s="10"/>
      <c r="D26" s="39"/>
      <c r="E26" s="39"/>
      <c r="F26" s="39"/>
      <c r="G26" s="39"/>
      <c r="H26" s="179"/>
      <c r="I26" s="39"/>
      <c r="W26" s="130">
        <v>42797</v>
      </c>
      <c r="X26" s="10">
        <v>37.76</v>
      </c>
      <c r="Y26" s="10">
        <v>38.369999999999997</v>
      </c>
      <c r="Z26" s="10">
        <v>37.58</v>
      </c>
      <c r="AA26" s="10">
        <v>38.229999999999997</v>
      </c>
      <c r="AB26" s="93">
        <v>19455500</v>
      </c>
      <c r="AC26" s="10">
        <v>37.840000000000003</v>
      </c>
      <c r="AD26" s="2">
        <f t="shared" si="0"/>
        <v>0.78999999999999915</v>
      </c>
      <c r="AE26" s="134">
        <f t="shared" si="1"/>
        <v>1.2306046013911276E-2</v>
      </c>
    </row>
    <row r="27" spans="1:31" x14ac:dyDescent="0.25">
      <c r="W27" s="130">
        <v>42796</v>
      </c>
      <c r="X27" s="10">
        <v>37.369999999999997</v>
      </c>
      <c r="Y27" s="10">
        <v>38.1</v>
      </c>
      <c r="Z27" s="10">
        <v>37.25</v>
      </c>
      <c r="AA27" s="10">
        <v>37.76</v>
      </c>
      <c r="AB27" s="93">
        <v>14935100</v>
      </c>
      <c r="AC27" s="10">
        <v>37.380000000000003</v>
      </c>
      <c r="AD27" s="2">
        <f t="shared" si="0"/>
        <v>0.85000000000000142</v>
      </c>
      <c r="AE27" s="134">
        <f t="shared" si="1"/>
        <v>8.9068825910931793E-3</v>
      </c>
    </row>
    <row r="28" spans="1:31" x14ac:dyDescent="0.25">
      <c r="W28" s="130">
        <v>42795</v>
      </c>
      <c r="X28" s="10">
        <v>37.200000000000003</v>
      </c>
      <c r="Y28" s="10">
        <v>37.75</v>
      </c>
      <c r="Z28" s="10">
        <v>37.18</v>
      </c>
      <c r="AA28" s="10">
        <v>37.43</v>
      </c>
      <c r="AB28" s="93">
        <v>10702600</v>
      </c>
      <c r="AC28" s="10">
        <v>37.049999999999997</v>
      </c>
      <c r="AD28" s="2">
        <f t="shared" si="0"/>
        <v>0.57000000000000028</v>
      </c>
      <c r="AE28" s="134">
        <f t="shared" si="1"/>
        <v>1.5903482314230777E-2</v>
      </c>
    </row>
    <row r="29" spans="1:31" x14ac:dyDescent="0.25">
      <c r="L29" t="s">
        <v>203</v>
      </c>
      <c r="M29" s="2">
        <f>M47+K47-F47</f>
        <v>36.819999999999709</v>
      </c>
      <c r="W29" s="130">
        <v>42794</v>
      </c>
      <c r="X29" s="10">
        <v>37.15</v>
      </c>
      <c r="Y29" s="10">
        <v>37.22</v>
      </c>
      <c r="Z29" s="10">
        <v>36.549999999999997</v>
      </c>
      <c r="AA29" s="10">
        <v>36.840000000000003</v>
      </c>
      <c r="AB29" s="93">
        <v>10497800</v>
      </c>
      <c r="AC29" s="10">
        <v>36.47</v>
      </c>
      <c r="AD29" s="2">
        <f t="shared" si="0"/>
        <v>0.67000000000000171</v>
      </c>
      <c r="AE29" s="134">
        <f t="shared" si="1"/>
        <v>-1.1385199240986799E-2</v>
      </c>
    </row>
    <row r="30" spans="1:31" x14ac:dyDescent="0.25">
      <c r="A30" s="304" t="s">
        <v>1</v>
      </c>
      <c r="B30" s="304" t="s">
        <v>2</v>
      </c>
      <c r="C30" s="304" t="s">
        <v>4</v>
      </c>
      <c r="D30" s="306" t="s">
        <v>5</v>
      </c>
      <c r="E30" s="306"/>
      <c r="F30" s="306" t="s">
        <v>60</v>
      </c>
      <c r="G30" s="304" t="s">
        <v>3</v>
      </c>
      <c r="H30" s="304" t="s">
        <v>6</v>
      </c>
      <c r="I30" s="304" t="s">
        <v>7</v>
      </c>
      <c r="J30" s="304"/>
      <c r="K30" s="304" t="s">
        <v>61</v>
      </c>
      <c r="L30" s="304" t="s">
        <v>77</v>
      </c>
      <c r="M30" s="304" t="s">
        <v>38</v>
      </c>
      <c r="W30" s="130">
        <v>42793</v>
      </c>
      <c r="X30" s="10">
        <v>36.92</v>
      </c>
      <c r="Y30" s="10">
        <v>37.36</v>
      </c>
      <c r="Z30" s="10">
        <v>36.86</v>
      </c>
      <c r="AA30" s="10">
        <v>37.270000000000003</v>
      </c>
      <c r="AB30" s="93">
        <v>10091800</v>
      </c>
      <c r="AC30" s="10">
        <v>36.89</v>
      </c>
      <c r="AD30" s="2">
        <f t="shared" si="0"/>
        <v>0.5</v>
      </c>
      <c r="AE30" s="134">
        <f t="shared" si="1"/>
        <v>9.8549137695045363E-3</v>
      </c>
    </row>
    <row r="31" spans="1:31" x14ac:dyDescent="0.25">
      <c r="A31" s="307" t="s">
        <v>56</v>
      </c>
      <c r="B31" s="896">
        <v>42220</v>
      </c>
      <c r="C31" s="298">
        <v>40</v>
      </c>
      <c r="D31" s="299">
        <v>31.78</v>
      </c>
      <c r="E31" s="299"/>
      <c r="F31" s="299">
        <f>C31*D31</f>
        <v>1271.2</v>
      </c>
      <c r="G31" s="297">
        <v>42235</v>
      </c>
      <c r="H31" s="298">
        <v>100</v>
      </c>
      <c r="I31" s="299">
        <v>31.5</v>
      </c>
      <c r="J31" s="298">
        <v>0.06</v>
      </c>
      <c r="K31" s="298">
        <f>H31*I31-J31</f>
        <v>3149.94</v>
      </c>
      <c r="L31" s="297">
        <v>42276</v>
      </c>
      <c r="M31" s="299">
        <v>14.4</v>
      </c>
      <c r="W31" s="130">
        <v>42790</v>
      </c>
      <c r="X31" s="10">
        <v>36.869999999999997</v>
      </c>
      <c r="Y31" s="10">
        <v>37.19</v>
      </c>
      <c r="Z31" s="10">
        <v>36.57</v>
      </c>
      <c r="AA31" s="10">
        <v>36.9</v>
      </c>
      <c r="AB31" s="93">
        <v>13060100</v>
      </c>
      <c r="AC31" s="10">
        <v>36.53</v>
      </c>
      <c r="AD31" s="2">
        <f t="shared" si="0"/>
        <v>0.61999999999999744</v>
      </c>
      <c r="AE31" s="134">
        <f t="shared" si="1"/>
        <v>-9.2215893680498429E-3</v>
      </c>
    </row>
    <row r="32" spans="1:31" x14ac:dyDescent="0.25">
      <c r="A32" s="308" t="s">
        <v>71</v>
      </c>
      <c r="B32" s="896"/>
      <c r="C32" s="298">
        <v>60</v>
      </c>
      <c r="D32" s="299">
        <v>31.78</v>
      </c>
      <c r="E32" s="299"/>
      <c r="F32" s="299">
        <f>C32*D32</f>
        <v>1906.8000000000002</v>
      </c>
      <c r="G32" s="297">
        <v>42284</v>
      </c>
      <c r="H32" s="298">
        <v>40</v>
      </c>
      <c r="I32" s="298">
        <v>31.55</v>
      </c>
      <c r="J32" s="298">
        <v>0.02</v>
      </c>
      <c r="K32" s="298">
        <f>H32*I32-J32</f>
        <v>1261.98</v>
      </c>
      <c r="L32" s="298"/>
      <c r="M32" s="298"/>
      <c r="W32" s="130">
        <v>42789</v>
      </c>
      <c r="X32" s="10">
        <v>37.94</v>
      </c>
      <c r="Y32" s="10">
        <v>38.07</v>
      </c>
      <c r="Z32" s="10">
        <v>37.19</v>
      </c>
      <c r="AA32" s="10">
        <v>37.25</v>
      </c>
      <c r="AB32" s="93">
        <v>13179200</v>
      </c>
      <c r="AC32" s="10">
        <v>36.869999999999997</v>
      </c>
      <c r="AD32" s="2">
        <f t="shared" si="0"/>
        <v>0.88000000000000256</v>
      </c>
      <c r="AE32" s="134">
        <f t="shared" si="1"/>
        <v>-1.5750133475707528E-2</v>
      </c>
    </row>
    <row r="33" spans="1:31" x14ac:dyDescent="0.25">
      <c r="A33" s="298"/>
      <c r="B33" s="297">
        <v>42221</v>
      </c>
      <c r="C33" s="298">
        <v>10</v>
      </c>
      <c r="D33" s="299">
        <v>31.45</v>
      </c>
      <c r="E33" s="299"/>
      <c r="F33" s="299">
        <f>C33*D33</f>
        <v>314.5</v>
      </c>
      <c r="G33" s="298"/>
      <c r="H33" s="298"/>
      <c r="I33" s="298"/>
      <c r="J33" s="298"/>
      <c r="K33" s="298"/>
      <c r="L33" s="298"/>
      <c r="M33" s="298"/>
      <c r="W33" s="130">
        <v>42788</v>
      </c>
      <c r="X33" s="10">
        <v>37.89</v>
      </c>
      <c r="Y33" s="10">
        <v>38.1</v>
      </c>
      <c r="Z33" s="10">
        <v>37.799999999999997</v>
      </c>
      <c r="AA33" s="10">
        <v>37.840000000000003</v>
      </c>
      <c r="AB33" s="93">
        <v>9102700</v>
      </c>
      <c r="AC33" s="10">
        <v>37.46</v>
      </c>
      <c r="AD33" s="2">
        <f t="shared" si="0"/>
        <v>0.30000000000000426</v>
      </c>
      <c r="AE33" s="134">
        <f t="shared" si="1"/>
        <v>8.0149612610203036E-4</v>
      </c>
    </row>
    <row r="34" spans="1:31" x14ac:dyDescent="0.25">
      <c r="A34" s="298"/>
      <c r="B34" s="297">
        <v>42233</v>
      </c>
      <c r="C34" s="298">
        <v>30</v>
      </c>
      <c r="D34" s="299">
        <v>29.9</v>
      </c>
      <c r="E34" s="299"/>
      <c r="F34" s="299">
        <f>C34*D34</f>
        <v>897</v>
      </c>
      <c r="G34" s="298"/>
      <c r="H34" s="298"/>
      <c r="I34" s="298"/>
      <c r="J34" s="298"/>
      <c r="K34" s="298"/>
      <c r="L34" s="298"/>
      <c r="M34" s="298"/>
      <c r="W34" s="130">
        <v>42787</v>
      </c>
      <c r="X34" s="10">
        <v>37.6</v>
      </c>
      <c r="Y34" s="10">
        <v>38.1</v>
      </c>
      <c r="Z34" s="10">
        <v>37.42</v>
      </c>
      <c r="AA34" s="10">
        <v>37.81</v>
      </c>
      <c r="AB34" s="93">
        <v>14549200</v>
      </c>
      <c r="AC34" s="10">
        <v>37.43</v>
      </c>
      <c r="AD34" s="2">
        <f t="shared" si="0"/>
        <v>0.67999999999999972</v>
      </c>
      <c r="AE34" s="134">
        <f t="shared" si="1"/>
        <v>1.601520086862096E-2</v>
      </c>
    </row>
    <row r="35" spans="1:31" x14ac:dyDescent="0.25">
      <c r="A35" s="298"/>
      <c r="B35" s="298"/>
      <c r="C35" s="298"/>
      <c r="D35" s="299"/>
      <c r="E35" s="299"/>
      <c r="F35" s="299"/>
      <c r="G35" s="298"/>
      <c r="H35" s="298"/>
      <c r="I35" s="298"/>
      <c r="J35" s="298"/>
      <c r="K35" s="298"/>
      <c r="L35" s="298"/>
      <c r="M35" s="298"/>
      <c r="W35" s="130">
        <v>42783</v>
      </c>
      <c r="X35" s="10">
        <v>36.79</v>
      </c>
      <c r="Y35" s="10">
        <v>37.9</v>
      </c>
      <c r="Z35" s="10">
        <v>36.409999999999997</v>
      </c>
      <c r="AA35" s="10">
        <v>37.22</v>
      </c>
      <c r="AB35" s="93">
        <v>15777400</v>
      </c>
      <c r="AC35" s="10">
        <v>36.840000000000003</v>
      </c>
      <c r="AD35" s="2">
        <f t="shared" si="0"/>
        <v>1.490000000000002</v>
      </c>
      <c r="AE35" s="134">
        <f t="shared" si="1"/>
        <v>5.1841746248295628E-3</v>
      </c>
    </row>
    <row r="36" spans="1:31" x14ac:dyDescent="0.25">
      <c r="A36" s="298"/>
      <c r="B36" s="298"/>
      <c r="C36" s="298"/>
      <c r="D36" s="299"/>
      <c r="E36" s="299"/>
      <c r="F36" s="299"/>
      <c r="G36" s="298"/>
      <c r="H36" s="298"/>
      <c r="I36" s="298"/>
      <c r="J36" s="298"/>
      <c r="K36" s="298"/>
      <c r="L36" s="298"/>
      <c r="M36" s="298"/>
      <c r="W36" s="130">
        <v>42782</v>
      </c>
      <c r="X36" s="10">
        <v>37.11</v>
      </c>
      <c r="Y36" s="10">
        <v>37.159999999999997</v>
      </c>
      <c r="Z36" s="10">
        <v>36.82</v>
      </c>
      <c r="AA36" s="10">
        <v>37.03</v>
      </c>
      <c r="AB36" s="93">
        <v>9369400</v>
      </c>
      <c r="AC36" s="10">
        <v>36.65</v>
      </c>
      <c r="AD36" s="2">
        <f t="shared" si="0"/>
        <v>0.33999999999999631</v>
      </c>
      <c r="AE36" s="134">
        <f t="shared" si="1"/>
        <v>-1.3623978201635634E-3</v>
      </c>
    </row>
    <row r="37" spans="1:31" x14ac:dyDescent="0.25">
      <c r="A37" s="298"/>
      <c r="B37" s="298"/>
      <c r="C37" s="298"/>
      <c r="D37" s="299"/>
      <c r="E37" s="299"/>
      <c r="F37" s="299"/>
      <c r="G37" s="298"/>
      <c r="H37" s="298"/>
      <c r="I37" s="298"/>
      <c r="J37" s="298"/>
      <c r="K37" s="298"/>
      <c r="L37" s="298"/>
      <c r="M37" s="298"/>
      <c r="W37" s="130">
        <v>42781</v>
      </c>
      <c r="X37" s="10">
        <v>36.950000000000003</v>
      </c>
      <c r="Y37" s="10">
        <v>37.11</v>
      </c>
      <c r="Z37" s="10">
        <v>36.6</v>
      </c>
      <c r="AA37" s="10">
        <v>37.08</v>
      </c>
      <c r="AB37" s="93">
        <v>15674400</v>
      </c>
      <c r="AC37" s="10">
        <v>36.700000000000003</v>
      </c>
      <c r="AD37" s="2">
        <f t="shared" si="0"/>
        <v>0.50999999999999801</v>
      </c>
      <c r="AE37" s="134">
        <f t="shared" si="1"/>
        <v>-4.3407487791643495E-3</v>
      </c>
    </row>
    <row r="38" spans="1:31" x14ac:dyDescent="0.25">
      <c r="A38" s="298"/>
      <c r="B38" s="298"/>
      <c r="C38" s="298"/>
      <c r="D38" s="299"/>
      <c r="E38" s="299"/>
      <c r="F38" s="299"/>
      <c r="G38" s="298"/>
      <c r="H38" s="298"/>
      <c r="I38" s="298"/>
      <c r="J38" s="298"/>
      <c r="K38" s="298"/>
      <c r="L38" s="298"/>
      <c r="M38" s="298"/>
      <c r="W38" s="130">
        <v>42780</v>
      </c>
      <c r="X38" s="10">
        <v>36.72</v>
      </c>
      <c r="Y38" s="10">
        <v>37.4</v>
      </c>
      <c r="Z38" s="10">
        <v>36.67</v>
      </c>
      <c r="AA38" s="10">
        <v>37.24</v>
      </c>
      <c r="AB38" s="93">
        <v>31403300</v>
      </c>
      <c r="AC38" s="10">
        <v>36.86</v>
      </c>
      <c r="AD38" s="2">
        <f t="shared" si="0"/>
        <v>0.72999999999999687</v>
      </c>
      <c r="AE38" s="134">
        <f t="shared" si="1"/>
        <v>4.8350398179749732E-2</v>
      </c>
    </row>
    <row r="39" spans="1:31" x14ac:dyDescent="0.25">
      <c r="A39" s="298"/>
      <c r="B39" s="298"/>
      <c r="C39" s="298"/>
      <c r="D39" s="299"/>
      <c r="E39" s="299"/>
      <c r="F39" s="299"/>
      <c r="G39" s="298"/>
      <c r="H39" s="298"/>
      <c r="I39" s="298"/>
      <c r="J39" s="298"/>
      <c r="K39" s="298"/>
      <c r="L39" s="298"/>
      <c r="M39" s="298"/>
      <c r="W39" s="130">
        <v>42779</v>
      </c>
      <c r="X39" s="10">
        <v>35.380000000000003</v>
      </c>
      <c r="Y39" s="10">
        <v>35.54</v>
      </c>
      <c r="Z39" s="10">
        <v>35.18</v>
      </c>
      <c r="AA39" s="10">
        <v>35.520000000000003</v>
      </c>
      <c r="AB39" s="93">
        <v>10141600</v>
      </c>
      <c r="AC39" s="10">
        <v>35.159999999999997</v>
      </c>
      <c r="AD39" s="2">
        <f t="shared" si="0"/>
        <v>0.35999999999999943</v>
      </c>
      <c r="AE39" s="134">
        <f t="shared" si="1"/>
        <v>1.0054582016661762E-2</v>
      </c>
    </row>
    <row r="40" spans="1:31" x14ac:dyDescent="0.25">
      <c r="A40" s="298"/>
      <c r="B40" s="298"/>
      <c r="C40" s="298"/>
      <c r="D40" s="299"/>
      <c r="E40" s="299"/>
      <c r="F40" s="299"/>
      <c r="G40" s="298"/>
      <c r="H40" s="298"/>
      <c r="I40" s="298"/>
      <c r="J40" s="298"/>
      <c r="K40" s="298"/>
      <c r="L40" s="298"/>
      <c r="M40" s="298"/>
      <c r="W40" s="130">
        <v>42776</v>
      </c>
      <c r="X40" s="10">
        <v>35.21</v>
      </c>
      <c r="Y40" s="10">
        <v>35.32</v>
      </c>
      <c r="Z40" s="10">
        <v>35.08</v>
      </c>
      <c r="AA40" s="10">
        <v>35.17</v>
      </c>
      <c r="AB40" s="93">
        <v>10321800</v>
      </c>
      <c r="AC40" s="10">
        <v>34.81</v>
      </c>
      <c r="AD40" s="2">
        <f t="shared" si="0"/>
        <v>0.24000000000000199</v>
      </c>
      <c r="AE40" s="134">
        <f t="shared" si="1"/>
        <v>2.5921658986176599E-3</v>
      </c>
    </row>
    <row r="41" spans="1:31" ht="20.25" thickBot="1" x14ac:dyDescent="0.35">
      <c r="A41" s="298"/>
      <c r="B41" s="298"/>
      <c r="C41" s="298"/>
      <c r="D41" s="299"/>
      <c r="E41" s="299"/>
      <c r="F41" s="299"/>
      <c r="G41" s="298"/>
      <c r="H41" s="298"/>
      <c r="I41" s="298"/>
      <c r="J41" s="298"/>
      <c r="K41" s="298"/>
      <c r="L41" s="298"/>
      <c r="M41" s="298"/>
      <c r="O41" s="884" t="s">
        <v>78</v>
      </c>
      <c r="P41" s="884"/>
      <c r="W41" s="130">
        <v>42775</v>
      </c>
      <c r="X41" s="10">
        <v>35.14</v>
      </c>
      <c r="Y41" s="10">
        <v>35.4</v>
      </c>
      <c r="Z41" s="10">
        <v>35.020000000000003</v>
      </c>
      <c r="AA41" s="10">
        <v>35.08</v>
      </c>
      <c r="AB41" s="93">
        <v>14834000</v>
      </c>
      <c r="AC41" s="10">
        <v>34.72</v>
      </c>
      <c r="AD41" s="2">
        <f t="shared" si="0"/>
        <v>0.37999999999999545</v>
      </c>
      <c r="AE41" s="134">
        <f t="shared" si="1"/>
        <v>-1.7251293847039273E-3</v>
      </c>
    </row>
    <row r="42" spans="1:31" ht="21" thickTop="1" thickBot="1" x14ac:dyDescent="0.35">
      <c r="A42" s="298"/>
      <c r="B42" s="298"/>
      <c r="C42" s="298"/>
      <c r="D42" s="299"/>
      <c r="E42" s="299"/>
      <c r="F42" s="299"/>
      <c r="G42" s="298"/>
      <c r="H42" s="298"/>
      <c r="I42" s="298"/>
      <c r="J42" s="298"/>
      <c r="K42" s="298"/>
      <c r="L42" s="298"/>
      <c r="M42" s="298"/>
      <c r="O42" s="81">
        <v>1.1000000000000001</v>
      </c>
      <c r="P42" s="81">
        <f>O42*$Q$4</f>
        <v>42.999000000000009</v>
      </c>
      <c r="Q42" s="2"/>
      <c r="T42" s="89" t="s">
        <v>112</v>
      </c>
      <c r="W42" s="130">
        <v>42774</v>
      </c>
      <c r="X42" s="10">
        <v>35.200000000000003</v>
      </c>
      <c r="Y42" s="10">
        <v>35.33</v>
      </c>
      <c r="Z42" s="10">
        <v>34.72</v>
      </c>
      <c r="AA42" s="10">
        <v>35.14</v>
      </c>
      <c r="AB42" s="93">
        <v>16867300</v>
      </c>
      <c r="AC42" s="10">
        <v>34.78</v>
      </c>
      <c r="AD42" s="2">
        <f t="shared" si="0"/>
        <v>0.60999999999999943</v>
      </c>
      <c r="AE42" s="134">
        <f t="shared" si="1"/>
        <v>1.1514104778354017E-3</v>
      </c>
    </row>
    <row r="43" spans="1:31" ht="15.75" thickTop="1" x14ac:dyDescent="0.25">
      <c r="A43" s="298"/>
      <c r="B43" s="298"/>
      <c r="C43" s="298"/>
      <c r="D43" s="299"/>
      <c r="E43" s="299"/>
      <c r="F43" s="299"/>
      <c r="G43" s="298"/>
      <c r="H43" s="298"/>
      <c r="I43" s="298"/>
      <c r="J43" s="298"/>
      <c r="K43" s="298"/>
      <c r="L43" s="298"/>
      <c r="M43" s="298"/>
      <c r="O43" s="81">
        <v>1.0900000000000001</v>
      </c>
      <c r="P43" s="81">
        <f t="shared" ref="P43:P62" si="2">O43*$Q$4</f>
        <v>42.608100000000007</v>
      </c>
      <c r="Q43" s="2"/>
      <c r="T43" s="154" t="s">
        <v>97</v>
      </c>
      <c r="U43" s="154">
        <v>34.270000000000003</v>
      </c>
      <c r="W43" s="130">
        <v>42773</v>
      </c>
      <c r="X43" s="10">
        <v>35.75</v>
      </c>
      <c r="Y43" s="10">
        <v>35.96</v>
      </c>
      <c r="Z43" s="10">
        <v>34.799999999999997</v>
      </c>
      <c r="AA43" s="10">
        <v>35.1</v>
      </c>
      <c r="AB43" s="93">
        <v>39477700</v>
      </c>
      <c r="AC43" s="10">
        <v>34.74</v>
      </c>
      <c r="AD43" s="2">
        <f t="shared" si="0"/>
        <v>1.1600000000000037</v>
      </c>
      <c r="AE43" s="134">
        <f t="shared" si="1"/>
        <v>-4.7174986286341203E-2</v>
      </c>
    </row>
    <row r="44" spans="1:31" x14ac:dyDescent="0.25">
      <c r="A44" s="298"/>
      <c r="B44" s="298"/>
      <c r="C44" s="298"/>
      <c r="D44" s="299"/>
      <c r="E44" s="299"/>
      <c r="F44" s="299"/>
      <c r="G44" s="298"/>
      <c r="H44" s="298"/>
      <c r="I44" s="298"/>
      <c r="J44" s="298"/>
      <c r="K44" s="298"/>
      <c r="L44" s="298"/>
      <c r="M44" s="298"/>
      <c r="O44" s="81">
        <v>1.08</v>
      </c>
      <c r="P44" s="81">
        <f t="shared" si="2"/>
        <v>42.217200000000005</v>
      </c>
      <c r="Q44" s="2"/>
      <c r="T44" s="10" t="s">
        <v>98</v>
      </c>
      <c r="U44" s="10">
        <v>34.619999999999997</v>
      </c>
      <c r="W44" s="130">
        <v>42772</v>
      </c>
      <c r="X44" s="10">
        <v>36.409999999999997</v>
      </c>
      <c r="Y44" s="10">
        <v>36.83</v>
      </c>
      <c r="Z44" s="10">
        <v>36.26</v>
      </c>
      <c r="AA44" s="10">
        <v>36.83</v>
      </c>
      <c r="AB44" s="93">
        <v>13941200</v>
      </c>
      <c r="AC44" s="10">
        <v>36.46</v>
      </c>
      <c r="AD44" s="2">
        <f t="shared" si="0"/>
        <v>0.57000000000000028</v>
      </c>
      <c r="AE44" s="134">
        <f t="shared" si="1"/>
        <v>1.3904338153504003E-2</v>
      </c>
    </row>
    <row r="45" spans="1:31" x14ac:dyDescent="0.25">
      <c r="A45" s="298"/>
      <c r="B45" s="298"/>
      <c r="C45" s="298"/>
      <c r="D45" s="299"/>
      <c r="E45" s="299"/>
      <c r="F45" s="299"/>
      <c r="G45" s="298"/>
      <c r="H45" s="298"/>
      <c r="I45" s="298"/>
      <c r="J45" s="298"/>
      <c r="K45" s="298"/>
      <c r="L45" s="298"/>
      <c r="M45" s="298"/>
      <c r="O45" s="81">
        <v>1.07</v>
      </c>
      <c r="P45" s="81">
        <f t="shared" si="2"/>
        <v>41.826300000000003</v>
      </c>
      <c r="Q45" s="2"/>
      <c r="T45" s="10" t="s">
        <v>99</v>
      </c>
      <c r="U45" s="10" t="s">
        <v>128</v>
      </c>
      <c r="W45" s="130">
        <v>42769</v>
      </c>
      <c r="X45" s="10">
        <v>35.92</v>
      </c>
      <c r="Y45" s="10">
        <v>36.33</v>
      </c>
      <c r="Z45" s="10">
        <v>35.68</v>
      </c>
      <c r="AA45" s="10">
        <v>36.33</v>
      </c>
      <c r="AB45" s="93">
        <v>13962200</v>
      </c>
      <c r="AC45" s="10">
        <v>35.96</v>
      </c>
      <c r="AD45" s="2">
        <f t="shared" si="0"/>
        <v>0.64999999999999858</v>
      </c>
      <c r="AE45" s="134">
        <f t="shared" si="1"/>
        <v>1.668080294034513E-2</v>
      </c>
    </row>
    <row r="46" spans="1:31" x14ac:dyDescent="0.25">
      <c r="A46" s="298"/>
      <c r="B46" s="298"/>
      <c r="C46" s="298"/>
      <c r="D46" s="299"/>
      <c r="E46" s="299"/>
      <c r="F46" s="299"/>
      <c r="G46" s="298"/>
      <c r="H46" s="298"/>
      <c r="I46" s="298"/>
      <c r="J46" s="298"/>
      <c r="K46" s="298"/>
      <c r="L46" s="298"/>
      <c r="M46" s="298"/>
      <c r="O46" s="81">
        <v>1.06</v>
      </c>
      <c r="P46" s="81">
        <f t="shared" si="2"/>
        <v>41.435400000000008</v>
      </c>
      <c r="Q46" s="2"/>
      <c r="T46" s="10" t="s">
        <v>100</v>
      </c>
      <c r="U46" s="10" t="s">
        <v>128</v>
      </c>
      <c r="W46" s="130">
        <v>42768</v>
      </c>
      <c r="X46" s="10">
        <v>36.08</v>
      </c>
      <c r="Y46" s="10">
        <v>36.14</v>
      </c>
      <c r="Z46" s="10">
        <v>35.47</v>
      </c>
      <c r="AA46" s="10">
        <v>35.729999999999997</v>
      </c>
      <c r="AB46" s="93">
        <v>11893700</v>
      </c>
      <c r="AC46" s="10">
        <v>35.369999999999997</v>
      </c>
      <c r="AD46" s="2">
        <f t="shared" si="0"/>
        <v>0.67000000000000171</v>
      </c>
      <c r="AE46" s="134">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81">
        <v>1.05</v>
      </c>
      <c r="P47" s="81">
        <f t="shared" si="2"/>
        <v>41.044500000000006</v>
      </c>
      <c r="Q47" s="2"/>
      <c r="T47" s="10" t="s">
        <v>101</v>
      </c>
      <c r="U47" s="10">
        <v>39.520000000000003</v>
      </c>
      <c r="W47" s="130">
        <v>42767</v>
      </c>
      <c r="X47" s="10">
        <v>36.68</v>
      </c>
      <c r="Y47" s="10">
        <v>37.11</v>
      </c>
      <c r="Z47" s="10">
        <v>35.86</v>
      </c>
      <c r="AA47" s="10">
        <v>36.14</v>
      </c>
      <c r="AB47" s="93">
        <v>13744100</v>
      </c>
      <c r="AC47" s="10">
        <v>35.770000000000003</v>
      </c>
      <c r="AD47" s="2">
        <f t="shared" si="0"/>
        <v>1.25</v>
      </c>
      <c r="AE47" s="134">
        <f t="shared" si="1"/>
        <v>-1.2969094922737234E-2</v>
      </c>
    </row>
    <row r="48" spans="1:31" x14ac:dyDescent="0.25">
      <c r="O48" s="81">
        <v>1.04</v>
      </c>
      <c r="P48" s="81">
        <f t="shared" si="2"/>
        <v>40.653600000000004</v>
      </c>
      <c r="Q48" s="2"/>
      <c r="T48" s="10" t="s">
        <v>102</v>
      </c>
      <c r="U48" s="10">
        <v>1.6486700000000001</v>
      </c>
      <c r="W48" s="130">
        <v>42766</v>
      </c>
      <c r="X48" s="10">
        <v>36.25</v>
      </c>
      <c r="Y48" s="10">
        <v>36.65</v>
      </c>
      <c r="Z48" s="10">
        <v>36.119999999999997</v>
      </c>
      <c r="AA48" s="10">
        <v>36.61</v>
      </c>
      <c r="AB48" s="93">
        <v>10679000</v>
      </c>
      <c r="AC48" s="10">
        <v>36.24</v>
      </c>
      <c r="AD48" s="2">
        <f t="shared" si="0"/>
        <v>0.53000000000000114</v>
      </c>
      <c r="AE48" s="134">
        <f t="shared" si="1"/>
        <v>7.7864293659621886E-3</v>
      </c>
    </row>
    <row r="49" spans="15:31" x14ac:dyDescent="0.25">
      <c r="O49" s="81">
        <v>1.03</v>
      </c>
      <c r="P49" s="81">
        <f t="shared" si="2"/>
        <v>40.262700000000002</v>
      </c>
      <c r="Q49" s="2"/>
      <c r="T49" s="10" t="s">
        <v>103</v>
      </c>
      <c r="U49" s="10" t="s">
        <v>515</v>
      </c>
      <c r="W49" s="130">
        <v>42765</v>
      </c>
      <c r="X49" s="10">
        <v>36.840000000000003</v>
      </c>
      <c r="Y49" s="10">
        <v>36.9</v>
      </c>
      <c r="Z49" s="10">
        <v>36.130000000000003</v>
      </c>
      <c r="AA49" s="10">
        <v>36.33</v>
      </c>
      <c r="AB49" s="93">
        <v>11787700</v>
      </c>
      <c r="AC49" s="10">
        <v>35.96</v>
      </c>
      <c r="AD49" s="2">
        <f t="shared" si="0"/>
        <v>0.76999999999999602</v>
      </c>
      <c r="AE49" s="134">
        <f t="shared" si="1"/>
        <v>-1.8558951965065518E-2</v>
      </c>
    </row>
    <row r="50" spans="15:31" x14ac:dyDescent="0.25">
      <c r="O50" s="81">
        <v>1.02</v>
      </c>
      <c r="P50" s="81">
        <f t="shared" si="2"/>
        <v>39.871800000000007</v>
      </c>
      <c r="Q50" s="2"/>
      <c r="T50" s="10"/>
      <c r="U50" s="10"/>
      <c r="W50" s="130">
        <v>42762</v>
      </c>
      <c r="X50" s="10">
        <v>37.520000000000003</v>
      </c>
      <c r="Y50" s="10">
        <v>37.590000000000003</v>
      </c>
      <c r="Z50" s="10">
        <v>36.880000000000003</v>
      </c>
      <c r="AA50" s="10">
        <v>37.01</v>
      </c>
      <c r="AB50" s="93">
        <v>10228600</v>
      </c>
      <c r="AC50" s="10">
        <v>36.64</v>
      </c>
      <c r="AD50" s="2">
        <f t="shared" si="0"/>
        <v>0.71000000000000085</v>
      </c>
      <c r="AE50" s="134">
        <f t="shared" si="1"/>
        <v>-1.3462574044157294E-2</v>
      </c>
    </row>
    <row r="51" spans="15:31" x14ac:dyDescent="0.25">
      <c r="O51" s="81">
        <v>1.01</v>
      </c>
      <c r="P51" s="81">
        <f t="shared" si="2"/>
        <v>39.480900000000005</v>
      </c>
      <c r="Q51" s="2"/>
      <c r="T51" s="10" t="s">
        <v>104</v>
      </c>
      <c r="U51" s="10" t="s">
        <v>634</v>
      </c>
      <c r="W51" s="130">
        <v>42761</v>
      </c>
      <c r="X51" s="10">
        <v>38.1</v>
      </c>
      <c r="Y51" s="10">
        <v>38.25</v>
      </c>
      <c r="Z51" s="10">
        <v>37.369999999999997</v>
      </c>
      <c r="AA51" s="10">
        <v>37.520000000000003</v>
      </c>
      <c r="AB51" s="93">
        <v>10813400</v>
      </c>
      <c r="AC51" s="10">
        <v>37.14</v>
      </c>
      <c r="AD51" s="2">
        <f t="shared" si="0"/>
        <v>0.88000000000000256</v>
      </c>
      <c r="AE51" s="134">
        <f t="shared" si="1"/>
        <v>-1.9794140934283444E-2</v>
      </c>
    </row>
    <row r="52" spans="15:31" x14ac:dyDescent="0.25">
      <c r="O52" s="81">
        <v>1</v>
      </c>
      <c r="P52" s="81">
        <f t="shared" si="2"/>
        <v>39.090000000000003</v>
      </c>
      <c r="Q52" s="2"/>
      <c r="T52" s="10" t="s">
        <v>105</v>
      </c>
      <c r="U52" s="10" t="s">
        <v>470</v>
      </c>
      <c r="W52" s="130">
        <v>42760</v>
      </c>
      <c r="X52" s="10">
        <v>37.71</v>
      </c>
      <c r="Y52" s="10">
        <v>38.380000000000003</v>
      </c>
      <c r="Z52" s="10">
        <v>37.6</v>
      </c>
      <c r="AA52" s="10">
        <v>38.28</v>
      </c>
      <c r="AB52" s="93">
        <v>20745200</v>
      </c>
      <c r="AC52" s="10">
        <v>37.89</v>
      </c>
      <c r="AD52" s="2">
        <f t="shared" si="0"/>
        <v>0.78000000000000114</v>
      </c>
      <c r="AE52" s="134">
        <f t="shared" si="1"/>
        <v>3.4398034398034349E-2</v>
      </c>
    </row>
    <row r="53" spans="15:31" x14ac:dyDescent="0.25">
      <c r="O53" s="81">
        <v>0.99</v>
      </c>
      <c r="P53" s="81">
        <f t="shared" si="2"/>
        <v>38.699100000000001</v>
      </c>
      <c r="Q53" s="2"/>
      <c r="T53" s="10" t="s">
        <v>106</v>
      </c>
      <c r="U53" s="93">
        <v>10664248</v>
      </c>
      <c r="W53" s="130">
        <v>42759</v>
      </c>
      <c r="X53" s="10">
        <v>36.700000000000003</v>
      </c>
      <c r="Y53" s="10">
        <v>37.24</v>
      </c>
      <c r="Z53" s="10">
        <v>36.68</v>
      </c>
      <c r="AA53" s="10">
        <v>37</v>
      </c>
      <c r="AB53" s="93">
        <v>11600300</v>
      </c>
      <c r="AC53" s="10">
        <v>36.630000000000003</v>
      </c>
      <c r="AD53" s="2">
        <f t="shared" si="0"/>
        <v>0.56000000000000227</v>
      </c>
      <c r="AE53" s="134">
        <f t="shared" si="1"/>
        <v>9.6471885336273377E-3</v>
      </c>
    </row>
    <row r="54" spans="15:31" x14ac:dyDescent="0.25">
      <c r="O54" s="81">
        <v>0.98</v>
      </c>
      <c r="P54" s="81">
        <f t="shared" si="2"/>
        <v>38.308199999999999</v>
      </c>
      <c r="Q54" s="2"/>
      <c r="T54" s="10" t="s">
        <v>109</v>
      </c>
      <c r="U54" s="93">
        <v>15730900</v>
      </c>
      <c r="W54" s="130">
        <v>42758</v>
      </c>
      <c r="X54" s="10">
        <v>37.01</v>
      </c>
      <c r="Y54" s="10">
        <v>37.130000000000003</v>
      </c>
      <c r="Z54" s="10">
        <v>36.380000000000003</v>
      </c>
      <c r="AA54" s="10">
        <v>36.65</v>
      </c>
      <c r="AB54" s="93">
        <v>11624500</v>
      </c>
      <c r="AC54" s="10">
        <v>36.28</v>
      </c>
      <c r="AD54" s="2">
        <f t="shared" si="0"/>
        <v>0.75</v>
      </c>
      <c r="AE54" s="134">
        <f t="shared" si="1"/>
        <v>-9.8253275109170257E-3</v>
      </c>
    </row>
    <row r="55" spans="15:31" x14ac:dyDescent="0.25">
      <c r="O55" s="81">
        <v>0.97</v>
      </c>
      <c r="P55" s="81">
        <f t="shared" si="2"/>
        <v>37.917300000000004</v>
      </c>
      <c r="T55" s="10" t="s">
        <v>107</v>
      </c>
      <c r="U55" s="10" t="s">
        <v>635</v>
      </c>
      <c r="W55" s="130">
        <v>42755</v>
      </c>
      <c r="X55" s="10">
        <v>37.42</v>
      </c>
      <c r="Y55" s="10">
        <v>37.42</v>
      </c>
      <c r="Z55" s="10">
        <v>36.76</v>
      </c>
      <c r="AA55" s="10">
        <v>37.01</v>
      </c>
      <c r="AB55" s="93">
        <v>14001500</v>
      </c>
      <c r="AC55" s="10">
        <v>36.64</v>
      </c>
      <c r="AD55" s="2">
        <f t="shared" si="0"/>
        <v>0.66000000000000369</v>
      </c>
      <c r="AE55" s="134">
        <f t="shared" si="1"/>
        <v>-7.5839653304442534E-3</v>
      </c>
    </row>
    <row r="56" spans="15:31" x14ac:dyDescent="0.25">
      <c r="O56" s="81">
        <v>0.96</v>
      </c>
      <c r="P56" s="81">
        <f t="shared" si="2"/>
        <v>37.526400000000002</v>
      </c>
      <c r="T56" s="10" t="s">
        <v>110</v>
      </c>
      <c r="U56" s="10">
        <v>5.67</v>
      </c>
      <c r="W56" s="130">
        <v>42754</v>
      </c>
      <c r="X56" s="10">
        <v>37.630000000000003</v>
      </c>
      <c r="Y56" s="10">
        <v>37.840000000000003</v>
      </c>
      <c r="Z56" s="10">
        <v>37.159999999999997</v>
      </c>
      <c r="AA56" s="10">
        <v>37.299999999999997</v>
      </c>
      <c r="AB56" s="93">
        <v>8262700</v>
      </c>
      <c r="AC56" s="10">
        <v>36.92</v>
      </c>
      <c r="AD56" s="2">
        <f t="shared" si="0"/>
        <v>0.68000000000000682</v>
      </c>
      <c r="AE56" s="134">
        <f t="shared" si="1"/>
        <v>-4.5834456726880912E-3</v>
      </c>
    </row>
    <row r="57" spans="15:31" x14ac:dyDescent="0.25">
      <c r="O57" s="81">
        <v>0.95</v>
      </c>
      <c r="P57" s="81">
        <f t="shared" si="2"/>
        <v>37.1355</v>
      </c>
      <c r="T57" s="10" t="s">
        <v>111</v>
      </c>
      <c r="U57" s="10">
        <v>6</v>
      </c>
      <c r="W57" s="130">
        <v>42753</v>
      </c>
      <c r="X57" s="10">
        <v>37.450000000000003</v>
      </c>
      <c r="Y57" s="10">
        <v>37.58</v>
      </c>
      <c r="Z57" s="10">
        <v>37.119999999999997</v>
      </c>
      <c r="AA57" s="10">
        <v>37.47</v>
      </c>
      <c r="AB57" s="93">
        <v>11220100</v>
      </c>
      <c r="AC57" s="10">
        <v>37.090000000000003</v>
      </c>
      <c r="AD57" s="2">
        <f t="shared" si="0"/>
        <v>0.46000000000000085</v>
      </c>
      <c r="AE57" s="134">
        <f t="shared" si="1"/>
        <v>4.3325209856486246E-3</v>
      </c>
    </row>
    <row r="58" spans="15:31" x14ac:dyDescent="0.25">
      <c r="O58" s="81">
        <v>0.94</v>
      </c>
      <c r="P58" s="81">
        <f t="shared" si="2"/>
        <v>36.744599999999998</v>
      </c>
      <c r="T58" s="10" t="s">
        <v>108</v>
      </c>
      <c r="U58" s="10" t="s">
        <v>540</v>
      </c>
      <c r="W58" s="130">
        <v>42752</v>
      </c>
      <c r="X58" s="10">
        <v>37.340000000000003</v>
      </c>
      <c r="Y58" s="10">
        <v>37.69</v>
      </c>
      <c r="Z58" s="10">
        <v>37.17</v>
      </c>
      <c r="AA58" s="10">
        <v>37.31</v>
      </c>
      <c r="AB58" s="93">
        <v>8225700</v>
      </c>
      <c r="AC58" s="10">
        <v>36.93</v>
      </c>
      <c r="AD58" s="2">
        <f t="shared" si="0"/>
        <v>0.51999999999999602</v>
      </c>
      <c r="AE58" s="134">
        <f t="shared" si="1"/>
        <v>-8.116883116883189E-4</v>
      </c>
    </row>
    <row r="59" spans="15:31" x14ac:dyDescent="0.25">
      <c r="O59" s="81">
        <v>0.93</v>
      </c>
      <c r="P59" s="81">
        <f t="shared" si="2"/>
        <v>36.353700000000003</v>
      </c>
      <c r="W59" s="130">
        <v>42748</v>
      </c>
      <c r="X59" s="10">
        <v>37.549999999999997</v>
      </c>
      <c r="Y59" s="10">
        <v>37.770000000000003</v>
      </c>
      <c r="Z59" s="10">
        <v>37.15</v>
      </c>
      <c r="AA59" s="10">
        <v>37.340000000000003</v>
      </c>
      <c r="AB59" s="93">
        <v>8748800</v>
      </c>
      <c r="AC59" s="10">
        <v>36.96</v>
      </c>
      <c r="AD59" s="2">
        <f t="shared" si="0"/>
        <v>0.62000000000000455</v>
      </c>
      <c r="AE59" s="134">
        <f t="shared" si="1"/>
        <v>-4.5785079450579858E-3</v>
      </c>
    </row>
    <row r="60" spans="15:31" x14ac:dyDescent="0.25">
      <c r="O60" s="81">
        <v>0.92</v>
      </c>
      <c r="P60" s="81">
        <f t="shared" si="2"/>
        <v>35.962800000000001</v>
      </c>
      <c r="W60" s="130">
        <v>42747</v>
      </c>
      <c r="X60" s="10">
        <v>38</v>
      </c>
      <c r="Y60" s="10">
        <v>38.15</v>
      </c>
      <c r="Z60" s="10">
        <v>37.06</v>
      </c>
      <c r="AA60" s="10">
        <v>37.51</v>
      </c>
      <c r="AB60" s="93">
        <v>16830200</v>
      </c>
      <c r="AC60" s="10">
        <v>37.130000000000003</v>
      </c>
      <c r="AD60" s="2">
        <f t="shared" si="0"/>
        <v>1.0899999999999963</v>
      </c>
      <c r="AE60" s="134">
        <f t="shared" si="1"/>
        <v>-1.1711471919084282E-2</v>
      </c>
    </row>
    <row r="61" spans="15:31" x14ac:dyDescent="0.25">
      <c r="O61" s="81">
        <v>0.91</v>
      </c>
      <c r="P61" s="81">
        <f t="shared" si="2"/>
        <v>35.571900000000007</v>
      </c>
      <c r="W61" s="130">
        <v>42746</v>
      </c>
      <c r="X61" s="10">
        <v>37.54</v>
      </c>
      <c r="Y61" s="10">
        <v>38.11</v>
      </c>
      <c r="Z61" s="10">
        <v>37.22</v>
      </c>
      <c r="AA61" s="10">
        <v>37.950000000000003</v>
      </c>
      <c r="AB61" s="93">
        <v>19553900</v>
      </c>
      <c r="AC61" s="10">
        <v>37.57</v>
      </c>
      <c r="AD61" s="2">
        <f t="shared" si="0"/>
        <v>0.89000000000000057</v>
      </c>
      <c r="AE61" s="134">
        <f t="shared" si="1"/>
        <v>1.6229375169056093E-2</v>
      </c>
    </row>
    <row r="62" spans="15:31" x14ac:dyDescent="0.25">
      <c r="O62" s="81">
        <v>0.9</v>
      </c>
      <c r="P62" s="81">
        <f t="shared" si="2"/>
        <v>35.181000000000004</v>
      </c>
      <c r="W62" s="130">
        <v>42745</v>
      </c>
      <c r="X62" s="10">
        <v>36.19</v>
      </c>
      <c r="Y62" s="10">
        <v>38.159999999999997</v>
      </c>
      <c r="Z62" s="10">
        <v>36.049999999999997</v>
      </c>
      <c r="AA62" s="10">
        <v>37.35</v>
      </c>
      <c r="AB62" s="93">
        <v>34804500</v>
      </c>
      <c r="AC62" s="10">
        <v>36.97</v>
      </c>
      <c r="AD62" s="2">
        <f t="shared" si="0"/>
        <v>2.1099999999999994</v>
      </c>
      <c r="AE62" s="134">
        <f t="shared" si="1"/>
        <v>3.7026647966339477E-2</v>
      </c>
    </row>
    <row r="63" spans="15:31" x14ac:dyDescent="0.25">
      <c r="W63" s="130">
        <v>42744</v>
      </c>
      <c r="X63" s="10">
        <v>36.119999999999997</v>
      </c>
      <c r="Y63" s="10">
        <v>36.53</v>
      </c>
      <c r="Z63" s="10">
        <v>35.86</v>
      </c>
      <c r="AA63" s="10">
        <v>36.01</v>
      </c>
      <c r="AB63" s="93">
        <v>15201300</v>
      </c>
      <c r="AC63" s="10">
        <v>35.65</v>
      </c>
      <c r="AD63" s="2">
        <f t="shared" si="0"/>
        <v>0.67000000000000171</v>
      </c>
      <c r="AE63" s="134">
        <f t="shared" si="1"/>
        <v>5.6132472635406216E-4</v>
      </c>
    </row>
    <row r="64" spans="15:31" x14ac:dyDescent="0.25">
      <c r="W64" s="130">
        <v>42741</v>
      </c>
      <c r="X64" s="10">
        <v>36.409999999999997</v>
      </c>
      <c r="Y64" s="10">
        <v>36.549999999999997</v>
      </c>
      <c r="Z64" s="10">
        <v>35.93</v>
      </c>
      <c r="AA64" s="10">
        <v>35.99</v>
      </c>
      <c r="AB64" s="93">
        <v>13240100</v>
      </c>
      <c r="AC64" s="10">
        <v>35.630000000000003</v>
      </c>
      <c r="AD64" s="2">
        <f t="shared" si="0"/>
        <v>0.61999999999999744</v>
      </c>
      <c r="AE64" s="134">
        <f t="shared" si="1"/>
        <v>-1.0827318156579668E-2</v>
      </c>
    </row>
    <row r="65" spans="23:31" x14ac:dyDescent="0.25">
      <c r="W65" s="130">
        <v>42740</v>
      </c>
      <c r="X65" s="10">
        <v>37.01</v>
      </c>
      <c r="Y65" s="10">
        <v>37.049999999999997</v>
      </c>
      <c r="Z65" s="10">
        <v>36.07</v>
      </c>
      <c r="AA65" s="10">
        <v>36.39</v>
      </c>
      <c r="AB65" s="93">
        <v>15636700</v>
      </c>
      <c r="AC65" s="10">
        <v>36.020000000000003</v>
      </c>
      <c r="AD65" s="2">
        <f t="shared" si="0"/>
        <v>0.97999999999999687</v>
      </c>
      <c r="AE65" s="134">
        <f t="shared" si="1"/>
        <v>-1.8795968400980634E-2</v>
      </c>
    </row>
    <row r="66" spans="23:31" x14ac:dyDescent="0.25">
      <c r="W66" s="130">
        <v>42739</v>
      </c>
      <c r="X66" s="10">
        <v>35.6</v>
      </c>
      <c r="Y66" s="10">
        <v>37.24</v>
      </c>
      <c r="Z66" s="10">
        <v>35.47</v>
      </c>
      <c r="AA66" s="10">
        <v>37.090000000000003</v>
      </c>
      <c r="AB66" s="93">
        <v>23388500</v>
      </c>
      <c r="AC66" s="10">
        <v>36.71</v>
      </c>
      <c r="AD66" s="2">
        <f t="shared" si="0"/>
        <v>1.7700000000000031</v>
      </c>
      <c r="AE66" s="134">
        <f t="shared" si="1"/>
        <v>5.5188272492095569E-2</v>
      </c>
    </row>
    <row r="67" spans="23:31" x14ac:dyDescent="0.25">
      <c r="W67" s="130">
        <v>42738</v>
      </c>
      <c r="X67" s="10">
        <v>34.979999999999997</v>
      </c>
      <c r="Y67" s="10">
        <v>35.57</v>
      </c>
      <c r="Z67" s="10">
        <v>34.840000000000003</v>
      </c>
      <c r="AA67" s="10">
        <v>35.15</v>
      </c>
      <c r="AB67" s="93">
        <v>10904900</v>
      </c>
      <c r="AC67" s="10">
        <v>34.79</v>
      </c>
      <c r="AD67" s="2">
        <f>Y67-Z67</f>
        <v>0.72999999999999687</v>
      </c>
      <c r="AE67" s="134">
        <f>AC67/AC68-1</f>
        <v>8.6981733835893582E-3</v>
      </c>
    </row>
    <row r="68" spans="23:31" x14ac:dyDescent="0.25">
      <c r="W68" s="130">
        <v>42734</v>
      </c>
      <c r="X68" s="10">
        <v>35.21</v>
      </c>
      <c r="Y68" s="10">
        <v>35.31</v>
      </c>
      <c r="Z68" s="10">
        <v>34.67</v>
      </c>
      <c r="AA68" s="10">
        <v>34.840000000000003</v>
      </c>
      <c r="AB68" s="93">
        <v>7646100</v>
      </c>
      <c r="AC68" s="10">
        <v>34.49</v>
      </c>
      <c r="AD68" s="2">
        <f>Y68-Z68</f>
        <v>0.64000000000000057</v>
      </c>
      <c r="AE68" s="134" t="e">
        <f>AC68/AC69-1</f>
        <v>#DIV/0!</v>
      </c>
    </row>
    <row r="69" spans="23:31" x14ac:dyDescent="0.25">
      <c r="W69" s="130" t="s">
        <v>120</v>
      </c>
      <c r="X69" s="10"/>
      <c r="Y69" s="10"/>
      <c r="Z69" s="10"/>
      <c r="AA69" s="10"/>
      <c r="AB69" s="93"/>
      <c r="AC69" s="10"/>
      <c r="AD69" s="2">
        <f>Y69-Z69</f>
        <v>0</v>
      </c>
      <c r="AE69" s="134"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47" priority="7">
      <formula>F22&gt;0</formula>
    </cfRule>
    <cfRule type="expression" dxfId="46" priority="8">
      <formula>F22&lt;0</formula>
    </cfRule>
  </conditionalFormatting>
  <conditionalFormatting sqref="H22:H26">
    <cfRule type="expression" dxfId="45" priority="5">
      <formula>H22&gt;0</formula>
    </cfRule>
    <cfRule type="expression" dxfId="44" priority="6">
      <formula>H22&lt;0</formula>
    </cfRule>
  </conditionalFormatting>
  <conditionalFormatting sqref="Q8">
    <cfRule type="expression" dxfId="43" priority="1">
      <formula>Q8&gt;0</formula>
    </cfRule>
    <cfRule type="expression" dxfId="42" priority="2">
      <formula>Q8&lt;0</formula>
    </cfRule>
  </conditionalFormatting>
  <conditionalFormatting sqref="Q7">
    <cfRule type="expression" dxfId="41" priority="3">
      <formula>Q7&gt;0</formula>
    </cfRule>
    <cfRule type="expression" dxfId="40"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4"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2"/>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0</v>
      </c>
      <c r="B2" s="72"/>
      <c r="C2" s="4"/>
      <c r="D2" s="3"/>
      <c r="E2" s="3"/>
      <c r="F2" s="3"/>
      <c r="G2" s="72"/>
      <c r="H2" s="4"/>
      <c r="I2" s="3"/>
      <c r="J2" s="3"/>
      <c r="K2" s="3"/>
      <c r="L2" s="72"/>
      <c r="M2" s="3"/>
      <c r="O2" s="11" t="s">
        <v>57</v>
      </c>
      <c r="Q2">
        <f>C18-H18</f>
        <v>0</v>
      </c>
      <c r="T2" s="1">
        <v>42305</v>
      </c>
      <c r="U2" s="84" t="s">
        <v>140</v>
      </c>
      <c r="W2" s="130">
        <v>42830</v>
      </c>
      <c r="X2" s="10">
        <v>153.27000000000001</v>
      </c>
      <c r="Y2" s="10">
        <v>154.09</v>
      </c>
      <c r="Z2" s="10">
        <v>152.63</v>
      </c>
      <c r="AA2" s="10">
        <v>152.76</v>
      </c>
      <c r="AB2" s="93">
        <v>1998500</v>
      </c>
      <c r="AC2" s="10">
        <v>152.76</v>
      </c>
      <c r="AD2" s="2"/>
      <c r="AE2" s="134"/>
      <c r="AP2" t="s">
        <v>159</v>
      </c>
    </row>
    <row r="3" spans="1:43" x14ac:dyDescent="0.25">
      <c r="A3" s="22" t="s">
        <v>71</v>
      </c>
      <c r="B3" s="72"/>
      <c r="C3" s="4"/>
      <c r="D3" s="3"/>
      <c r="E3" s="3"/>
      <c r="F3" s="3"/>
      <c r="G3" s="72"/>
      <c r="H3" s="161"/>
      <c r="I3" s="3"/>
      <c r="J3" s="3"/>
      <c r="K3" s="3"/>
      <c r="L3" s="72"/>
      <c r="M3" s="3"/>
      <c r="O3" s="11" t="s">
        <v>58</v>
      </c>
      <c r="Q3" s="178">
        <f>IF(Q2=0, Q4, (F18-K18-M18)/Q2)</f>
        <v>245.06</v>
      </c>
      <c r="W3" s="130">
        <v>42829</v>
      </c>
      <c r="X3" s="10">
        <v>154.47</v>
      </c>
      <c r="Y3" s="10">
        <v>154.96</v>
      </c>
      <c r="Z3" s="10">
        <v>152.51</v>
      </c>
      <c r="AA3" s="10">
        <v>152.72</v>
      </c>
      <c r="AB3" s="93">
        <v>2701200</v>
      </c>
      <c r="AC3" s="10">
        <v>152.72</v>
      </c>
      <c r="AD3" s="2"/>
      <c r="AE3" s="134"/>
      <c r="AI3" t="s">
        <v>167</v>
      </c>
      <c r="AJ3">
        <v>90</v>
      </c>
      <c r="AK3">
        <v>28.4</v>
      </c>
      <c r="AL3" s="182">
        <v>2556</v>
      </c>
      <c r="AO3" s="182">
        <v>2894.4</v>
      </c>
      <c r="AP3">
        <v>338.4</v>
      </c>
      <c r="AQ3">
        <v>13.24</v>
      </c>
    </row>
    <row r="4" spans="1:43" x14ac:dyDescent="0.25">
      <c r="B4" s="72"/>
      <c r="C4" s="4"/>
      <c r="D4" s="3"/>
      <c r="E4" s="3"/>
      <c r="F4" s="3"/>
      <c r="G4" s="72"/>
      <c r="H4" s="161"/>
      <c r="I4" s="4"/>
      <c r="J4" s="3"/>
      <c r="K4" s="3"/>
      <c r="L4" s="4"/>
      <c r="M4" s="4"/>
      <c r="O4" s="11" t="s">
        <v>66</v>
      </c>
      <c r="Q4" s="54">
        <v>245.06</v>
      </c>
      <c r="R4" s="405">
        <v>6.4999999999999997E-3</v>
      </c>
      <c r="W4" s="130">
        <v>42828</v>
      </c>
      <c r="X4" s="10">
        <v>153.6</v>
      </c>
      <c r="Y4" s="10">
        <v>155.21</v>
      </c>
      <c r="Z4" s="10">
        <v>153.5</v>
      </c>
      <c r="AA4" s="10">
        <v>154.58000000000001</v>
      </c>
      <c r="AB4" s="93">
        <v>2084800</v>
      </c>
      <c r="AC4" s="10">
        <v>154.58000000000001</v>
      </c>
      <c r="AD4" s="2"/>
      <c r="AE4" s="134"/>
    </row>
    <row r="5" spans="1:43" x14ac:dyDescent="0.25">
      <c r="B5" s="72"/>
      <c r="C5" s="4"/>
      <c r="D5" s="3"/>
      <c r="E5" s="3"/>
      <c r="F5" s="3"/>
      <c r="G5" s="4"/>
      <c r="H5" s="161"/>
      <c r="I5" s="3"/>
      <c r="J5" s="3"/>
      <c r="K5" s="4"/>
      <c r="L5" s="4"/>
      <c r="M5" s="4"/>
      <c r="O5" s="11" t="s">
        <v>67</v>
      </c>
      <c r="Q5" s="3">
        <f>Q4*Q2</f>
        <v>0</v>
      </c>
      <c r="W5" s="130">
        <v>42825</v>
      </c>
      <c r="X5" s="10">
        <v>153.38999999999999</v>
      </c>
      <c r="Y5" s="10">
        <v>154.15</v>
      </c>
      <c r="Z5" s="10">
        <v>153.22</v>
      </c>
      <c r="AA5" s="10">
        <v>153.6</v>
      </c>
      <c r="AB5" s="93">
        <v>1219100</v>
      </c>
      <c r="AC5" s="10">
        <v>153.6</v>
      </c>
      <c r="AD5" s="2"/>
      <c r="AE5" s="134"/>
    </row>
    <row r="6" spans="1:43" x14ac:dyDescent="0.25">
      <c r="B6" s="72"/>
      <c r="C6" s="4"/>
      <c r="D6" s="3"/>
      <c r="E6" s="3"/>
      <c r="F6" s="3"/>
      <c r="G6" s="4"/>
      <c r="H6" s="4"/>
      <c r="I6" s="4"/>
      <c r="J6" s="4"/>
      <c r="K6" s="4"/>
      <c r="L6" s="4"/>
      <c r="M6" s="4"/>
      <c r="O6" s="11" t="s">
        <v>64</v>
      </c>
      <c r="Q6" s="2">
        <f>Q3*Q2</f>
        <v>0</v>
      </c>
      <c r="W6" s="130">
        <v>42824</v>
      </c>
      <c r="X6" s="10">
        <v>154.1</v>
      </c>
      <c r="Y6" s="10">
        <v>154.71</v>
      </c>
      <c r="Z6" s="10">
        <v>153.44999999999999</v>
      </c>
      <c r="AA6" s="10">
        <v>153.91</v>
      </c>
      <c r="AB6" s="93">
        <v>1054200</v>
      </c>
      <c r="AC6" s="10">
        <v>153.91</v>
      </c>
      <c r="AD6" s="2"/>
      <c r="AE6" s="134"/>
    </row>
    <row r="7" spans="1:43" x14ac:dyDescent="0.25">
      <c r="B7" s="72"/>
      <c r="C7" s="4"/>
      <c r="D7" s="3"/>
      <c r="E7" s="3"/>
      <c r="F7" s="3"/>
      <c r="G7" s="4"/>
      <c r="H7" s="4"/>
      <c r="I7" s="4"/>
      <c r="J7" s="4"/>
      <c r="K7" s="4"/>
      <c r="L7" s="4"/>
      <c r="M7" s="4"/>
      <c r="O7" s="11" t="s">
        <v>177</v>
      </c>
      <c r="Q7" s="2">
        <f>Q10+Q8</f>
        <v>465.57999999999993</v>
      </c>
      <c r="R7">
        <v>0</v>
      </c>
      <c r="W7" s="130">
        <v>42823</v>
      </c>
      <c r="X7" s="10">
        <v>154.35</v>
      </c>
      <c r="Y7" s="10">
        <v>154.59</v>
      </c>
      <c r="Z7" s="10">
        <v>152.94</v>
      </c>
      <c r="AA7" s="10">
        <v>153.97999999999999</v>
      </c>
      <c r="AB7" s="93">
        <v>1075000</v>
      </c>
      <c r="AC7" s="10">
        <v>153.97999999999999</v>
      </c>
      <c r="AD7" s="2"/>
      <c r="AE7" s="134"/>
    </row>
    <row r="8" spans="1:43" x14ac:dyDescent="0.25">
      <c r="B8" s="72"/>
      <c r="C8" s="4"/>
      <c r="D8" s="3"/>
      <c r="E8" s="3"/>
      <c r="F8" s="3"/>
      <c r="G8" s="4"/>
      <c r="H8" s="4"/>
      <c r="I8" s="4"/>
      <c r="J8" s="4"/>
      <c r="K8" s="4"/>
      <c r="O8" s="11" t="s">
        <v>179</v>
      </c>
      <c r="P8" s="33"/>
      <c r="Q8" s="2">
        <f>K18+M18-F18+Q2*Q4</f>
        <v>0</v>
      </c>
      <c r="W8" s="130">
        <v>42822</v>
      </c>
      <c r="X8" s="10">
        <v>154.63999999999999</v>
      </c>
      <c r="Y8" s="10">
        <v>155.38</v>
      </c>
      <c r="Z8" s="10">
        <v>153.54</v>
      </c>
      <c r="AA8" s="10">
        <v>154.63999999999999</v>
      </c>
      <c r="AB8" s="93">
        <v>1113900</v>
      </c>
      <c r="AC8" s="10">
        <v>154.63999999999999</v>
      </c>
      <c r="AD8" s="2"/>
      <c r="AE8" s="134"/>
    </row>
    <row r="9" spans="1:43" x14ac:dyDescent="0.25">
      <c r="B9" s="72"/>
      <c r="C9" s="4"/>
      <c r="D9" s="3"/>
      <c r="E9" s="3"/>
      <c r="F9" s="3"/>
      <c r="G9" s="4"/>
      <c r="H9" s="4"/>
      <c r="I9" s="4"/>
      <c r="J9" s="4"/>
      <c r="K9" s="4"/>
      <c r="O9" s="11" t="s">
        <v>204</v>
      </c>
      <c r="Q9" s="134">
        <f>IF(Q2=0, 0, Q8/Q6)</f>
        <v>0</v>
      </c>
      <c r="W9" s="130">
        <v>42821</v>
      </c>
      <c r="X9" s="10">
        <v>153.44</v>
      </c>
      <c r="Y9" s="10">
        <v>155.35</v>
      </c>
      <c r="Z9" s="10">
        <v>152.61000000000001</v>
      </c>
      <c r="AA9" s="10">
        <v>154.59</v>
      </c>
      <c r="AB9" s="93">
        <v>1418600</v>
      </c>
      <c r="AC9" s="10">
        <v>154.59</v>
      </c>
      <c r="AD9" s="2"/>
      <c r="AE9" s="134"/>
    </row>
    <row r="10" spans="1:43" x14ac:dyDescent="0.25">
      <c r="O10" s="11" t="s">
        <v>203</v>
      </c>
      <c r="P10" s="33"/>
      <c r="Q10" s="2">
        <f>M43</f>
        <v>465.57999999999993</v>
      </c>
      <c r="W10" s="130">
        <v>42818</v>
      </c>
      <c r="X10" s="10">
        <v>154.43</v>
      </c>
      <c r="Y10" s="10">
        <v>155.66999999999999</v>
      </c>
      <c r="Z10" s="10">
        <v>153.69</v>
      </c>
      <c r="AA10" s="10">
        <v>154.04</v>
      </c>
      <c r="AB10" s="93">
        <v>1939000</v>
      </c>
      <c r="AC10" s="10">
        <v>154.04</v>
      </c>
      <c r="AD10" s="2"/>
      <c r="AE10" s="134"/>
    </row>
    <row r="11" spans="1:43" x14ac:dyDescent="0.25">
      <c r="O11" s="11" t="s">
        <v>175</v>
      </c>
      <c r="P11" s="33"/>
      <c r="Q11" s="134">
        <f>IF(U58="N/A (N/A)", 0, VALUE(TRIM(CLEAN(MID(U58, FIND("(", U58)+1, 5)))))</f>
        <v>3.8999999999999998E-3</v>
      </c>
      <c r="W11" s="130">
        <v>42817</v>
      </c>
      <c r="X11" s="10">
        <v>155.30000000000001</v>
      </c>
      <c r="Y11" s="10">
        <v>155.94999999999999</v>
      </c>
      <c r="Z11" s="10">
        <v>154.02000000000001</v>
      </c>
      <c r="AA11" s="10">
        <v>154.65</v>
      </c>
      <c r="AB11" s="93">
        <v>1643400</v>
      </c>
      <c r="AC11" s="10">
        <v>154.65</v>
      </c>
      <c r="AD11" s="2"/>
      <c r="AE11" s="134"/>
    </row>
    <row r="12" spans="1:43" x14ac:dyDescent="0.25">
      <c r="W12" s="130">
        <v>42816</v>
      </c>
      <c r="X12" s="10">
        <v>155.79</v>
      </c>
      <c r="Y12" s="10">
        <v>156.5</v>
      </c>
      <c r="Z12" s="10">
        <v>154.33000000000001</v>
      </c>
      <c r="AA12" s="10">
        <v>155.33000000000001</v>
      </c>
      <c r="AB12" s="93">
        <v>1309600</v>
      </c>
      <c r="AC12" s="10">
        <v>155.33000000000001</v>
      </c>
      <c r="AD12" s="2"/>
      <c r="AE12" s="134"/>
    </row>
    <row r="13" spans="1:43" x14ac:dyDescent="0.25">
      <c r="W13" s="130">
        <v>42815</v>
      </c>
      <c r="X13" s="10">
        <v>157.47</v>
      </c>
      <c r="Y13" s="10">
        <v>157.69999999999999</v>
      </c>
      <c r="Z13" s="10">
        <v>154.36000000000001</v>
      </c>
      <c r="AA13" s="10">
        <v>155.54</v>
      </c>
      <c r="AB13" s="93">
        <v>1593400</v>
      </c>
      <c r="AC13" s="10">
        <v>155.54</v>
      </c>
      <c r="AD13" s="2"/>
      <c r="AE13" s="134"/>
    </row>
    <row r="14" spans="1:43" x14ac:dyDescent="0.25">
      <c r="W14" s="130">
        <v>42814</v>
      </c>
      <c r="X14" s="10">
        <v>158.13999999999999</v>
      </c>
      <c r="Y14" s="10">
        <v>158.4</v>
      </c>
      <c r="Z14" s="10">
        <v>156.36000000000001</v>
      </c>
      <c r="AA14" s="10">
        <v>156.74</v>
      </c>
      <c r="AB14" s="93">
        <v>1280600</v>
      </c>
      <c r="AC14" s="10">
        <v>156.74</v>
      </c>
      <c r="AD14" s="2"/>
      <c r="AE14" s="134"/>
    </row>
    <row r="15" spans="1:43" x14ac:dyDescent="0.25">
      <c r="W15" s="130">
        <v>42811</v>
      </c>
      <c r="X15" s="10">
        <v>158.54</v>
      </c>
      <c r="Y15" s="10">
        <v>159.09</v>
      </c>
      <c r="Z15" s="10">
        <v>156.38</v>
      </c>
      <c r="AA15" s="10">
        <v>157.88999999999999</v>
      </c>
      <c r="AB15" s="93">
        <v>2654100</v>
      </c>
      <c r="AC15" s="10">
        <v>157.88999999999999</v>
      </c>
      <c r="AD15" s="2"/>
      <c r="AE15" s="134"/>
    </row>
    <row r="16" spans="1:43" x14ac:dyDescent="0.25">
      <c r="W16" s="130">
        <v>42810</v>
      </c>
      <c r="X16" s="10">
        <v>158.03</v>
      </c>
      <c r="Y16" s="10">
        <v>159.5</v>
      </c>
      <c r="Z16" s="10">
        <v>156.85</v>
      </c>
      <c r="AA16" s="10">
        <v>158.02000000000001</v>
      </c>
      <c r="AB16" s="93">
        <v>3208700</v>
      </c>
      <c r="AC16" s="10">
        <v>158.02000000000001</v>
      </c>
      <c r="AD16" s="2"/>
      <c r="AE16" s="134"/>
    </row>
    <row r="17" spans="1:31" x14ac:dyDescent="0.25">
      <c r="W17" s="130">
        <v>42809</v>
      </c>
      <c r="X17" s="10">
        <v>158.59</v>
      </c>
      <c r="Y17" s="10">
        <v>161.66</v>
      </c>
      <c r="Z17" s="10">
        <v>158.36000000000001</v>
      </c>
      <c r="AA17" s="10">
        <v>161.05000000000001</v>
      </c>
      <c r="AB17" s="93">
        <v>2548200</v>
      </c>
      <c r="AC17" s="10">
        <v>161.05000000000001</v>
      </c>
      <c r="AD17" s="2"/>
      <c r="AE17" s="134"/>
    </row>
    <row r="18" spans="1:31" x14ac:dyDescent="0.25">
      <c r="A18" s="31" t="s">
        <v>81</v>
      </c>
      <c r="B18" s="14"/>
      <c r="C18" s="14">
        <f>SUM(C2:C9)</f>
        <v>0</v>
      </c>
      <c r="D18" s="14"/>
      <c r="E18" s="18"/>
      <c r="F18" s="14">
        <f>SUM(F2:F9)</f>
        <v>0</v>
      </c>
      <c r="G18" s="14"/>
      <c r="H18" s="71">
        <f>SUM(H2:H9)</f>
        <v>0</v>
      </c>
      <c r="I18" s="14"/>
      <c r="J18" s="14"/>
      <c r="K18" s="14">
        <f>SUM(K2:K17)</f>
        <v>0</v>
      </c>
      <c r="L18" s="14"/>
      <c r="M18" s="18">
        <f>SUM(M2:M4)</f>
        <v>0</v>
      </c>
      <c r="W18" s="130">
        <v>42808</v>
      </c>
      <c r="X18" s="10">
        <v>158.49</v>
      </c>
      <c r="Y18" s="10">
        <v>158.69999999999999</v>
      </c>
      <c r="Z18" s="10">
        <v>157.96</v>
      </c>
      <c r="AA18" s="10">
        <v>158.34</v>
      </c>
      <c r="AB18" s="93">
        <v>1036500</v>
      </c>
      <c r="AC18" s="10">
        <v>158.34</v>
      </c>
      <c r="AD18" s="2"/>
      <c r="AE18" s="134"/>
    </row>
    <row r="19" spans="1:31" x14ac:dyDescent="0.25">
      <c r="W19" s="130">
        <v>42807</v>
      </c>
      <c r="X19" s="10">
        <v>159.31</v>
      </c>
      <c r="Y19" s="10">
        <v>159.31</v>
      </c>
      <c r="Z19" s="10">
        <v>157.66</v>
      </c>
      <c r="AA19" s="10">
        <v>159.04</v>
      </c>
      <c r="AB19" s="93">
        <v>1324300</v>
      </c>
      <c r="AC19" s="10">
        <v>159.04</v>
      </c>
      <c r="AD19" s="2"/>
      <c r="AE19" s="134"/>
    </row>
    <row r="20" spans="1:31" x14ac:dyDescent="0.25">
      <c r="B20" s="162" t="s">
        <v>113</v>
      </c>
      <c r="C20" s="162" t="s">
        <v>145</v>
      </c>
      <c r="D20" s="163" t="s">
        <v>144</v>
      </c>
      <c r="E20" s="165" t="s">
        <v>146</v>
      </c>
      <c r="F20" s="166" t="s">
        <v>65</v>
      </c>
      <c r="G20" s="177" t="s">
        <v>150</v>
      </c>
      <c r="H20" s="166" t="s">
        <v>88</v>
      </c>
      <c r="I20" s="165" t="s">
        <v>153</v>
      </c>
      <c r="W20" s="130">
        <v>42807</v>
      </c>
      <c r="X20" s="10" t="s">
        <v>176</v>
      </c>
      <c r="Y20" s="10"/>
      <c r="Z20" s="10"/>
      <c r="AA20" s="10"/>
      <c r="AB20" s="93"/>
      <c r="AC20" s="10"/>
      <c r="AD20" s="2"/>
      <c r="AE20" s="134"/>
    </row>
    <row r="21" spans="1:31" x14ac:dyDescent="0.25">
      <c r="B21" s="164"/>
      <c r="C21" s="10"/>
      <c r="D21" s="39"/>
      <c r="E21" s="39"/>
      <c r="F21" s="39"/>
      <c r="G21" s="39"/>
      <c r="H21" s="179"/>
      <c r="I21" s="39"/>
      <c r="W21" s="130">
        <v>42804</v>
      </c>
      <c r="X21" s="10">
        <v>158.18</v>
      </c>
      <c r="Y21" s="10">
        <v>159.47</v>
      </c>
      <c r="Z21" s="10">
        <v>158.15</v>
      </c>
      <c r="AA21" s="10">
        <v>159.33000000000001</v>
      </c>
      <c r="AB21" s="93">
        <v>1206300</v>
      </c>
      <c r="AC21" s="10">
        <v>159.18</v>
      </c>
      <c r="AD21" s="2"/>
      <c r="AE21" s="134"/>
    </row>
    <row r="22" spans="1:31" x14ac:dyDescent="0.25">
      <c r="B22" s="164"/>
      <c r="C22" s="10"/>
      <c r="D22" s="39"/>
      <c r="E22" s="39"/>
      <c r="F22" s="39"/>
      <c r="G22" s="39"/>
      <c r="H22" s="179"/>
      <c r="I22" s="39"/>
      <c r="W22" s="130">
        <v>42803</v>
      </c>
      <c r="X22" s="10">
        <v>157.72</v>
      </c>
      <c r="Y22" s="10">
        <v>158.24</v>
      </c>
      <c r="Z22" s="10">
        <v>157.08000000000001</v>
      </c>
      <c r="AA22" s="10">
        <v>157.78</v>
      </c>
      <c r="AB22" s="93">
        <v>1102500</v>
      </c>
      <c r="AC22" s="10">
        <v>157.63</v>
      </c>
      <c r="AD22" s="2"/>
      <c r="AE22" s="134"/>
    </row>
    <row r="23" spans="1:31" x14ac:dyDescent="0.25">
      <c r="B23" s="164"/>
      <c r="C23" s="10"/>
      <c r="D23" s="39"/>
      <c r="E23" s="39"/>
      <c r="F23" s="39"/>
      <c r="G23" s="39"/>
      <c r="H23" s="179"/>
      <c r="I23" s="39"/>
      <c r="W23" s="130">
        <v>42802</v>
      </c>
      <c r="X23" s="10">
        <v>157.38999999999999</v>
      </c>
      <c r="Y23" s="10">
        <v>157.96</v>
      </c>
      <c r="Z23" s="10">
        <v>156.63999999999999</v>
      </c>
      <c r="AA23" s="10">
        <v>157.5</v>
      </c>
      <c r="AB23" s="93">
        <v>1105400</v>
      </c>
      <c r="AC23" s="10">
        <v>157.35</v>
      </c>
      <c r="AD23" s="2"/>
      <c r="AE23" s="134"/>
    </row>
    <row r="24" spans="1:31" x14ac:dyDescent="0.25">
      <c r="B24" s="164"/>
      <c r="C24" s="10"/>
      <c r="D24" s="39"/>
      <c r="E24" s="39"/>
      <c r="F24" s="39"/>
      <c r="G24" s="39"/>
      <c r="H24" s="179"/>
      <c r="I24" s="39"/>
      <c r="W24" s="130">
        <v>42801</v>
      </c>
      <c r="X24" s="10">
        <v>156.99</v>
      </c>
      <c r="Y24" s="10">
        <v>157.94</v>
      </c>
      <c r="Z24" s="10">
        <v>156.59</v>
      </c>
      <c r="AA24" s="10">
        <v>157.26</v>
      </c>
      <c r="AB24" s="93">
        <v>1166700</v>
      </c>
      <c r="AC24" s="10">
        <v>157.11000000000001</v>
      </c>
      <c r="AD24" s="2"/>
      <c r="AE24" s="134"/>
    </row>
    <row r="25" spans="1:31" x14ac:dyDescent="0.25">
      <c r="B25" s="497"/>
      <c r="C25" s="10"/>
      <c r="D25" s="39"/>
      <c r="E25" s="39"/>
      <c r="F25" s="39"/>
      <c r="G25" s="39"/>
      <c r="H25" s="180"/>
      <c r="I25" s="39"/>
      <c r="W25" s="130">
        <v>42800</v>
      </c>
      <c r="X25" s="10">
        <v>158.71</v>
      </c>
      <c r="Y25" s="10">
        <v>159.29</v>
      </c>
      <c r="Z25" s="10">
        <v>157.55000000000001</v>
      </c>
      <c r="AA25" s="10">
        <v>157.71</v>
      </c>
      <c r="AB25" s="93">
        <v>1413400</v>
      </c>
      <c r="AC25" s="10">
        <v>157.56</v>
      </c>
      <c r="AD25" s="2"/>
      <c r="AE25" s="134"/>
    </row>
    <row r="26" spans="1:31" x14ac:dyDescent="0.25">
      <c r="B26" s="164"/>
      <c r="C26" s="10"/>
      <c r="D26" s="39"/>
      <c r="E26" s="39"/>
      <c r="F26" s="39"/>
      <c r="G26" s="39"/>
      <c r="H26" s="180"/>
      <c r="I26" s="39"/>
      <c r="W26" s="130">
        <v>42797</v>
      </c>
      <c r="X26" s="10">
        <v>158.72</v>
      </c>
      <c r="Y26" s="10">
        <v>160.41999999999999</v>
      </c>
      <c r="Z26" s="10">
        <v>158.66</v>
      </c>
      <c r="AA26" s="10">
        <v>160.16</v>
      </c>
      <c r="AB26" s="93">
        <v>1204000</v>
      </c>
      <c r="AC26" s="10">
        <v>160.01</v>
      </c>
      <c r="AD26" s="2"/>
      <c r="AE26" s="134"/>
    </row>
    <row r="27" spans="1:31" x14ac:dyDescent="0.25">
      <c r="B27" s="164"/>
      <c r="C27" s="10"/>
      <c r="D27" s="39"/>
      <c r="E27" s="39"/>
      <c r="F27" s="39"/>
      <c r="G27" s="39"/>
      <c r="H27" s="179"/>
      <c r="I27" s="39"/>
      <c r="W27" s="130">
        <v>42796</v>
      </c>
      <c r="X27" s="10">
        <v>160</v>
      </c>
      <c r="Y27" s="10">
        <v>160</v>
      </c>
      <c r="Z27" s="10">
        <v>158.97999999999999</v>
      </c>
      <c r="AA27" s="10">
        <v>159.19999999999999</v>
      </c>
      <c r="AB27" s="93">
        <v>1414300</v>
      </c>
      <c r="AC27" s="10">
        <v>159.05000000000001</v>
      </c>
      <c r="AD27" s="2"/>
      <c r="AE27" s="134"/>
    </row>
    <row r="28" spans="1:31" x14ac:dyDescent="0.25">
      <c r="B28" s="164"/>
      <c r="C28" s="10"/>
      <c r="D28" s="39"/>
      <c r="E28" s="39"/>
      <c r="F28" s="39"/>
      <c r="G28" s="39"/>
      <c r="H28" s="179"/>
      <c r="I28" s="39"/>
      <c r="W28" s="130">
        <v>42795</v>
      </c>
      <c r="X28" s="10">
        <v>159.47</v>
      </c>
      <c r="Y28" s="10">
        <v>160.88999999999999</v>
      </c>
      <c r="Z28" s="10">
        <v>158.91</v>
      </c>
      <c r="AA28" s="10">
        <v>159.82</v>
      </c>
      <c r="AB28" s="93">
        <v>1722600</v>
      </c>
      <c r="AC28" s="10">
        <v>159.66999999999999</v>
      </c>
      <c r="AD28" s="2"/>
      <c r="AE28" s="134"/>
    </row>
    <row r="29" spans="1:31" x14ac:dyDescent="0.25">
      <c r="B29" s="164"/>
      <c r="C29" s="10"/>
      <c r="D29" s="39"/>
      <c r="E29" s="39"/>
      <c r="F29" s="39"/>
      <c r="G29" s="39"/>
      <c r="H29" s="179"/>
      <c r="I29" s="39"/>
      <c r="W29" s="130">
        <v>42794</v>
      </c>
      <c r="X29" s="10">
        <v>158.19999999999999</v>
      </c>
      <c r="Y29" s="10">
        <v>159.25</v>
      </c>
      <c r="Z29" s="10">
        <v>157.52000000000001</v>
      </c>
      <c r="AA29" s="10">
        <v>157.68</v>
      </c>
      <c r="AB29" s="93">
        <v>1674200</v>
      </c>
      <c r="AC29" s="10">
        <v>157.53</v>
      </c>
      <c r="AD29" s="2"/>
      <c r="AE29" s="134"/>
    </row>
    <row r="30" spans="1:31" x14ac:dyDescent="0.25">
      <c r="B30" s="164"/>
      <c r="C30" s="10"/>
      <c r="D30" s="39"/>
      <c r="E30" s="39"/>
      <c r="F30" s="39"/>
      <c r="G30" s="39"/>
      <c r="H30" s="179"/>
      <c r="I30" s="39"/>
      <c r="W30" s="130">
        <v>42793</v>
      </c>
      <c r="X30" s="10">
        <v>158.36000000000001</v>
      </c>
      <c r="Y30" s="10">
        <v>159.29</v>
      </c>
      <c r="Z30" s="10">
        <v>158.02000000000001</v>
      </c>
      <c r="AA30" s="10">
        <v>158.47999999999999</v>
      </c>
      <c r="AB30" s="93">
        <v>1220200</v>
      </c>
      <c r="AC30" s="10">
        <v>158.33000000000001</v>
      </c>
      <c r="AD30" s="2"/>
      <c r="AE30" s="134"/>
    </row>
    <row r="31" spans="1:31" x14ac:dyDescent="0.25">
      <c r="B31" s="497"/>
      <c r="C31" s="10"/>
      <c r="D31" s="39"/>
      <c r="E31" s="39"/>
      <c r="F31" s="39"/>
      <c r="G31" s="39"/>
      <c r="H31" s="180"/>
      <c r="I31" s="39"/>
      <c r="W31" s="130">
        <v>42790</v>
      </c>
      <c r="X31" s="10">
        <v>158.34</v>
      </c>
      <c r="Y31" s="10">
        <v>158.97999999999999</v>
      </c>
      <c r="Z31" s="10">
        <v>157.58000000000001</v>
      </c>
      <c r="AA31" s="10">
        <v>158.97999999999999</v>
      </c>
      <c r="AB31" s="93">
        <v>832800</v>
      </c>
      <c r="AC31" s="10">
        <v>158.83000000000001</v>
      </c>
      <c r="AD31" s="2"/>
      <c r="AE31" s="134"/>
    </row>
    <row r="32" spans="1:31" x14ac:dyDescent="0.25">
      <c r="B32" s="164"/>
      <c r="C32" s="10"/>
      <c r="D32" s="39"/>
      <c r="E32" s="39"/>
      <c r="F32" s="39"/>
      <c r="G32" s="39"/>
      <c r="H32" s="180"/>
      <c r="I32" s="39"/>
      <c r="W32" s="130">
        <v>42789</v>
      </c>
      <c r="X32" s="10">
        <v>158.59</v>
      </c>
      <c r="Y32" s="10">
        <v>159.12</v>
      </c>
      <c r="Z32" s="10">
        <v>157.69999999999999</v>
      </c>
      <c r="AA32" s="10">
        <v>158.72999999999999</v>
      </c>
      <c r="AB32" s="93">
        <v>1124900</v>
      </c>
      <c r="AC32" s="10">
        <v>158.58000000000001</v>
      </c>
      <c r="AD32" s="2"/>
      <c r="AE32" s="134"/>
    </row>
    <row r="33" spans="1:31" x14ac:dyDescent="0.25">
      <c r="B33" s="164"/>
      <c r="C33" s="10"/>
      <c r="D33" s="39"/>
      <c r="E33" s="39"/>
      <c r="F33" s="39"/>
      <c r="G33" s="39"/>
      <c r="H33" s="180"/>
      <c r="I33" s="39"/>
      <c r="W33" s="130">
        <v>42788</v>
      </c>
      <c r="X33" s="10">
        <v>158.34</v>
      </c>
      <c r="Y33" s="10">
        <v>159.1</v>
      </c>
      <c r="Z33" s="10">
        <v>157.69</v>
      </c>
      <c r="AA33" s="10">
        <v>158.02000000000001</v>
      </c>
      <c r="AB33" s="93">
        <v>1283000</v>
      </c>
      <c r="AC33" s="10">
        <v>157.87</v>
      </c>
      <c r="AD33" s="2"/>
      <c r="AE33" s="134"/>
    </row>
    <row r="34" spans="1:31" x14ac:dyDescent="0.25">
      <c r="B34" s="10"/>
      <c r="C34" s="10"/>
      <c r="D34" s="39"/>
      <c r="E34" s="39"/>
      <c r="F34" s="39"/>
      <c r="G34" s="39"/>
      <c r="H34" s="180"/>
      <c r="I34" s="39"/>
      <c r="W34" s="130">
        <v>42787</v>
      </c>
      <c r="X34" s="10">
        <v>158.63999999999999</v>
      </c>
      <c r="Y34" s="10">
        <v>159.41</v>
      </c>
      <c r="Z34" s="10">
        <v>157.96</v>
      </c>
      <c r="AA34" s="10">
        <v>158.63</v>
      </c>
      <c r="AB34" s="93">
        <v>1242200</v>
      </c>
      <c r="AC34" s="10">
        <v>158.47999999999999</v>
      </c>
      <c r="AD34" s="2"/>
      <c r="AE34" s="134"/>
    </row>
    <row r="35" spans="1:31" x14ac:dyDescent="0.25">
      <c r="B35" s="10"/>
      <c r="C35" s="10"/>
      <c r="D35" s="39"/>
      <c r="E35" s="39"/>
      <c r="F35" s="39"/>
      <c r="G35" s="39"/>
      <c r="H35" s="180"/>
      <c r="I35" s="39"/>
      <c r="W35" s="130">
        <v>42783</v>
      </c>
      <c r="X35" s="10">
        <v>157.62</v>
      </c>
      <c r="Y35" s="10">
        <v>159.30000000000001</v>
      </c>
      <c r="Z35" s="10">
        <v>157.38999999999999</v>
      </c>
      <c r="AA35" s="10">
        <v>158.63999999999999</v>
      </c>
      <c r="AB35" s="93">
        <v>1207400</v>
      </c>
      <c r="AC35" s="10">
        <v>158.49</v>
      </c>
      <c r="AD35" s="2"/>
      <c r="AE35" s="134"/>
    </row>
    <row r="36" spans="1:31" x14ac:dyDescent="0.25">
      <c r="B36" s="10"/>
      <c r="C36" s="10"/>
      <c r="D36" s="39"/>
      <c r="E36" s="39"/>
      <c r="F36" s="39"/>
      <c r="G36" s="39"/>
      <c r="H36" s="180"/>
      <c r="I36" s="39"/>
      <c r="W36" s="130">
        <v>42782</v>
      </c>
      <c r="X36" s="10">
        <v>158.01</v>
      </c>
      <c r="Y36" s="10">
        <v>158.55000000000001</v>
      </c>
      <c r="Z36" s="10">
        <v>157.44</v>
      </c>
      <c r="AA36" s="10">
        <v>157.71</v>
      </c>
      <c r="AB36" s="93">
        <v>1252700</v>
      </c>
      <c r="AC36" s="10">
        <v>157.56</v>
      </c>
      <c r="AD36" s="2"/>
      <c r="AE36" s="134"/>
    </row>
    <row r="37" spans="1:31" x14ac:dyDescent="0.25">
      <c r="B37" s="10"/>
      <c r="C37" s="10"/>
      <c r="D37" s="39"/>
      <c r="E37" s="39"/>
      <c r="F37" s="39"/>
      <c r="G37" s="39"/>
      <c r="H37" s="180"/>
      <c r="I37" s="39"/>
      <c r="W37" s="130">
        <v>42781</v>
      </c>
      <c r="X37" s="10">
        <v>156.49</v>
      </c>
      <c r="Y37" s="10">
        <v>158.37</v>
      </c>
      <c r="Z37" s="10">
        <v>156.47999999999999</v>
      </c>
      <c r="AA37" s="10">
        <v>158.26</v>
      </c>
      <c r="AB37" s="93">
        <v>1423300</v>
      </c>
      <c r="AC37" s="10">
        <v>158.11000000000001</v>
      </c>
      <c r="AD37" s="2"/>
      <c r="AE37" s="134"/>
    </row>
    <row r="38" spans="1:31" x14ac:dyDescent="0.25">
      <c r="B38" s="10"/>
      <c r="C38" s="10"/>
      <c r="D38" s="39"/>
      <c r="E38" s="39"/>
      <c r="F38" s="39"/>
      <c r="G38" s="39"/>
      <c r="H38" s="180"/>
      <c r="I38" s="39"/>
      <c r="W38" s="130">
        <v>42780</v>
      </c>
      <c r="X38" s="10">
        <v>155.94</v>
      </c>
      <c r="Y38" s="10">
        <v>157.33000000000001</v>
      </c>
      <c r="Z38" s="10">
        <v>155.41999999999999</v>
      </c>
      <c r="AA38" s="10">
        <v>157.28</v>
      </c>
      <c r="AB38" s="93">
        <v>1429700</v>
      </c>
      <c r="AC38" s="10">
        <v>157.13</v>
      </c>
      <c r="AD38" s="2"/>
      <c r="AE38" s="134"/>
    </row>
    <row r="39" spans="1:31" x14ac:dyDescent="0.25">
      <c r="B39" s="10"/>
      <c r="C39" s="10"/>
      <c r="D39" s="39"/>
      <c r="E39" s="39"/>
      <c r="F39" s="39"/>
      <c r="G39" s="39"/>
      <c r="H39" s="180"/>
      <c r="I39" s="39"/>
      <c r="W39" s="130">
        <v>42779</v>
      </c>
      <c r="X39" s="10">
        <v>155</v>
      </c>
      <c r="Y39" s="10">
        <v>156.80000000000001</v>
      </c>
      <c r="Z39" s="10">
        <v>154.49</v>
      </c>
      <c r="AA39" s="10">
        <v>156.35</v>
      </c>
      <c r="AB39" s="93">
        <v>1635900</v>
      </c>
      <c r="AC39" s="10">
        <v>156.19999999999999</v>
      </c>
      <c r="AD39" s="2"/>
      <c r="AE39" s="134"/>
    </row>
    <row r="40" spans="1:31" x14ac:dyDescent="0.25">
      <c r="B40" s="10"/>
      <c r="C40" s="10"/>
      <c r="D40" s="39"/>
      <c r="E40" s="39"/>
      <c r="F40" s="39"/>
      <c r="G40" s="39"/>
      <c r="H40" s="180"/>
      <c r="I40" s="39"/>
      <c r="W40" s="130">
        <v>42776</v>
      </c>
      <c r="X40" s="10">
        <v>154.68</v>
      </c>
      <c r="Y40" s="10">
        <v>155.49</v>
      </c>
      <c r="Z40" s="10">
        <v>154.27000000000001</v>
      </c>
      <c r="AA40" s="10">
        <v>154.88999999999999</v>
      </c>
      <c r="AB40" s="93">
        <v>1482900</v>
      </c>
      <c r="AC40" s="10">
        <v>154.74</v>
      </c>
      <c r="AD40" s="2"/>
      <c r="AE40" s="134"/>
    </row>
    <row r="41" spans="1:31" x14ac:dyDescent="0.25">
      <c r="B41" s="10"/>
      <c r="C41" s="10"/>
      <c r="D41" s="39"/>
      <c r="E41" s="39"/>
      <c r="F41" s="39"/>
      <c r="G41" s="39"/>
      <c r="H41" s="180"/>
      <c r="I41" s="39"/>
      <c r="W41" s="130">
        <v>42775</v>
      </c>
      <c r="X41" s="10">
        <v>153.5</v>
      </c>
      <c r="Y41" s="10">
        <v>155.27000000000001</v>
      </c>
      <c r="Z41" s="10">
        <v>153.38</v>
      </c>
      <c r="AA41" s="10">
        <v>154.74</v>
      </c>
      <c r="AB41" s="93">
        <v>1505000</v>
      </c>
      <c r="AC41" s="10">
        <v>154.59</v>
      </c>
      <c r="AD41" s="2"/>
      <c r="AE41" s="134"/>
    </row>
    <row r="42" spans="1:31" ht="20.25" thickBot="1" x14ac:dyDescent="0.35">
      <c r="T42" s="89" t="s">
        <v>112</v>
      </c>
      <c r="W42" s="130">
        <v>42774</v>
      </c>
      <c r="X42" s="10">
        <v>152.38</v>
      </c>
      <c r="Y42" s="10">
        <v>154.22999999999999</v>
      </c>
      <c r="Z42" s="10">
        <v>151.69</v>
      </c>
      <c r="AA42" s="10">
        <v>153.5</v>
      </c>
      <c r="AB42" s="93">
        <v>1467100</v>
      </c>
      <c r="AC42" s="10">
        <v>153.36000000000001</v>
      </c>
      <c r="AD42" s="2"/>
      <c r="AE42" s="134"/>
    </row>
    <row r="43" spans="1:31" ht="15.75" thickTop="1" x14ac:dyDescent="0.25">
      <c r="L43" t="s">
        <v>203</v>
      </c>
      <c r="M43" s="2">
        <f>M54+K54-F54</f>
        <v>465.57999999999993</v>
      </c>
      <c r="T43" s="125" t="s">
        <v>97</v>
      </c>
      <c r="U43" s="471">
        <v>152.72</v>
      </c>
      <c r="W43" s="130">
        <v>42773</v>
      </c>
      <c r="X43" s="10">
        <v>152.12</v>
      </c>
      <c r="Y43" s="10">
        <v>153.19999999999999</v>
      </c>
      <c r="Z43" s="10">
        <v>151.79</v>
      </c>
      <c r="AA43" s="10">
        <v>153.01</v>
      </c>
      <c r="AB43" s="93">
        <v>1479300</v>
      </c>
      <c r="AC43" s="10">
        <v>152.87</v>
      </c>
      <c r="AD43" s="2"/>
      <c r="AE43" s="134"/>
    </row>
    <row r="44" spans="1:31" x14ac:dyDescent="0.25">
      <c r="A44" s="304" t="s">
        <v>1</v>
      </c>
      <c r="B44" s="304" t="s">
        <v>2</v>
      </c>
      <c r="C44" s="304" t="s">
        <v>4</v>
      </c>
      <c r="D44" s="304" t="s">
        <v>5</v>
      </c>
      <c r="E44" s="306" t="s">
        <v>94</v>
      </c>
      <c r="F44" s="304" t="s">
        <v>60</v>
      </c>
      <c r="G44" s="304" t="s">
        <v>3</v>
      </c>
      <c r="H44" s="304" t="s">
        <v>6</v>
      </c>
      <c r="I44" s="304" t="s">
        <v>7</v>
      </c>
      <c r="J44" s="304" t="s">
        <v>95</v>
      </c>
      <c r="K44" s="304" t="s">
        <v>61</v>
      </c>
      <c r="L44" s="304" t="s">
        <v>77</v>
      </c>
      <c r="M44" s="304" t="s">
        <v>38</v>
      </c>
      <c r="T44" s="91" t="s">
        <v>98</v>
      </c>
      <c r="U44" s="350">
        <v>153.27000000000001</v>
      </c>
      <c r="W44" s="130">
        <v>42772</v>
      </c>
      <c r="X44" s="10">
        <v>151.06</v>
      </c>
      <c r="Y44" s="10">
        <v>152.15</v>
      </c>
      <c r="Z44" s="10">
        <v>150.41999999999999</v>
      </c>
      <c r="AA44" s="10">
        <v>152.08000000000001</v>
      </c>
      <c r="AB44" s="93">
        <v>1624900</v>
      </c>
      <c r="AC44" s="10">
        <v>151.94</v>
      </c>
      <c r="AD44" s="2"/>
      <c r="AE44" s="134"/>
    </row>
    <row r="45" spans="1:31" ht="20.25" thickBot="1" x14ac:dyDescent="0.35">
      <c r="A45" s="307" t="s">
        <v>0</v>
      </c>
      <c r="B45" s="546">
        <v>42403</v>
      </c>
      <c r="C45" s="298">
        <v>10</v>
      </c>
      <c r="D45" s="299">
        <v>123.5</v>
      </c>
      <c r="E45" s="299">
        <v>0</v>
      </c>
      <c r="F45" s="299">
        <f>D45*C45+E45</f>
        <v>1235</v>
      </c>
      <c r="G45" s="546">
        <v>42436</v>
      </c>
      <c r="H45" s="302">
        <v>10</v>
      </c>
      <c r="I45" s="299">
        <v>140.65</v>
      </c>
      <c r="J45" s="299">
        <v>0.03</v>
      </c>
      <c r="K45" s="298">
        <f>I45*H45-J45</f>
        <v>1406.47</v>
      </c>
      <c r="L45" s="297"/>
      <c r="M45" s="299"/>
      <c r="O45" s="884" t="s">
        <v>78</v>
      </c>
      <c r="P45" s="884"/>
      <c r="T45" s="91" t="s">
        <v>99</v>
      </c>
      <c r="U45" s="350" t="s">
        <v>128</v>
      </c>
      <c r="W45" s="130">
        <v>42769</v>
      </c>
      <c r="X45" s="10">
        <v>152.15</v>
      </c>
      <c r="Y45" s="10">
        <v>152.37</v>
      </c>
      <c r="Z45" s="10">
        <v>150.38999999999999</v>
      </c>
      <c r="AA45" s="10">
        <v>151.43</v>
      </c>
      <c r="AB45" s="93">
        <v>1817100</v>
      </c>
      <c r="AC45" s="10">
        <v>151.29</v>
      </c>
      <c r="AD45" s="2"/>
      <c r="AE45" s="134"/>
    </row>
    <row r="46" spans="1:31" ht="15.75" thickTop="1" x14ac:dyDescent="0.25">
      <c r="A46" s="308" t="s">
        <v>71</v>
      </c>
      <c r="B46" s="473">
        <v>42702</v>
      </c>
      <c r="C46" s="427">
        <v>20</v>
      </c>
      <c r="D46" s="429">
        <v>139.88</v>
      </c>
      <c r="E46" s="429">
        <v>0</v>
      </c>
      <c r="F46" s="429">
        <f>C46*D46 + E46</f>
        <v>2797.6</v>
      </c>
      <c r="G46" s="473">
        <v>42766</v>
      </c>
      <c r="H46" s="427">
        <v>10</v>
      </c>
      <c r="I46" s="429">
        <v>149.08000000000001</v>
      </c>
      <c r="J46" s="429">
        <v>0.03</v>
      </c>
      <c r="K46" s="429">
        <f>H46*I46 - J46</f>
        <v>1490.7700000000002</v>
      </c>
      <c r="L46" s="426">
        <v>42753</v>
      </c>
      <c r="M46" s="429">
        <v>3</v>
      </c>
      <c r="O46" s="81">
        <v>1.1000000000000001</v>
      </c>
      <c r="P46" s="81">
        <f>O46*$Q$4</f>
        <v>269.56600000000003</v>
      </c>
      <c r="Q46" s="2"/>
      <c r="T46" s="91" t="s">
        <v>100</v>
      </c>
      <c r="U46" s="350" t="s">
        <v>128</v>
      </c>
      <c r="W46" s="130">
        <v>42768</v>
      </c>
      <c r="X46" s="10">
        <v>152.41</v>
      </c>
      <c r="Y46" s="10">
        <v>152.41</v>
      </c>
      <c r="Z46" s="10">
        <v>150.22999999999999</v>
      </c>
      <c r="AA46" s="10">
        <v>151.66999999999999</v>
      </c>
      <c r="AB46" s="93">
        <v>1751200</v>
      </c>
      <c r="AC46" s="10">
        <v>151.53</v>
      </c>
      <c r="AD46" s="2"/>
      <c r="AE46" s="134"/>
    </row>
    <row r="47" spans="1:31" x14ac:dyDescent="0.25">
      <c r="A47" s="298"/>
      <c r="B47" s="473">
        <v>42767</v>
      </c>
      <c r="C47" s="427">
        <v>10</v>
      </c>
      <c r="D47" s="429">
        <v>152.69999999999999</v>
      </c>
      <c r="E47" s="429">
        <v>0</v>
      </c>
      <c r="F47" s="429">
        <f>C47*D47 + E47</f>
        <v>1527</v>
      </c>
      <c r="G47" s="473">
        <v>42767</v>
      </c>
      <c r="H47" s="443">
        <v>10</v>
      </c>
      <c r="I47" s="429">
        <v>154.6</v>
      </c>
      <c r="J47" s="429">
        <v>0.03</v>
      </c>
      <c r="K47" s="429">
        <f>H47*I47 - J47</f>
        <v>1545.97</v>
      </c>
      <c r="L47" s="426"/>
      <c r="M47" s="429"/>
      <c r="O47" s="81">
        <v>1.0900000000000001</v>
      </c>
      <c r="P47" s="81">
        <f t="shared" ref="P47:P66" si="0">O47*$Q$4</f>
        <v>267.11540000000002</v>
      </c>
      <c r="Q47" s="2"/>
      <c r="T47" s="91" t="s">
        <v>101</v>
      </c>
      <c r="U47" s="350">
        <v>172.19</v>
      </c>
      <c r="W47" s="130">
        <v>42767</v>
      </c>
      <c r="X47" s="10">
        <v>152.27000000000001</v>
      </c>
      <c r="Y47" s="10">
        <v>155.1</v>
      </c>
      <c r="Z47" s="10">
        <v>151.47999999999999</v>
      </c>
      <c r="AA47" s="10">
        <v>152.94</v>
      </c>
      <c r="AB47" s="93">
        <v>3601900</v>
      </c>
      <c r="AC47" s="10">
        <v>152.80000000000001</v>
      </c>
      <c r="AD47" s="2"/>
      <c r="AE47" s="134"/>
    </row>
    <row r="48" spans="1:31" x14ac:dyDescent="0.25">
      <c r="A48" s="298"/>
      <c r="B48" s="473"/>
      <c r="C48" s="427"/>
      <c r="D48" s="429"/>
      <c r="E48" s="429"/>
      <c r="F48" s="429"/>
      <c r="G48" s="473">
        <v>42803</v>
      </c>
      <c r="H48" s="443">
        <v>10</v>
      </c>
      <c r="I48" s="427">
        <v>157.9</v>
      </c>
      <c r="J48" s="429">
        <v>0.03</v>
      </c>
      <c r="K48" s="429">
        <f>H48*I48 - J48</f>
        <v>1578.97</v>
      </c>
      <c r="L48" s="427"/>
      <c r="M48" s="427"/>
      <c r="O48" s="81">
        <v>1.08</v>
      </c>
      <c r="P48" s="81">
        <f t="shared" si="0"/>
        <v>264.66480000000001</v>
      </c>
      <c r="Q48" s="2"/>
      <c r="T48" s="91" t="s">
        <v>102</v>
      </c>
      <c r="U48" s="350">
        <v>0.96229299999999995</v>
      </c>
      <c r="W48" s="130">
        <v>42766</v>
      </c>
      <c r="X48" s="10">
        <v>146.65</v>
      </c>
      <c r="Y48" s="10">
        <v>152.5</v>
      </c>
      <c r="Z48" s="10">
        <v>146.08000000000001</v>
      </c>
      <c r="AA48" s="10">
        <v>152.38999999999999</v>
      </c>
      <c r="AB48" s="93">
        <v>5340700</v>
      </c>
      <c r="AC48" s="10">
        <v>152.25</v>
      </c>
      <c r="AD48" s="2"/>
      <c r="AE48" s="134"/>
    </row>
    <row r="49" spans="1:31" x14ac:dyDescent="0.25">
      <c r="A49" s="298"/>
      <c r="B49" s="473"/>
      <c r="C49" s="427"/>
      <c r="D49" s="429"/>
      <c r="E49" s="429"/>
      <c r="F49" s="429"/>
      <c r="G49" s="473"/>
      <c r="H49" s="443"/>
      <c r="I49" s="429"/>
      <c r="J49" s="429"/>
      <c r="K49" s="427"/>
      <c r="L49" s="427"/>
      <c r="M49" s="427"/>
      <c r="O49" s="81">
        <v>1.07</v>
      </c>
      <c r="P49" s="81">
        <f t="shared" si="0"/>
        <v>262.21420000000001</v>
      </c>
      <c r="Q49" s="2"/>
      <c r="T49" s="91" t="s">
        <v>103</v>
      </c>
      <c r="U49" s="350" t="s">
        <v>541</v>
      </c>
      <c r="W49" s="130">
        <v>42765</v>
      </c>
      <c r="X49" s="10">
        <v>145.53</v>
      </c>
      <c r="Y49" s="10">
        <v>145.56</v>
      </c>
      <c r="Z49" s="10">
        <v>142.66</v>
      </c>
      <c r="AA49" s="10">
        <v>143.29</v>
      </c>
      <c r="AB49" s="93">
        <v>3158600</v>
      </c>
      <c r="AC49" s="10">
        <v>143.16</v>
      </c>
      <c r="AD49" s="2"/>
      <c r="AE49" s="134"/>
    </row>
    <row r="50" spans="1:31" x14ac:dyDescent="0.25">
      <c r="A50" s="298"/>
      <c r="B50" s="546"/>
      <c r="C50" s="298"/>
      <c r="D50" s="299"/>
      <c r="E50" s="299"/>
      <c r="F50" s="299"/>
      <c r="G50" s="546"/>
      <c r="H50" s="298"/>
      <c r="I50" s="298"/>
      <c r="J50" s="298"/>
      <c r="K50" s="298"/>
      <c r="L50" s="298"/>
      <c r="M50" s="298"/>
      <c r="O50" s="81">
        <v>1.06</v>
      </c>
      <c r="P50" s="81">
        <f t="shared" si="0"/>
        <v>259.7636</v>
      </c>
      <c r="Q50" s="2"/>
      <c r="T50" s="91"/>
      <c r="U50" s="350"/>
      <c r="W50" s="130">
        <v>42762</v>
      </c>
      <c r="X50" s="10">
        <v>144.01</v>
      </c>
      <c r="Y50" s="10">
        <v>145.86000000000001</v>
      </c>
      <c r="Z50" s="10">
        <v>143.76</v>
      </c>
      <c r="AA50" s="10">
        <v>145.44999999999999</v>
      </c>
      <c r="AB50" s="93">
        <v>2107800</v>
      </c>
      <c r="AC50" s="10">
        <v>145.31</v>
      </c>
      <c r="AD50" s="2"/>
      <c r="AE50" s="134"/>
    </row>
    <row r="51" spans="1:31" x14ac:dyDescent="0.25">
      <c r="A51" s="298"/>
      <c r="B51" s="546"/>
      <c r="C51" s="298"/>
      <c r="D51" s="299"/>
      <c r="E51" s="299"/>
      <c r="F51" s="299"/>
      <c r="G51" s="546"/>
      <c r="H51" s="298"/>
      <c r="I51" s="298"/>
      <c r="J51" s="298"/>
      <c r="K51" s="298"/>
      <c r="L51" s="298"/>
      <c r="M51" s="298"/>
      <c r="O51" s="81">
        <v>1.05</v>
      </c>
      <c r="P51" s="81">
        <f t="shared" si="0"/>
        <v>257.31299999999999</v>
      </c>
      <c r="Q51" s="2"/>
      <c r="T51" s="91" t="s">
        <v>104</v>
      </c>
      <c r="U51" s="350" t="s">
        <v>636</v>
      </c>
      <c r="W51" s="130">
        <v>42761</v>
      </c>
      <c r="X51" s="10">
        <v>142.52000000000001</v>
      </c>
      <c r="Y51" s="10">
        <v>143.47</v>
      </c>
      <c r="Z51" s="10">
        <v>141.97</v>
      </c>
      <c r="AA51" s="10">
        <v>143.1</v>
      </c>
      <c r="AB51" s="93">
        <v>2934000</v>
      </c>
      <c r="AC51" s="10">
        <v>142.97</v>
      </c>
      <c r="AD51" s="2"/>
      <c r="AE51" s="134"/>
    </row>
    <row r="52" spans="1:31" x14ac:dyDescent="0.25">
      <c r="A52" s="298"/>
      <c r="B52" s="546"/>
      <c r="C52" s="298"/>
      <c r="D52" s="299"/>
      <c r="E52" s="299"/>
      <c r="F52" s="299"/>
      <c r="G52" s="546"/>
      <c r="H52" s="298"/>
      <c r="I52" s="298"/>
      <c r="J52" s="298"/>
      <c r="K52" s="298"/>
      <c r="L52" s="298"/>
      <c r="M52" s="298"/>
      <c r="O52" s="81">
        <v>1.04</v>
      </c>
      <c r="P52" s="81">
        <f t="shared" si="0"/>
        <v>254.86240000000001</v>
      </c>
      <c r="Q52" s="2"/>
      <c r="T52" s="91" t="s">
        <v>105</v>
      </c>
      <c r="U52" s="350" t="s">
        <v>516</v>
      </c>
      <c r="W52" s="130">
        <v>42760</v>
      </c>
      <c r="X52" s="10">
        <v>141.5</v>
      </c>
      <c r="Y52" s="10">
        <v>143.02000000000001</v>
      </c>
      <c r="Z52" s="10">
        <v>140.77000000000001</v>
      </c>
      <c r="AA52" s="10">
        <v>142.43</v>
      </c>
      <c r="AB52" s="93">
        <v>2224900</v>
      </c>
      <c r="AC52" s="10">
        <v>142.30000000000001</v>
      </c>
      <c r="AD52" s="2"/>
      <c r="AE52" s="134"/>
    </row>
    <row r="53" spans="1:31" x14ac:dyDescent="0.25">
      <c r="A53" s="298"/>
      <c r="B53" s="546"/>
      <c r="C53" s="298"/>
      <c r="D53" s="298"/>
      <c r="E53" s="299"/>
      <c r="F53" s="298"/>
      <c r="G53" s="546"/>
      <c r="H53" s="298"/>
      <c r="I53" s="298"/>
      <c r="J53" s="298"/>
      <c r="K53" s="298"/>
      <c r="L53" s="298"/>
      <c r="M53" s="298"/>
      <c r="O53" s="81">
        <v>1.03</v>
      </c>
      <c r="P53" s="81">
        <f t="shared" si="0"/>
        <v>252.4118</v>
      </c>
      <c r="Q53" s="2"/>
      <c r="T53" s="91" t="s">
        <v>106</v>
      </c>
      <c r="U53" s="351">
        <v>2012985</v>
      </c>
      <c r="W53" s="130">
        <v>42759</v>
      </c>
      <c r="X53" s="10">
        <v>143.22999999999999</v>
      </c>
      <c r="Y53" s="10">
        <v>143.66</v>
      </c>
      <c r="Z53" s="10">
        <v>140</v>
      </c>
      <c r="AA53" s="10">
        <v>140.97999999999999</v>
      </c>
      <c r="AB53" s="93">
        <v>2988500</v>
      </c>
      <c r="AC53" s="10">
        <v>140.85</v>
      </c>
      <c r="AD53" s="2"/>
      <c r="AE53" s="134"/>
    </row>
    <row r="54" spans="1:31" x14ac:dyDescent="0.25">
      <c r="A54" s="21" t="s">
        <v>81</v>
      </c>
      <c r="B54" s="12"/>
      <c r="C54" s="12">
        <f>SUM(C45:C52)</f>
        <v>40</v>
      </c>
      <c r="D54" s="12"/>
      <c r="E54" s="13"/>
      <c r="F54" s="12">
        <f>SUM(F45:F52)</f>
        <v>5559.6</v>
      </c>
      <c r="G54" s="12"/>
      <c r="H54" s="75">
        <f>SUM(H45:H52)</f>
        <v>40</v>
      </c>
      <c r="I54" s="12"/>
      <c r="J54" s="12"/>
      <c r="K54" s="12">
        <f>SUM(K45:K53)</f>
        <v>6022.18</v>
      </c>
      <c r="L54" s="12"/>
      <c r="M54" s="13">
        <f>SUM(M45:M47)</f>
        <v>3</v>
      </c>
      <c r="O54" s="81">
        <v>1.02</v>
      </c>
      <c r="P54" s="81">
        <f t="shared" si="0"/>
        <v>249.96120000000002</v>
      </c>
      <c r="Q54" s="2"/>
      <c r="T54" s="91" t="s">
        <v>109</v>
      </c>
      <c r="U54" s="351">
        <v>1769420</v>
      </c>
      <c r="W54" s="130">
        <v>42758</v>
      </c>
      <c r="X54" s="10">
        <v>143.16</v>
      </c>
      <c r="Y54" s="10">
        <v>144.41999999999999</v>
      </c>
      <c r="Z54" s="10">
        <v>142.57</v>
      </c>
      <c r="AA54" s="10">
        <v>142.79</v>
      </c>
      <c r="AB54" s="93">
        <v>1508600</v>
      </c>
      <c r="AC54" s="10">
        <v>142.66</v>
      </c>
      <c r="AD54" s="2"/>
      <c r="AE54" s="134"/>
    </row>
    <row r="55" spans="1:31" x14ac:dyDescent="0.25">
      <c r="A55" s="298"/>
      <c r="B55" s="298"/>
      <c r="C55" s="298"/>
      <c r="D55" s="298"/>
      <c r="E55" s="299"/>
      <c r="F55" s="298"/>
      <c r="G55" s="298"/>
      <c r="H55" s="298"/>
      <c r="I55" s="298"/>
      <c r="J55" s="298"/>
      <c r="K55" s="298"/>
      <c r="L55" s="298"/>
      <c r="M55" s="298"/>
      <c r="O55" s="81">
        <v>1.01</v>
      </c>
      <c r="P55" s="81">
        <f t="shared" si="0"/>
        <v>247.51060000000001</v>
      </c>
      <c r="Q55" s="2"/>
      <c r="T55" s="91" t="s">
        <v>107</v>
      </c>
      <c r="U55" s="350" t="s">
        <v>637</v>
      </c>
      <c r="W55" s="130">
        <v>42755</v>
      </c>
      <c r="X55" s="10">
        <v>144.91</v>
      </c>
      <c r="Y55" s="10">
        <v>145.13999999999999</v>
      </c>
      <c r="Z55" s="10">
        <v>143.32</v>
      </c>
      <c r="AA55" s="10">
        <v>143.51</v>
      </c>
      <c r="AB55" s="93">
        <v>1750000</v>
      </c>
      <c r="AC55" s="10">
        <v>143.37</v>
      </c>
      <c r="AD55" s="2"/>
      <c r="AE55" s="134"/>
    </row>
    <row r="56" spans="1:31" x14ac:dyDescent="0.25">
      <c r="O56" s="81">
        <v>1</v>
      </c>
      <c r="P56" s="81">
        <f t="shared" si="0"/>
        <v>245.06</v>
      </c>
      <c r="Q56" s="2"/>
      <c r="T56" s="91" t="s">
        <v>110</v>
      </c>
      <c r="U56" s="350">
        <v>30.01</v>
      </c>
      <c r="W56" s="130">
        <v>42754</v>
      </c>
      <c r="X56" s="10">
        <v>144.38</v>
      </c>
      <c r="Y56" s="10">
        <v>144.72</v>
      </c>
      <c r="Z56" s="10">
        <v>143.44</v>
      </c>
      <c r="AA56" s="10">
        <v>144.32</v>
      </c>
      <c r="AB56" s="93">
        <v>1435900</v>
      </c>
      <c r="AC56" s="10">
        <v>144.18</v>
      </c>
      <c r="AD56" s="2"/>
      <c r="AE56" s="134"/>
    </row>
    <row r="57" spans="1:31" x14ac:dyDescent="0.25">
      <c r="O57" s="81">
        <v>0.99</v>
      </c>
      <c r="P57" s="81">
        <f t="shared" si="0"/>
        <v>242.60939999999999</v>
      </c>
      <c r="Q57" s="2"/>
      <c r="T57" s="91" t="s">
        <v>111</v>
      </c>
      <c r="U57" s="350">
        <v>5.09</v>
      </c>
      <c r="W57" s="130">
        <v>42753</v>
      </c>
      <c r="X57" s="10">
        <v>145.84</v>
      </c>
      <c r="Y57" s="10">
        <v>146</v>
      </c>
      <c r="Z57" s="10">
        <v>143.56</v>
      </c>
      <c r="AA57" s="10">
        <v>144.66</v>
      </c>
      <c r="AB57" s="93">
        <v>1377100</v>
      </c>
      <c r="AC57" s="10">
        <v>144.52000000000001</v>
      </c>
      <c r="AD57" s="2"/>
      <c r="AE57" s="134"/>
    </row>
    <row r="58" spans="1:31" x14ac:dyDescent="0.25">
      <c r="O58" s="81">
        <v>0.98</v>
      </c>
      <c r="P58" s="81">
        <f t="shared" si="0"/>
        <v>240.15879999999999</v>
      </c>
      <c r="Q58" s="2"/>
      <c r="T58" s="91" t="s">
        <v>108</v>
      </c>
      <c r="U58" s="350" t="s">
        <v>510</v>
      </c>
      <c r="W58" s="130">
        <v>42752</v>
      </c>
      <c r="X58" s="10">
        <v>145.66999999999999</v>
      </c>
      <c r="Y58" s="10">
        <v>145.87</v>
      </c>
      <c r="Z58" s="10">
        <v>144.55000000000001</v>
      </c>
      <c r="AA58" s="10">
        <v>145.05000000000001</v>
      </c>
      <c r="AB58" s="93">
        <v>1651500</v>
      </c>
      <c r="AC58" s="10">
        <v>144.91</v>
      </c>
      <c r="AD58" s="2"/>
      <c r="AE58" s="134"/>
    </row>
    <row r="59" spans="1:31" x14ac:dyDescent="0.25">
      <c r="O59" s="81">
        <v>0.97</v>
      </c>
      <c r="P59" s="81">
        <f t="shared" si="0"/>
        <v>237.70820000000001</v>
      </c>
      <c r="W59" s="130">
        <v>42748</v>
      </c>
      <c r="X59" s="10">
        <v>146.09</v>
      </c>
      <c r="Y59" s="10">
        <v>147.03</v>
      </c>
      <c r="Z59" s="10">
        <v>145.52000000000001</v>
      </c>
      <c r="AA59" s="10">
        <v>146.29</v>
      </c>
      <c r="AB59" s="93">
        <v>1839600</v>
      </c>
      <c r="AC59" s="10">
        <v>146.15</v>
      </c>
      <c r="AD59" s="2"/>
      <c r="AE59" s="134"/>
    </row>
    <row r="60" spans="1:31" x14ac:dyDescent="0.25">
      <c r="O60" s="81">
        <v>0.96</v>
      </c>
      <c r="P60" s="81">
        <f t="shared" si="0"/>
        <v>235.2576</v>
      </c>
      <c r="W60" s="130">
        <v>42747</v>
      </c>
      <c r="X60" s="10">
        <v>146.18</v>
      </c>
      <c r="Y60" s="10">
        <v>146.99</v>
      </c>
      <c r="Z60" s="10">
        <v>145.13</v>
      </c>
      <c r="AA60" s="10">
        <v>145.97</v>
      </c>
      <c r="AB60" s="93">
        <v>2239600</v>
      </c>
      <c r="AC60" s="10">
        <v>145.83000000000001</v>
      </c>
      <c r="AD60" s="2"/>
      <c r="AE60" s="134"/>
    </row>
    <row r="61" spans="1:31" x14ac:dyDescent="0.25">
      <c r="O61" s="81">
        <v>0.95</v>
      </c>
      <c r="P61" s="81">
        <f t="shared" si="0"/>
        <v>232.80699999999999</v>
      </c>
      <c r="W61" s="130">
        <v>42746</v>
      </c>
      <c r="X61" s="10">
        <v>147.79</v>
      </c>
      <c r="Y61" s="10">
        <v>148.33000000000001</v>
      </c>
      <c r="Z61" s="10">
        <v>143.87</v>
      </c>
      <c r="AA61" s="10">
        <v>146.22</v>
      </c>
      <c r="AB61" s="93">
        <v>2764300</v>
      </c>
      <c r="AC61" s="10">
        <v>146.08000000000001</v>
      </c>
      <c r="AD61" s="2"/>
      <c r="AE61" s="134"/>
    </row>
    <row r="62" spans="1:31" x14ac:dyDescent="0.25">
      <c r="O62" s="81">
        <v>0.94</v>
      </c>
      <c r="P62" s="81">
        <f t="shared" si="0"/>
        <v>230.35639999999998</v>
      </c>
      <c r="W62" s="130">
        <v>42745</v>
      </c>
      <c r="X62" s="10">
        <v>147.80000000000001</v>
      </c>
      <c r="Y62" s="10">
        <v>149.32</v>
      </c>
      <c r="Z62" s="10">
        <v>147.30000000000001</v>
      </c>
      <c r="AA62" s="10">
        <v>147.78</v>
      </c>
      <c r="AB62" s="93">
        <v>1806600</v>
      </c>
      <c r="AC62" s="10">
        <v>147.63999999999999</v>
      </c>
      <c r="AD62" s="2"/>
      <c r="AE62" s="134"/>
    </row>
    <row r="63" spans="1:31" x14ac:dyDescent="0.25">
      <c r="O63" s="81">
        <v>0.93</v>
      </c>
      <c r="P63" s="81">
        <f t="shared" si="0"/>
        <v>227.90580000000003</v>
      </c>
      <c r="W63" s="130">
        <v>42744</v>
      </c>
      <c r="X63" s="10">
        <v>147.01</v>
      </c>
      <c r="Y63" s="10">
        <v>148.63999999999999</v>
      </c>
      <c r="Z63" s="10">
        <v>147.01</v>
      </c>
      <c r="AA63" s="10">
        <v>147.49</v>
      </c>
      <c r="AB63" s="93">
        <v>1966300</v>
      </c>
      <c r="AC63" s="10">
        <v>147.35</v>
      </c>
      <c r="AD63" s="2"/>
      <c r="AE63" s="134"/>
    </row>
    <row r="64" spans="1:31" x14ac:dyDescent="0.25">
      <c r="O64" s="81">
        <v>0.92</v>
      </c>
      <c r="P64" s="81">
        <f t="shared" si="0"/>
        <v>225.45520000000002</v>
      </c>
      <c r="W64" s="130">
        <v>42741</v>
      </c>
      <c r="X64" s="10">
        <v>145.28</v>
      </c>
      <c r="Y64" s="10">
        <v>147.49</v>
      </c>
      <c r="Z64" s="10">
        <v>145.13999999999999</v>
      </c>
      <c r="AA64" s="10">
        <v>147.27000000000001</v>
      </c>
      <c r="AB64" s="93">
        <v>2016200</v>
      </c>
      <c r="AC64" s="10">
        <v>147.13</v>
      </c>
      <c r="AD64" s="2"/>
      <c r="AE64" s="134"/>
    </row>
    <row r="65" spans="15:31" x14ac:dyDescent="0.25">
      <c r="O65" s="81">
        <v>0.91</v>
      </c>
      <c r="P65" s="81">
        <f t="shared" si="0"/>
        <v>223.00460000000001</v>
      </c>
      <c r="W65" s="130">
        <v>42740</v>
      </c>
      <c r="X65" s="10">
        <v>145.38</v>
      </c>
      <c r="Y65" s="10">
        <v>145.77000000000001</v>
      </c>
      <c r="Z65" s="10">
        <v>144.78</v>
      </c>
      <c r="AA65" s="10">
        <v>145.38</v>
      </c>
      <c r="AB65" s="93">
        <v>1683500</v>
      </c>
      <c r="AC65" s="10">
        <v>145.24</v>
      </c>
      <c r="AD65" s="2"/>
      <c r="AE65" s="134"/>
    </row>
    <row r="66" spans="15:31" x14ac:dyDescent="0.25">
      <c r="O66" s="81">
        <v>0.9</v>
      </c>
      <c r="P66" s="81">
        <f t="shared" si="0"/>
        <v>220.554</v>
      </c>
      <c r="W66" s="130">
        <v>42739</v>
      </c>
      <c r="X66" s="10">
        <v>143.94999999999999</v>
      </c>
      <c r="Y66" s="10">
        <v>146.06</v>
      </c>
      <c r="Z66" s="10">
        <v>143.29</v>
      </c>
      <c r="AA66" s="10">
        <v>145.16</v>
      </c>
      <c r="AB66" s="93">
        <v>2167200</v>
      </c>
      <c r="AC66" s="10">
        <v>145.02000000000001</v>
      </c>
      <c r="AD66" s="2"/>
      <c r="AE66" s="134"/>
    </row>
    <row r="67" spans="15:31" x14ac:dyDescent="0.25">
      <c r="W67" s="130">
        <v>42738</v>
      </c>
      <c r="X67" s="10">
        <v>142.38999999999999</v>
      </c>
      <c r="Y67" s="10">
        <v>143.83000000000001</v>
      </c>
      <c r="Z67" s="10">
        <v>142.22999999999999</v>
      </c>
      <c r="AA67" s="10">
        <v>143.66999999999999</v>
      </c>
      <c r="AB67" s="93">
        <v>1966400</v>
      </c>
      <c r="AC67" s="10">
        <v>143.53</v>
      </c>
      <c r="AD67" s="2"/>
      <c r="AE67" s="134"/>
    </row>
    <row r="68" spans="15:31" x14ac:dyDescent="0.25">
      <c r="W68" s="130">
        <v>42734</v>
      </c>
      <c r="X68" s="10">
        <v>142.16</v>
      </c>
      <c r="Y68" s="10">
        <v>142.34</v>
      </c>
      <c r="Z68" s="10">
        <v>140.44999999999999</v>
      </c>
      <c r="AA68" s="10">
        <v>141.1</v>
      </c>
      <c r="AB68" s="93">
        <v>1063200</v>
      </c>
      <c r="AC68" s="10">
        <v>140.97</v>
      </c>
      <c r="AD68" s="2"/>
      <c r="AE68" s="134"/>
    </row>
    <row r="69" spans="15:31" x14ac:dyDescent="0.25">
      <c r="W69" s="130" t="s">
        <v>120</v>
      </c>
      <c r="X69" s="10"/>
      <c r="Y69" s="10"/>
      <c r="Z69" s="10"/>
      <c r="AA69" s="10"/>
      <c r="AB69" s="93"/>
      <c r="AC69" s="10"/>
      <c r="AD69" s="2"/>
      <c r="AE69" s="134"/>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39" priority="17">
      <formula>F21&gt;0</formula>
    </cfRule>
    <cfRule type="expression" dxfId="38" priority="18">
      <formula>F21&lt;0</formula>
    </cfRule>
  </conditionalFormatting>
  <conditionalFormatting sqref="H26 H31:H41 H21">
    <cfRule type="expression" dxfId="37" priority="15">
      <formula>H21&gt;0</formula>
    </cfRule>
    <cfRule type="expression" dxfId="36" priority="16">
      <formula>H21&lt;0</formula>
    </cfRule>
  </conditionalFormatting>
  <conditionalFormatting sqref="Q7">
    <cfRule type="expression" dxfId="35" priority="9">
      <formula>Q7&gt;0</formula>
    </cfRule>
    <cfRule type="expression" dxfId="34" priority="10">
      <formula>Q7&lt;0</formula>
    </cfRule>
  </conditionalFormatting>
  <conditionalFormatting sqref="Q8">
    <cfRule type="expression" dxfId="33" priority="7">
      <formula>Q8&gt;0</formula>
    </cfRule>
    <cfRule type="expression" dxfId="32" priority="8">
      <formula>Q8&lt;0</formula>
    </cfRule>
  </conditionalFormatting>
  <conditionalFormatting sqref="F27:F30 F22:F25">
    <cfRule type="expression" dxfId="31" priority="5">
      <formula>F22&gt;0</formula>
    </cfRule>
    <cfRule type="expression" dxfId="30" priority="6">
      <formula>F22&lt;0</formula>
    </cfRule>
  </conditionalFormatting>
  <conditionalFormatting sqref="H27:H30 H22:H25">
    <cfRule type="expression" dxfId="29" priority="3">
      <formula>H22&gt;0</formula>
    </cfRule>
    <cfRule type="expression" dxfId="28" priority="4">
      <formula>H22&lt;0</formula>
    </cfRule>
  </conditionalFormatting>
  <conditionalFormatting sqref="M43">
    <cfRule type="expression" dxfId="27" priority="1">
      <formula>M43&gt;0</formula>
    </cfRule>
    <cfRule type="expression" dxfId="26"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4"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2"/>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39</v>
      </c>
      <c r="B2" s="72"/>
      <c r="C2" s="4"/>
      <c r="D2" s="3"/>
      <c r="E2" s="3"/>
      <c r="F2" s="3"/>
      <c r="G2" s="72"/>
      <c r="H2" s="161"/>
      <c r="I2" s="3"/>
      <c r="J2" s="3"/>
      <c r="K2" s="4"/>
      <c r="L2" s="72"/>
      <c r="M2" s="3"/>
      <c r="O2" s="11" t="s">
        <v>57</v>
      </c>
      <c r="Q2">
        <f>C18-H18</f>
        <v>0</v>
      </c>
      <c r="T2" s="1">
        <v>42305</v>
      </c>
      <c r="U2" s="84" t="s">
        <v>140</v>
      </c>
      <c r="W2" s="130">
        <v>42830</v>
      </c>
      <c r="X2" s="10">
        <v>44.5</v>
      </c>
      <c r="Y2" s="10">
        <v>44.95</v>
      </c>
      <c r="Z2" s="10">
        <v>43.15</v>
      </c>
      <c r="AA2" s="10">
        <v>43.35</v>
      </c>
      <c r="AB2" s="93">
        <v>915100</v>
      </c>
      <c r="AC2" s="10">
        <v>43.35</v>
      </c>
      <c r="AD2" s="2">
        <f>Y2-Z2</f>
        <v>1.8000000000000043</v>
      </c>
      <c r="AE2" s="134">
        <f>AC2/AC3-1</f>
        <v>-1.8120045300113241E-2</v>
      </c>
      <c r="AP2" t="s">
        <v>159</v>
      </c>
    </row>
    <row r="3" spans="1:43" x14ac:dyDescent="0.25">
      <c r="A3" s="22" t="s">
        <v>71</v>
      </c>
      <c r="B3" s="72"/>
      <c r="C3" s="4"/>
      <c r="D3" s="3"/>
      <c r="E3" s="3"/>
      <c r="F3" s="3"/>
      <c r="G3" s="72"/>
      <c r="H3" s="161"/>
      <c r="I3" s="3"/>
      <c r="J3" s="3"/>
      <c r="K3" s="4"/>
      <c r="L3" s="72"/>
      <c r="M3" s="3"/>
      <c r="O3" s="11" t="s">
        <v>58</v>
      </c>
      <c r="Q3" s="2">
        <f>IF(Q2=0, Q4, (F18-K18-M18)/Q2)</f>
        <v>43.53</v>
      </c>
      <c r="W3" s="130">
        <v>42829</v>
      </c>
      <c r="X3" s="10">
        <v>44.5</v>
      </c>
      <c r="Y3" s="10">
        <v>44.75</v>
      </c>
      <c r="Z3" s="10">
        <v>43.75</v>
      </c>
      <c r="AA3" s="10">
        <v>44.15</v>
      </c>
      <c r="AB3" s="93">
        <v>630400</v>
      </c>
      <c r="AC3" s="10">
        <v>44.15</v>
      </c>
      <c r="AD3" s="2">
        <f t="shared" ref="AD3:AD66" si="0">Y3-Z3</f>
        <v>1</v>
      </c>
      <c r="AE3" s="134">
        <f t="shared" ref="AE3:AE66" si="1">AC3/AC4-1</f>
        <v>-4.5095828635851598E-3</v>
      </c>
      <c r="AI3" t="s">
        <v>167</v>
      </c>
      <c r="AJ3">
        <v>90</v>
      </c>
      <c r="AK3">
        <v>28.4</v>
      </c>
      <c r="AL3" s="182">
        <v>2556</v>
      </c>
      <c r="AO3" s="182">
        <v>2894.4</v>
      </c>
      <c r="AP3">
        <v>338.4</v>
      </c>
      <c r="AQ3">
        <v>13.24</v>
      </c>
    </row>
    <row r="4" spans="1:43" x14ac:dyDescent="0.25">
      <c r="B4" s="72"/>
      <c r="C4" s="4"/>
      <c r="D4" s="3"/>
      <c r="E4" s="3"/>
      <c r="F4" s="3"/>
      <c r="G4" s="72"/>
      <c r="H4" s="161"/>
      <c r="I4" s="4"/>
      <c r="J4" s="3"/>
      <c r="K4" s="4"/>
      <c r="L4" s="4"/>
      <c r="M4" s="4"/>
      <c r="O4" s="11" t="s">
        <v>66</v>
      </c>
      <c r="Q4" s="54">
        <v>43.53</v>
      </c>
      <c r="R4" s="405">
        <v>1.55E-2</v>
      </c>
      <c r="W4" s="130">
        <v>42828</v>
      </c>
      <c r="X4" s="10">
        <v>45.35</v>
      </c>
      <c r="Y4" s="10">
        <v>45.6</v>
      </c>
      <c r="Z4" s="10">
        <v>44.1</v>
      </c>
      <c r="AA4" s="10">
        <v>44.35</v>
      </c>
      <c r="AB4" s="93">
        <v>1307800</v>
      </c>
      <c r="AC4" s="10">
        <v>44.35</v>
      </c>
      <c r="AD4" s="2">
        <f t="shared" si="0"/>
        <v>1.5</v>
      </c>
      <c r="AE4" s="134">
        <f t="shared" si="1"/>
        <v>-1.8805309734513331E-2</v>
      </c>
    </row>
    <row r="5" spans="1:43" x14ac:dyDescent="0.25">
      <c r="B5" s="72"/>
      <c r="C5" s="4"/>
      <c r="D5" s="3"/>
      <c r="E5" s="3"/>
      <c r="F5" s="3"/>
      <c r="G5" s="72"/>
      <c r="H5" s="161"/>
      <c r="I5" s="3"/>
      <c r="J5" s="3"/>
      <c r="K5" s="4"/>
      <c r="L5" s="4"/>
      <c r="M5" s="4"/>
      <c r="O5" s="11" t="s">
        <v>67</v>
      </c>
      <c r="Q5" s="3">
        <f>Q4*Q2</f>
        <v>0</v>
      </c>
      <c r="W5" s="130">
        <v>42825</v>
      </c>
      <c r="X5" s="10">
        <v>44.9</v>
      </c>
      <c r="Y5" s="10">
        <v>45.5</v>
      </c>
      <c r="Z5" s="10">
        <v>44.76</v>
      </c>
      <c r="AA5" s="10">
        <v>45.2</v>
      </c>
      <c r="AB5" s="93">
        <v>867000</v>
      </c>
      <c r="AC5" s="10">
        <v>45.2</v>
      </c>
      <c r="AD5" s="2">
        <f t="shared" si="0"/>
        <v>0.74000000000000199</v>
      </c>
      <c r="AE5" s="134">
        <f t="shared" si="1"/>
        <v>1.1074197120710672E-3</v>
      </c>
    </row>
    <row r="6" spans="1:43" x14ac:dyDescent="0.25">
      <c r="B6" s="72"/>
      <c r="C6" s="4"/>
      <c r="D6" s="3"/>
      <c r="E6" s="3"/>
      <c r="F6" s="3"/>
      <c r="G6" s="72"/>
      <c r="H6" s="161"/>
      <c r="I6" s="3"/>
      <c r="J6" s="3"/>
      <c r="K6" s="4"/>
      <c r="L6" s="4"/>
      <c r="M6" s="4"/>
      <c r="O6" s="11" t="s">
        <v>64</v>
      </c>
      <c r="Q6" s="2">
        <f>Q3*Q2</f>
        <v>0</v>
      </c>
      <c r="W6" s="130">
        <v>42824</v>
      </c>
      <c r="X6" s="10">
        <v>44</v>
      </c>
      <c r="Y6" s="10">
        <v>45.25</v>
      </c>
      <c r="Z6" s="10">
        <v>44</v>
      </c>
      <c r="AA6" s="10">
        <v>45.15</v>
      </c>
      <c r="AB6" s="93">
        <v>909900</v>
      </c>
      <c r="AC6" s="10">
        <v>45.15</v>
      </c>
      <c r="AD6" s="2">
        <f t="shared" si="0"/>
        <v>1.25</v>
      </c>
      <c r="AE6" s="134">
        <f t="shared" si="1"/>
        <v>2.6136363636363624E-2</v>
      </c>
    </row>
    <row r="7" spans="1:43" x14ac:dyDescent="0.25">
      <c r="B7" s="72"/>
      <c r="C7" s="4"/>
      <c r="D7" s="3"/>
      <c r="E7" s="3"/>
      <c r="F7" s="3"/>
      <c r="G7" s="4"/>
      <c r="H7" s="4"/>
      <c r="I7" s="4"/>
      <c r="J7" s="4"/>
      <c r="K7" s="4"/>
      <c r="L7" s="4"/>
      <c r="M7" s="4"/>
      <c r="O7" s="11" t="s">
        <v>177</v>
      </c>
      <c r="Q7" s="2">
        <f>Q10+Q8</f>
        <v>529.88000000000284</v>
      </c>
      <c r="R7">
        <v>0</v>
      </c>
      <c r="W7" s="130">
        <v>42823</v>
      </c>
      <c r="X7" s="10">
        <v>43.7</v>
      </c>
      <c r="Y7" s="10">
        <v>44.2</v>
      </c>
      <c r="Z7" s="10">
        <v>43.2</v>
      </c>
      <c r="AA7" s="10">
        <v>44</v>
      </c>
      <c r="AB7" s="93">
        <v>696100</v>
      </c>
      <c r="AC7" s="10">
        <v>44</v>
      </c>
      <c r="AD7" s="2">
        <f t="shared" si="0"/>
        <v>1</v>
      </c>
      <c r="AE7" s="134">
        <f t="shared" si="1"/>
        <v>6.8649885583522696E-3</v>
      </c>
    </row>
    <row r="8" spans="1:43" x14ac:dyDescent="0.25">
      <c r="B8" s="72"/>
      <c r="C8" s="4"/>
      <c r="D8" s="3"/>
      <c r="E8" s="3"/>
      <c r="F8" s="3"/>
      <c r="G8" s="4"/>
      <c r="H8" s="4"/>
      <c r="I8" s="4"/>
      <c r="J8" s="4"/>
      <c r="K8" s="4"/>
      <c r="L8" s="4"/>
      <c r="M8" s="4"/>
      <c r="O8" s="11" t="s">
        <v>179</v>
      </c>
      <c r="P8" s="33"/>
      <c r="Q8" s="2">
        <f>K18+M18-F18+Q2*Q4</f>
        <v>0</v>
      </c>
      <c r="W8" s="130">
        <v>42822</v>
      </c>
      <c r="X8" s="10">
        <v>42.8</v>
      </c>
      <c r="Y8" s="10">
        <v>44.3</v>
      </c>
      <c r="Z8" s="10">
        <v>42.8</v>
      </c>
      <c r="AA8" s="10">
        <v>43.7</v>
      </c>
      <c r="AB8" s="93">
        <v>504900</v>
      </c>
      <c r="AC8" s="10">
        <v>43.7</v>
      </c>
      <c r="AD8" s="2">
        <f t="shared" si="0"/>
        <v>1.5</v>
      </c>
      <c r="AE8" s="134">
        <f t="shared" si="1"/>
        <v>1.8648018648018683E-2</v>
      </c>
    </row>
    <row r="9" spans="1:43" x14ac:dyDescent="0.25">
      <c r="B9" s="72"/>
      <c r="C9" s="4"/>
      <c r="D9" s="3"/>
      <c r="E9" s="3"/>
      <c r="F9" s="3"/>
      <c r="G9" s="4"/>
      <c r="H9" s="4"/>
      <c r="I9" s="4"/>
      <c r="J9" s="4"/>
      <c r="K9" s="4"/>
      <c r="L9" s="4"/>
      <c r="M9" s="4"/>
      <c r="O9" s="11" t="s">
        <v>204</v>
      </c>
      <c r="Q9" s="134">
        <f>IF(Q2=0, 0, Q8/Q6)</f>
        <v>0</v>
      </c>
      <c r="W9" s="130">
        <v>42821</v>
      </c>
      <c r="X9" s="10">
        <v>42.45</v>
      </c>
      <c r="Y9" s="10">
        <v>43.2</v>
      </c>
      <c r="Z9" s="10">
        <v>41.78</v>
      </c>
      <c r="AA9" s="10">
        <v>42.9</v>
      </c>
      <c r="AB9" s="93">
        <v>836600</v>
      </c>
      <c r="AC9" s="10">
        <v>42.9</v>
      </c>
      <c r="AD9" s="2">
        <f t="shared" si="0"/>
        <v>1.4200000000000017</v>
      </c>
      <c r="AE9" s="134">
        <f t="shared" si="1"/>
        <v>-1.492537313432829E-2</v>
      </c>
    </row>
    <row r="10" spans="1:43" x14ac:dyDescent="0.25">
      <c r="B10" s="4"/>
      <c r="C10" s="4"/>
      <c r="D10" s="4"/>
      <c r="E10" s="3"/>
      <c r="F10" s="4"/>
      <c r="G10" s="4"/>
      <c r="H10" s="4"/>
      <c r="I10" s="4"/>
      <c r="J10" s="4"/>
      <c r="K10" s="4"/>
      <c r="L10" s="4"/>
      <c r="M10" s="4"/>
      <c r="O10" s="11" t="s">
        <v>203</v>
      </c>
      <c r="P10" s="33"/>
      <c r="Q10" s="2">
        <f>M36</f>
        <v>529.88000000000284</v>
      </c>
      <c r="W10" s="130">
        <v>42818</v>
      </c>
      <c r="X10" s="10">
        <v>44.15</v>
      </c>
      <c r="Y10" s="10">
        <v>44.7</v>
      </c>
      <c r="Z10" s="10">
        <v>43.2</v>
      </c>
      <c r="AA10" s="10">
        <v>43.55</v>
      </c>
      <c r="AB10" s="93">
        <v>902800</v>
      </c>
      <c r="AC10" s="10">
        <v>43.55</v>
      </c>
      <c r="AD10" s="2">
        <f t="shared" si="0"/>
        <v>1.5</v>
      </c>
      <c r="AE10" s="134">
        <f t="shared" si="1"/>
        <v>-1.3590033975084959E-2</v>
      </c>
    </row>
    <row r="11" spans="1:43" x14ac:dyDescent="0.25">
      <c r="B11" s="4"/>
      <c r="C11" s="4"/>
      <c r="D11" s="4"/>
      <c r="E11" s="3"/>
      <c r="F11" s="4"/>
      <c r="G11" s="4"/>
      <c r="H11" s="4"/>
      <c r="I11" s="4"/>
      <c r="J11" s="4"/>
      <c r="K11" s="4"/>
      <c r="L11" s="4"/>
      <c r="M11" s="4"/>
      <c r="O11" s="11" t="s">
        <v>175</v>
      </c>
      <c r="P11" s="33"/>
      <c r="Q11" s="134">
        <f>IF(U58="N/A (N/A)", 0, VALUE(TRIM(CLEAN(MID(U58, FIND("(", U58)+1, 5)))))</f>
        <v>2.3E-2</v>
      </c>
      <c r="W11" s="130">
        <v>42817</v>
      </c>
      <c r="X11" s="10">
        <v>44.05</v>
      </c>
      <c r="Y11" s="10">
        <v>44.55</v>
      </c>
      <c r="Z11" s="10">
        <v>43.9</v>
      </c>
      <c r="AA11" s="10">
        <v>44.15</v>
      </c>
      <c r="AB11" s="93">
        <v>744100</v>
      </c>
      <c r="AC11" s="10">
        <v>44.15</v>
      </c>
      <c r="AD11" s="2">
        <f t="shared" si="0"/>
        <v>0.64999999999999858</v>
      </c>
      <c r="AE11" s="134">
        <f t="shared" si="1"/>
        <v>3.4090909090909172E-3</v>
      </c>
    </row>
    <row r="12" spans="1:43" x14ac:dyDescent="0.25">
      <c r="B12" s="4"/>
      <c r="C12" s="4"/>
      <c r="D12" s="4"/>
      <c r="E12" s="3"/>
      <c r="F12" s="4"/>
      <c r="G12" s="4"/>
      <c r="H12" s="4"/>
      <c r="I12" s="4"/>
      <c r="J12" s="4"/>
      <c r="K12" s="4"/>
      <c r="L12" s="4"/>
      <c r="M12" s="4"/>
      <c r="W12" s="130">
        <v>42816</v>
      </c>
      <c r="X12" s="10">
        <v>43.05</v>
      </c>
      <c r="Y12" s="10">
        <v>44.15</v>
      </c>
      <c r="Z12" s="10">
        <v>42.65</v>
      </c>
      <c r="AA12" s="10">
        <v>44</v>
      </c>
      <c r="AB12" s="93">
        <v>1031200</v>
      </c>
      <c r="AC12" s="10">
        <v>44</v>
      </c>
      <c r="AD12" s="2">
        <f t="shared" si="0"/>
        <v>1.5</v>
      </c>
      <c r="AE12" s="134">
        <f t="shared" si="1"/>
        <v>1.9698725376593229E-2</v>
      </c>
    </row>
    <row r="13" spans="1:43" x14ac:dyDescent="0.25">
      <c r="W13" s="130">
        <v>42815</v>
      </c>
      <c r="X13" s="10">
        <v>45.15</v>
      </c>
      <c r="Y13" s="10">
        <v>45.19</v>
      </c>
      <c r="Z13" s="10">
        <v>43.15</v>
      </c>
      <c r="AA13" s="10">
        <v>43.15</v>
      </c>
      <c r="AB13" s="93">
        <v>880800</v>
      </c>
      <c r="AC13" s="10">
        <v>43.15</v>
      </c>
      <c r="AD13" s="2">
        <f t="shared" si="0"/>
        <v>2.0399999999999991</v>
      </c>
      <c r="AE13" s="134">
        <f t="shared" si="1"/>
        <v>-4.2175360710321796E-2</v>
      </c>
    </row>
    <row r="14" spans="1:43" x14ac:dyDescent="0.25">
      <c r="W14" s="130">
        <v>42814</v>
      </c>
      <c r="X14" s="10">
        <v>44.9</v>
      </c>
      <c r="Y14" s="10">
        <v>45.2</v>
      </c>
      <c r="Z14" s="10">
        <v>44.55</v>
      </c>
      <c r="AA14" s="10">
        <v>45.05</v>
      </c>
      <c r="AB14" s="93">
        <v>362700</v>
      </c>
      <c r="AC14" s="10">
        <v>45.05</v>
      </c>
      <c r="AD14" s="2">
        <f t="shared" si="0"/>
        <v>0.65000000000000568</v>
      </c>
      <c r="AE14" s="134">
        <f t="shared" si="1"/>
        <v>2.2246941045604984E-3</v>
      </c>
    </row>
    <row r="15" spans="1:43" x14ac:dyDescent="0.25">
      <c r="W15" s="130">
        <v>42811</v>
      </c>
      <c r="X15" s="10">
        <v>45.5</v>
      </c>
      <c r="Y15" s="10">
        <v>45.65</v>
      </c>
      <c r="Z15" s="10">
        <v>44.75</v>
      </c>
      <c r="AA15" s="10">
        <v>44.95</v>
      </c>
      <c r="AB15" s="93">
        <v>811900</v>
      </c>
      <c r="AC15" s="10">
        <v>44.95</v>
      </c>
      <c r="AD15" s="2">
        <f t="shared" si="0"/>
        <v>0.89999999999999858</v>
      </c>
      <c r="AE15" s="134">
        <f t="shared" si="1"/>
        <v>-1.3172338090010838E-2</v>
      </c>
    </row>
    <row r="16" spans="1:43" x14ac:dyDescent="0.25">
      <c r="W16" s="130">
        <v>42810</v>
      </c>
      <c r="X16" s="10">
        <v>45.85</v>
      </c>
      <c r="Y16" s="10">
        <v>46</v>
      </c>
      <c r="Z16" s="10">
        <v>45.25</v>
      </c>
      <c r="AA16" s="10">
        <v>45.55</v>
      </c>
      <c r="AB16" s="93">
        <v>663100</v>
      </c>
      <c r="AC16" s="10">
        <v>45.55</v>
      </c>
      <c r="AD16" s="2">
        <f t="shared" si="0"/>
        <v>0.75</v>
      </c>
      <c r="AE16" s="134">
        <f t="shared" si="1"/>
        <v>-2.1905805038335835E-3</v>
      </c>
    </row>
    <row r="17" spans="1:31" x14ac:dyDescent="0.25">
      <c r="W17" s="130">
        <v>42809</v>
      </c>
      <c r="X17" s="10">
        <v>44.6</v>
      </c>
      <c r="Y17" s="10">
        <v>45.9</v>
      </c>
      <c r="Z17" s="10">
        <v>44.5</v>
      </c>
      <c r="AA17" s="10">
        <v>45.65</v>
      </c>
      <c r="AB17" s="93">
        <v>1408000</v>
      </c>
      <c r="AC17" s="10">
        <v>45.65</v>
      </c>
      <c r="AD17" s="2">
        <f t="shared" si="0"/>
        <v>1.3999999999999986</v>
      </c>
      <c r="AE17" s="134">
        <f t="shared" si="1"/>
        <v>3.2805429864253277E-2</v>
      </c>
    </row>
    <row r="18" spans="1:31" x14ac:dyDescent="0.25">
      <c r="A18" s="31" t="s">
        <v>81</v>
      </c>
      <c r="B18" s="14"/>
      <c r="C18" s="14">
        <f>SUM(C2:C9)</f>
        <v>0</v>
      </c>
      <c r="D18" s="14"/>
      <c r="E18" s="18"/>
      <c r="F18" s="14">
        <f>SUM(F2:F9)</f>
        <v>0</v>
      </c>
      <c r="G18" s="14"/>
      <c r="H18" s="71">
        <f>SUM(H2:H9)</f>
        <v>0</v>
      </c>
      <c r="I18" s="14"/>
      <c r="J18" s="14"/>
      <c r="K18" s="14">
        <f>SUM(K2:K17)</f>
        <v>0</v>
      </c>
      <c r="L18" s="14"/>
      <c r="M18" s="18">
        <f>SUM(M2:M4)</f>
        <v>0</v>
      </c>
      <c r="W18" s="130">
        <v>42808</v>
      </c>
      <c r="X18" s="10">
        <v>44.3</v>
      </c>
      <c r="Y18" s="10">
        <v>44.5</v>
      </c>
      <c r="Z18" s="10">
        <v>43.75</v>
      </c>
      <c r="AA18" s="10">
        <v>44.2</v>
      </c>
      <c r="AB18" s="93">
        <v>345500</v>
      </c>
      <c r="AC18" s="10">
        <v>44.2</v>
      </c>
      <c r="AD18" s="2">
        <f t="shared" si="0"/>
        <v>0.75</v>
      </c>
      <c r="AE18" s="134">
        <f t="shared" si="1"/>
        <v>-1.4492753623188359E-2</v>
      </c>
    </row>
    <row r="19" spans="1:31" x14ac:dyDescent="0.25">
      <c r="W19" s="130">
        <v>42807</v>
      </c>
      <c r="X19" s="10">
        <v>44.75</v>
      </c>
      <c r="Y19" s="10">
        <v>45.2</v>
      </c>
      <c r="Z19" s="10">
        <v>44.45</v>
      </c>
      <c r="AA19" s="10">
        <v>44.85</v>
      </c>
      <c r="AB19" s="93">
        <v>526900</v>
      </c>
      <c r="AC19" s="10">
        <v>44.85</v>
      </c>
      <c r="AD19" s="2">
        <f t="shared" si="0"/>
        <v>0.75</v>
      </c>
      <c r="AE19" s="134">
        <f t="shared" si="1"/>
        <v>6.7340067340069254E-3</v>
      </c>
    </row>
    <row r="20" spans="1:31" x14ac:dyDescent="0.25">
      <c r="B20" s="162" t="s">
        <v>113</v>
      </c>
      <c r="C20" s="162" t="s">
        <v>145</v>
      </c>
      <c r="D20" s="163" t="s">
        <v>144</v>
      </c>
      <c r="E20" s="165" t="s">
        <v>146</v>
      </c>
      <c r="F20" s="166" t="s">
        <v>65</v>
      </c>
      <c r="G20" s="177" t="s">
        <v>150</v>
      </c>
      <c r="H20" s="166" t="s">
        <v>88</v>
      </c>
      <c r="I20" s="165" t="s">
        <v>153</v>
      </c>
      <c r="W20" s="130">
        <v>42804</v>
      </c>
      <c r="X20" s="10">
        <v>43.75</v>
      </c>
      <c r="Y20" s="10">
        <v>44.68</v>
      </c>
      <c r="Z20" s="10">
        <v>43.45</v>
      </c>
      <c r="AA20" s="10">
        <v>44.55</v>
      </c>
      <c r="AB20" s="93">
        <v>808700</v>
      </c>
      <c r="AC20" s="10">
        <v>44.55</v>
      </c>
      <c r="AD20" s="2">
        <f t="shared" si="0"/>
        <v>1.2299999999999969</v>
      </c>
      <c r="AE20" s="134">
        <f t="shared" si="1"/>
        <v>2.7681660899653959E-2</v>
      </c>
    </row>
    <row r="21" spans="1:31" x14ac:dyDescent="0.25">
      <c r="B21" s="164">
        <v>42304</v>
      </c>
      <c r="C21" s="10">
        <v>340</v>
      </c>
      <c r="D21" s="39">
        <v>29.77</v>
      </c>
      <c r="E21" s="39">
        <v>28.78</v>
      </c>
      <c r="F21" s="39">
        <v>-337</v>
      </c>
      <c r="G21" s="39">
        <f t="shared" ref="G21:G31" si="2">IF(C21=0, 0,D21*C21)</f>
        <v>10121.799999999999</v>
      </c>
      <c r="H21" s="180">
        <f t="shared" ref="H21:H31" si="3">IF(C21=0, D21, (E21-D21)/D21)</f>
        <v>-3.3254954652334516E-2</v>
      </c>
      <c r="I21" s="39"/>
      <c r="W21" s="130">
        <v>42803</v>
      </c>
      <c r="X21" s="10">
        <v>44.15</v>
      </c>
      <c r="Y21" s="10">
        <v>44.35</v>
      </c>
      <c r="Z21" s="10">
        <v>42.88</v>
      </c>
      <c r="AA21" s="10">
        <v>43.35</v>
      </c>
      <c r="AB21" s="93">
        <v>467400</v>
      </c>
      <c r="AC21" s="10">
        <v>43.35</v>
      </c>
      <c r="AD21" s="2">
        <f t="shared" si="0"/>
        <v>1.4699999999999989</v>
      </c>
      <c r="AE21" s="134">
        <f t="shared" si="1"/>
        <v>-2.3648648648648574E-2</v>
      </c>
    </row>
    <row r="22" spans="1:31" x14ac:dyDescent="0.25">
      <c r="B22" s="164">
        <v>42305</v>
      </c>
      <c r="C22" s="10">
        <v>170</v>
      </c>
      <c r="D22" s="39">
        <v>29.3</v>
      </c>
      <c r="E22" s="39">
        <v>30.6</v>
      </c>
      <c r="F22" s="39">
        <v>220.36000000000058</v>
      </c>
      <c r="G22" s="39">
        <f t="shared" si="2"/>
        <v>4981</v>
      </c>
      <c r="H22" s="180">
        <f t="shared" si="3"/>
        <v>4.4368600682593878E-2</v>
      </c>
      <c r="I22" s="39"/>
      <c r="W22" s="130">
        <v>42802</v>
      </c>
      <c r="X22" s="10">
        <v>44.85</v>
      </c>
      <c r="Y22" s="10">
        <v>45.2</v>
      </c>
      <c r="Z22" s="10">
        <v>44.3</v>
      </c>
      <c r="AA22" s="10">
        <v>44.4</v>
      </c>
      <c r="AB22" s="93">
        <v>612100</v>
      </c>
      <c r="AC22" s="10">
        <v>44.4</v>
      </c>
      <c r="AD22" s="2">
        <f t="shared" si="0"/>
        <v>0.90000000000000568</v>
      </c>
      <c r="AE22" s="134">
        <f t="shared" si="1"/>
        <v>-7.8212290502793769E-3</v>
      </c>
    </row>
    <row r="23" spans="1:31" x14ac:dyDescent="0.25">
      <c r="B23" s="164">
        <v>42311</v>
      </c>
      <c r="C23" s="10">
        <v>90</v>
      </c>
      <c r="D23" s="39">
        <v>26.46</v>
      </c>
      <c r="E23" s="39">
        <v>32.409999999999997</v>
      </c>
      <c r="F23" s="39">
        <v>535.21</v>
      </c>
      <c r="G23" s="39">
        <f t="shared" si="2"/>
        <v>2381.4</v>
      </c>
      <c r="H23" s="180">
        <f t="shared" si="3"/>
        <v>0.22486772486772469</v>
      </c>
      <c r="I23" s="39"/>
      <c r="W23" s="130">
        <v>42801</v>
      </c>
      <c r="X23" s="10">
        <v>45.3</v>
      </c>
      <c r="Y23" s="10">
        <v>45.5</v>
      </c>
      <c r="Z23" s="10">
        <v>44.5</v>
      </c>
      <c r="AA23" s="10">
        <v>44.75</v>
      </c>
      <c r="AB23" s="93">
        <v>784200</v>
      </c>
      <c r="AC23" s="10">
        <v>44.75</v>
      </c>
      <c r="AD23" s="2">
        <f t="shared" si="0"/>
        <v>1</v>
      </c>
      <c r="AE23" s="134">
        <f t="shared" si="1"/>
        <v>-1.7563117453347932E-2</v>
      </c>
    </row>
    <row r="24" spans="1:31" x14ac:dyDescent="0.25">
      <c r="B24" s="164">
        <v>42345</v>
      </c>
      <c r="C24" s="10">
        <v>90</v>
      </c>
      <c r="D24" s="39">
        <v>26.2</v>
      </c>
      <c r="E24" s="39">
        <v>30.88</v>
      </c>
      <c r="F24" s="39">
        <v>421</v>
      </c>
      <c r="G24" s="39">
        <f t="shared" si="2"/>
        <v>2358</v>
      </c>
      <c r="H24" s="180">
        <f t="shared" si="3"/>
        <v>0.17862595419847327</v>
      </c>
      <c r="I24" s="39"/>
      <c r="W24" s="130">
        <v>42800</v>
      </c>
      <c r="X24" s="10">
        <v>44.4</v>
      </c>
      <c r="Y24" s="10">
        <v>45.6</v>
      </c>
      <c r="Z24" s="10">
        <v>44.25</v>
      </c>
      <c r="AA24" s="10">
        <v>45.55</v>
      </c>
      <c r="AB24" s="93">
        <v>1312100</v>
      </c>
      <c r="AC24" s="10">
        <v>45.55</v>
      </c>
      <c r="AD24" s="2">
        <f t="shared" si="0"/>
        <v>1.3500000000000014</v>
      </c>
      <c r="AE24" s="134">
        <f t="shared" si="1"/>
        <v>1.2222222222222134E-2</v>
      </c>
    </row>
    <row r="25" spans="1:31" x14ac:dyDescent="0.25">
      <c r="B25" s="164">
        <v>42349</v>
      </c>
      <c r="C25" s="10">
        <v>90</v>
      </c>
      <c r="D25" s="39">
        <v>26.2</v>
      </c>
      <c r="E25" s="39">
        <v>28.79</v>
      </c>
      <c r="F25" s="39">
        <v>232.81</v>
      </c>
      <c r="G25" s="39">
        <f t="shared" si="2"/>
        <v>2358</v>
      </c>
      <c r="H25" s="180">
        <f t="shared" si="3"/>
        <v>9.8854961832061064E-2</v>
      </c>
      <c r="I25" s="39"/>
      <c r="W25" s="130">
        <v>42797</v>
      </c>
      <c r="X25" s="10">
        <v>44.75</v>
      </c>
      <c r="Y25" s="10">
        <v>45.33</v>
      </c>
      <c r="Z25" s="10">
        <v>44.55</v>
      </c>
      <c r="AA25" s="10">
        <v>45</v>
      </c>
      <c r="AB25" s="93">
        <v>940600</v>
      </c>
      <c r="AC25" s="10">
        <v>45</v>
      </c>
      <c r="AD25" s="2">
        <f t="shared" si="0"/>
        <v>0.78000000000000114</v>
      </c>
      <c r="AE25" s="134">
        <f t="shared" si="1"/>
        <v>1.2373453318335059E-2</v>
      </c>
    </row>
    <row r="26" spans="1:31" x14ac:dyDescent="0.25">
      <c r="B26" s="164">
        <v>42356</v>
      </c>
      <c r="C26" s="10">
        <v>130</v>
      </c>
      <c r="D26" s="39">
        <v>26.53</v>
      </c>
      <c r="E26" s="39">
        <v>27.26</v>
      </c>
      <c r="F26" s="39">
        <v>95.51</v>
      </c>
      <c r="G26" s="39">
        <f t="shared" si="2"/>
        <v>3448.9</v>
      </c>
      <c r="H26" s="180">
        <f t="shared" si="3"/>
        <v>2.7516019600452333E-2</v>
      </c>
      <c r="I26" s="39"/>
      <c r="W26" s="130">
        <v>42796</v>
      </c>
      <c r="X26" s="10">
        <v>45.55</v>
      </c>
      <c r="Y26" s="10">
        <v>45.75</v>
      </c>
      <c r="Z26" s="10">
        <v>44.35</v>
      </c>
      <c r="AA26" s="10">
        <v>44.45</v>
      </c>
      <c r="AB26" s="93">
        <v>656600</v>
      </c>
      <c r="AC26" s="10">
        <v>44.45</v>
      </c>
      <c r="AD26" s="2">
        <f t="shared" si="0"/>
        <v>1.3999999999999986</v>
      </c>
      <c r="AE26" s="134">
        <f t="shared" si="1"/>
        <v>-2.3076923076922995E-2</v>
      </c>
    </row>
    <row r="27" spans="1:31" x14ac:dyDescent="0.25">
      <c r="B27" s="164">
        <v>42369</v>
      </c>
      <c r="C27" s="10">
        <v>90</v>
      </c>
      <c r="D27" s="39">
        <v>25.46</v>
      </c>
      <c r="E27" s="39">
        <v>28.59</v>
      </c>
      <c r="F27" s="39">
        <v>281.58999999999997</v>
      </c>
      <c r="G27" s="39">
        <f t="shared" si="2"/>
        <v>2291.4</v>
      </c>
      <c r="H27" s="180">
        <f t="shared" si="3"/>
        <v>0.12293794186959933</v>
      </c>
      <c r="I27" s="39"/>
      <c r="W27" s="130">
        <v>42795</v>
      </c>
      <c r="X27" s="10">
        <v>45.15</v>
      </c>
      <c r="Y27" s="10">
        <v>46.05</v>
      </c>
      <c r="Z27" s="10">
        <v>45.1</v>
      </c>
      <c r="AA27" s="10">
        <v>45.5</v>
      </c>
      <c r="AB27" s="93">
        <v>1318300</v>
      </c>
      <c r="AC27" s="10">
        <v>45.5</v>
      </c>
      <c r="AD27" s="2">
        <f t="shared" si="0"/>
        <v>0.94999999999999574</v>
      </c>
      <c r="AE27" s="134">
        <f t="shared" si="1"/>
        <v>2.9411764705882248E-2</v>
      </c>
    </row>
    <row r="28" spans="1:31" x14ac:dyDescent="0.25">
      <c r="B28" s="164">
        <v>42376</v>
      </c>
      <c r="C28" s="10">
        <v>180</v>
      </c>
      <c r="D28" s="39">
        <v>26.11</v>
      </c>
      <c r="E28" s="39">
        <v>26.7</v>
      </c>
      <c r="F28" s="39">
        <v>106.99</v>
      </c>
      <c r="G28" s="39">
        <f t="shared" si="2"/>
        <v>4699.8</v>
      </c>
      <c r="H28" s="180">
        <f t="shared" si="3"/>
        <v>2.2596706242818839E-2</v>
      </c>
      <c r="I28" s="39"/>
      <c r="W28" s="130">
        <v>42794</v>
      </c>
      <c r="X28" s="10">
        <v>44.4</v>
      </c>
      <c r="Y28" s="10">
        <v>44.55</v>
      </c>
      <c r="Z28" s="10">
        <v>44.05</v>
      </c>
      <c r="AA28" s="10">
        <v>44.2</v>
      </c>
      <c r="AB28" s="93">
        <v>817300</v>
      </c>
      <c r="AC28" s="10">
        <v>44.2</v>
      </c>
      <c r="AD28" s="2">
        <f t="shared" si="0"/>
        <v>0.5</v>
      </c>
      <c r="AE28" s="134">
        <f t="shared" si="1"/>
        <v>-8.9686098654707669E-3</v>
      </c>
    </row>
    <row r="29" spans="1:31" x14ac:dyDescent="0.25">
      <c r="B29" s="164">
        <v>42403</v>
      </c>
      <c r="C29" s="10">
        <v>180</v>
      </c>
      <c r="D29" s="39">
        <v>26.11</v>
      </c>
      <c r="E29" s="39">
        <v>28.02</v>
      </c>
      <c r="F29" s="39">
        <v>344.59</v>
      </c>
      <c r="G29" s="39">
        <f t="shared" si="2"/>
        <v>4699.8</v>
      </c>
      <c r="H29" s="180">
        <f t="shared" si="3"/>
        <v>7.3152049023362697E-2</v>
      </c>
      <c r="I29" s="39"/>
      <c r="W29" s="130">
        <v>42793</v>
      </c>
      <c r="X29" s="10">
        <v>43.15</v>
      </c>
      <c r="Y29" s="10">
        <v>44.68</v>
      </c>
      <c r="Z29" s="10">
        <v>43</v>
      </c>
      <c r="AA29" s="10">
        <v>44.6</v>
      </c>
      <c r="AB29" s="93">
        <v>1005400</v>
      </c>
      <c r="AC29" s="10">
        <v>44.6</v>
      </c>
      <c r="AD29" s="2">
        <f t="shared" si="0"/>
        <v>1.6799999999999997</v>
      </c>
      <c r="AE29" s="134">
        <f t="shared" si="1"/>
        <v>3.600464576074347E-2</v>
      </c>
    </row>
    <row r="30" spans="1:31" x14ac:dyDescent="0.25">
      <c r="B30" s="164">
        <v>42404</v>
      </c>
      <c r="C30" s="10">
        <v>90</v>
      </c>
      <c r="D30" s="39">
        <v>23.66</v>
      </c>
      <c r="E30" s="39">
        <v>29.32</v>
      </c>
      <c r="F30" s="39">
        <v>509.24</v>
      </c>
      <c r="G30" s="39">
        <f t="shared" si="2"/>
        <v>2129.4</v>
      </c>
      <c r="H30" s="180">
        <f t="shared" si="3"/>
        <v>0.23922231614539308</v>
      </c>
      <c r="I30" s="39"/>
      <c r="W30" s="130">
        <v>42790</v>
      </c>
      <c r="X30" s="10">
        <v>42.5</v>
      </c>
      <c r="Y30" s="10">
        <v>43.15</v>
      </c>
      <c r="Z30" s="10">
        <v>42.15</v>
      </c>
      <c r="AA30" s="10">
        <v>43.05</v>
      </c>
      <c r="AB30" s="93">
        <v>736200</v>
      </c>
      <c r="AC30" s="10">
        <v>43.05</v>
      </c>
      <c r="AD30" s="2">
        <f t="shared" si="0"/>
        <v>1</v>
      </c>
      <c r="AE30" s="134">
        <f t="shared" si="1"/>
        <v>0</v>
      </c>
    </row>
    <row r="31" spans="1:31" x14ac:dyDescent="0.25">
      <c r="B31" s="164">
        <v>42412</v>
      </c>
      <c r="C31" s="10">
        <v>0</v>
      </c>
      <c r="D31" s="39">
        <v>0</v>
      </c>
      <c r="E31" s="39">
        <v>0</v>
      </c>
      <c r="F31" s="39">
        <v>529.88</v>
      </c>
      <c r="G31" s="39">
        <f t="shared" si="2"/>
        <v>0</v>
      </c>
      <c r="H31" s="180">
        <f t="shared" si="3"/>
        <v>0</v>
      </c>
      <c r="I31" s="39"/>
      <c r="W31" s="130">
        <v>42789</v>
      </c>
      <c r="X31" s="10">
        <v>44.35</v>
      </c>
      <c r="Y31" s="10">
        <v>44.45</v>
      </c>
      <c r="Z31" s="10">
        <v>42.85</v>
      </c>
      <c r="AA31" s="10">
        <v>43.05</v>
      </c>
      <c r="AB31" s="93">
        <v>944000</v>
      </c>
      <c r="AC31" s="10">
        <v>43.05</v>
      </c>
      <c r="AD31" s="2">
        <f t="shared" si="0"/>
        <v>1.6000000000000014</v>
      </c>
      <c r="AE31" s="134">
        <f t="shared" si="1"/>
        <v>-2.491506228765572E-2</v>
      </c>
    </row>
    <row r="32" spans="1:31" x14ac:dyDescent="0.25">
      <c r="B32" s="10"/>
      <c r="C32" s="10"/>
      <c r="D32" s="39"/>
      <c r="E32" s="39"/>
      <c r="F32" s="39"/>
      <c r="G32" s="39"/>
      <c r="H32" s="180"/>
      <c r="I32" s="39"/>
      <c r="W32" s="130">
        <v>42788</v>
      </c>
      <c r="X32" s="10">
        <v>44.35</v>
      </c>
      <c r="Y32" s="10">
        <v>44.45</v>
      </c>
      <c r="Z32" s="10">
        <v>44.03</v>
      </c>
      <c r="AA32" s="10">
        <v>44.15</v>
      </c>
      <c r="AB32" s="93">
        <v>852000</v>
      </c>
      <c r="AC32" s="10">
        <v>44.15</v>
      </c>
      <c r="AD32" s="2">
        <f t="shared" si="0"/>
        <v>0.42000000000000171</v>
      </c>
      <c r="AE32" s="134">
        <f t="shared" si="1"/>
        <v>-1.3407821229050265E-2</v>
      </c>
    </row>
    <row r="33" spans="1:31" x14ac:dyDescent="0.25">
      <c r="W33" s="130">
        <v>42787</v>
      </c>
      <c r="X33" s="10">
        <v>44.55</v>
      </c>
      <c r="Y33" s="10">
        <v>44.95</v>
      </c>
      <c r="Z33" s="10">
        <v>44.3</v>
      </c>
      <c r="AA33" s="10">
        <v>44.75</v>
      </c>
      <c r="AB33" s="93">
        <v>671300</v>
      </c>
      <c r="AC33" s="10">
        <v>44.75</v>
      </c>
      <c r="AD33" s="2">
        <f t="shared" si="0"/>
        <v>0.65000000000000568</v>
      </c>
      <c r="AE33" s="134">
        <f t="shared" si="1"/>
        <v>5.6179775280897903E-3</v>
      </c>
    </row>
    <row r="34" spans="1:31" x14ac:dyDescent="0.25">
      <c r="W34" s="130">
        <v>42783</v>
      </c>
      <c r="X34" s="10">
        <v>44</v>
      </c>
      <c r="Y34" s="10">
        <v>44.6</v>
      </c>
      <c r="Z34" s="10">
        <v>43.7</v>
      </c>
      <c r="AA34" s="10">
        <v>44.5</v>
      </c>
      <c r="AB34" s="93">
        <v>556100</v>
      </c>
      <c r="AC34" s="10">
        <v>44.5</v>
      </c>
      <c r="AD34" s="2">
        <f t="shared" si="0"/>
        <v>0.89999999999999858</v>
      </c>
      <c r="AE34" s="134" t="e">
        <f t="shared" si="1"/>
        <v>#DIV/0!</v>
      </c>
    </row>
    <row r="35" spans="1:31" x14ac:dyDescent="0.25">
      <c r="W35" s="130">
        <v>42783</v>
      </c>
      <c r="X35" s="10" t="s">
        <v>138</v>
      </c>
      <c r="Y35" s="10"/>
      <c r="Z35" s="10"/>
      <c r="AA35" s="10"/>
      <c r="AB35" s="93"/>
      <c r="AC35" s="10"/>
      <c r="AD35" s="2">
        <f t="shared" si="0"/>
        <v>0</v>
      </c>
      <c r="AE35" s="134">
        <f t="shared" si="1"/>
        <v>-1</v>
      </c>
    </row>
    <row r="36" spans="1:31" x14ac:dyDescent="0.25">
      <c r="L36" t="s">
        <v>203</v>
      </c>
      <c r="M36" s="2">
        <f>M47+K47-F47</f>
        <v>529.88000000000284</v>
      </c>
      <c r="W36" s="130">
        <v>42782</v>
      </c>
      <c r="X36" s="10">
        <v>44.85</v>
      </c>
      <c r="Y36" s="10">
        <v>45.05</v>
      </c>
      <c r="Z36" s="10">
        <v>44.1</v>
      </c>
      <c r="AA36" s="10">
        <v>44.55</v>
      </c>
      <c r="AB36" s="93">
        <v>751900</v>
      </c>
      <c r="AC36" s="10">
        <v>44.29</v>
      </c>
      <c r="AD36" s="2">
        <f t="shared" si="0"/>
        <v>0.94999999999999574</v>
      </c>
      <c r="AE36" s="134">
        <f t="shared" si="1"/>
        <v>-8.950548221078547E-3</v>
      </c>
    </row>
    <row r="37" spans="1:31" x14ac:dyDescent="0.25">
      <c r="A37" s="304" t="s">
        <v>1</v>
      </c>
      <c r="B37" s="304" t="s">
        <v>2</v>
      </c>
      <c r="C37" s="304" t="s">
        <v>4</v>
      </c>
      <c r="D37" s="304" t="s">
        <v>5</v>
      </c>
      <c r="E37" s="306" t="s">
        <v>94</v>
      </c>
      <c r="F37" s="304" t="s">
        <v>60</v>
      </c>
      <c r="G37" s="304" t="s">
        <v>3</v>
      </c>
      <c r="H37" s="304" t="s">
        <v>6</v>
      </c>
      <c r="I37" s="304" t="s">
        <v>7</v>
      </c>
      <c r="J37" s="304" t="s">
        <v>95</v>
      </c>
      <c r="K37" s="304" t="s">
        <v>61</v>
      </c>
      <c r="L37" s="304" t="s">
        <v>77</v>
      </c>
      <c r="M37" s="304" t="s">
        <v>38</v>
      </c>
      <c r="W37" s="130">
        <v>42781</v>
      </c>
      <c r="X37" s="10">
        <v>45.25</v>
      </c>
      <c r="Y37" s="10">
        <v>45.5</v>
      </c>
      <c r="Z37" s="10">
        <v>44.75</v>
      </c>
      <c r="AA37" s="10">
        <v>44.95</v>
      </c>
      <c r="AB37" s="93">
        <v>1094300</v>
      </c>
      <c r="AC37" s="10">
        <v>44.69</v>
      </c>
      <c r="AD37" s="2">
        <f t="shared" si="0"/>
        <v>0.75</v>
      </c>
      <c r="AE37" s="134">
        <f t="shared" si="1"/>
        <v>-8.8711465956976543E-3</v>
      </c>
    </row>
    <row r="38" spans="1:31" x14ac:dyDescent="0.25">
      <c r="A38" s="307" t="s">
        <v>39</v>
      </c>
      <c r="B38" s="297">
        <v>42179</v>
      </c>
      <c r="C38" s="298">
        <v>10</v>
      </c>
      <c r="D38" s="299">
        <v>37.799999999999997</v>
      </c>
      <c r="E38" s="299">
        <v>0</v>
      </c>
      <c r="F38" s="299">
        <f t="shared" ref="F38:F45" si="4">C38*D38</f>
        <v>378</v>
      </c>
      <c r="G38" s="297">
        <v>42310</v>
      </c>
      <c r="H38" s="302">
        <v>170</v>
      </c>
      <c r="I38" s="299">
        <v>30.28</v>
      </c>
      <c r="J38" s="299">
        <v>7.04</v>
      </c>
      <c r="K38" s="298">
        <f>H38*I38-J38</f>
        <v>5140.5600000000004</v>
      </c>
      <c r="L38" s="297">
        <v>42250</v>
      </c>
      <c r="M38" s="299">
        <v>20.8</v>
      </c>
      <c r="W38" s="130">
        <v>42780</v>
      </c>
      <c r="X38" s="10">
        <v>45.3</v>
      </c>
      <c r="Y38" s="10">
        <v>45.45</v>
      </c>
      <c r="Z38" s="10">
        <v>44.75</v>
      </c>
      <c r="AA38" s="10">
        <v>45.35</v>
      </c>
      <c r="AB38" s="93">
        <v>560700</v>
      </c>
      <c r="AC38" s="10">
        <v>45.09</v>
      </c>
      <c r="AD38" s="2">
        <f t="shared" si="0"/>
        <v>0.70000000000000284</v>
      </c>
      <c r="AE38" s="134">
        <f t="shared" si="1"/>
        <v>-4.1961130742048658E-3</v>
      </c>
    </row>
    <row r="39" spans="1:31" x14ac:dyDescent="0.25">
      <c r="A39" s="308" t="s">
        <v>71</v>
      </c>
      <c r="B39" s="297">
        <v>42194</v>
      </c>
      <c r="C39" s="298">
        <v>10</v>
      </c>
      <c r="D39" s="299">
        <v>35.5</v>
      </c>
      <c r="E39" s="299">
        <v>0</v>
      </c>
      <c r="F39" s="299">
        <f t="shared" si="4"/>
        <v>355</v>
      </c>
      <c r="G39" s="297">
        <v>42314</v>
      </c>
      <c r="H39" s="302">
        <v>80</v>
      </c>
      <c r="I39" s="299">
        <v>32.5</v>
      </c>
      <c r="J39" s="299">
        <v>0.05</v>
      </c>
      <c r="K39" s="298">
        <f>H39*I39-J39</f>
        <v>2599.9499999999998</v>
      </c>
      <c r="L39" s="297">
        <v>42345</v>
      </c>
      <c r="M39" s="299">
        <v>23.4</v>
      </c>
      <c r="W39" s="130">
        <v>42779</v>
      </c>
      <c r="X39" s="10">
        <v>45.35</v>
      </c>
      <c r="Y39" s="10">
        <v>46.45</v>
      </c>
      <c r="Z39" s="10">
        <v>45.25</v>
      </c>
      <c r="AA39" s="10">
        <v>45.55</v>
      </c>
      <c r="AB39" s="93">
        <v>1555800</v>
      </c>
      <c r="AC39" s="10">
        <v>45.28</v>
      </c>
      <c r="AD39" s="2">
        <f t="shared" si="0"/>
        <v>1.2000000000000028</v>
      </c>
      <c r="AE39" s="134">
        <f t="shared" si="1"/>
        <v>8.6879037647582535E-3</v>
      </c>
    </row>
    <row r="40" spans="1:31" x14ac:dyDescent="0.25">
      <c r="A40" s="298"/>
      <c r="B40" s="297">
        <v>42230</v>
      </c>
      <c r="C40" s="298">
        <v>20</v>
      </c>
      <c r="D40" s="299">
        <v>32.9</v>
      </c>
      <c r="E40" s="299">
        <v>0</v>
      </c>
      <c r="F40" s="299">
        <f t="shared" si="4"/>
        <v>658</v>
      </c>
      <c r="G40" s="297">
        <v>42010</v>
      </c>
      <c r="H40" s="302">
        <v>40</v>
      </c>
      <c r="I40" s="298">
        <v>28.92</v>
      </c>
      <c r="J40" s="299">
        <v>0.02</v>
      </c>
      <c r="K40" s="298">
        <f>H40*I40-J40</f>
        <v>1156.7800000000002</v>
      </c>
      <c r="L40" s="298"/>
      <c r="M40" s="298"/>
      <c r="W40" s="130">
        <v>42776</v>
      </c>
      <c r="X40" s="10">
        <v>45</v>
      </c>
      <c r="Y40" s="10">
        <v>45.85</v>
      </c>
      <c r="Z40" s="10">
        <v>44.55</v>
      </c>
      <c r="AA40" s="10">
        <v>45.15</v>
      </c>
      <c r="AB40" s="93">
        <v>1300200</v>
      </c>
      <c r="AC40" s="10">
        <v>44.89</v>
      </c>
      <c r="AD40" s="2">
        <f t="shared" si="0"/>
        <v>1.3000000000000043</v>
      </c>
      <c r="AE40" s="134">
        <f t="shared" si="1"/>
        <v>1.9300635785649334E-2</v>
      </c>
    </row>
    <row r="41" spans="1:31" x14ac:dyDescent="0.25">
      <c r="A41" s="298"/>
      <c r="B41" s="297">
        <v>42240</v>
      </c>
      <c r="C41" s="298">
        <v>40</v>
      </c>
      <c r="D41" s="299">
        <v>32.4</v>
      </c>
      <c r="E41" s="299">
        <v>0</v>
      </c>
      <c r="F41" s="299">
        <f t="shared" si="4"/>
        <v>1296</v>
      </c>
      <c r="G41" s="297">
        <v>42404</v>
      </c>
      <c r="H41" s="302">
        <v>90</v>
      </c>
      <c r="I41" s="299">
        <v>28.55</v>
      </c>
      <c r="J41" s="299">
        <v>0.05</v>
      </c>
      <c r="K41" s="298">
        <f>H41*I41-J41</f>
        <v>2569.4499999999998</v>
      </c>
      <c r="L41" s="298"/>
      <c r="M41" s="298"/>
      <c r="W41" s="130">
        <v>42775</v>
      </c>
      <c r="X41" s="10">
        <v>44.45</v>
      </c>
      <c r="Y41" s="10">
        <v>45.1</v>
      </c>
      <c r="Z41" s="10">
        <v>42.55</v>
      </c>
      <c r="AA41" s="10">
        <v>44.3</v>
      </c>
      <c r="AB41" s="93">
        <v>1467200</v>
      </c>
      <c r="AC41" s="10">
        <v>44.04</v>
      </c>
      <c r="AD41" s="2">
        <f t="shared" si="0"/>
        <v>2.5500000000000043</v>
      </c>
      <c r="AE41" s="134">
        <f t="shared" si="1"/>
        <v>6.8587105624142719E-3</v>
      </c>
    </row>
    <row r="42" spans="1:31" ht="20.25" thickBot="1" x14ac:dyDescent="0.35">
      <c r="A42" s="298"/>
      <c r="B42" s="297">
        <v>42275</v>
      </c>
      <c r="C42" s="298">
        <v>90</v>
      </c>
      <c r="D42" s="299">
        <v>29.2</v>
      </c>
      <c r="E42" s="299">
        <v>0</v>
      </c>
      <c r="F42" s="299">
        <f t="shared" si="4"/>
        <v>2628</v>
      </c>
      <c r="G42" s="297">
        <v>42412</v>
      </c>
      <c r="H42" s="302">
        <v>90</v>
      </c>
      <c r="I42" s="299">
        <v>29.55</v>
      </c>
      <c r="J42" s="299">
        <v>0.06</v>
      </c>
      <c r="K42" s="298">
        <f>H42*I42-J42</f>
        <v>2659.44</v>
      </c>
      <c r="L42" s="298"/>
      <c r="M42" s="298"/>
      <c r="O42" s="335" t="s">
        <v>78</v>
      </c>
      <c r="P42" s="335"/>
      <c r="T42" s="89" t="s">
        <v>112</v>
      </c>
      <c r="W42" s="130">
        <v>42774</v>
      </c>
      <c r="X42" s="10">
        <v>44.4</v>
      </c>
      <c r="Y42" s="10">
        <v>44.4</v>
      </c>
      <c r="Z42" s="10">
        <v>43.3</v>
      </c>
      <c r="AA42" s="10">
        <v>44</v>
      </c>
      <c r="AB42" s="93">
        <v>1220000</v>
      </c>
      <c r="AC42" s="10">
        <v>43.74</v>
      </c>
      <c r="AD42" s="2">
        <f t="shared" si="0"/>
        <v>1.1000000000000014</v>
      </c>
      <c r="AE42" s="134">
        <f t="shared" si="1"/>
        <v>-1.1301989150090397E-2</v>
      </c>
    </row>
    <row r="43" spans="1:31" ht="15.75" thickTop="1" x14ac:dyDescent="0.25">
      <c r="A43" s="298"/>
      <c r="B43" s="297">
        <v>42298</v>
      </c>
      <c r="C43" s="298">
        <v>170</v>
      </c>
      <c r="D43" s="299">
        <v>28.4</v>
      </c>
      <c r="E43" s="299">
        <v>0</v>
      </c>
      <c r="F43" s="299">
        <f t="shared" si="4"/>
        <v>4828</v>
      </c>
      <c r="G43" s="298"/>
      <c r="H43" s="298"/>
      <c r="I43" s="298"/>
      <c r="J43" s="298"/>
      <c r="K43" s="298"/>
      <c r="L43" s="298"/>
      <c r="M43" s="298"/>
      <c r="O43" s="81">
        <v>1.1000000000000001</v>
      </c>
      <c r="P43" s="81">
        <f>O43*$Q$4</f>
        <v>47.883000000000003</v>
      </c>
      <c r="T43" s="91" t="s">
        <v>97</v>
      </c>
      <c r="U43" s="350">
        <v>44.15</v>
      </c>
      <c r="W43" s="130">
        <v>42773</v>
      </c>
      <c r="X43" s="10">
        <v>45.05</v>
      </c>
      <c r="Y43" s="10">
        <v>45.2</v>
      </c>
      <c r="Z43" s="10">
        <v>44.2</v>
      </c>
      <c r="AA43" s="10">
        <v>44.5</v>
      </c>
      <c r="AB43" s="93">
        <v>690900</v>
      </c>
      <c r="AC43" s="10">
        <v>44.24</v>
      </c>
      <c r="AD43" s="2">
        <f t="shared" si="0"/>
        <v>1</v>
      </c>
      <c r="AE43" s="134">
        <f t="shared" si="1"/>
        <v>-5.6192402787142992E-3</v>
      </c>
    </row>
    <row r="44" spans="1:31" x14ac:dyDescent="0.25">
      <c r="A44" s="298"/>
      <c r="B44" s="297">
        <v>42360</v>
      </c>
      <c r="C44" s="298">
        <v>40</v>
      </c>
      <c r="D44" s="299">
        <v>27.25</v>
      </c>
      <c r="E44" s="299">
        <v>0</v>
      </c>
      <c r="F44" s="299">
        <f t="shared" si="4"/>
        <v>1090</v>
      </c>
      <c r="G44" s="298"/>
      <c r="H44" s="298"/>
      <c r="I44" s="298"/>
      <c r="J44" s="298"/>
      <c r="K44" s="298"/>
      <c r="L44" s="298"/>
      <c r="M44" s="298"/>
      <c r="O44" s="81">
        <v>1.0900000000000001</v>
      </c>
      <c r="P44" s="81">
        <f t="shared" ref="P44:P63" si="5">O44*$Q$4</f>
        <v>47.447700000000005</v>
      </c>
      <c r="T44" s="91" t="s">
        <v>98</v>
      </c>
      <c r="U44" s="350">
        <v>44.5</v>
      </c>
      <c r="W44" s="130">
        <v>42772</v>
      </c>
      <c r="X44" s="10">
        <v>44.6</v>
      </c>
      <c r="Y44" s="10">
        <v>44.9</v>
      </c>
      <c r="Z44" s="10">
        <v>44.47</v>
      </c>
      <c r="AA44" s="10">
        <v>44.75</v>
      </c>
      <c r="AB44" s="93">
        <v>1225000</v>
      </c>
      <c r="AC44" s="10">
        <v>44.49</v>
      </c>
      <c r="AD44" s="2">
        <f t="shared" si="0"/>
        <v>0.42999999999999972</v>
      </c>
      <c r="AE44" s="134">
        <f t="shared" si="1"/>
        <v>3.3829499323410062E-3</v>
      </c>
    </row>
    <row r="45" spans="1:31" x14ac:dyDescent="0.25">
      <c r="A45" s="298"/>
      <c r="B45" s="297">
        <v>42376</v>
      </c>
      <c r="C45" s="298">
        <v>90</v>
      </c>
      <c r="D45" s="299">
        <v>26.75</v>
      </c>
      <c r="E45" s="299">
        <v>0</v>
      </c>
      <c r="F45" s="299">
        <f t="shared" si="4"/>
        <v>2407.5</v>
      </c>
      <c r="G45" s="298"/>
      <c r="H45" s="298"/>
      <c r="I45" s="298"/>
      <c r="J45" s="298"/>
      <c r="K45" s="298"/>
      <c r="L45" s="298"/>
      <c r="M45" s="298"/>
      <c r="O45" s="81">
        <v>1.08</v>
      </c>
      <c r="P45" s="81">
        <f t="shared" si="5"/>
        <v>47.012400000000007</v>
      </c>
      <c r="T45" s="91" t="s">
        <v>99</v>
      </c>
      <c r="U45" s="350" t="s">
        <v>128</v>
      </c>
      <c r="W45" s="130">
        <v>42769</v>
      </c>
      <c r="X45" s="10">
        <v>44.3</v>
      </c>
      <c r="Y45" s="10">
        <v>44.8</v>
      </c>
      <c r="Z45" s="10">
        <v>44.1</v>
      </c>
      <c r="AA45" s="10">
        <v>44.6</v>
      </c>
      <c r="AB45" s="93">
        <v>790100</v>
      </c>
      <c r="AC45" s="10">
        <v>44.34</v>
      </c>
      <c r="AD45" s="2">
        <f t="shared" si="0"/>
        <v>0.69999999999999574</v>
      </c>
      <c r="AE45" s="134">
        <f t="shared" si="1"/>
        <v>9.1033227127903515E-3</v>
      </c>
    </row>
    <row r="46" spans="1:31" x14ac:dyDescent="0.25">
      <c r="A46" s="298"/>
      <c r="B46" s="298"/>
      <c r="C46" s="298"/>
      <c r="D46" s="298"/>
      <c r="E46" s="299"/>
      <c r="F46" s="298"/>
      <c r="G46" s="298"/>
      <c r="H46" s="298"/>
      <c r="I46" s="298"/>
      <c r="J46" s="298"/>
      <c r="K46" s="298"/>
      <c r="L46" s="298"/>
      <c r="M46" s="298"/>
      <c r="O46" s="81">
        <v>1.07</v>
      </c>
      <c r="P46" s="81">
        <f t="shared" si="5"/>
        <v>46.577100000000002</v>
      </c>
      <c r="Q46" s="2"/>
      <c r="T46" s="91" t="s">
        <v>100</v>
      </c>
      <c r="U46" s="350" t="s">
        <v>128</v>
      </c>
      <c r="W46" s="130">
        <v>42768</v>
      </c>
      <c r="X46" s="10">
        <v>44.6</v>
      </c>
      <c r="Y46" s="10">
        <v>44.85</v>
      </c>
      <c r="Z46" s="10">
        <v>43.9</v>
      </c>
      <c r="AA46" s="10">
        <v>44.2</v>
      </c>
      <c r="AB46" s="93">
        <v>535500</v>
      </c>
      <c r="AC46" s="10">
        <v>43.94</v>
      </c>
      <c r="AD46" s="2">
        <f t="shared" si="0"/>
        <v>0.95000000000000284</v>
      </c>
      <c r="AE46" s="134">
        <f t="shared" si="1"/>
        <v>-1.2362328613171547E-2</v>
      </c>
    </row>
    <row r="47" spans="1:31" x14ac:dyDescent="0.25">
      <c r="A47" s="21" t="s">
        <v>81</v>
      </c>
      <c r="B47" s="12"/>
      <c r="C47" s="12">
        <f>SUM(C38:C45)</f>
        <v>470</v>
      </c>
      <c r="D47" s="12"/>
      <c r="E47" s="13"/>
      <c r="F47" s="12">
        <f>SUM(F38:F45)</f>
        <v>13640.5</v>
      </c>
      <c r="G47" s="12"/>
      <c r="H47" s="75">
        <f>SUM(H38:H45)</f>
        <v>470</v>
      </c>
      <c r="I47" s="12"/>
      <c r="J47" s="12"/>
      <c r="K47" s="12">
        <f>SUM(K38:K46)</f>
        <v>14126.180000000002</v>
      </c>
      <c r="L47" s="12"/>
      <c r="M47" s="13">
        <f>SUM(M38:M40)</f>
        <v>44.2</v>
      </c>
      <c r="O47" s="81">
        <v>1.06</v>
      </c>
      <c r="P47" s="81">
        <f t="shared" si="5"/>
        <v>46.141800000000003</v>
      </c>
      <c r="Q47" s="2"/>
      <c r="T47" s="91" t="s">
        <v>101</v>
      </c>
      <c r="U47" s="350">
        <v>49.6</v>
      </c>
      <c r="W47" s="130">
        <v>42767</v>
      </c>
      <c r="X47" s="10">
        <v>44.65</v>
      </c>
      <c r="Y47" s="10">
        <v>44.9</v>
      </c>
      <c r="Z47" s="10">
        <v>44.1</v>
      </c>
      <c r="AA47" s="10">
        <v>44.75</v>
      </c>
      <c r="AB47" s="93">
        <v>578300</v>
      </c>
      <c r="AC47" s="10">
        <v>44.49</v>
      </c>
      <c r="AD47" s="2">
        <f t="shared" si="0"/>
        <v>0.79999999999999716</v>
      </c>
      <c r="AE47" s="134">
        <f t="shared" si="1"/>
        <v>7.9293158133213471E-3</v>
      </c>
    </row>
    <row r="48" spans="1:31" x14ac:dyDescent="0.25">
      <c r="A48" s="298"/>
      <c r="B48" s="298"/>
      <c r="C48" s="298"/>
      <c r="D48" s="298"/>
      <c r="E48" s="299"/>
      <c r="F48" s="298"/>
      <c r="G48" s="298"/>
      <c r="H48" s="298"/>
      <c r="I48" s="298"/>
      <c r="J48" s="298"/>
      <c r="K48" s="298"/>
      <c r="L48" s="298"/>
      <c r="M48" s="298"/>
      <c r="O48" s="81">
        <v>1.05</v>
      </c>
      <c r="P48" s="81">
        <f t="shared" si="5"/>
        <v>45.706500000000005</v>
      </c>
      <c r="Q48" s="2"/>
      <c r="T48" s="91" t="s">
        <v>102</v>
      </c>
      <c r="U48" s="350">
        <v>1.8201099999999999</v>
      </c>
      <c r="W48" s="130">
        <v>42766</v>
      </c>
      <c r="X48" s="10">
        <v>44.6</v>
      </c>
      <c r="Y48" s="10">
        <v>44.6</v>
      </c>
      <c r="Z48" s="10">
        <v>43.51</v>
      </c>
      <c r="AA48" s="10">
        <v>44.4</v>
      </c>
      <c r="AB48" s="93">
        <v>737100</v>
      </c>
      <c r="AC48" s="10">
        <v>44.14</v>
      </c>
      <c r="AD48" s="2">
        <f t="shared" si="0"/>
        <v>1.0900000000000034</v>
      </c>
      <c r="AE48" s="134">
        <f t="shared" si="1"/>
        <v>-7.8669363902000855E-3</v>
      </c>
    </row>
    <row r="49" spans="15:31" x14ac:dyDescent="0.25">
      <c r="O49" s="81">
        <v>1.04</v>
      </c>
      <c r="P49" s="81">
        <f t="shared" si="5"/>
        <v>45.2712</v>
      </c>
      <c r="Q49" s="2"/>
      <c r="T49" s="91" t="s">
        <v>121</v>
      </c>
      <c r="U49" s="350" t="s">
        <v>363</v>
      </c>
      <c r="W49" s="130">
        <v>42765</v>
      </c>
      <c r="X49" s="10">
        <v>45.1</v>
      </c>
      <c r="Y49" s="10">
        <v>45.15</v>
      </c>
      <c r="Z49" s="10">
        <v>44.55</v>
      </c>
      <c r="AA49" s="10">
        <v>44.75</v>
      </c>
      <c r="AB49" s="93">
        <v>1185000</v>
      </c>
      <c r="AC49" s="10">
        <v>44.49</v>
      </c>
      <c r="AD49" s="2">
        <f t="shared" si="0"/>
        <v>0.60000000000000142</v>
      </c>
      <c r="AE49" s="134">
        <f t="shared" si="1"/>
        <v>-1.4399645547186535E-2</v>
      </c>
    </row>
    <row r="50" spans="15:31" x14ac:dyDescent="0.25">
      <c r="O50" s="81">
        <v>1.03</v>
      </c>
      <c r="P50" s="81">
        <f t="shared" si="5"/>
        <v>44.835900000000002</v>
      </c>
      <c r="Q50" s="2"/>
      <c r="T50" s="91"/>
      <c r="U50" s="350"/>
      <c r="W50" s="130">
        <v>42762</v>
      </c>
      <c r="X50" s="10">
        <v>44.65</v>
      </c>
      <c r="Y50" s="10">
        <v>45.6</v>
      </c>
      <c r="Z50" s="10">
        <v>44.65</v>
      </c>
      <c r="AA50" s="10">
        <v>45.4</v>
      </c>
      <c r="AB50" s="93">
        <v>2029400</v>
      </c>
      <c r="AC50" s="10">
        <v>45.14</v>
      </c>
      <c r="AD50" s="2">
        <f t="shared" si="0"/>
        <v>0.95000000000000284</v>
      </c>
      <c r="AE50" s="134">
        <f t="shared" si="1"/>
        <v>3.3188372625314821E-2</v>
      </c>
    </row>
    <row r="51" spans="15:31" x14ac:dyDescent="0.25">
      <c r="O51" s="81">
        <v>1.02</v>
      </c>
      <c r="P51" s="81">
        <f t="shared" si="5"/>
        <v>44.400600000000004</v>
      </c>
      <c r="Q51" s="2"/>
      <c r="T51" s="91" t="s">
        <v>104</v>
      </c>
      <c r="U51" s="350" t="s">
        <v>638</v>
      </c>
      <c r="W51" s="130">
        <v>42761</v>
      </c>
      <c r="X51" s="10">
        <v>44.45</v>
      </c>
      <c r="Y51" s="10">
        <v>44.75</v>
      </c>
      <c r="Z51" s="10">
        <v>43.85</v>
      </c>
      <c r="AA51" s="10">
        <v>43.95</v>
      </c>
      <c r="AB51" s="93">
        <v>687800</v>
      </c>
      <c r="AC51" s="10">
        <v>43.69</v>
      </c>
      <c r="AD51" s="2">
        <f t="shared" si="0"/>
        <v>0.89999999999999858</v>
      </c>
      <c r="AE51" s="134">
        <f t="shared" si="1"/>
        <v>-1.6876687668766932E-2</v>
      </c>
    </row>
    <row r="52" spans="15:31" x14ac:dyDescent="0.25">
      <c r="O52" s="81">
        <v>1.01</v>
      </c>
      <c r="P52" s="81">
        <f t="shared" si="5"/>
        <v>43.965299999999999</v>
      </c>
      <c r="Q52" s="2"/>
      <c r="T52" s="91" t="s">
        <v>105</v>
      </c>
      <c r="U52" s="350" t="s">
        <v>438</v>
      </c>
      <c r="W52" s="130">
        <v>42760</v>
      </c>
      <c r="X52" s="10">
        <v>44.4</v>
      </c>
      <c r="Y52" s="10">
        <v>44.75</v>
      </c>
      <c r="Z52" s="10">
        <v>44.05</v>
      </c>
      <c r="AA52" s="10">
        <v>44.7</v>
      </c>
      <c r="AB52" s="93">
        <v>901000</v>
      </c>
      <c r="AC52" s="10">
        <v>44.44</v>
      </c>
      <c r="AD52" s="2">
        <f t="shared" si="0"/>
        <v>0.70000000000000284</v>
      </c>
      <c r="AE52" s="134">
        <f t="shared" si="1"/>
        <v>1.2531328320801949E-2</v>
      </c>
    </row>
    <row r="53" spans="15:31" x14ac:dyDescent="0.25">
      <c r="O53" s="81">
        <v>1</v>
      </c>
      <c r="P53" s="81">
        <f t="shared" si="5"/>
        <v>43.53</v>
      </c>
      <c r="Q53" s="2"/>
      <c r="T53" s="91" t="s">
        <v>106</v>
      </c>
      <c r="U53" s="351">
        <v>918194</v>
      </c>
      <c r="W53" s="130">
        <v>42759</v>
      </c>
      <c r="X53" s="10">
        <v>43</v>
      </c>
      <c r="Y53" s="10">
        <v>44.38</v>
      </c>
      <c r="Z53" s="10">
        <v>42.6</v>
      </c>
      <c r="AA53" s="10">
        <v>44.15</v>
      </c>
      <c r="AB53" s="93">
        <v>890800</v>
      </c>
      <c r="AC53" s="10">
        <v>43.89</v>
      </c>
      <c r="AD53" s="2">
        <f t="shared" si="0"/>
        <v>1.7800000000000011</v>
      </c>
      <c r="AE53" s="134">
        <f t="shared" si="1"/>
        <v>3.7588652482269502E-2</v>
      </c>
    </row>
    <row r="54" spans="15:31" x14ac:dyDescent="0.25">
      <c r="O54" s="81">
        <v>0.99</v>
      </c>
      <c r="P54" s="81">
        <f t="shared" si="5"/>
        <v>43.094700000000003</v>
      </c>
      <c r="Q54" s="2"/>
      <c r="T54" s="91" t="s">
        <v>109</v>
      </c>
      <c r="U54" s="351">
        <v>897958</v>
      </c>
      <c r="W54" s="130">
        <v>42758</v>
      </c>
      <c r="X54" s="10">
        <v>42.75</v>
      </c>
      <c r="Y54" s="10">
        <v>42.95</v>
      </c>
      <c r="Z54" s="10">
        <v>42.03</v>
      </c>
      <c r="AA54" s="10">
        <v>42.55</v>
      </c>
      <c r="AB54" s="93">
        <v>595300</v>
      </c>
      <c r="AC54" s="10">
        <v>42.3</v>
      </c>
      <c r="AD54" s="2">
        <f t="shared" si="0"/>
        <v>0.92000000000000171</v>
      </c>
      <c r="AE54" s="134">
        <f t="shared" si="1"/>
        <v>-9.3676814988291612E-3</v>
      </c>
    </row>
    <row r="55" spans="15:31" x14ac:dyDescent="0.25">
      <c r="O55" s="81">
        <v>0.98</v>
      </c>
      <c r="P55" s="81">
        <f t="shared" si="5"/>
        <v>42.659399999999998</v>
      </c>
      <c r="Q55" s="2"/>
      <c r="T55" s="91" t="s">
        <v>107</v>
      </c>
      <c r="U55" s="350" t="s">
        <v>639</v>
      </c>
      <c r="W55" s="130">
        <v>42755</v>
      </c>
      <c r="X55" s="10">
        <v>43.45</v>
      </c>
      <c r="Y55" s="10">
        <v>43.65</v>
      </c>
      <c r="Z55" s="10">
        <v>42.73</v>
      </c>
      <c r="AA55" s="10">
        <v>42.95</v>
      </c>
      <c r="AB55" s="93">
        <v>632900</v>
      </c>
      <c r="AC55" s="10">
        <v>42.7</v>
      </c>
      <c r="AD55" s="2">
        <f t="shared" si="0"/>
        <v>0.92000000000000171</v>
      </c>
      <c r="AE55" s="134">
        <f t="shared" si="1"/>
        <v>-9.2807424593966958E-3</v>
      </c>
    </row>
    <row r="56" spans="15:31" x14ac:dyDescent="0.25">
      <c r="O56" s="81">
        <v>0.97</v>
      </c>
      <c r="P56" s="81">
        <f t="shared" si="5"/>
        <v>42.2241</v>
      </c>
      <c r="Q56" s="2"/>
      <c r="T56" s="91" t="s">
        <v>110</v>
      </c>
      <c r="U56" s="350">
        <v>22.58</v>
      </c>
      <c r="W56" s="130">
        <v>42754</v>
      </c>
      <c r="X56" s="10">
        <v>44.25</v>
      </c>
      <c r="Y56" s="10">
        <v>44.3</v>
      </c>
      <c r="Z56" s="10">
        <v>43.2</v>
      </c>
      <c r="AA56" s="10">
        <v>43.35</v>
      </c>
      <c r="AB56" s="93">
        <v>690500</v>
      </c>
      <c r="AC56" s="10">
        <v>43.1</v>
      </c>
      <c r="AD56" s="2">
        <f t="shared" si="0"/>
        <v>1.0999999999999943</v>
      </c>
      <c r="AE56" s="134">
        <f t="shared" si="1"/>
        <v>-1.1241110346409733E-2</v>
      </c>
    </row>
    <row r="57" spans="15:31" x14ac:dyDescent="0.25">
      <c r="O57" s="81">
        <v>0.96</v>
      </c>
      <c r="P57" s="81">
        <f t="shared" si="5"/>
        <v>41.788800000000002</v>
      </c>
      <c r="Q57" s="2"/>
      <c r="T57" s="91" t="s">
        <v>111</v>
      </c>
      <c r="U57" s="350">
        <v>1.92</v>
      </c>
      <c r="W57" s="130">
        <v>42753</v>
      </c>
      <c r="X57" s="10">
        <v>43.8</v>
      </c>
      <c r="Y57" s="10">
        <v>44.05</v>
      </c>
      <c r="Z57" s="10">
        <v>43.65</v>
      </c>
      <c r="AA57" s="10">
        <v>43.85</v>
      </c>
      <c r="AB57" s="93">
        <v>1013000</v>
      </c>
      <c r="AC57" s="10">
        <v>43.59</v>
      </c>
      <c r="AD57" s="2">
        <f t="shared" si="0"/>
        <v>0.39999999999999858</v>
      </c>
      <c r="AE57" s="134">
        <f t="shared" si="1"/>
        <v>1.1483693155720509E-3</v>
      </c>
    </row>
    <row r="58" spans="15:31" x14ac:dyDescent="0.25">
      <c r="O58" s="81">
        <v>0.95</v>
      </c>
      <c r="P58" s="81">
        <f t="shared" si="5"/>
        <v>41.353499999999997</v>
      </c>
      <c r="Q58" s="2"/>
      <c r="T58" s="91" t="s">
        <v>108</v>
      </c>
      <c r="U58" s="350" t="s">
        <v>542</v>
      </c>
      <c r="W58" s="130">
        <v>42752</v>
      </c>
      <c r="X58" s="10">
        <v>43.85</v>
      </c>
      <c r="Y58" s="10">
        <v>44.2</v>
      </c>
      <c r="Z58" s="10">
        <v>43.55</v>
      </c>
      <c r="AA58" s="10">
        <v>43.8</v>
      </c>
      <c r="AB58" s="93">
        <v>1107200</v>
      </c>
      <c r="AC58" s="10">
        <v>43.54</v>
      </c>
      <c r="AD58" s="2">
        <f t="shared" si="0"/>
        <v>0.65000000000000568</v>
      </c>
      <c r="AE58" s="134">
        <f t="shared" si="1"/>
        <v>-9.1033227127901295E-3</v>
      </c>
    </row>
    <row r="59" spans="15:31" x14ac:dyDescent="0.25">
      <c r="O59" s="81">
        <v>0.94</v>
      </c>
      <c r="P59" s="81">
        <f t="shared" si="5"/>
        <v>40.918199999999999</v>
      </c>
      <c r="W59" s="130">
        <v>42748</v>
      </c>
      <c r="X59" s="10">
        <v>43.1</v>
      </c>
      <c r="Y59" s="10">
        <v>44.55</v>
      </c>
      <c r="Z59" s="10">
        <v>43.05</v>
      </c>
      <c r="AA59" s="10">
        <v>44.2</v>
      </c>
      <c r="AB59" s="93">
        <v>832700</v>
      </c>
      <c r="AC59" s="10">
        <v>43.94</v>
      </c>
      <c r="AD59" s="2">
        <f t="shared" si="0"/>
        <v>1.5</v>
      </c>
      <c r="AE59" s="134">
        <f t="shared" si="1"/>
        <v>3.1455399061032674E-2</v>
      </c>
    </row>
    <row r="60" spans="15:31" x14ac:dyDescent="0.25">
      <c r="O60" s="81">
        <v>0.93</v>
      </c>
      <c r="P60" s="81">
        <f t="shared" si="5"/>
        <v>40.482900000000001</v>
      </c>
      <c r="W60" s="130">
        <v>42747</v>
      </c>
      <c r="X60" s="10">
        <v>43.35</v>
      </c>
      <c r="Y60" s="10">
        <v>43.35</v>
      </c>
      <c r="Z60" s="10">
        <v>42.35</v>
      </c>
      <c r="AA60" s="10">
        <v>42.85</v>
      </c>
      <c r="AB60" s="93">
        <v>822500</v>
      </c>
      <c r="AC60" s="10">
        <v>42.6</v>
      </c>
      <c r="AD60" s="2">
        <f t="shared" si="0"/>
        <v>1</v>
      </c>
      <c r="AE60" s="134">
        <f t="shared" si="1"/>
        <v>-1.1600928074245953E-2</v>
      </c>
    </row>
    <row r="61" spans="15:31" x14ac:dyDescent="0.25">
      <c r="O61" s="81">
        <v>0.92</v>
      </c>
      <c r="P61" s="81">
        <f t="shared" si="5"/>
        <v>40.047600000000003</v>
      </c>
      <c r="W61" s="130">
        <v>42746</v>
      </c>
      <c r="X61" s="10">
        <v>43.1</v>
      </c>
      <c r="Y61" s="10">
        <v>43.43</v>
      </c>
      <c r="Z61" s="10">
        <v>42.85</v>
      </c>
      <c r="AA61" s="10">
        <v>43.35</v>
      </c>
      <c r="AB61" s="93">
        <v>1160500</v>
      </c>
      <c r="AC61" s="10">
        <v>43.1</v>
      </c>
      <c r="AD61" s="2">
        <f t="shared" si="0"/>
        <v>0.57999999999999829</v>
      </c>
      <c r="AE61" s="134">
        <f t="shared" si="1"/>
        <v>2.3752969121140222E-2</v>
      </c>
    </row>
    <row r="62" spans="15:31" x14ac:dyDescent="0.25">
      <c r="O62" s="81">
        <v>0.91</v>
      </c>
      <c r="P62" s="81">
        <f t="shared" si="5"/>
        <v>39.612300000000005</v>
      </c>
      <c r="W62" s="130">
        <v>42745</v>
      </c>
      <c r="X62" s="10">
        <v>41.8</v>
      </c>
      <c r="Y62" s="10">
        <v>42.45</v>
      </c>
      <c r="Z62" s="10">
        <v>41.2</v>
      </c>
      <c r="AA62" s="10">
        <v>42.35</v>
      </c>
      <c r="AB62" s="93">
        <v>1361300</v>
      </c>
      <c r="AC62" s="10">
        <v>42.1</v>
      </c>
      <c r="AD62" s="2">
        <f t="shared" si="0"/>
        <v>1.25</v>
      </c>
      <c r="AE62" s="134">
        <f t="shared" si="1"/>
        <v>1.7891682785299956E-2</v>
      </c>
    </row>
    <row r="63" spans="15:31" x14ac:dyDescent="0.25">
      <c r="O63" s="81">
        <v>0.9</v>
      </c>
      <c r="P63" s="81">
        <f t="shared" si="5"/>
        <v>39.177</v>
      </c>
      <c r="W63" s="130">
        <v>42744</v>
      </c>
      <c r="X63" s="10">
        <v>41.9</v>
      </c>
      <c r="Y63" s="10">
        <v>42.1</v>
      </c>
      <c r="Z63" s="10">
        <v>41.2</v>
      </c>
      <c r="AA63" s="10">
        <v>41.6</v>
      </c>
      <c r="AB63" s="93">
        <v>804900</v>
      </c>
      <c r="AC63" s="10">
        <v>41.36</v>
      </c>
      <c r="AD63" s="2">
        <f t="shared" si="0"/>
        <v>0.89999999999999858</v>
      </c>
      <c r="AE63" s="134">
        <f t="shared" si="1"/>
        <v>-1.2887828162291171E-2</v>
      </c>
    </row>
    <row r="64" spans="15:31" x14ac:dyDescent="0.25">
      <c r="W64" s="130">
        <v>42741</v>
      </c>
      <c r="X64" s="10">
        <v>41.5</v>
      </c>
      <c r="Y64" s="10">
        <v>42.35</v>
      </c>
      <c r="Z64" s="10">
        <v>41.3</v>
      </c>
      <c r="AA64" s="10">
        <v>42.15</v>
      </c>
      <c r="AB64" s="93">
        <v>1547500</v>
      </c>
      <c r="AC64" s="10">
        <v>41.9</v>
      </c>
      <c r="AD64" s="2">
        <f t="shared" si="0"/>
        <v>1.0500000000000043</v>
      </c>
      <c r="AE64" s="134">
        <f t="shared" si="1"/>
        <v>1.551139117789635E-2</v>
      </c>
    </row>
    <row r="65" spans="23:31" x14ac:dyDescent="0.25">
      <c r="W65" s="130">
        <v>42740</v>
      </c>
      <c r="X65" s="10">
        <v>41.55</v>
      </c>
      <c r="Y65" s="10">
        <v>42.15</v>
      </c>
      <c r="Z65" s="10">
        <v>40.950000000000003</v>
      </c>
      <c r="AA65" s="10">
        <v>41.5</v>
      </c>
      <c r="AB65" s="93">
        <v>719700</v>
      </c>
      <c r="AC65" s="10">
        <v>41.26</v>
      </c>
      <c r="AD65" s="2">
        <f t="shared" si="0"/>
        <v>1.1999999999999957</v>
      </c>
      <c r="AE65" s="134">
        <f t="shared" si="1"/>
        <v>1.2132977432661729E-3</v>
      </c>
    </row>
    <row r="66" spans="23:31" x14ac:dyDescent="0.25">
      <c r="W66" s="130">
        <v>42739</v>
      </c>
      <c r="X66" s="10">
        <v>41.05</v>
      </c>
      <c r="Y66" s="10">
        <v>41.75</v>
      </c>
      <c r="Z66" s="10">
        <v>40.9</v>
      </c>
      <c r="AA66" s="10">
        <v>41.45</v>
      </c>
      <c r="AB66" s="93">
        <v>1304000</v>
      </c>
      <c r="AC66" s="10">
        <v>41.21</v>
      </c>
      <c r="AD66" s="2">
        <f t="shared" si="0"/>
        <v>0.85000000000000142</v>
      </c>
      <c r="AE66" s="134">
        <f t="shared" si="1"/>
        <v>1.2281994595922274E-2</v>
      </c>
    </row>
    <row r="67" spans="23:31" x14ac:dyDescent="0.25">
      <c r="W67" s="130">
        <v>42738</v>
      </c>
      <c r="X67" s="10">
        <v>40.25</v>
      </c>
      <c r="Y67" s="10">
        <v>41.15</v>
      </c>
      <c r="Z67" s="10">
        <v>40.049999999999997</v>
      </c>
      <c r="AA67" s="10">
        <v>40.950000000000003</v>
      </c>
      <c r="AB67" s="93">
        <v>1053800</v>
      </c>
      <c r="AC67" s="10">
        <v>40.71</v>
      </c>
      <c r="AD67" s="2">
        <f>Y67-Z67</f>
        <v>1.1000000000000014</v>
      </c>
      <c r="AE67" s="134">
        <f>AC67/AC68-1</f>
        <v>3.1416265518115161E-2</v>
      </c>
    </row>
    <row r="68" spans="23:31" x14ac:dyDescent="0.25">
      <c r="W68" s="130">
        <v>42734</v>
      </c>
      <c r="X68" s="10">
        <v>40</v>
      </c>
      <c r="Y68" s="10">
        <v>40</v>
      </c>
      <c r="Z68" s="10">
        <v>39.4</v>
      </c>
      <c r="AA68" s="10">
        <v>39.700000000000003</v>
      </c>
      <c r="AB68" s="93">
        <v>412900</v>
      </c>
      <c r="AC68" s="10">
        <v>39.47</v>
      </c>
      <c r="AD68" s="2">
        <f>Y68-Z68</f>
        <v>0.60000000000000142</v>
      </c>
      <c r="AE68" s="134" t="e">
        <f>AC68/AC69-1</f>
        <v>#DIV/0!</v>
      </c>
    </row>
    <row r="69" spans="23:31" x14ac:dyDescent="0.25">
      <c r="W69" s="130" t="s">
        <v>120</v>
      </c>
      <c r="X69" s="10"/>
      <c r="Y69" s="10"/>
      <c r="Z69" s="10"/>
      <c r="AA69" s="10"/>
      <c r="AB69" s="93"/>
      <c r="AC69" s="10"/>
      <c r="AD69" s="2">
        <f>Y69-Z69</f>
        <v>0</v>
      </c>
      <c r="AE69" s="134"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25" priority="7">
      <formula>F21&gt;0</formula>
    </cfRule>
    <cfRule type="expression" dxfId="24" priority="8">
      <formula>F21&lt;0</formula>
    </cfRule>
  </conditionalFormatting>
  <conditionalFormatting sqref="H21:H32">
    <cfRule type="expression" dxfId="23" priority="5">
      <formula>H21&gt;0</formula>
    </cfRule>
    <cfRule type="expression" dxfId="22" priority="6">
      <formula>H21&lt;0</formula>
    </cfRule>
  </conditionalFormatting>
  <conditionalFormatting sqref="Q8">
    <cfRule type="expression" dxfId="21" priority="1">
      <formula>Q8&gt;0</formula>
    </cfRule>
    <cfRule type="expression" dxfId="20" priority="2">
      <formula>Q8&lt;0</formula>
    </cfRule>
  </conditionalFormatting>
  <conditionalFormatting sqref="Q7">
    <cfRule type="expression" dxfId="19" priority="3">
      <formula>Q7&gt;0</formula>
    </cfRule>
    <cfRule type="expression" dxfId="18"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91" t="s">
        <v>113</v>
      </c>
      <c r="X1" s="91" t="s">
        <v>114</v>
      </c>
      <c r="Y1" s="91" t="s">
        <v>115</v>
      </c>
      <c r="Z1" s="91" t="s">
        <v>116</v>
      </c>
      <c r="AA1" s="91" t="s">
        <v>117</v>
      </c>
      <c r="AB1" s="91" t="s">
        <v>118</v>
      </c>
      <c r="AC1" s="91" t="s">
        <v>119</v>
      </c>
      <c r="AD1" s="11" t="s">
        <v>125</v>
      </c>
      <c r="AE1" s="11" t="s">
        <v>127</v>
      </c>
    </row>
    <row r="2" spans="1:31" x14ac:dyDescent="0.25">
      <c r="A2" s="6" t="s">
        <v>54</v>
      </c>
      <c r="B2" s="72"/>
      <c r="C2" s="4"/>
      <c r="D2" s="3"/>
      <c r="E2" s="3"/>
      <c r="F2" s="3"/>
      <c r="G2" s="72"/>
      <c r="H2" s="4"/>
      <c r="I2" s="4"/>
      <c r="J2" s="3"/>
      <c r="K2" s="4"/>
      <c r="L2" s="72"/>
      <c r="M2" s="3"/>
      <c r="O2" s="11" t="s">
        <v>57</v>
      </c>
      <c r="Q2">
        <f>C18-H18</f>
        <v>0</v>
      </c>
      <c r="T2" s="1">
        <v>42297</v>
      </c>
      <c r="U2" t="s">
        <v>140</v>
      </c>
      <c r="W2" s="130">
        <v>42830</v>
      </c>
      <c r="X2" s="10">
        <v>113.14</v>
      </c>
      <c r="Y2" s="10">
        <v>114.38</v>
      </c>
      <c r="Z2" s="10">
        <v>112.45</v>
      </c>
      <c r="AA2" s="10">
        <v>112.5</v>
      </c>
      <c r="AB2" s="93">
        <v>2984600</v>
      </c>
      <c r="AC2" s="10">
        <v>112.5</v>
      </c>
      <c r="AD2" s="2">
        <f>Y2-Z2</f>
        <v>1.9299999999999926</v>
      </c>
      <c r="AE2" s="134">
        <f>AC2/AC3-1</f>
        <v>-4.336666961678004E-3</v>
      </c>
    </row>
    <row r="3" spans="1:31" x14ac:dyDescent="0.25">
      <c r="A3" s="22" t="s">
        <v>71</v>
      </c>
      <c r="B3" s="72"/>
      <c r="C3" s="4"/>
      <c r="D3" s="3"/>
      <c r="E3" s="3"/>
      <c r="F3" s="3"/>
      <c r="G3" s="72"/>
      <c r="H3" s="161"/>
      <c r="I3" s="3"/>
      <c r="J3" s="3"/>
      <c r="K3" s="4"/>
      <c r="L3" s="4"/>
      <c r="M3" s="4"/>
      <c r="O3" s="11" t="s">
        <v>58</v>
      </c>
      <c r="Q3" s="2">
        <f>IF(Q2=0, Q4, (F18-K18-M18)/Q2)</f>
        <v>119.12</v>
      </c>
      <c r="W3" s="130">
        <v>42829</v>
      </c>
      <c r="X3" s="10">
        <v>112.27</v>
      </c>
      <c r="Y3" s="10">
        <v>113.25</v>
      </c>
      <c r="Z3" s="10">
        <v>112.24</v>
      </c>
      <c r="AA3" s="10">
        <v>112.99</v>
      </c>
      <c r="AB3" s="93">
        <v>2963800</v>
      </c>
      <c r="AC3" s="10">
        <v>112.99</v>
      </c>
      <c r="AD3" s="2">
        <f t="shared" ref="AD3:AD66" si="0">Y3-Z3</f>
        <v>1.0100000000000051</v>
      </c>
      <c r="AE3" s="134">
        <f t="shared" ref="AE3:AE66" si="1">AC3/AC4-1</f>
        <v>9.4702045921557509E-3</v>
      </c>
    </row>
    <row r="4" spans="1:31" x14ac:dyDescent="0.25">
      <c r="B4" s="72"/>
      <c r="C4" s="4"/>
      <c r="D4" s="3"/>
      <c r="E4" s="3"/>
      <c r="F4" s="3"/>
      <c r="G4" s="4"/>
      <c r="H4" s="4"/>
      <c r="I4" s="4"/>
      <c r="J4" s="4"/>
      <c r="K4" s="4"/>
      <c r="L4" s="4"/>
      <c r="M4" s="4"/>
      <c r="O4" s="11" t="s">
        <v>66</v>
      </c>
      <c r="Q4" s="54">
        <v>119.12</v>
      </c>
      <c r="R4" s="405">
        <v>9.7999999999999997E-3</v>
      </c>
      <c r="W4" s="130">
        <v>42828</v>
      </c>
      <c r="X4" s="10">
        <v>112.28</v>
      </c>
      <c r="Y4" s="10">
        <v>112.48</v>
      </c>
      <c r="Z4" s="10">
        <v>111.24</v>
      </c>
      <c r="AA4" s="10">
        <v>111.93</v>
      </c>
      <c r="AB4" s="93">
        <v>2123000</v>
      </c>
      <c r="AC4" s="10">
        <v>111.93</v>
      </c>
      <c r="AD4" s="2">
        <f t="shared" si="0"/>
        <v>1.2400000000000091</v>
      </c>
      <c r="AE4" s="134">
        <f t="shared" si="1"/>
        <v>-2.4953212726137597E-3</v>
      </c>
    </row>
    <row r="5" spans="1:31" x14ac:dyDescent="0.25">
      <c r="B5" s="4"/>
      <c r="C5" s="4"/>
      <c r="D5" s="3"/>
      <c r="E5" s="3"/>
      <c r="F5" s="3"/>
      <c r="G5" s="4"/>
      <c r="H5" s="4"/>
      <c r="I5" s="4"/>
      <c r="J5" s="4"/>
      <c r="K5" s="4"/>
      <c r="L5" s="4"/>
      <c r="M5" s="4"/>
      <c r="O5" s="11" t="s">
        <v>67</v>
      </c>
      <c r="Q5" s="3">
        <f>Q4*Q2</f>
        <v>0</v>
      </c>
      <c r="W5" s="130">
        <v>42825</v>
      </c>
      <c r="X5" s="10">
        <v>112.5</v>
      </c>
      <c r="Y5" s="10">
        <v>112.63</v>
      </c>
      <c r="Z5" s="10">
        <v>111.85</v>
      </c>
      <c r="AA5" s="10">
        <v>112.21</v>
      </c>
      <c r="AB5" s="93">
        <v>2476300</v>
      </c>
      <c r="AC5" s="10">
        <v>112.21</v>
      </c>
      <c r="AD5" s="2">
        <f t="shared" si="0"/>
        <v>0.78000000000000114</v>
      </c>
      <c r="AE5" s="134">
        <f t="shared" si="1"/>
        <v>-2.1342819030680804E-3</v>
      </c>
    </row>
    <row r="6" spans="1:31" x14ac:dyDescent="0.25">
      <c r="O6" s="11" t="s">
        <v>64</v>
      </c>
      <c r="Q6" s="2">
        <f>Q3*Q2</f>
        <v>0</v>
      </c>
      <c r="W6" s="130">
        <v>42824</v>
      </c>
      <c r="X6" s="10">
        <v>111.96</v>
      </c>
      <c r="Y6" s="10">
        <v>112.66</v>
      </c>
      <c r="Z6" s="10">
        <v>111.85</v>
      </c>
      <c r="AA6" s="10">
        <v>112.45</v>
      </c>
      <c r="AB6" s="93">
        <v>1478900</v>
      </c>
      <c r="AC6" s="10">
        <v>112.45</v>
      </c>
      <c r="AD6" s="2">
        <f t="shared" si="0"/>
        <v>0.81000000000000227</v>
      </c>
      <c r="AE6" s="134">
        <f t="shared" si="1"/>
        <v>3.4802784222738303E-3</v>
      </c>
    </row>
    <row r="7" spans="1:31" x14ac:dyDescent="0.25">
      <c r="O7" s="11" t="s">
        <v>177</v>
      </c>
      <c r="Q7" s="2">
        <f>Q10+Q8</f>
        <v>114.84999999999991</v>
      </c>
      <c r="R7">
        <v>0</v>
      </c>
      <c r="W7" s="130">
        <v>42823</v>
      </c>
      <c r="X7" s="10">
        <v>112.55</v>
      </c>
      <c r="Y7" s="10">
        <v>112.55</v>
      </c>
      <c r="Z7" s="10">
        <v>111.91</v>
      </c>
      <c r="AA7" s="10">
        <v>112.06</v>
      </c>
      <c r="AB7" s="93">
        <v>1983100</v>
      </c>
      <c r="AC7" s="10">
        <v>112.06</v>
      </c>
      <c r="AD7" s="2">
        <f t="shared" si="0"/>
        <v>0.64000000000000057</v>
      </c>
      <c r="AE7" s="134">
        <f t="shared" si="1"/>
        <v>-6.0315770800070112E-3</v>
      </c>
    </row>
    <row r="8" spans="1:31" x14ac:dyDescent="0.25">
      <c r="O8" s="11" t="s">
        <v>179</v>
      </c>
      <c r="P8" s="33"/>
      <c r="Q8" s="2">
        <f>K18+M18-F18+Q2*Q4</f>
        <v>0</v>
      </c>
      <c r="W8" s="130">
        <v>42822</v>
      </c>
      <c r="X8" s="10">
        <v>111.41</v>
      </c>
      <c r="Y8" s="10">
        <v>113.15</v>
      </c>
      <c r="Z8" s="10">
        <v>111.32</v>
      </c>
      <c r="AA8" s="10">
        <v>112.74</v>
      </c>
      <c r="AB8" s="93">
        <v>2995700</v>
      </c>
      <c r="AC8" s="10">
        <v>112.74</v>
      </c>
      <c r="AD8" s="2">
        <f t="shared" si="0"/>
        <v>1.8300000000000125</v>
      </c>
      <c r="AE8" s="134">
        <f t="shared" si="1"/>
        <v>8.1373513368505623E-3</v>
      </c>
    </row>
    <row r="9" spans="1:31" x14ac:dyDescent="0.25">
      <c r="O9" s="11" t="s">
        <v>204</v>
      </c>
      <c r="Q9" s="134">
        <f>IF(Q2=0, 0, Q8/Q6)</f>
        <v>0</v>
      </c>
      <c r="W9" s="130">
        <v>42821</v>
      </c>
      <c r="X9" s="10">
        <v>111.08</v>
      </c>
      <c r="Y9" s="10">
        <v>111.93</v>
      </c>
      <c r="Z9" s="10">
        <v>110.45</v>
      </c>
      <c r="AA9" s="10">
        <v>111.83</v>
      </c>
      <c r="AB9" s="93">
        <v>2485400</v>
      </c>
      <c r="AC9" s="10">
        <v>111.83</v>
      </c>
      <c r="AD9" s="2">
        <f t="shared" si="0"/>
        <v>1.480000000000004</v>
      </c>
      <c r="AE9" s="134">
        <f t="shared" si="1"/>
        <v>2.6833631484790565E-4</v>
      </c>
    </row>
    <row r="10" spans="1:31" x14ac:dyDescent="0.25">
      <c r="O10" s="11" t="s">
        <v>203</v>
      </c>
      <c r="P10" s="33"/>
      <c r="Q10" s="2">
        <f>M27</f>
        <v>114.84999999999991</v>
      </c>
      <c r="W10" s="130">
        <v>42818</v>
      </c>
      <c r="X10" s="10">
        <v>111.98</v>
      </c>
      <c r="Y10" s="10">
        <v>112.28</v>
      </c>
      <c r="Z10" s="10">
        <v>111.33</v>
      </c>
      <c r="AA10" s="10">
        <v>111.8</v>
      </c>
      <c r="AB10" s="93">
        <v>2226500</v>
      </c>
      <c r="AC10" s="10">
        <v>111.8</v>
      </c>
      <c r="AD10" s="2">
        <f t="shared" si="0"/>
        <v>0.95000000000000284</v>
      </c>
      <c r="AE10" s="134">
        <f t="shared" si="1"/>
        <v>-3.5765379113028573E-4</v>
      </c>
    </row>
    <row r="11" spans="1:31" x14ac:dyDescent="0.25">
      <c r="O11" s="11" t="s">
        <v>175</v>
      </c>
      <c r="P11" s="33"/>
      <c r="Q11" s="134">
        <f>IF(U58="N/A (N/A)", 0, VALUE(TRIM(CLEAN(MID(U58, FIND("(", U58)+1, 5)))))</f>
        <v>2.35E-2</v>
      </c>
      <c r="W11" s="130">
        <v>42817</v>
      </c>
      <c r="X11" s="10">
        <v>111.93</v>
      </c>
      <c r="Y11" s="10">
        <v>112.45</v>
      </c>
      <c r="Z11" s="10">
        <v>111.56</v>
      </c>
      <c r="AA11" s="10">
        <v>111.84</v>
      </c>
      <c r="AB11" s="93">
        <v>2287400</v>
      </c>
      <c r="AC11" s="10">
        <v>111.84</v>
      </c>
      <c r="AD11" s="2">
        <f t="shared" si="0"/>
        <v>0.89000000000000057</v>
      </c>
      <c r="AE11" s="134">
        <f t="shared" si="1"/>
        <v>-8.0407397480575238E-4</v>
      </c>
    </row>
    <row r="12" spans="1:31" x14ac:dyDescent="0.25">
      <c r="W12" s="130">
        <v>42816</v>
      </c>
      <c r="X12" s="10">
        <v>112.37</v>
      </c>
      <c r="Y12" s="10">
        <v>112.42</v>
      </c>
      <c r="Z12" s="10">
        <v>111.42</v>
      </c>
      <c r="AA12" s="10">
        <v>111.93</v>
      </c>
      <c r="AB12" s="93">
        <v>2122900</v>
      </c>
      <c r="AC12" s="10">
        <v>111.93</v>
      </c>
      <c r="AD12" s="2">
        <f t="shared" si="0"/>
        <v>1</v>
      </c>
      <c r="AE12" s="134">
        <f t="shared" si="1"/>
        <v>-2.0506419400855291E-3</v>
      </c>
    </row>
    <row r="13" spans="1:31" x14ac:dyDescent="0.25">
      <c r="W13" s="130">
        <v>42815</v>
      </c>
      <c r="X13" s="10">
        <v>113.66</v>
      </c>
      <c r="Y13" s="10">
        <v>114.15</v>
      </c>
      <c r="Z13" s="10">
        <v>111.98</v>
      </c>
      <c r="AA13" s="10">
        <v>112.16</v>
      </c>
      <c r="AB13" s="93">
        <v>3550400</v>
      </c>
      <c r="AC13" s="10">
        <v>112.16</v>
      </c>
      <c r="AD13" s="2">
        <f t="shared" si="0"/>
        <v>2.1700000000000017</v>
      </c>
      <c r="AE13" s="134">
        <f t="shared" si="1"/>
        <v>-1.1893225266496388E-2</v>
      </c>
    </row>
    <row r="14" spans="1:31" x14ac:dyDescent="0.25">
      <c r="W14" s="130">
        <v>42814</v>
      </c>
      <c r="X14" s="10">
        <v>113.4</v>
      </c>
      <c r="Y14" s="10">
        <v>114.08</v>
      </c>
      <c r="Z14" s="10">
        <v>112.83</v>
      </c>
      <c r="AA14" s="10">
        <v>113.51</v>
      </c>
      <c r="AB14" s="93">
        <v>2958700</v>
      </c>
      <c r="AC14" s="10">
        <v>113.51</v>
      </c>
      <c r="AD14" s="2">
        <f t="shared" si="0"/>
        <v>1.25</v>
      </c>
      <c r="AE14" s="134">
        <f t="shared" si="1"/>
        <v>5.2886734244173006E-4</v>
      </c>
    </row>
    <row r="15" spans="1:31" x14ac:dyDescent="0.25">
      <c r="W15" s="130">
        <v>42811</v>
      </c>
      <c r="X15" s="10">
        <v>112.68</v>
      </c>
      <c r="Y15" s="10">
        <v>113.95</v>
      </c>
      <c r="Z15" s="10">
        <v>112.27</v>
      </c>
      <c r="AA15" s="10">
        <v>113.45</v>
      </c>
      <c r="AB15" s="93">
        <v>7398500</v>
      </c>
      <c r="AC15" s="10">
        <v>113.45</v>
      </c>
      <c r="AD15" s="2">
        <f t="shared" si="0"/>
        <v>1.6800000000000068</v>
      </c>
      <c r="AE15" s="134">
        <f t="shared" si="1"/>
        <v>9.8807192451486614E-3</v>
      </c>
    </row>
    <row r="16" spans="1:31" x14ac:dyDescent="0.25">
      <c r="W16" s="130">
        <v>42810</v>
      </c>
      <c r="X16" s="10">
        <v>112.77</v>
      </c>
      <c r="Y16" s="10">
        <v>113.22</v>
      </c>
      <c r="Z16" s="10">
        <v>111.95</v>
      </c>
      <c r="AA16" s="10">
        <v>112.34</v>
      </c>
      <c r="AB16" s="93">
        <v>2896300</v>
      </c>
      <c r="AC16" s="10">
        <v>112.34</v>
      </c>
      <c r="AD16" s="2">
        <f t="shared" si="0"/>
        <v>1.269999999999996</v>
      </c>
      <c r="AE16" s="134">
        <f t="shared" si="1"/>
        <v>-6.5440396179695659E-3</v>
      </c>
    </row>
    <row r="17" spans="1:31" x14ac:dyDescent="0.25">
      <c r="W17" s="130">
        <v>42809</v>
      </c>
      <c r="X17" s="10">
        <v>112.12</v>
      </c>
      <c r="Y17" s="10">
        <v>113.3</v>
      </c>
      <c r="Z17" s="10">
        <v>111.87</v>
      </c>
      <c r="AA17" s="10">
        <v>113.08</v>
      </c>
      <c r="AB17" s="93">
        <v>3102000</v>
      </c>
      <c r="AC17" s="10">
        <v>113.08</v>
      </c>
      <c r="AD17" s="2">
        <f t="shared" si="0"/>
        <v>1.4299999999999926</v>
      </c>
      <c r="AE17" s="134">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30">
        <v>42808</v>
      </c>
      <c r="X18" s="10">
        <v>111.88</v>
      </c>
      <c r="Y18" s="10">
        <v>112.17</v>
      </c>
      <c r="Z18" s="10">
        <v>111.55</v>
      </c>
      <c r="AA18" s="10">
        <v>111.83</v>
      </c>
      <c r="AB18" s="93">
        <v>2194800</v>
      </c>
      <c r="AC18" s="10">
        <v>111.83</v>
      </c>
      <c r="AD18" s="2">
        <f t="shared" si="0"/>
        <v>0.62000000000000455</v>
      </c>
      <c r="AE18" s="134">
        <f t="shared" si="1"/>
        <v>-4.2738847831894633E-3</v>
      </c>
    </row>
    <row r="19" spans="1:31" x14ac:dyDescent="0.25">
      <c r="W19" s="130">
        <v>42807</v>
      </c>
      <c r="X19" s="10">
        <v>112.56</v>
      </c>
      <c r="Y19" s="10">
        <v>112.73</v>
      </c>
      <c r="Z19" s="10">
        <v>111.96</v>
      </c>
      <c r="AA19" s="10">
        <v>112.31</v>
      </c>
      <c r="AB19" s="93">
        <v>2643000</v>
      </c>
      <c r="AC19" s="10">
        <v>112.31</v>
      </c>
      <c r="AD19" s="2">
        <f t="shared" si="0"/>
        <v>0.77000000000001023</v>
      </c>
      <c r="AE19" s="134">
        <f t="shared" si="1"/>
        <v>1.5159621901195131E-3</v>
      </c>
    </row>
    <row r="20" spans="1:31" x14ac:dyDescent="0.25">
      <c r="W20" s="130">
        <v>42804</v>
      </c>
      <c r="X20" s="10">
        <v>112.39</v>
      </c>
      <c r="Y20" s="10">
        <v>112.58</v>
      </c>
      <c r="Z20" s="10">
        <v>111.29</v>
      </c>
      <c r="AA20" s="10">
        <v>112.14</v>
      </c>
      <c r="AB20" s="93">
        <v>3217600</v>
      </c>
      <c r="AC20" s="10">
        <v>112.14</v>
      </c>
      <c r="AD20" s="2">
        <f t="shared" si="0"/>
        <v>1.289999999999992</v>
      </c>
      <c r="AE20" s="134">
        <f t="shared" si="1"/>
        <v>1.8761726078799779E-3</v>
      </c>
    </row>
    <row r="21" spans="1:31" x14ac:dyDescent="0.25">
      <c r="W21" s="130">
        <v>42803</v>
      </c>
      <c r="X21" s="10">
        <v>111.87</v>
      </c>
      <c r="Y21" s="10">
        <v>112.34</v>
      </c>
      <c r="Z21" s="10">
        <v>107.05</v>
      </c>
      <c r="AA21" s="10">
        <v>111.93</v>
      </c>
      <c r="AB21" s="93">
        <v>2919800</v>
      </c>
      <c r="AC21" s="10">
        <v>111.93</v>
      </c>
      <c r="AD21" s="2">
        <f t="shared" si="0"/>
        <v>5.2900000000000063</v>
      </c>
      <c r="AE21" s="134">
        <f t="shared" si="1"/>
        <v>1.6107382550336613E-3</v>
      </c>
    </row>
    <row r="22" spans="1:31" x14ac:dyDescent="0.25">
      <c r="W22" s="130">
        <v>42802</v>
      </c>
      <c r="X22" s="10">
        <v>112.48</v>
      </c>
      <c r="Y22" s="10">
        <v>112.66</v>
      </c>
      <c r="Z22" s="10">
        <v>111.65</v>
      </c>
      <c r="AA22" s="10">
        <v>111.75</v>
      </c>
      <c r="AB22" s="93">
        <v>2581800</v>
      </c>
      <c r="AC22" s="10">
        <v>111.75</v>
      </c>
      <c r="AD22" s="2">
        <f t="shared" si="0"/>
        <v>1.0099999999999909</v>
      </c>
      <c r="AE22" s="134">
        <f t="shared" si="1"/>
        <v>-4.7203420021375564E-3</v>
      </c>
    </row>
    <row r="23" spans="1:31" x14ac:dyDescent="0.25">
      <c r="W23" s="130">
        <v>42801</v>
      </c>
      <c r="X23" s="10">
        <v>111.86</v>
      </c>
      <c r="Y23" s="10">
        <v>112.41</v>
      </c>
      <c r="Z23" s="10">
        <v>111.5</v>
      </c>
      <c r="AA23" s="10">
        <v>112.28</v>
      </c>
      <c r="AB23" s="93">
        <v>2429300</v>
      </c>
      <c r="AC23" s="10">
        <v>112.28</v>
      </c>
      <c r="AD23" s="2">
        <f t="shared" si="0"/>
        <v>0.90999999999999659</v>
      </c>
      <c r="AE23" s="134">
        <f t="shared" si="1"/>
        <v>5.552570302704618E-3</v>
      </c>
    </row>
    <row r="24" spans="1:31" x14ac:dyDescent="0.25">
      <c r="W24" s="130">
        <v>42800</v>
      </c>
      <c r="X24" s="10">
        <v>111.83</v>
      </c>
      <c r="Y24" s="10">
        <v>112.3</v>
      </c>
      <c r="Z24" s="10">
        <v>111.54</v>
      </c>
      <c r="AA24" s="10">
        <v>111.66</v>
      </c>
      <c r="AB24" s="93">
        <v>3763600</v>
      </c>
      <c r="AC24" s="10">
        <v>111.66</v>
      </c>
      <c r="AD24" s="2">
        <f t="shared" si="0"/>
        <v>0.75999999999999091</v>
      </c>
      <c r="AE24" s="134">
        <f t="shared" si="1"/>
        <v>-6.053053231262262E-3</v>
      </c>
    </row>
    <row r="25" spans="1:31" x14ac:dyDescent="0.25">
      <c r="W25" s="130">
        <v>42797</v>
      </c>
      <c r="X25" s="10">
        <v>112.69</v>
      </c>
      <c r="Y25" s="10">
        <v>113.43</v>
      </c>
      <c r="Z25" s="10">
        <v>112.17</v>
      </c>
      <c r="AA25" s="10">
        <v>112.34</v>
      </c>
      <c r="AB25" s="93">
        <v>3108300</v>
      </c>
      <c r="AC25" s="10">
        <v>112.34</v>
      </c>
      <c r="AD25" s="2">
        <f t="shared" si="0"/>
        <v>1.2600000000000051</v>
      </c>
      <c r="AE25" s="134">
        <f t="shared" si="1"/>
        <v>-3.1058656491258496E-3</v>
      </c>
    </row>
    <row r="26" spans="1:31" x14ac:dyDescent="0.25">
      <c r="W26" s="130">
        <v>42796</v>
      </c>
      <c r="X26" s="10">
        <v>113.83</v>
      </c>
      <c r="Y26" s="10">
        <v>114.04</v>
      </c>
      <c r="Z26" s="10">
        <v>112.63</v>
      </c>
      <c r="AA26" s="10">
        <v>112.69</v>
      </c>
      <c r="AB26" s="93">
        <v>2869600</v>
      </c>
      <c r="AC26" s="10">
        <v>112.69</v>
      </c>
      <c r="AD26" s="2">
        <f t="shared" si="0"/>
        <v>1.4100000000000108</v>
      </c>
      <c r="AE26" s="134">
        <f t="shared" si="1"/>
        <v>-8.7086558761436672E-3</v>
      </c>
    </row>
    <row r="27" spans="1:31" x14ac:dyDescent="0.25">
      <c r="L27" t="s">
        <v>203</v>
      </c>
      <c r="M27" s="2">
        <f>M35+K35-F35</f>
        <v>114.84999999999991</v>
      </c>
      <c r="W27" s="130">
        <v>42795</v>
      </c>
      <c r="X27" s="10">
        <v>113.64</v>
      </c>
      <c r="Y27" s="10">
        <v>114.44</v>
      </c>
      <c r="Z27" s="10">
        <v>113.46</v>
      </c>
      <c r="AA27" s="10">
        <v>113.68</v>
      </c>
      <c r="AB27" s="93">
        <v>5046700</v>
      </c>
      <c r="AC27" s="10">
        <v>113.68</v>
      </c>
      <c r="AD27" s="2">
        <f t="shared" si="0"/>
        <v>0.98000000000000398</v>
      </c>
      <c r="AE27" s="134">
        <f t="shared" si="1"/>
        <v>1.0039982230120037E-2</v>
      </c>
    </row>
    <row r="28" spans="1:31" x14ac:dyDescent="0.25">
      <c r="A28" s="199" t="s">
        <v>1</v>
      </c>
      <c r="B28" s="199" t="s">
        <v>2</v>
      </c>
      <c r="C28" s="199" t="s">
        <v>4</v>
      </c>
      <c r="D28" s="200" t="s">
        <v>5</v>
      </c>
      <c r="E28" s="200" t="s">
        <v>94</v>
      </c>
      <c r="F28" s="200" t="s">
        <v>60</v>
      </c>
      <c r="G28" s="199" t="s">
        <v>3</v>
      </c>
      <c r="H28" s="199" t="s">
        <v>6</v>
      </c>
      <c r="I28" s="199" t="s">
        <v>7</v>
      </c>
      <c r="J28" s="199" t="s">
        <v>95</v>
      </c>
      <c r="K28" s="199" t="s">
        <v>61</v>
      </c>
      <c r="L28" s="199" t="s">
        <v>77</v>
      </c>
      <c r="M28" s="199" t="s">
        <v>38</v>
      </c>
      <c r="W28" s="130">
        <v>42794</v>
      </c>
      <c r="X28" s="10">
        <v>112.97</v>
      </c>
      <c r="Y28" s="10">
        <v>113.19</v>
      </c>
      <c r="Z28" s="10">
        <v>112.34</v>
      </c>
      <c r="AA28" s="10">
        <v>112.55</v>
      </c>
      <c r="AB28" s="93">
        <v>2929600</v>
      </c>
      <c r="AC28" s="10">
        <v>112.55</v>
      </c>
      <c r="AD28" s="2">
        <f t="shared" si="0"/>
        <v>0.84999999999999432</v>
      </c>
      <c r="AE28" s="134">
        <f t="shared" si="1"/>
        <v>-2.3047602162928893E-3</v>
      </c>
    </row>
    <row r="29" spans="1:31" x14ac:dyDescent="0.25">
      <c r="A29" s="201" t="s">
        <v>54</v>
      </c>
      <c r="B29" s="202">
        <v>42214</v>
      </c>
      <c r="C29" s="197">
        <v>10</v>
      </c>
      <c r="D29" s="198">
        <v>99.58</v>
      </c>
      <c r="E29" s="198">
        <v>0</v>
      </c>
      <c r="F29" s="198">
        <f>C29*D29</f>
        <v>995.8</v>
      </c>
      <c r="G29" s="202">
        <v>42237</v>
      </c>
      <c r="H29" s="197">
        <v>10</v>
      </c>
      <c r="I29" s="197">
        <v>99.56</v>
      </c>
      <c r="J29" s="198">
        <v>0.02</v>
      </c>
      <c r="K29" s="197">
        <f>I29*H29-J29</f>
        <v>995.58</v>
      </c>
      <c r="L29" s="202">
        <v>42257</v>
      </c>
      <c r="M29" s="198">
        <v>9.6</v>
      </c>
      <c r="W29" s="130">
        <v>42793</v>
      </c>
      <c r="X29" s="10">
        <v>112.59</v>
      </c>
      <c r="Y29" s="10">
        <v>112.97</v>
      </c>
      <c r="Z29" s="10">
        <v>112.03</v>
      </c>
      <c r="AA29" s="10">
        <v>112.81</v>
      </c>
      <c r="AB29" s="93">
        <v>2718900</v>
      </c>
      <c r="AC29" s="10">
        <v>112.81</v>
      </c>
      <c r="AD29" s="2">
        <f t="shared" si="0"/>
        <v>0.93999999999999773</v>
      </c>
      <c r="AE29" s="134">
        <f t="shared" si="1"/>
        <v>3.112217677396556E-3</v>
      </c>
    </row>
    <row r="30" spans="1:31" x14ac:dyDescent="0.25">
      <c r="A30" s="204" t="s">
        <v>71</v>
      </c>
      <c r="B30" s="202">
        <v>42219</v>
      </c>
      <c r="C30" s="197">
        <v>5</v>
      </c>
      <c r="D30" s="198">
        <v>97.95</v>
      </c>
      <c r="E30" s="198">
        <v>0</v>
      </c>
      <c r="F30" s="198">
        <f>C30*D30</f>
        <v>489.75</v>
      </c>
      <c r="G30" s="202">
        <v>42304</v>
      </c>
      <c r="H30" s="203">
        <v>15</v>
      </c>
      <c r="I30" s="198">
        <v>98.75</v>
      </c>
      <c r="J30" s="198">
        <v>0.03</v>
      </c>
      <c r="K30" s="197">
        <f>I30*H30-J30</f>
        <v>1481.22</v>
      </c>
      <c r="L30" s="197"/>
      <c r="M30" s="197"/>
      <c r="W30" s="130">
        <v>42790</v>
      </c>
      <c r="X30" s="10">
        <v>111.82</v>
      </c>
      <c r="Y30" s="10">
        <v>112.69</v>
      </c>
      <c r="Z30" s="10">
        <v>111.75</v>
      </c>
      <c r="AA30" s="10">
        <v>112.46</v>
      </c>
      <c r="AB30" s="93">
        <v>2639300</v>
      </c>
      <c r="AC30" s="10">
        <v>112.46</v>
      </c>
      <c r="AD30" s="2">
        <f t="shared" si="0"/>
        <v>0.93999999999999773</v>
      </c>
      <c r="AE30" s="134">
        <f t="shared" si="1"/>
        <v>3.3009189044517218E-3</v>
      </c>
    </row>
    <row r="31" spans="1:31" x14ac:dyDescent="0.25">
      <c r="A31" s="197"/>
      <c r="B31" s="202">
        <v>42272</v>
      </c>
      <c r="C31" s="197">
        <v>10</v>
      </c>
      <c r="D31" s="198">
        <v>88.6</v>
      </c>
      <c r="E31" s="198">
        <v>0</v>
      </c>
      <c r="F31" s="198">
        <f>C31*D31</f>
        <v>886</v>
      </c>
      <c r="G31" s="197"/>
      <c r="H31" s="197"/>
      <c r="I31" s="197"/>
      <c r="J31" s="197"/>
      <c r="K31" s="197"/>
      <c r="L31" s="197"/>
      <c r="M31" s="197"/>
      <c r="W31" s="130">
        <v>42789</v>
      </c>
      <c r="X31" s="10">
        <v>112.7</v>
      </c>
      <c r="Y31" s="10">
        <v>112.88</v>
      </c>
      <c r="Z31" s="10">
        <v>111.97</v>
      </c>
      <c r="AA31" s="10">
        <v>112.09</v>
      </c>
      <c r="AB31" s="93">
        <v>3463400</v>
      </c>
      <c r="AC31" s="10">
        <v>112.09</v>
      </c>
      <c r="AD31" s="2">
        <f t="shared" si="0"/>
        <v>0.90999999999999659</v>
      </c>
      <c r="AE31" s="134">
        <f t="shared" si="1"/>
        <v>-5.0594709746137889E-3</v>
      </c>
    </row>
    <row r="32" spans="1:31" x14ac:dyDescent="0.25">
      <c r="A32" s="197"/>
      <c r="B32" s="197"/>
      <c r="C32" s="197"/>
      <c r="D32" s="198"/>
      <c r="E32" s="198"/>
      <c r="F32" s="198"/>
      <c r="G32" s="197"/>
      <c r="H32" s="197"/>
      <c r="I32" s="197"/>
      <c r="J32" s="197"/>
      <c r="K32" s="197"/>
      <c r="L32" s="197"/>
      <c r="M32" s="197"/>
      <c r="W32" s="130">
        <v>42788</v>
      </c>
      <c r="X32" s="10">
        <v>112.35</v>
      </c>
      <c r="Y32" s="10">
        <v>112.71</v>
      </c>
      <c r="Z32" s="10">
        <v>111.72</v>
      </c>
      <c r="AA32" s="10">
        <v>112.66</v>
      </c>
      <c r="AB32" s="93">
        <v>2203600</v>
      </c>
      <c r="AC32" s="10">
        <v>112.66</v>
      </c>
      <c r="AD32" s="2">
        <f t="shared" si="0"/>
        <v>0.98999999999999488</v>
      </c>
      <c r="AE32" s="134">
        <f t="shared" si="1"/>
        <v>1.4222222222222136E-3</v>
      </c>
    </row>
    <row r="33" spans="1:31" x14ac:dyDescent="0.25">
      <c r="A33" s="197"/>
      <c r="B33" s="197"/>
      <c r="C33" s="197"/>
      <c r="D33" s="198"/>
      <c r="E33" s="198"/>
      <c r="F33" s="198"/>
      <c r="G33" s="197"/>
      <c r="H33" s="197"/>
      <c r="I33" s="197"/>
      <c r="J33" s="197"/>
      <c r="K33" s="197"/>
      <c r="L33" s="197"/>
      <c r="M33" s="197"/>
      <c r="W33" s="130">
        <v>42787</v>
      </c>
      <c r="X33" s="10">
        <v>112.19</v>
      </c>
      <c r="Y33" s="10">
        <v>112.8</v>
      </c>
      <c r="Z33" s="10">
        <v>112.04</v>
      </c>
      <c r="AA33" s="10">
        <v>112.5</v>
      </c>
      <c r="AB33" s="93">
        <v>1912800</v>
      </c>
      <c r="AC33" s="10">
        <v>112.5</v>
      </c>
      <c r="AD33" s="2">
        <f t="shared" si="0"/>
        <v>0.75999999999999091</v>
      </c>
      <c r="AE33" s="134">
        <f t="shared" si="1"/>
        <v>3.1208203299153414E-3</v>
      </c>
    </row>
    <row r="34" spans="1:31" x14ac:dyDescent="0.25">
      <c r="A34" s="197"/>
      <c r="B34" s="197"/>
      <c r="C34" s="197"/>
      <c r="D34" s="198"/>
      <c r="E34" s="198"/>
      <c r="F34" s="198"/>
      <c r="G34" s="197"/>
      <c r="H34" s="197"/>
      <c r="I34" s="197"/>
      <c r="J34" s="197"/>
      <c r="K34" s="197"/>
      <c r="L34" s="197"/>
      <c r="M34" s="197"/>
      <c r="W34" s="130">
        <v>42783</v>
      </c>
      <c r="X34" s="10">
        <v>111.93</v>
      </c>
      <c r="Y34" s="10">
        <v>112.33</v>
      </c>
      <c r="Z34" s="10">
        <v>111.61</v>
      </c>
      <c r="AA34" s="10">
        <v>112.15</v>
      </c>
      <c r="AB34" s="93">
        <v>2492400</v>
      </c>
      <c r="AC34" s="10">
        <v>112.15</v>
      </c>
      <c r="AD34" s="2">
        <f t="shared" si="0"/>
        <v>0.71999999999999886</v>
      </c>
      <c r="AE34" s="134">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30">
        <v>42782</v>
      </c>
      <c r="X35" s="10">
        <v>112.14</v>
      </c>
      <c r="Y35" s="10">
        <v>112.33</v>
      </c>
      <c r="Z35" s="10">
        <v>111.81</v>
      </c>
      <c r="AA35" s="10">
        <v>112.07</v>
      </c>
      <c r="AB35" s="93">
        <v>2789700</v>
      </c>
      <c r="AC35" s="10">
        <v>112.07</v>
      </c>
      <c r="AD35" s="2">
        <f t="shared" si="0"/>
        <v>0.51999999999999602</v>
      </c>
      <c r="AE35" s="134">
        <f t="shared" si="1"/>
        <v>1.429720310964111E-3</v>
      </c>
    </row>
    <row r="36" spans="1:31" x14ac:dyDescent="0.25">
      <c r="A36" s="197"/>
      <c r="B36" s="197"/>
      <c r="C36" s="197"/>
      <c r="D36" s="198"/>
      <c r="E36" s="198"/>
      <c r="F36" s="198"/>
      <c r="G36" s="197"/>
      <c r="H36" s="197"/>
      <c r="I36" s="197"/>
      <c r="J36" s="197"/>
      <c r="K36" s="197"/>
      <c r="L36" s="197"/>
      <c r="M36" s="197"/>
      <c r="W36" s="130">
        <v>42781</v>
      </c>
      <c r="X36" s="10">
        <v>111.13</v>
      </c>
      <c r="Y36" s="10">
        <v>112.08</v>
      </c>
      <c r="Z36" s="10">
        <v>111.06</v>
      </c>
      <c r="AA36" s="10">
        <v>111.91</v>
      </c>
      <c r="AB36" s="93">
        <v>2600600</v>
      </c>
      <c r="AC36" s="10">
        <v>111.91</v>
      </c>
      <c r="AD36" s="2">
        <f t="shared" si="0"/>
        <v>1.019999999999996</v>
      </c>
      <c r="AE36" s="134" t="e">
        <f t="shared" si="1"/>
        <v>#DIV/0!</v>
      </c>
    </row>
    <row r="37" spans="1:31" x14ac:dyDescent="0.25">
      <c r="A37" s="197"/>
      <c r="B37" s="197"/>
      <c r="C37" s="197"/>
      <c r="D37" s="198"/>
      <c r="E37" s="198"/>
      <c r="F37" s="198"/>
      <c r="G37" s="197"/>
      <c r="H37" s="197"/>
      <c r="I37" s="197"/>
      <c r="J37" s="197"/>
      <c r="K37" s="197"/>
      <c r="L37" s="197"/>
      <c r="M37" s="197"/>
      <c r="W37" s="130">
        <v>42781</v>
      </c>
      <c r="X37" s="10" t="s">
        <v>207</v>
      </c>
      <c r="Y37" s="10"/>
      <c r="Z37" s="10"/>
      <c r="AA37" s="10"/>
      <c r="AB37" s="93"/>
      <c r="AC37" s="10"/>
      <c r="AD37" s="2">
        <f t="shared" si="0"/>
        <v>0</v>
      </c>
      <c r="AE37" s="134">
        <f t="shared" si="1"/>
        <v>-1</v>
      </c>
    </row>
    <row r="38" spans="1:31" x14ac:dyDescent="0.25">
      <c r="W38" s="130">
        <v>42780</v>
      </c>
      <c r="X38" s="10">
        <v>111.99</v>
      </c>
      <c r="Y38" s="10">
        <v>112.32</v>
      </c>
      <c r="Z38" s="10">
        <v>111.45</v>
      </c>
      <c r="AA38" s="10">
        <v>111.57</v>
      </c>
      <c r="AB38" s="93">
        <v>2771900</v>
      </c>
      <c r="AC38" s="10">
        <v>110.91</v>
      </c>
      <c r="AD38" s="2">
        <f t="shared" si="0"/>
        <v>0.86999999999999034</v>
      </c>
      <c r="AE38" s="134">
        <f t="shared" si="1"/>
        <v>-4.0409482758620996E-3</v>
      </c>
    </row>
    <row r="39" spans="1:31" ht="20.25" thickBot="1" x14ac:dyDescent="0.35">
      <c r="P39" s="884" t="s">
        <v>78</v>
      </c>
      <c r="Q39" s="884"/>
      <c r="W39" s="130">
        <v>42779</v>
      </c>
      <c r="X39" s="10">
        <v>111.61</v>
      </c>
      <c r="Y39" s="10">
        <v>112.1</v>
      </c>
      <c r="Z39" s="10">
        <v>111.42</v>
      </c>
      <c r="AA39" s="10">
        <v>112.02</v>
      </c>
      <c r="AB39" s="93">
        <v>2830800</v>
      </c>
      <c r="AC39" s="10">
        <v>111.36</v>
      </c>
      <c r="AD39" s="2">
        <f t="shared" si="0"/>
        <v>0.67999999999999261</v>
      </c>
      <c r="AE39" s="134">
        <f t="shared" si="1"/>
        <v>8.7870278104900112E-3</v>
      </c>
    </row>
    <row r="40" spans="1:31" ht="15.75" thickTop="1" x14ac:dyDescent="0.25">
      <c r="O40" s="2"/>
      <c r="P40" s="81">
        <v>1.1000000000000001</v>
      </c>
      <c r="Q40" s="81">
        <f>P40*$Q$4</f>
        <v>131.03200000000001</v>
      </c>
      <c r="W40" s="130">
        <v>42776</v>
      </c>
      <c r="X40" s="10">
        <v>110.25</v>
      </c>
      <c r="Y40" s="10">
        <v>111.26</v>
      </c>
      <c r="Z40" s="10">
        <v>110.08</v>
      </c>
      <c r="AA40" s="10">
        <v>111.05</v>
      </c>
      <c r="AB40" s="93">
        <v>2679200</v>
      </c>
      <c r="AC40" s="10">
        <v>110.39</v>
      </c>
      <c r="AD40" s="2">
        <f t="shared" si="0"/>
        <v>1.1800000000000068</v>
      </c>
      <c r="AE40" s="134">
        <f t="shared" si="1"/>
        <v>8.6805555555555802E-3</v>
      </c>
    </row>
    <row r="41" spans="1:31" x14ac:dyDescent="0.25">
      <c r="O41" s="2"/>
      <c r="P41" s="81">
        <v>1.0900000000000001</v>
      </c>
      <c r="Q41" s="81">
        <f t="shared" ref="Q41:Q60" si="2">P41*$Q$4</f>
        <v>129.8408</v>
      </c>
      <c r="W41" s="130">
        <v>42775</v>
      </c>
      <c r="X41" s="10">
        <v>110.4</v>
      </c>
      <c r="Y41" s="10">
        <v>110.72</v>
      </c>
      <c r="Z41" s="10">
        <v>110</v>
      </c>
      <c r="AA41" s="10">
        <v>110.09</v>
      </c>
      <c r="AB41" s="93">
        <v>2654000</v>
      </c>
      <c r="AC41" s="10">
        <v>109.44</v>
      </c>
      <c r="AD41" s="2">
        <f t="shared" si="0"/>
        <v>0.71999999999999886</v>
      </c>
      <c r="AE41" s="134">
        <f t="shared" si="1"/>
        <v>-2.8246013667425629E-3</v>
      </c>
    </row>
    <row r="42" spans="1:31" ht="20.25" thickBot="1" x14ac:dyDescent="0.35">
      <c r="O42" s="2"/>
      <c r="P42" s="81">
        <v>1.08</v>
      </c>
      <c r="Q42" s="81">
        <f t="shared" si="2"/>
        <v>128.64960000000002</v>
      </c>
      <c r="T42" s="89" t="s">
        <v>112</v>
      </c>
      <c r="W42" s="130">
        <v>42774</v>
      </c>
      <c r="X42" s="10">
        <v>111.09</v>
      </c>
      <c r="Y42" s="10">
        <v>111.09</v>
      </c>
      <c r="Z42" s="10">
        <v>110.35</v>
      </c>
      <c r="AA42" s="10">
        <v>110.4</v>
      </c>
      <c r="AB42" s="93">
        <v>2072300</v>
      </c>
      <c r="AC42" s="10">
        <v>109.75</v>
      </c>
      <c r="AD42" s="2">
        <f t="shared" si="0"/>
        <v>0.74000000000000909</v>
      </c>
      <c r="AE42" s="134">
        <f t="shared" si="1"/>
        <v>-7.5956234740934825E-3</v>
      </c>
    </row>
    <row r="43" spans="1:31" ht="15.75" thickTop="1" x14ac:dyDescent="0.25">
      <c r="O43" s="2"/>
      <c r="P43" s="81">
        <v>1.07</v>
      </c>
      <c r="Q43" s="81">
        <f t="shared" si="2"/>
        <v>127.45840000000001</v>
      </c>
      <c r="T43" s="125" t="s">
        <v>97</v>
      </c>
      <c r="U43" s="96">
        <v>112.99</v>
      </c>
      <c r="W43" s="130">
        <v>42773</v>
      </c>
      <c r="X43" s="10">
        <v>111.38</v>
      </c>
      <c r="Y43" s="10">
        <v>111.73</v>
      </c>
      <c r="Z43" s="10">
        <v>110.97</v>
      </c>
      <c r="AA43" s="10">
        <v>111.25</v>
      </c>
      <c r="AB43" s="93">
        <v>2774400</v>
      </c>
      <c r="AC43" s="10">
        <v>110.59</v>
      </c>
      <c r="AD43" s="2">
        <f t="shared" si="0"/>
        <v>0.76000000000000512</v>
      </c>
      <c r="AE43" s="134">
        <f t="shared" si="1"/>
        <v>5.0895210397163826E-3</v>
      </c>
    </row>
    <row r="44" spans="1:31" x14ac:dyDescent="0.25">
      <c r="O44" s="2"/>
      <c r="P44" s="81">
        <v>1.06</v>
      </c>
      <c r="Q44" s="81">
        <f t="shared" si="2"/>
        <v>126.26720000000002</v>
      </c>
      <c r="T44" s="91" t="s">
        <v>98</v>
      </c>
      <c r="U44" s="86">
        <v>113.14</v>
      </c>
      <c r="W44" s="130">
        <v>42772</v>
      </c>
      <c r="X44" s="10">
        <v>109.81</v>
      </c>
      <c r="Y44" s="10">
        <v>111.25</v>
      </c>
      <c r="Z44" s="10">
        <v>109.68</v>
      </c>
      <c r="AA44" s="10">
        <v>110.68</v>
      </c>
      <c r="AB44" s="93">
        <v>4229600</v>
      </c>
      <c r="AC44" s="10">
        <v>110.03</v>
      </c>
      <c r="AD44" s="2">
        <f t="shared" si="0"/>
        <v>1.5699999999999932</v>
      </c>
      <c r="AE44" s="134">
        <f t="shared" si="1"/>
        <v>9.449541284403784E-3</v>
      </c>
    </row>
    <row r="45" spans="1:31" x14ac:dyDescent="0.25">
      <c r="O45" s="2"/>
      <c r="P45" s="81">
        <v>1.05</v>
      </c>
      <c r="Q45" s="81">
        <f t="shared" si="2"/>
        <v>125.07600000000001</v>
      </c>
      <c r="T45" s="91" t="s">
        <v>99</v>
      </c>
      <c r="U45" s="86" t="s">
        <v>128</v>
      </c>
      <c r="W45" s="130">
        <v>42769</v>
      </c>
      <c r="X45" s="10">
        <v>108.53</v>
      </c>
      <c r="Y45" s="10">
        <v>109.78</v>
      </c>
      <c r="Z45" s="10">
        <v>108.5</v>
      </c>
      <c r="AA45" s="10">
        <v>109.65</v>
      </c>
      <c r="AB45" s="93">
        <v>3411200</v>
      </c>
      <c r="AC45" s="10">
        <v>109</v>
      </c>
      <c r="AD45" s="2">
        <f t="shared" si="0"/>
        <v>1.2800000000000011</v>
      </c>
      <c r="AE45" s="134">
        <f t="shared" si="1"/>
        <v>1.1882658744894137E-2</v>
      </c>
    </row>
    <row r="46" spans="1:31" x14ac:dyDescent="0.25">
      <c r="O46" s="2"/>
      <c r="P46" s="81">
        <v>1.04</v>
      </c>
      <c r="Q46" s="81">
        <f t="shared" si="2"/>
        <v>123.88480000000001</v>
      </c>
      <c r="T46" s="91" t="s">
        <v>100</v>
      </c>
      <c r="U46" s="86" t="s">
        <v>128</v>
      </c>
      <c r="W46" s="130">
        <v>42768</v>
      </c>
      <c r="X46" s="10">
        <v>108.08</v>
      </c>
      <c r="Y46" s="10">
        <v>108.68</v>
      </c>
      <c r="Z46" s="10">
        <v>106.85</v>
      </c>
      <c r="AA46" s="10">
        <v>108.36</v>
      </c>
      <c r="AB46" s="93">
        <v>4714500</v>
      </c>
      <c r="AC46" s="10">
        <v>107.72</v>
      </c>
      <c r="AD46" s="2">
        <f t="shared" si="0"/>
        <v>1.8300000000000125</v>
      </c>
      <c r="AE46" s="134">
        <f t="shared" si="1"/>
        <v>1.6737957969126249E-3</v>
      </c>
    </row>
    <row r="47" spans="1:31" x14ac:dyDescent="0.25">
      <c r="O47" s="2"/>
      <c r="P47" s="81">
        <v>1.03</v>
      </c>
      <c r="Q47" s="81">
        <f t="shared" si="2"/>
        <v>122.6936</v>
      </c>
      <c r="T47" s="91" t="s">
        <v>101</v>
      </c>
      <c r="U47" s="86">
        <v>118.87</v>
      </c>
      <c r="W47" s="130">
        <v>42767</v>
      </c>
      <c r="X47" s="10">
        <v>109.63</v>
      </c>
      <c r="Y47" s="10">
        <v>109.91</v>
      </c>
      <c r="Z47" s="10">
        <v>107.9</v>
      </c>
      <c r="AA47" s="10">
        <v>108.18</v>
      </c>
      <c r="AB47" s="93">
        <v>4670100</v>
      </c>
      <c r="AC47" s="10">
        <v>107.54</v>
      </c>
      <c r="AD47" s="2">
        <f t="shared" si="0"/>
        <v>2.0099999999999909</v>
      </c>
      <c r="AE47" s="134">
        <f t="shared" si="1"/>
        <v>-1.3575490735644791E-2</v>
      </c>
    </row>
    <row r="48" spans="1:31" x14ac:dyDescent="0.25">
      <c r="O48" s="2"/>
      <c r="P48" s="81">
        <v>1.02</v>
      </c>
      <c r="Q48" s="81">
        <f t="shared" si="2"/>
        <v>121.50240000000001</v>
      </c>
      <c r="T48" s="91" t="s">
        <v>102</v>
      </c>
      <c r="U48" s="86">
        <v>1.0463199999999999</v>
      </c>
      <c r="W48" s="130">
        <v>42766</v>
      </c>
      <c r="X48" s="10">
        <v>109.04</v>
      </c>
      <c r="Y48" s="10">
        <v>109.81</v>
      </c>
      <c r="Z48" s="10">
        <v>108.39</v>
      </c>
      <c r="AA48" s="10">
        <v>109.67</v>
      </c>
      <c r="AB48" s="93">
        <v>3945700</v>
      </c>
      <c r="AC48" s="10">
        <v>109.02</v>
      </c>
      <c r="AD48" s="2">
        <f t="shared" si="0"/>
        <v>1.4200000000000017</v>
      </c>
      <c r="AE48" s="134">
        <f t="shared" si="1"/>
        <v>4.6074456321414381E-3</v>
      </c>
    </row>
    <row r="49" spans="15:31" x14ac:dyDescent="0.25">
      <c r="O49" s="2"/>
      <c r="P49" s="81">
        <v>1.01</v>
      </c>
      <c r="Q49" s="81">
        <f t="shared" si="2"/>
        <v>120.3112</v>
      </c>
      <c r="T49" s="91" t="s">
        <v>121</v>
      </c>
      <c r="U49" s="86" t="s">
        <v>363</v>
      </c>
      <c r="W49" s="130">
        <v>42765</v>
      </c>
      <c r="X49" s="10">
        <v>109.31</v>
      </c>
      <c r="Y49" s="10">
        <v>109.6</v>
      </c>
      <c r="Z49" s="10">
        <v>108.25</v>
      </c>
      <c r="AA49" s="10">
        <v>109.17</v>
      </c>
      <c r="AB49" s="93">
        <v>2909900</v>
      </c>
      <c r="AC49" s="10">
        <v>108.52</v>
      </c>
      <c r="AD49" s="2">
        <f t="shared" si="0"/>
        <v>1.3499999999999943</v>
      </c>
      <c r="AE49" s="134">
        <f t="shared" si="1"/>
        <v>-4.8601558917927834E-3</v>
      </c>
    </row>
    <row r="50" spans="15:31" x14ac:dyDescent="0.25">
      <c r="O50" s="2"/>
      <c r="P50" s="81">
        <v>1</v>
      </c>
      <c r="Q50" s="81">
        <f t="shared" si="2"/>
        <v>119.12</v>
      </c>
      <c r="T50" s="91"/>
      <c r="U50" s="86"/>
      <c r="W50" s="130">
        <v>42762</v>
      </c>
      <c r="X50" s="10">
        <v>110.15</v>
      </c>
      <c r="Y50" s="10">
        <v>110.9</v>
      </c>
      <c r="Z50" s="10">
        <v>109.61</v>
      </c>
      <c r="AA50" s="10">
        <v>109.7</v>
      </c>
      <c r="AB50" s="93">
        <v>2830000</v>
      </c>
      <c r="AC50" s="10">
        <v>109.05</v>
      </c>
      <c r="AD50" s="2">
        <f t="shared" si="0"/>
        <v>1.2900000000000063</v>
      </c>
      <c r="AE50" s="134">
        <f t="shared" si="1"/>
        <v>-6.0158599945310254E-3</v>
      </c>
    </row>
    <row r="51" spans="15:31" x14ac:dyDescent="0.25">
      <c r="O51" s="2"/>
      <c r="P51" s="81">
        <v>0.99</v>
      </c>
      <c r="Q51" s="81">
        <f t="shared" si="2"/>
        <v>117.92880000000001</v>
      </c>
      <c r="T51" s="91" t="s">
        <v>104</v>
      </c>
      <c r="U51" s="86" t="s">
        <v>640</v>
      </c>
      <c r="W51" s="130">
        <v>42761</v>
      </c>
      <c r="X51" s="10">
        <v>110.8</v>
      </c>
      <c r="Y51" s="10">
        <v>111.49</v>
      </c>
      <c r="Z51" s="10">
        <v>109.53</v>
      </c>
      <c r="AA51" s="10">
        <v>110.36</v>
      </c>
      <c r="AB51" s="93">
        <v>3996000</v>
      </c>
      <c r="AC51" s="10">
        <v>109.71</v>
      </c>
      <c r="AD51" s="2">
        <f t="shared" si="0"/>
        <v>1.9599999999999937</v>
      </c>
      <c r="AE51" s="134">
        <f t="shared" si="1"/>
        <v>-5.3490480507706328E-3</v>
      </c>
    </row>
    <row r="52" spans="15:31" x14ac:dyDescent="0.25">
      <c r="O52" s="2"/>
      <c r="P52" s="81">
        <v>0.98</v>
      </c>
      <c r="Q52" s="81">
        <f t="shared" si="2"/>
        <v>116.7376</v>
      </c>
      <c r="T52" s="91" t="s">
        <v>105</v>
      </c>
      <c r="U52" s="86" t="s">
        <v>492</v>
      </c>
      <c r="W52" s="130">
        <v>42760</v>
      </c>
      <c r="X52" s="10">
        <v>111.87</v>
      </c>
      <c r="Y52" s="10">
        <v>112.51</v>
      </c>
      <c r="Z52" s="10">
        <v>108.78</v>
      </c>
      <c r="AA52" s="10">
        <v>110.96</v>
      </c>
      <c r="AB52" s="93">
        <v>5054000</v>
      </c>
      <c r="AC52" s="10">
        <v>110.3</v>
      </c>
      <c r="AD52" s="2">
        <f t="shared" si="0"/>
        <v>3.730000000000004</v>
      </c>
      <c r="AE52" s="134">
        <f t="shared" si="1"/>
        <v>-5.8584948174854601E-3</v>
      </c>
    </row>
    <row r="53" spans="15:31" x14ac:dyDescent="0.25">
      <c r="P53" s="81">
        <v>0.97</v>
      </c>
      <c r="Q53" s="81">
        <f t="shared" si="2"/>
        <v>115.54640000000001</v>
      </c>
      <c r="T53" s="91" t="s">
        <v>106</v>
      </c>
      <c r="U53" s="88">
        <v>3011928</v>
      </c>
      <c r="W53" s="130">
        <v>42759</v>
      </c>
      <c r="X53" s="10">
        <v>110.68</v>
      </c>
      <c r="Y53" s="10">
        <v>111.69</v>
      </c>
      <c r="Z53" s="10">
        <v>110.34</v>
      </c>
      <c r="AA53" s="10">
        <v>111.61</v>
      </c>
      <c r="AB53" s="93">
        <v>3240000</v>
      </c>
      <c r="AC53" s="10">
        <v>110.95</v>
      </c>
      <c r="AD53" s="2">
        <f t="shared" si="0"/>
        <v>1.3499999999999943</v>
      </c>
      <c r="AE53" s="134">
        <f t="shared" si="1"/>
        <v>1.1486917677089981E-2</v>
      </c>
    </row>
    <row r="54" spans="15:31" x14ac:dyDescent="0.25">
      <c r="P54" s="81">
        <v>0.96</v>
      </c>
      <c r="Q54" s="81">
        <f t="shared" si="2"/>
        <v>114.3552</v>
      </c>
      <c r="T54" s="91" t="s">
        <v>109</v>
      </c>
      <c r="U54" s="88">
        <v>2987150</v>
      </c>
      <c r="W54" s="130">
        <v>42758</v>
      </c>
      <c r="X54" s="10">
        <v>110.84</v>
      </c>
      <c r="Y54" s="10">
        <v>111.3</v>
      </c>
      <c r="Z54" s="10">
        <v>109.98</v>
      </c>
      <c r="AA54" s="10">
        <v>110.34</v>
      </c>
      <c r="AB54" s="93">
        <v>2296600</v>
      </c>
      <c r="AC54" s="10">
        <v>109.69</v>
      </c>
      <c r="AD54" s="2">
        <f t="shared" si="0"/>
        <v>1.3199999999999932</v>
      </c>
      <c r="AE54" s="134">
        <f t="shared" si="1"/>
        <v>-3.9952783074548304E-3</v>
      </c>
    </row>
    <row r="55" spans="15:31" x14ac:dyDescent="0.25">
      <c r="P55" s="81">
        <v>0.95</v>
      </c>
      <c r="Q55" s="81">
        <f t="shared" si="2"/>
        <v>113.164</v>
      </c>
      <c r="T55" s="91" t="s">
        <v>107</v>
      </c>
      <c r="U55" s="86" t="s">
        <v>641</v>
      </c>
      <c r="W55" s="130">
        <v>42755</v>
      </c>
      <c r="X55" s="10">
        <v>110.95</v>
      </c>
      <c r="Y55" s="10">
        <v>111.1</v>
      </c>
      <c r="Z55" s="10">
        <v>110.03</v>
      </c>
      <c r="AA55" s="10">
        <v>110.79</v>
      </c>
      <c r="AB55" s="93">
        <v>3134300</v>
      </c>
      <c r="AC55" s="10">
        <v>110.13</v>
      </c>
      <c r="AD55" s="2">
        <f t="shared" si="0"/>
        <v>1.0699999999999932</v>
      </c>
      <c r="AE55" s="134">
        <f t="shared" si="1"/>
        <v>5.4510765876258915E-4</v>
      </c>
    </row>
    <row r="56" spans="15:31" x14ac:dyDescent="0.25">
      <c r="P56" s="81">
        <v>0.94</v>
      </c>
      <c r="Q56" s="81">
        <f t="shared" si="2"/>
        <v>111.97279999999999</v>
      </c>
      <c r="T56" s="91" t="s">
        <v>110</v>
      </c>
      <c r="U56" s="86">
        <v>18.39</v>
      </c>
      <c r="W56" s="130">
        <v>42754</v>
      </c>
      <c r="X56" s="10">
        <v>111.03</v>
      </c>
      <c r="Y56" s="10">
        <v>111.6</v>
      </c>
      <c r="Z56" s="10">
        <v>110.02</v>
      </c>
      <c r="AA56" s="10">
        <v>110.73</v>
      </c>
      <c r="AB56" s="93">
        <v>2828200</v>
      </c>
      <c r="AC56" s="10">
        <v>110.07</v>
      </c>
      <c r="AD56" s="2">
        <f t="shared" si="0"/>
        <v>1.5799999999999983</v>
      </c>
      <c r="AE56" s="134">
        <f t="shared" si="1"/>
        <v>2.7329871549603979E-3</v>
      </c>
    </row>
    <row r="57" spans="15:31" x14ac:dyDescent="0.25">
      <c r="P57" s="81">
        <v>0.93</v>
      </c>
      <c r="Q57" s="81">
        <f t="shared" si="2"/>
        <v>110.78160000000001</v>
      </c>
      <c r="T57" s="91" t="s">
        <v>111</v>
      </c>
      <c r="U57" s="86">
        <v>6.12</v>
      </c>
      <c r="W57" s="130">
        <v>42753</v>
      </c>
      <c r="X57" s="10">
        <v>110.2</v>
      </c>
      <c r="Y57" s="10">
        <v>110.89</v>
      </c>
      <c r="Z57" s="10">
        <v>109.82</v>
      </c>
      <c r="AA57" s="10">
        <v>110.42</v>
      </c>
      <c r="AB57" s="93">
        <v>2600300</v>
      </c>
      <c r="AC57" s="10">
        <v>109.77</v>
      </c>
      <c r="AD57" s="2">
        <f t="shared" si="0"/>
        <v>1.0700000000000074</v>
      </c>
      <c r="AE57" s="134">
        <f t="shared" si="1"/>
        <v>4.1163556531285117E-3</v>
      </c>
    </row>
    <row r="58" spans="15:31" x14ac:dyDescent="0.25">
      <c r="P58" s="81">
        <v>0.92</v>
      </c>
      <c r="Q58" s="81">
        <f t="shared" si="2"/>
        <v>109.5904</v>
      </c>
      <c r="T58" s="91" t="s">
        <v>108</v>
      </c>
      <c r="U58" s="86" t="s">
        <v>543</v>
      </c>
      <c r="W58" s="130">
        <v>42752</v>
      </c>
      <c r="X58" s="10">
        <v>109.78</v>
      </c>
      <c r="Y58" s="10">
        <v>110.27</v>
      </c>
      <c r="Z58" s="10">
        <v>109.4</v>
      </c>
      <c r="AA58" s="10">
        <v>109.97</v>
      </c>
      <c r="AB58" s="93">
        <v>2240100</v>
      </c>
      <c r="AC58" s="10">
        <v>109.32</v>
      </c>
      <c r="AD58" s="2">
        <f t="shared" si="0"/>
        <v>0.86999999999999034</v>
      </c>
      <c r="AE58" s="134">
        <f t="shared" si="1"/>
        <v>-2.2816464360683186E-3</v>
      </c>
    </row>
    <row r="59" spans="15:31" x14ac:dyDescent="0.25">
      <c r="P59" s="81">
        <v>0.91</v>
      </c>
      <c r="Q59" s="81">
        <f t="shared" si="2"/>
        <v>108.39920000000001</v>
      </c>
      <c r="W59" s="130">
        <v>42748</v>
      </c>
      <c r="X59" s="10">
        <v>110.93</v>
      </c>
      <c r="Y59" s="10">
        <v>111.26</v>
      </c>
      <c r="Z59" s="10">
        <v>109.85</v>
      </c>
      <c r="AA59" s="10">
        <v>110.22</v>
      </c>
      <c r="AB59" s="93">
        <v>2880600</v>
      </c>
      <c r="AC59" s="10">
        <v>109.57</v>
      </c>
      <c r="AD59" s="2">
        <f t="shared" si="0"/>
        <v>1.4100000000000108</v>
      </c>
      <c r="AE59" s="134">
        <f t="shared" si="1"/>
        <v>-5.3558460421205822E-3</v>
      </c>
    </row>
    <row r="60" spans="15:31" x14ac:dyDescent="0.25">
      <c r="P60" s="81">
        <v>0.9</v>
      </c>
      <c r="Q60" s="81">
        <f t="shared" si="2"/>
        <v>107.20800000000001</v>
      </c>
      <c r="W60" s="130">
        <v>42747</v>
      </c>
      <c r="X60" s="10">
        <v>111.14</v>
      </c>
      <c r="Y60" s="10">
        <v>111.14</v>
      </c>
      <c r="Z60" s="10">
        <v>109.71</v>
      </c>
      <c r="AA60" s="10">
        <v>110.82</v>
      </c>
      <c r="AB60" s="93">
        <v>2644600</v>
      </c>
      <c r="AC60" s="10">
        <v>110.16</v>
      </c>
      <c r="AD60" s="2">
        <f t="shared" si="0"/>
        <v>1.4300000000000068</v>
      </c>
      <c r="AE60" s="134">
        <f t="shared" si="1"/>
        <v>-1.6313213703099683E-3</v>
      </c>
    </row>
    <row r="61" spans="15:31" x14ac:dyDescent="0.25">
      <c r="W61" s="130">
        <v>42746</v>
      </c>
      <c r="X61" s="10">
        <v>111.62</v>
      </c>
      <c r="Y61" s="10">
        <v>111.62</v>
      </c>
      <c r="Z61" s="10">
        <v>110.58</v>
      </c>
      <c r="AA61" s="10">
        <v>111</v>
      </c>
      <c r="AB61" s="93">
        <v>2746200</v>
      </c>
      <c r="AC61" s="10">
        <v>110.34</v>
      </c>
      <c r="AD61" s="2">
        <f t="shared" si="0"/>
        <v>1.0400000000000063</v>
      </c>
      <c r="AE61" s="134">
        <f t="shared" si="1"/>
        <v>-2.3508137432187715E-3</v>
      </c>
    </row>
    <row r="62" spans="15:31" x14ac:dyDescent="0.25">
      <c r="W62" s="130">
        <v>42745</v>
      </c>
      <c r="X62" s="10">
        <v>111.75</v>
      </c>
      <c r="Y62" s="10">
        <v>111.83</v>
      </c>
      <c r="Z62" s="10">
        <v>111.06</v>
      </c>
      <c r="AA62" s="10">
        <v>111.26</v>
      </c>
      <c r="AB62" s="93">
        <v>1800400</v>
      </c>
      <c r="AC62" s="10">
        <v>110.6</v>
      </c>
      <c r="AD62" s="2">
        <f t="shared" si="0"/>
        <v>0.76999999999999602</v>
      </c>
      <c r="AE62" s="134">
        <f t="shared" si="1"/>
        <v>-2.1652832912306685E-3</v>
      </c>
    </row>
    <row r="63" spans="15:31" x14ac:dyDescent="0.25">
      <c r="W63" s="130">
        <v>42744</v>
      </c>
      <c r="X63" s="10">
        <v>112.7</v>
      </c>
      <c r="Y63" s="10">
        <v>112.7</v>
      </c>
      <c r="Z63" s="10">
        <v>111.27</v>
      </c>
      <c r="AA63" s="10">
        <v>111.5</v>
      </c>
      <c r="AB63" s="93">
        <v>2434100</v>
      </c>
      <c r="AC63" s="10">
        <v>110.84</v>
      </c>
      <c r="AD63" s="2">
        <f t="shared" si="0"/>
        <v>1.4300000000000068</v>
      </c>
      <c r="AE63" s="134">
        <f t="shared" si="1"/>
        <v>-9.2956739363603269E-3</v>
      </c>
    </row>
    <row r="64" spans="15:31" x14ac:dyDescent="0.25">
      <c r="W64" s="130">
        <v>42741</v>
      </c>
      <c r="X64" s="10">
        <v>111.42</v>
      </c>
      <c r="Y64" s="10">
        <v>112.83</v>
      </c>
      <c r="Z64" s="10">
        <v>111.06</v>
      </c>
      <c r="AA64" s="10">
        <v>112.55</v>
      </c>
      <c r="AB64" s="93">
        <v>2622000</v>
      </c>
      <c r="AC64" s="10">
        <v>111.88</v>
      </c>
      <c r="AD64" s="2">
        <f t="shared" si="0"/>
        <v>1.769999999999996</v>
      </c>
      <c r="AE64" s="134">
        <f t="shared" si="1"/>
        <v>1.0750745324780819E-2</v>
      </c>
    </row>
    <row r="65" spans="23:31" x14ac:dyDescent="0.25">
      <c r="W65" s="130">
        <v>42740</v>
      </c>
      <c r="X65" s="10">
        <v>111.17</v>
      </c>
      <c r="Y65" s="10">
        <v>111.94</v>
      </c>
      <c r="Z65" s="10">
        <v>110.56</v>
      </c>
      <c r="AA65" s="10">
        <v>111.35</v>
      </c>
      <c r="AB65" s="93">
        <v>3344900</v>
      </c>
      <c r="AC65" s="10">
        <v>110.69</v>
      </c>
      <c r="AD65" s="2">
        <f t="shared" si="0"/>
        <v>1.3799999999999955</v>
      </c>
      <c r="AE65" s="134">
        <f t="shared" si="1"/>
        <v>4.0820029027577309E-3</v>
      </c>
    </row>
    <row r="66" spans="23:31" x14ac:dyDescent="0.25">
      <c r="W66" s="130">
        <v>42739</v>
      </c>
      <c r="X66" s="10">
        <v>111.46</v>
      </c>
      <c r="Y66" s="10">
        <v>111.7</v>
      </c>
      <c r="Z66" s="10">
        <v>110.58</v>
      </c>
      <c r="AA66" s="10">
        <v>110.9</v>
      </c>
      <c r="AB66" s="93">
        <v>3091400</v>
      </c>
      <c r="AC66" s="10">
        <v>110.24</v>
      </c>
      <c r="AD66" s="2">
        <f t="shared" si="0"/>
        <v>1.1200000000000045</v>
      </c>
      <c r="AE66" s="134">
        <f t="shared" si="1"/>
        <v>6.3538168285370844E-4</v>
      </c>
    </row>
    <row r="67" spans="23:31" x14ac:dyDescent="0.25">
      <c r="W67" s="130">
        <v>42738</v>
      </c>
      <c r="X67" s="10">
        <v>110.39</v>
      </c>
      <c r="Y67" s="10">
        <v>110.96</v>
      </c>
      <c r="Z67" s="10">
        <v>110</v>
      </c>
      <c r="AA67" s="10">
        <v>110.83</v>
      </c>
      <c r="AB67" s="93">
        <v>2739600</v>
      </c>
      <c r="AC67" s="10">
        <v>110.17</v>
      </c>
      <c r="AD67" s="2">
        <f>Y67-Z67</f>
        <v>0.95999999999999375</v>
      </c>
      <c r="AE67" s="134">
        <f>AC67/AC68-1</f>
        <v>1.1012205194090186E-2</v>
      </c>
    </row>
    <row r="68" spans="23:31" x14ac:dyDescent="0.25">
      <c r="W68" s="130">
        <v>42734</v>
      </c>
      <c r="X68" s="10">
        <v>110.59</v>
      </c>
      <c r="Y68" s="10">
        <v>110.79</v>
      </c>
      <c r="Z68" s="10">
        <v>109.38</v>
      </c>
      <c r="AA68" s="10">
        <v>109.62</v>
      </c>
      <c r="AB68" s="93">
        <v>2200500</v>
      </c>
      <c r="AC68" s="10">
        <v>108.97</v>
      </c>
      <c r="AD68" s="2">
        <f>Y68-Z68</f>
        <v>1.4100000000000108</v>
      </c>
      <c r="AE68" s="134" t="e">
        <f>AC68/AC69-1</f>
        <v>#DIV/0!</v>
      </c>
    </row>
    <row r="69" spans="23:31" x14ac:dyDescent="0.25">
      <c r="W69" s="130" t="s">
        <v>120</v>
      </c>
      <c r="X69" s="10"/>
      <c r="Y69" s="10"/>
      <c r="Z69" s="10"/>
      <c r="AA69" s="10"/>
      <c r="AB69" s="93"/>
      <c r="AC69" s="10"/>
      <c r="AD69" s="2">
        <f>Y69-Z69</f>
        <v>0</v>
      </c>
      <c r="AE69" s="134"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17" priority="3">
      <formula>Q7&gt;0</formula>
    </cfRule>
    <cfRule type="expression" dxfId="16" priority="4">
      <formula>Q7&lt;0</formula>
    </cfRule>
  </conditionalFormatting>
  <conditionalFormatting sqref="Q8">
    <cfRule type="expression" dxfId="15" priority="1">
      <formula>Q8&gt;0</formula>
    </cfRule>
    <cfRule type="expression" dxfId="14"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51</v>
      </c>
      <c r="B2" s="72"/>
      <c r="C2" s="4"/>
      <c r="D2" s="3"/>
      <c r="E2" s="3"/>
      <c r="F2" s="3"/>
      <c r="G2" s="72"/>
      <c r="H2" s="161"/>
      <c r="I2" s="3"/>
      <c r="J2" s="3"/>
      <c r="K2" s="4"/>
      <c r="L2" s="72"/>
      <c r="M2" s="3"/>
      <c r="O2" s="11" t="s">
        <v>57</v>
      </c>
      <c r="Q2">
        <f>C18-H18</f>
        <v>0</v>
      </c>
      <c r="T2" s="1"/>
      <c r="W2" s="130">
        <v>42830</v>
      </c>
      <c r="X2" s="10">
        <v>165.76</v>
      </c>
      <c r="Y2" s="10">
        <v>167.26</v>
      </c>
      <c r="Z2" s="10">
        <v>165.22</v>
      </c>
      <c r="AA2" s="10">
        <v>165.37</v>
      </c>
      <c r="AB2" s="93">
        <v>3471500</v>
      </c>
      <c r="AC2" s="10">
        <v>165.37</v>
      </c>
      <c r="AD2" s="2">
        <f>Y2-Z2</f>
        <v>2.039999999999992</v>
      </c>
      <c r="AE2" s="134">
        <f>AC2/AC3-1</f>
        <v>2.4246832757470749E-3</v>
      </c>
      <c r="AP2" t="s">
        <v>159</v>
      </c>
    </row>
    <row r="3" spans="1:43" x14ac:dyDescent="0.25">
      <c r="A3" s="22" t="s">
        <v>71</v>
      </c>
      <c r="B3" s="72"/>
      <c r="C3" s="4"/>
      <c r="D3" s="3"/>
      <c r="E3" s="3"/>
      <c r="F3" s="3"/>
      <c r="G3" s="72"/>
      <c r="H3" s="161"/>
      <c r="I3" s="3"/>
      <c r="J3" s="3"/>
      <c r="K3" s="4"/>
      <c r="L3" s="72"/>
      <c r="M3" s="3"/>
      <c r="O3" s="11" t="s">
        <v>58</v>
      </c>
      <c r="Q3" s="2">
        <f>IF(Q2=0, Q4, (F18-K18-M18)/Q2)</f>
        <v>270.37</v>
      </c>
      <c r="W3" s="130">
        <v>42829</v>
      </c>
      <c r="X3" s="10">
        <v>165.87</v>
      </c>
      <c r="Y3" s="10">
        <v>166.45</v>
      </c>
      <c r="Z3" s="10">
        <v>164.79</v>
      </c>
      <c r="AA3" s="10">
        <v>164.97</v>
      </c>
      <c r="AB3" s="93">
        <v>2879100</v>
      </c>
      <c r="AC3" s="10">
        <v>164.97</v>
      </c>
      <c r="AD3" s="2">
        <f t="shared" ref="AD3:AD66" si="0">Y3-Z3</f>
        <v>1.6599999999999966</v>
      </c>
      <c r="AE3" s="134">
        <f t="shared" ref="AE3:AE66" si="1">AC3/AC4-1</f>
        <v>-3.7441874509330786E-3</v>
      </c>
      <c r="AI3" t="s">
        <v>165</v>
      </c>
      <c r="AJ3">
        <v>10</v>
      </c>
      <c r="AK3">
        <v>115.3</v>
      </c>
      <c r="AL3" s="182">
        <v>1153</v>
      </c>
      <c r="AO3" s="182">
        <v>1143.4000000000001</v>
      </c>
      <c r="AP3">
        <v>-9.6</v>
      </c>
      <c r="AQ3">
        <v>-0.83</v>
      </c>
    </row>
    <row r="4" spans="1:43" x14ac:dyDescent="0.25">
      <c r="B4" s="72"/>
      <c r="C4" s="4"/>
      <c r="D4" s="3"/>
      <c r="E4" s="3"/>
      <c r="F4" s="3"/>
      <c r="G4" s="72"/>
      <c r="H4" s="161"/>
      <c r="I4" s="3"/>
      <c r="J4" s="3"/>
      <c r="K4" s="4"/>
      <c r="L4" s="4"/>
      <c r="M4" s="4"/>
      <c r="O4" s="11" t="s">
        <v>66</v>
      </c>
      <c r="Q4" s="54">
        <v>270.37</v>
      </c>
      <c r="R4" s="405">
        <v>1.01E-2</v>
      </c>
      <c r="W4" s="130">
        <v>42828</v>
      </c>
      <c r="X4" s="10">
        <v>164.62</v>
      </c>
      <c r="Y4" s="10">
        <v>166.14</v>
      </c>
      <c r="Z4" s="10">
        <v>164.25</v>
      </c>
      <c r="AA4" s="10">
        <v>165.59</v>
      </c>
      <c r="AB4" s="93">
        <v>3471000</v>
      </c>
      <c r="AC4" s="10">
        <v>165.59</v>
      </c>
      <c r="AD4" s="2">
        <f t="shared" si="0"/>
        <v>1.8899999999999864</v>
      </c>
      <c r="AE4" s="134">
        <f t="shared" si="1"/>
        <v>9.6335589293337076E-3</v>
      </c>
      <c r="AI4" t="s">
        <v>166</v>
      </c>
      <c r="AJ4">
        <v>-10</v>
      </c>
      <c r="AK4" t="s">
        <v>163</v>
      </c>
      <c r="AL4" t="s">
        <v>163</v>
      </c>
      <c r="AO4" s="182">
        <v>-1153.98</v>
      </c>
      <c r="AP4" t="s">
        <v>163</v>
      </c>
      <c r="AQ4" t="s">
        <v>163</v>
      </c>
    </row>
    <row r="5" spans="1:43" x14ac:dyDescent="0.25">
      <c r="B5" s="72"/>
      <c r="C5" s="4"/>
      <c r="D5" s="3"/>
      <c r="E5" s="3"/>
      <c r="F5" s="3"/>
      <c r="G5" s="72"/>
      <c r="H5" s="161"/>
      <c r="I5" s="3"/>
      <c r="J5" s="3"/>
      <c r="K5" s="4"/>
      <c r="L5" s="4"/>
      <c r="M5" s="4"/>
      <c r="O5" s="11" t="s">
        <v>67</v>
      </c>
      <c r="Q5" s="3">
        <f>Q4*Q2</f>
        <v>0</v>
      </c>
      <c r="W5" s="130">
        <v>42825</v>
      </c>
      <c r="X5" s="10">
        <v>164.64</v>
      </c>
      <c r="Y5" s="10">
        <v>165.1</v>
      </c>
      <c r="Z5" s="10">
        <v>163.75</v>
      </c>
      <c r="AA5" s="10">
        <v>164.01</v>
      </c>
      <c r="AB5" s="93">
        <v>3438200</v>
      </c>
      <c r="AC5" s="10">
        <v>164.01</v>
      </c>
      <c r="AD5" s="2">
        <f t="shared" si="0"/>
        <v>1.3499999999999943</v>
      </c>
      <c r="AE5" s="134">
        <f t="shared" si="1"/>
        <v>-5.9397539244804287E-3</v>
      </c>
      <c r="AI5" t="s">
        <v>164</v>
      </c>
      <c r="AJ5">
        <v>10</v>
      </c>
      <c r="AK5">
        <v>115.45</v>
      </c>
      <c r="AL5" s="182">
        <v>1154.52</v>
      </c>
      <c r="AO5" s="182">
        <v>1143.4000000000001</v>
      </c>
      <c r="AP5">
        <v>-11.12</v>
      </c>
      <c r="AQ5">
        <v>-0.96</v>
      </c>
    </row>
    <row r="6" spans="1:43" x14ac:dyDescent="0.25">
      <c r="B6" s="72"/>
      <c r="C6" s="4"/>
      <c r="D6" s="3"/>
      <c r="E6" s="3"/>
      <c r="F6" s="3"/>
      <c r="G6" s="72"/>
      <c r="H6" s="161"/>
      <c r="I6" s="3"/>
      <c r="J6" s="3"/>
      <c r="K6" s="4"/>
      <c r="L6" s="4"/>
      <c r="M6" s="4"/>
      <c r="O6" s="11" t="s">
        <v>64</v>
      </c>
      <c r="Q6" s="2">
        <f>Q3*Q2</f>
        <v>0</v>
      </c>
      <c r="W6" s="130">
        <v>42824</v>
      </c>
      <c r="X6" s="10">
        <v>163.65</v>
      </c>
      <c r="Y6" s="10">
        <v>165.93</v>
      </c>
      <c r="Z6" s="10">
        <v>163.46</v>
      </c>
      <c r="AA6" s="10">
        <v>164.99</v>
      </c>
      <c r="AB6" s="93">
        <v>2988600</v>
      </c>
      <c r="AC6" s="10">
        <v>164.99</v>
      </c>
      <c r="AD6" s="2">
        <f t="shared" si="0"/>
        <v>2.4699999999999989</v>
      </c>
      <c r="AE6" s="134">
        <f t="shared" si="1"/>
        <v>9.4836025452766926E-3</v>
      </c>
      <c r="AI6" t="s">
        <v>162</v>
      </c>
    </row>
    <row r="7" spans="1:43" x14ac:dyDescent="0.25">
      <c r="B7" s="72"/>
      <c r="C7" s="4"/>
      <c r="D7" s="3"/>
      <c r="E7" s="3"/>
      <c r="F7" s="3"/>
      <c r="G7" s="4"/>
      <c r="H7" s="161"/>
      <c r="I7" s="4"/>
      <c r="J7" s="4"/>
      <c r="K7" s="4"/>
      <c r="L7" s="4"/>
      <c r="M7" s="4"/>
      <c r="O7" s="11" t="s">
        <v>177</v>
      </c>
      <c r="Q7" s="2">
        <f>Q10+Q8</f>
        <v>176.70000000000073</v>
      </c>
      <c r="R7">
        <v>0</v>
      </c>
      <c r="W7" s="130">
        <v>42823</v>
      </c>
      <c r="X7" s="10">
        <v>164.66</v>
      </c>
      <c r="Y7" s="10">
        <v>164.97</v>
      </c>
      <c r="Z7" s="10">
        <v>162.74</v>
      </c>
      <c r="AA7" s="10">
        <v>163.44</v>
      </c>
      <c r="AB7" s="93">
        <v>5883000</v>
      </c>
      <c r="AC7" s="10">
        <v>163.44</v>
      </c>
      <c r="AD7" s="2">
        <f t="shared" si="0"/>
        <v>2.2299999999999898</v>
      </c>
      <c r="AE7" s="134">
        <f t="shared" si="1"/>
        <v>-1.1551254913819142E-2</v>
      </c>
    </row>
    <row r="8" spans="1:43" x14ac:dyDescent="0.25">
      <c r="B8" s="4"/>
      <c r="C8" s="4"/>
      <c r="D8" s="3"/>
      <c r="E8" s="3"/>
      <c r="F8" s="3"/>
      <c r="G8" s="4"/>
      <c r="H8" s="4"/>
      <c r="I8" s="4"/>
      <c r="J8" s="4"/>
      <c r="K8" s="4"/>
      <c r="L8" s="4"/>
      <c r="M8" s="4"/>
      <c r="O8" s="11" t="s">
        <v>179</v>
      </c>
      <c r="P8" s="33"/>
      <c r="Q8" s="2">
        <f>K18+M18-F18+Q2*Q4</f>
        <v>0</v>
      </c>
      <c r="W8" s="130">
        <v>42822</v>
      </c>
      <c r="X8" s="10">
        <v>164.58</v>
      </c>
      <c r="Y8" s="10">
        <v>166.07</v>
      </c>
      <c r="Z8" s="10">
        <v>163.84</v>
      </c>
      <c r="AA8" s="10">
        <v>165.35</v>
      </c>
      <c r="AB8" s="93">
        <v>7304500</v>
      </c>
      <c r="AC8" s="10">
        <v>165.35</v>
      </c>
      <c r="AD8" s="2">
        <f t="shared" si="0"/>
        <v>2.2299999999999898</v>
      </c>
      <c r="AE8" s="134">
        <f t="shared" si="1"/>
        <v>4.5565006075334313E-3</v>
      </c>
    </row>
    <row r="9" spans="1:43" x14ac:dyDescent="0.25">
      <c r="O9" s="11" t="s">
        <v>204</v>
      </c>
      <c r="Q9" s="134">
        <f>IF(Q2=0, 0, Q8/Q6)</f>
        <v>0</v>
      </c>
      <c r="W9" s="130">
        <v>42821</v>
      </c>
      <c r="X9" s="10">
        <v>163.99</v>
      </c>
      <c r="Y9" s="10">
        <v>165.11</v>
      </c>
      <c r="Z9" s="10">
        <v>163.31</v>
      </c>
      <c r="AA9" s="10">
        <v>164.6</v>
      </c>
      <c r="AB9" s="93">
        <v>4378600</v>
      </c>
      <c r="AC9" s="10">
        <v>164.6</v>
      </c>
      <c r="AD9" s="2">
        <f t="shared" si="0"/>
        <v>1.8000000000000114</v>
      </c>
      <c r="AE9" s="134">
        <f t="shared" si="1"/>
        <v>-2.4242424242424399E-3</v>
      </c>
    </row>
    <row r="10" spans="1:43" x14ac:dyDescent="0.25">
      <c r="O10" s="11" t="s">
        <v>203</v>
      </c>
      <c r="P10" s="33"/>
      <c r="Q10" s="2">
        <f>M33</f>
        <v>176.70000000000073</v>
      </c>
      <c r="W10" s="130">
        <v>42818</v>
      </c>
      <c r="X10" s="10">
        <v>166.13</v>
      </c>
      <c r="Y10" s="10">
        <v>167.4</v>
      </c>
      <c r="Z10" s="10">
        <v>164.35</v>
      </c>
      <c r="AA10" s="10">
        <v>165</v>
      </c>
      <c r="AB10" s="93">
        <v>5210300</v>
      </c>
      <c r="AC10" s="10">
        <v>165</v>
      </c>
      <c r="AD10" s="2">
        <f t="shared" si="0"/>
        <v>3.0500000000000114</v>
      </c>
      <c r="AE10" s="134">
        <f t="shared" si="1"/>
        <v>-1.75449210478551E-3</v>
      </c>
    </row>
    <row r="11" spans="1:43" x14ac:dyDescent="0.25">
      <c r="O11" s="11" t="s">
        <v>175</v>
      </c>
      <c r="P11" s="33"/>
      <c r="Q11" s="134">
        <f>IF(U58="N/A (N/A)", 0, VALUE(TRIM(CLEAN(MID(U58, FIND("(", U58)+1, 5)))))</f>
        <v>1.52E-2</v>
      </c>
      <c r="W11" s="130">
        <v>42817</v>
      </c>
      <c r="X11" s="10">
        <v>166.23</v>
      </c>
      <c r="Y11" s="10">
        <v>166.93</v>
      </c>
      <c r="Z11" s="10">
        <v>164.77</v>
      </c>
      <c r="AA11" s="10">
        <v>165.29</v>
      </c>
      <c r="AB11" s="93">
        <v>3944100</v>
      </c>
      <c r="AC11" s="10">
        <v>165.29</v>
      </c>
      <c r="AD11" s="2">
        <f t="shared" si="0"/>
        <v>2.1599999999999966</v>
      </c>
      <c r="AE11" s="134">
        <f t="shared" si="1"/>
        <v>-1.0417290307130456E-2</v>
      </c>
    </row>
    <row r="12" spans="1:43" x14ac:dyDescent="0.25">
      <c r="W12" s="130">
        <v>42816</v>
      </c>
      <c r="X12" s="10">
        <v>168.13</v>
      </c>
      <c r="Y12" s="10">
        <v>168.38</v>
      </c>
      <c r="Z12" s="10">
        <v>165.63</v>
      </c>
      <c r="AA12" s="10">
        <v>167.03</v>
      </c>
      <c r="AB12" s="93">
        <v>2978800</v>
      </c>
      <c r="AC12" s="10">
        <v>167.03</v>
      </c>
      <c r="AD12" s="2">
        <f t="shared" si="0"/>
        <v>2.75</v>
      </c>
      <c r="AE12" s="134">
        <f t="shared" si="1"/>
        <v>-3.9952295766249035E-3</v>
      </c>
    </row>
    <row r="13" spans="1:43" x14ac:dyDescent="0.25">
      <c r="W13" s="130">
        <v>42815</v>
      </c>
      <c r="X13" s="10">
        <v>168.67</v>
      </c>
      <c r="Y13" s="10">
        <v>168.82</v>
      </c>
      <c r="Z13" s="10">
        <v>167.06</v>
      </c>
      <c r="AA13" s="10">
        <v>167.7</v>
      </c>
      <c r="AB13" s="93">
        <v>4928600</v>
      </c>
      <c r="AC13" s="10">
        <v>167.7</v>
      </c>
      <c r="AD13" s="2">
        <f t="shared" si="0"/>
        <v>1.7599999999999909</v>
      </c>
      <c r="AE13" s="134">
        <f t="shared" si="1"/>
        <v>-1.7857142857143904E-3</v>
      </c>
    </row>
    <row r="14" spans="1:43" x14ac:dyDescent="0.25">
      <c r="W14" s="130">
        <v>42814</v>
      </c>
      <c r="X14" s="10">
        <v>169.93</v>
      </c>
      <c r="Y14" s="10">
        <v>170.24</v>
      </c>
      <c r="Z14" s="10">
        <v>167.92</v>
      </c>
      <c r="AA14" s="10">
        <v>168</v>
      </c>
      <c r="AB14" s="93">
        <v>3826800</v>
      </c>
      <c r="AC14" s="10">
        <v>168</v>
      </c>
      <c r="AD14" s="2">
        <f t="shared" si="0"/>
        <v>2.3200000000000216</v>
      </c>
      <c r="AE14" s="134">
        <f t="shared" si="1"/>
        <v>-1.0017678255745399E-2</v>
      </c>
    </row>
    <row r="15" spans="1:43" x14ac:dyDescent="0.25">
      <c r="W15" s="130">
        <v>42811</v>
      </c>
      <c r="X15" s="10">
        <v>171.09</v>
      </c>
      <c r="Y15" s="10">
        <v>171.54</v>
      </c>
      <c r="Z15" s="10">
        <v>169.59</v>
      </c>
      <c r="AA15" s="10">
        <v>169.7</v>
      </c>
      <c r="AB15" s="93">
        <v>5590500</v>
      </c>
      <c r="AC15" s="10">
        <v>169.7</v>
      </c>
      <c r="AD15" s="2">
        <f t="shared" si="0"/>
        <v>1.9499999999999886</v>
      </c>
      <c r="AE15" s="134">
        <f t="shared" si="1"/>
        <v>-9.3403385872738998E-3</v>
      </c>
    </row>
    <row r="16" spans="1:43" x14ac:dyDescent="0.25">
      <c r="W16" s="130">
        <v>42810</v>
      </c>
      <c r="X16" s="10">
        <v>172.07</v>
      </c>
      <c r="Y16" s="10">
        <v>172.14</v>
      </c>
      <c r="Z16" s="10">
        <v>170.22</v>
      </c>
      <c r="AA16" s="10">
        <v>171.3</v>
      </c>
      <c r="AB16" s="93">
        <v>3113000</v>
      </c>
      <c r="AC16" s="10">
        <v>171.3</v>
      </c>
      <c r="AD16" s="2">
        <f t="shared" si="0"/>
        <v>1.9199999999999875</v>
      </c>
      <c r="AE16" s="134">
        <f t="shared" si="1"/>
        <v>-2.7942717429269015E-3</v>
      </c>
    </row>
    <row r="17" spans="1:31" x14ac:dyDescent="0.25">
      <c r="W17" s="130">
        <v>42809</v>
      </c>
      <c r="X17" s="10">
        <v>169.36</v>
      </c>
      <c r="Y17" s="10">
        <v>171.97</v>
      </c>
      <c r="Z17" s="10">
        <v>169.29</v>
      </c>
      <c r="AA17" s="10">
        <v>171.78</v>
      </c>
      <c r="AB17" s="93">
        <v>2714300</v>
      </c>
      <c r="AC17" s="10">
        <v>171.78</v>
      </c>
      <c r="AD17" s="2">
        <f t="shared" si="0"/>
        <v>2.6800000000000068</v>
      </c>
      <c r="AE17" s="134">
        <f t="shared" si="1"/>
        <v>1.6088962498521209E-2</v>
      </c>
    </row>
    <row r="18" spans="1:31" x14ac:dyDescent="0.25">
      <c r="A18" s="35" t="s">
        <v>81</v>
      </c>
      <c r="B18" s="36"/>
      <c r="C18" s="36">
        <f>SUM(C2:C7)</f>
        <v>0</v>
      </c>
      <c r="D18" s="37"/>
      <c r="E18" s="37"/>
      <c r="F18" s="37">
        <f>SUM(F2:F7)</f>
        <v>0</v>
      </c>
      <c r="G18" s="37"/>
      <c r="H18" s="160">
        <f>SUM(H2:H6)</f>
        <v>0</v>
      </c>
      <c r="I18" s="37"/>
      <c r="J18" s="37"/>
      <c r="K18" s="37">
        <f>SUM(K2:K6)</f>
        <v>0</v>
      </c>
      <c r="L18" s="37"/>
      <c r="M18" s="37">
        <f>SUM(M2:M5)</f>
        <v>0</v>
      </c>
      <c r="W18" s="130">
        <v>42808</v>
      </c>
      <c r="X18" s="10">
        <v>169.66</v>
      </c>
      <c r="Y18" s="10">
        <v>170.18</v>
      </c>
      <c r="Z18" s="10">
        <v>168.5</v>
      </c>
      <c r="AA18" s="10">
        <v>169.06</v>
      </c>
      <c r="AB18" s="93">
        <v>2522600</v>
      </c>
      <c r="AC18" s="10">
        <v>169.06</v>
      </c>
      <c r="AD18" s="2">
        <f t="shared" si="0"/>
        <v>1.6800000000000068</v>
      </c>
      <c r="AE18" s="134">
        <f t="shared" si="1"/>
        <v>-6.7563597908466555E-3</v>
      </c>
    </row>
    <row r="19" spans="1:31" x14ac:dyDescent="0.25">
      <c r="W19" s="130">
        <v>42807</v>
      </c>
      <c r="X19" s="10">
        <v>169.99</v>
      </c>
      <c r="Y19" s="10">
        <v>170.93</v>
      </c>
      <c r="Z19" s="10">
        <v>169.55</v>
      </c>
      <c r="AA19" s="10">
        <v>170.21</v>
      </c>
      <c r="AB19" s="93">
        <v>2951700</v>
      </c>
      <c r="AC19" s="10">
        <v>170.21</v>
      </c>
      <c r="AD19" s="2">
        <f t="shared" si="0"/>
        <v>1.3799999999999955</v>
      </c>
      <c r="AE19" s="134">
        <f t="shared" si="1"/>
        <v>1.3531003647488937E-3</v>
      </c>
    </row>
    <row r="20" spans="1:31" x14ac:dyDescent="0.25">
      <c r="B20" s="162" t="s">
        <v>113</v>
      </c>
      <c r="C20" s="162" t="s">
        <v>145</v>
      </c>
      <c r="D20" s="163" t="s">
        <v>144</v>
      </c>
      <c r="E20" s="165" t="s">
        <v>146</v>
      </c>
      <c r="F20" s="166" t="s">
        <v>65</v>
      </c>
      <c r="G20" s="177" t="s">
        <v>150</v>
      </c>
      <c r="H20" s="166" t="s">
        <v>88</v>
      </c>
      <c r="W20" s="130">
        <v>42804</v>
      </c>
      <c r="X20" s="10">
        <v>168.42</v>
      </c>
      <c r="Y20" s="10">
        <v>170</v>
      </c>
      <c r="Z20" s="10">
        <v>168.06</v>
      </c>
      <c r="AA20" s="10">
        <v>169.98</v>
      </c>
      <c r="AB20" s="93">
        <v>3590900</v>
      </c>
      <c r="AC20" s="10">
        <v>169.98</v>
      </c>
      <c r="AD20" s="2">
        <f t="shared" si="0"/>
        <v>1.9399999999999977</v>
      </c>
      <c r="AE20" s="134">
        <f t="shared" si="1"/>
        <v>1.1725492530206605E-2</v>
      </c>
    </row>
    <row r="21" spans="1:31" x14ac:dyDescent="0.25">
      <c r="B21" s="164">
        <v>42304</v>
      </c>
      <c r="C21" s="10">
        <v>10</v>
      </c>
      <c r="D21" s="39">
        <v>110.79</v>
      </c>
      <c r="E21" s="39">
        <v>119.37</v>
      </c>
      <c r="F21" s="39">
        <v>85.77</v>
      </c>
      <c r="G21" s="39">
        <f t="shared" ref="G21:G27" si="2">IF(C21=0, 0,D21*C21)</f>
        <v>1107.9000000000001</v>
      </c>
      <c r="H21" s="180">
        <f t="shared" ref="H21:H27" si="3">IF(C21=0, D21, (E21-D21)/D21)</f>
        <v>7.7443812618467348E-2</v>
      </c>
      <c r="W21" s="130">
        <v>42803</v>
      </c>
      <c r="X21" s="10">
        <v>168.15</v>
      </c>
      <c r="Y21" s="10">
        <v>169.07</v>
      </c>
      <c r="Z21" s="10">
        <v>167.74</v>
      </c>
      <c r="AA21" s="10">
        <v>168.01</v>
      </c>
      <c r="AB21" s="93">
        <v>3631400</v>
      </c>
      <c r="AC21" s="10">
        <v>168.01</v>
      </c>
      <c r="AD21" s="2">
        <f t="shared" si="0"/>
        <v>1.3299999999999841</v>
      </c>
      <c r="AE21" s="134">
        <f t="shared" si="1"/>
        <v>5.9555714370795876E-4</v>
      </c>
    </row>
    <row r="22" spans="1:31" x14ac:dyDescent="0.25">
      <c r="B22" s="164">
        <v>42328</v>
      </c>
      <c r="C22" s="10">
        <v>0</v>
      </c>
      <c r="D22" s="173" t="s">
        <v>128</v>
      </c>
      <c r="E22" s="39">
        <v>112.33</v>
      </c>
      <c r="F22" s="39">
        <v>27.05</v>
      </c>
      <c r="G22" s="39">
        <f t="shared" si="2"/>
        <v>0</v>
      </c>
      <c r="H22" s="180" t="str">
        <f t="shared" si="3"/>
        <v>N/A</v>
      </c>
      <c r="W22" s="130">
        <v>42802</v>
      </c>
      <c r="X22" s="10">
        <v>167.51</v>
      </c>
      <c r="Y22" s="10">
        <v>168.46</v>
      </c>
      <c r="Z22" s="10">
        <v>166.8</v>
      </c>
      <c r="AA22" s="10">
        <v>167.91</v>
      </c>
      <c r="AB22" s="93">
        <v>2048200</v>
      </c>
      <c r="AC22" s="10">
        <v>167.91</v>
      </c>
      <c r="AD22" s="2">
        <f t="shared" si="0"/>
        <v>1.6599999999999966</v>
      </c>
      <c r="AE22" s="134" t="e">
        <f t="shared" si="1"/>
        <v>#DIV/0!</v>
      </c>
    </row>
    <row r="23" spans="1:31" x14ac:dyDescent="0.25">
      <c r="B23" s="164">
        <v>42328</v>
      </c>
      <c r="C23" s="10">
        <v>10</v>
      </c>
      <c r="D23" s="39">
        <v>110.25</v>
      </c>
      <c r="E23" s="39">
        <v>112.95</v>
      </c>
      <c r="F23" s="39">
        <f>(E23-D23)*C23</f>
        <v>27.000000000000028</v>
      </c>
      <c r="G23" s="39">
        <f t="shared" si="2"/>
        <v>1102.5</v>
      </c>
      <c r="H23" s="180">
        <f t="shared" si="3"/>
        <v>2.4489795918367373E-2</v>
      </c>
      <c r="W23" s="130">
        <v>42802</v>
      </c>
      <c r="X23" s="10" t="s">
        <v>522</v>
      </c>
      <c r="Y23" s="10"/>
      <c r="Z23" s="10"/>
      <c r="AA23" s="10"/>
      <c r="AB23" s="93"/>
      <c r="AC23" s="10"/>
      <c r="AD23" s="2">
        <f t="shared" si="0"/>
        <v>0</v>
      </c>
      <c r="AE23" s="134">
        <f t="shared" si="1"/>
        <v>-1</v>
      </c>
    </row>
    <row r="24" spans="1:31" x14ac:dyDescent="0.25">
      <c r="B24" s="164">
        <v>42335</v>
      </c>
      <c r="C24" s="10">
        <v>10</v>
      </c>
      <c r="D24" s="39">
        <v>110.15</v>
      </c>
      <c r="E24" s="39">
        <v>114.34</v>
      </c>
      <c r="F24" s="39">
        <v>41.93</v>
      </c>
      <c r="G24" s="39">
        <f t="shared" si="2"/>
        <v>1101.5</v>
      </c>
      <c r="H24" s="180">
        <f t="shared" si="3"/>
        <v>3.8039037675896482E-2</v>
      </c>
      <c r="W24" s="130">
        <v>42801</v>
      </c>
      <c r="X24" s="10">
        <v>168.45</v>
      </c>
      <c r="Y24" s="10">
        <v>169.36</v>
      </c>
      <c r="Z24" s="10">
        <v>167.93</v>
      </c>
      <c r="AA24" s="10">
        <v>168.3</v>
      </c>
      <c r="AB24" s="93">
        <v>2702300</v>
      </c>
      <c r="AC24" s="10">
        <v>167.68</v>
      </c>
      <c r="AD24" s="2">
        <f t="shared" si="0"/>
        <v>1.4300000000000068</v>
      </c>
      <c r="AE24" s="134">
        <f t="shared" si="1"/>
        <v>-2.3204617123816496E-3</v>
      </c>
    </row>
    <row r="25" spans="1:31" x14ac:dyDescent="0.25">
      <c r="B25" s="164">
        <v>42349</v>
      </c>
      <c r="C25" s="10">
        <v>10</v>
      </c>
      <c r="D25" s="39">
        <v>110.15</v>
      </c>
      <c r="E25" s="39">
        <v>115.98</v>
      </c>
      <c r="F25" s="39">
        <v>58.33</v>
      </c>
      <c r="G25" s="39">
        <f t="shared" si="2"/>
        <v>1101.5</v>
      </c>
      <c r="H25" s="180">
        <f t="shared" si="3"/>
        <v>5.2927825692237841E-2</v>
      </c>
      <c r="W25" s="130">
        <v>42800</v>
      </c>
      <c r="X25" s="10">
        <v>167.43</v>
      </c>
      <c r="Y25" s="10">
        <v>169.35</v>
      </c>
      <c r="Z25" s="10">
        <v>167.13</v>
      </c>
      <c r="AA25" s="10">
        <v>168.7</v>
      </c>
      <c r="AB25" s="93">
        <v>2576500</v>
      </c>
      <c r="AC25" s="10">
        <v>168.07</v>
      </c>
      <c r="AD25" s="2">
        <f t="shared" si="0"/>
        <v>2.2199999999999989</v>
      </c>
      <c r="AE25" s="134">
        <f t="shared" si="1"/>
        <v>2.9239766081869956E-3</v>
      </c>
    </row>
    <row r="26" spans="1:31" x14ac:dyDescent="0.25">
      <c r="B26" s="164">
        <v>42355</v>
      </c>
      <c r="C26" s="10">
        <v>0</v>
      </c>
      <c r="D26" s="39">
        <v>0</v>
      </c>
      <c r="E26" s="39">
        <v>119.22</v>
      </c>
      <c r="F26" s="39">
        <v>100.51</v>
      </c>
      <c r="G26" s="39"/>
      <c r="H26" s="180"/>
      <c r="W26" s="130">
        <v>42797</v>
      </c>
      <c r="X26" s="10">
        <v>167.31</v>
      </c>
      <c r="Y26" s="10">
        <v>168.45</v>
      </c>
      <c r="Z26" s="10">
        <v>166.62</v>
      </c>
      <c r="AA26" s="10">
        <v>168.2</v>
      </c>
      <c r="AB26" s="93">
        <v>2254400</v>
      </c>
      <c r="AC26" s="10">
        <v>167.58</v>
      </c>
      <c r="AD26" s="2">
        <f t="shared" si="0"/>
        <v>1.8299999999999841</v>
      </c>
      <c r="AE26" s="134">
        <f t="shared" si="1"/>
        <v>5.3392525046493944E-3</v>
      </c>
    </row>
    <row r="27" spans="1:31" x14ac:dyDescent="0.25">
      <c r="B27" s="164">
        <v>42376</v>
      </c>
      <c r="C27" s="10">
        <v>25</v>
      </c>
      <c r="D27" s="39">
        <v>107.48</v>
      </c>
      <c r="E27" s="39">
        <v>112.09</v>
      </c>
      <c r="F27" s="39">
        <v>115.26</v>
      </c>
      <c r="G27" s="39">
        <f t="shared" si="2"/>
        <v>2687</v>
      </c>
      <c r="H27" s="180">
        <f t="shared" si="3"/>
        <v>4.2891700781540747E-2</v>
      </c>
      <c r="W27" s="130">
        <v>42796</v>
      </c>
      <c r="X27" s="10">
        <v>168.32</v>
      </c>
      <c r="Y27" s="10">
        <v>168.43</v>
      </c>
      <c r="Z27" s="10">
        <v>166.96</v>
      </c>
      <c r="AA27" s="10">
        <v>167.31</v>
      </c>
      <c r="AB27" s="93">
        <v>1889800</v>
      </c>
      <c r="AC27" s="10">
        <v>166.69</v>
      </c>
      <c r="AD27" s="2">
        <f t="shared" si="0"/>
        <v>1.4699999999999989</v>
      </c>
      <c r="AE27" s="134">
        <f t="shared" si="1"/>
        <v>-3.7652402581879185E-3</v>
      </c>
    </row>
    <row r="28" spans="1:31" x14ac:dyDescent="0.25">
      <c r="B28" s="164">
        <v>42416</v>
      </c>
      <c r="C28" s="10">
        <v>0</v>
      </c>
      <c r="D28" s="39">
        <v>0</v>
      </c>
      <c r="E28" s="39">
        <v>0</v>
      </c>
      <c r="F28" s="39">
        <v>176.7</v>
      </c>
      <c r="G28" s="39"/>
      <c r="H28" s="180"/>
      <c r="W28" s="130">
        <v>42795</v>
      </c>
      <c r="X28" s="10">
        <v>166.72</v>
      </c>
      <c r="Y28" s="10">
        <v>168.6</v>
      </c>
      <c r="Z28" s="10">
        <v>166.35</v>
      </c>
      <c r="AA28" s="10">
        <v>167.94</v>
      </c>
      <c r="AB28" s="93">
        <v>3514200</v>
      </c>
      <c r="AC28" s="10">
        <v>167.32</v>
      </c>
      <c r="AD28" s="2">
        <f t="shared" si="0"/>
        <v>2.25</v>
      </c>
      <c r="AE28" s="134">
        <f t="shared" si="1"/>
        <v>1.5476118225405067E-2</v>
      </c>
    </row>
    <row r="29" spans="1:31" x14ac:dyDescent="0.25">
      <c r="B29" s="10"/>
      <c r="C29" s="10"/>
      <c r="D29" s="39"/>
      <c r="E29" s="39"/>
      <c r="F29" s="39"/>
      <c r="G29" s="39"/>
      <c r="H29" s="180"/>
      <c r="W29" s="130">
        <v>42794</v>
      </c>
      <c r="X29" s="10">
        <v>165.47</v>
      </c>
      <c r="Y29" s="10">
        <v>166.76</v>
      </c>
      <c r="Z29" s="10">
        <v>164.9</v>
      </c>
      <c r="AA29" s="10">
        <v>165.38</v>
      </c>
      <c r="AB29" s="93">
        <v>4382100</v>
      </c>
      <c r="AC29" s="10">
        <v>164.77</v>
      </c>
      <c r="AD29" s="2">
        <f t="shared" si="0"/>
        <v>1.8599999999999852</v>
      </c>
      <c r="AE29" s="134">
        <f t="shared" si="1"/>
        <v>0</v>
      </c>
    </row>
    <row r="30" spans="1:31" x14ac:dyDescent="0.25">
      <c r="B30" s="10"/>
      <c r="C30" s="10"/>
      <c r="D30" s="39"/>
      <c r="E30" s="39"/>
      <c r="F30" s="39"/>
      <c r="G30" s="39"/>
      <c r="H30" s="180"/>
      <c r="W30" s="130">
        <v>42793</v>
      </c>
      <c r="X30" s="10">
        <v>163.16</v>
      </c>
      <c r="Y30" s="10">
        <v>165.46</v>
      </c>
      <c r="Z30" s="10">
        <v>162.81</v>
      </c>
      <c r="AA30" s="10">
        <v>165.38</v>
      </c>
      <c r="AB30" s="93">
        <v>4071800</v>
      </c>
      <c r="AC30" s="10">
        <v>164.77</v>
      </c>
      <c r="AD30" s="2">
        <f t="shared" si="0"/>
        <v>2.6500000000000057</v>
      </c>
      <c r="AE30" s="134">
        <f t="shared" si="1"/>
        <v>1.4281317328408871E-2</v>
      </c>
    </row>
    <row r="31" spans="1:31" x14ac:dyDescent="0.25">
      <c r="G31" s="3"/>
      <c r="H31" s="181"/>
      <c r="W31" s="130">
        <v>42790</v>
      </c>
      <c r="X31" s="10">
        <v>162.66999999999999</v>
      </c>
      <c r="Y31" s="10">
        <v>163.09</v>
      </c>
      <c r="Z31" s="10">
        <v>161.74</v>
      </c>
      <c r="AA31" s="10">
        <v>163.06</v>
      </c>
      <c r="AB31" s="93">
        <v>2715700</v>
      </c>
      <c r="AC31" s="10">
        <v>162.44999999999999</v>
      </c>
      <c r="AD31" s="2">
        <f t="shared" si="0"/>
        <v>1.3499999999999943</v>
      </c>
      <c r="AE31" s="134">
        <f t="shared" si="1"/>
        <v>2.7777777777777679E-3</v>
      </c>
    </row>
    <row r="32" spans="1:31" x14ac:dyDescent="0.25">
      <c r="W32" s="130">
        <v>42789</v>
      </c>
      <c r="X32" s="10">
        <v>161.33000000000001</v>
      </c>
      <c r="Y32" s="10">
        <v>162.6</v>
      </c>
      <c r="Z32" s="10">
        <v>160.69</v>
      </c>
      <c r="AA32" s="10">
        <v>162.6</v>
      </c>
      <c r="AB32" s="93">
        <v>2459600</v>
      </c>
      <c r="AC32" s="10">
        <v>162</v>
      </c>
      <c r="AD32" s="2">
        <f t="shared" si="0"/>
        <v>1.9099999999999966</v>
      </c>
      <c r="AE32" s="134">
        <f t="shared" si="1"/>
        <v>1.2689879352378641E-2</v>
      </c>
    </row>
    <row r="33" spans="1:31" x14ac:dyDescent="0.25">
      <c r="L33" t="s">
        <v>203</v>
      </c>
      <c r="M33" s="2">
        <f>M44+K44-F44</f>
        <v>176.70000000000073</v>
      </c>
      <c r="W33" s="130">
        <v>42788</v>
      </c>
      <c r="X33" s="10">
        <v>160.91</v>
      </c>
      <c r="Y33" s="10">
        <v>161.78</v>
      </c>
      <c r="Z33" s="10">
        <v>159.63999999999999</v>
      </c>
      <c r="AA33" s="10">
        <v>160.57</v>
      </c>
      <c r="AB33" s="93">
        <v>2725300</v>
      </c>
      <c r="AC33" s="10">
        <v>159.97</v>
      </c>
      <c r="AD33" s="2">
        <f t="shared" si="0"/>
        <v>2.1400000000000148</v>
      </c>
      <c r="AE33" s="134">
        <f t="shared" si="1"/>
        <v>0</v>
      </c>
    </row>
    <row r="34" spans="1:31" x14ac:dyDescent="0.25">
      <c r="A34" s="199" t="s">
        <v>1</v>
      </c>
      <c r="B34" s="199" t="s">
        <v>2</v>
      </c>
      <c r="C34" s="199" t="s">
        <v>4</v>
      </c>
      <c r="D34" s="200" t="s">
        <v>5</v>
      </c>
      <c r="E34" s="200" t="s">
        <v>94</v>
      </c>
      <c r="F34" s="200" t="s">
        <v>60</v>
      </c>
      <c r="G34" s="199" t="s">
        <v>3</v>
      </c>
      <c r="H34" s="199" t="s">
        <v>6</v>
      </c>
      <c r="I34" s="199" t="s">
        <v>7</v>
      </c>
      <c r="J34" s="199" t="s">
        <v>95</v>
      </c>
      <c r="K34" s="199" t="s">
        <v>61</v>
      </c>
      <c r="L34" s="199" t="s">
        <v>77</v>
      </c>
      <c r="M34" s="199" t="s">
        <v>38</v>
      </c>
      <c r="W34" s="130">
        <v>42787</v>
      </c>
      <c r="X34" s="10">
        <v>157.62</v>
      </c>
      <c r="Y34" s="10">
        <v>160.82</v>
      </c>
      <c r="Z34" s="10">
        <v>157.52000000000001</v>
      </c>
      <c r="AA34" s="10">
        <v>160.57</v>
      </c>
      <c r="AB34" s="93">
        <v>5419000</v>
      </c>
      <c r="AC34" s="10">
        <v>159.97</v>
      </c>
      <c r="AD34" s="2">
        <f t="shared" si="0"/>
        <v>3.2999999999999829</v>
      </c>
      <c r="AE34" s="134">
        <f t="shared" si="1"/>
        <v>1.8722537094822522E-2</v>
      </c>
    </row>
    <row r="35" spans="1:31" x14ac:dyDescent="0.25">
      <c r="A35" s="201" t="s">
        <v>51</v>
      </c>
      <c r="B35" s="202">
        <v>42212</v>
      </c>
      <c r="C35" s="197">
        <v>10</v>
      </c>
      <c r="D35" s="198">
        <v>120.14</v>
      </c>
      <c r="E35" s="198">
        <v>0</v>
      </c>
      <c r="F35" s="198">
        <f t="shared" ref="F35:F40" si="4">D35*C35</f>
        <v>1201.4000000000001</v>
      </c>
      <c r="G35" s="202">
        <v>42292</v>
      </c>
      <c r="H35" s="203">
        <v>15</v>
      </c>
      <c r="I35" s="198">
        <v>122.5</v>
      </c>
      <c r="J35" s="198">
        <v>0.03</v>
      </c>
      <c r="K35" s="197">
        <f>I35*H35-J35</f>
        <v>1837.47</v>
      </c>
      <c r="L35" s="202">
        <v>42269</v>
      </c>
      <c r="M35" s="198">
        <v>7.5</v>
      </c>
      <c r="W35" s="130">
        <v>42783</v>
      </c>
      <c r="X35" s="10">
        <v>159</v>
      </c>
      <c r="Y35" s="10">
        <v>160.16</v>
      </c>
      <c r="Z35" s="10">
        <v>156.49</v>
      </c>
      <c r="AA35" s="10">
        <v>157.62</v>
      </c>
      <c r="AB35" s="93">
        <v>12033600</v>
      </c>
      <c r="AC35" s="10">
        <v>157.03</v>
      </c>
      <c r="AD35" s="2">
        <f t="shared" si="0"/>
        <v>3.6699999999999875</v>
      </c>
      <c r="AE35" s="134">
        <f t="shared" si="1"/>
        <v>-3.6862119725220799E-2</v>
      </c>
    </row>
    <row r="36" spans="1:31" x14ac:dyDescent="0.25">
      <c r="A36" s="204" t="s">
        <v>71</v>
      </c>
      <c r="B36" s="202">
        <v>42214</v>
      </c>
      <c r="C36" s="197">
        <v>5</v>
      </c>
      <c r="D36" s="198">
        <v>118.3</v>
      </c>
      <c r="E36" s="198">
        <v>0</v>
      </c>
      <c r="F36" s="198">
        <f t="shared" si="4"/>
        <v>591.5</v>
      </c>
      <c r="G36" s="202">
        <v>42331</v>
      </c>
      <c r="H36" s="203">
        <v>10</v>
      </c>
      <c r="I36" s="198">
        <v>113.5</v>
      </c>
      <c r="J36" s="198">
        <v>0.02</v>
      </c>
      <c r="K36" s="197">
        <f>I36*H36-J36</f>
        <v>1134.98</v>
      </c>
      <c r="L36" s="202">
        <v>42353</v>
      </c>
      <c r="M36" s="198">
        <v>5</v>
      </c>
      <c r="W36" s="130">
        <v>42782</v>
      </c>
      <c r="X36" s="10">
        <v>164.78</v>
      </c>
      <c r="Y36" s="10">
        <v>164.97</v>
      </c>
      <c r="Z36" s="10">
        <v>162.33000000000001</v>
      </c>
      <c r="AA36" s="10">
        <v>163.65</v>
      </c>
      <c r="AB36" s="93">
        <v>3191600</v>
      </c>
      <c r="AC36" s="10">
        <v>163.04</v>
      </c>
      <c r="AD36" s="2">
        <f t="shared" si="0"/>
        <v>2.6399999999999864</v>
      </c>
      <c r="AE36" s="134">
        <f t="shared" si="1"/>
        <v>-3.910068426197566E-3</v>
      </c>
    </row>
    <row r="37" spans="1:31" x14ac:dyDescent="0.25">
      <c r="A37" s="197"/>
      <c r="B37" s="202">
        <v>42286</v>
      </c>
      <c r="C37" s="197">
        <v>10</v>
      </c>
      <c r="D37" s="198">
        <v>116</v>
      </c>
      <c r="E37" s="198">
        <v>0</v>
      </c>
      <c r="F37" s="198">
        <f t="shared" si="4"/>
        <v>1160</v>
      </c>
      <c r="G37" s="202">
        <v>42340</v>
      </c>
      <c r="H37" s="203">
        <v>10</v>
      </c>
      <c r="I37" s="198">
        <v>115.4</v>
      </c>
      <c r="J37" s="198">
        <v>0.02</v>
      </c>
      <c r="K37" s="197">
        <f>I37*H37-J37</f>
        <v>1153.98</v>
      </c>
      <c r="L37" s="197"/>
      <c r="M37" s="197"/>
      <c r="W37" s="130">
        <v>42781</v>
      </c>
      <c r="X37" s="10">
        <v>162.58000000000001</v>
      </c>
      <c r="Y37" s="10">
        <v>164.89</v>
      </c>
      <c r="Z37" s="10">
        <v>162.58000000000001</v>
      </c>
      <c r="AA37" s="10">
        <v>164.29</v>
      </c>
      <c r="AB37" s="93">
        <v>4537900</v>
      </c>
      <c r="AC37" s="10">
        <v>163.68</v>
      </c>
      <c r="AD37" s="2">
        <f t="shared" si="0"/>
        <v>2.3099999999999739</v>
      </c>
      <c r="AE37" s="134">
        <f t="shared" si="1"/>
        <v>7.1375830666995377E-3</v>
      </c>
    </row>
    <row r="38" spans="1:31" x14ac:dyDescent="0.25">
      <c r="A38" s="197"/>
      <c r="B38" s="202">
        <v>42331</v>
      </c>
      <c r="C38" s="197">
        <v>10</v>
      </c>
      <c r="D38" s="198">
        <v>112.95</v>
      </c>
      <c r="E38" s="198">
        <v>0</v>
      </c>
      <c r="F38" s="198">
        <f t="shared" si="4"/>
        <v>1129.5</v>
      </c>
      <c r="G38" s="202">
        <v>42360</v>
      </c>
      <c r="H38" s="203">
        <v>10</v>
      </c>
      <c r="I38" s="198">
        <v>120.2</v>
      </c>
      <c r="J38" s="198">
        <v>0.02</v>
      </c>
      <c r="K38" s="197">
        <f>I38*H38-J38</f>
        <v>1201.98</v>
      </c>
      <c r="L38" s="197"/>
      <c r="M38" s="197"/>
      <c r="W38" s="130">
        <v>42780</v>
      </c>
      <c r="X38" s="10">
        <v>161.44999999999999</v>
      </c>
      <c r="Y38" s="10">
        <v>163.5</v>
      </c>
      <c r="Z38" s="10">
        <v>161.25</v>
      </c>
      <c r="AA38" s="10">
        <v>163.13</v>
      </c>
      <c r="AB38" s="93">
        <v>2969400</v>
      </c>
      <c r="AC38" s="10">
        <v>162.52000000000001</v>
      </c>
      <c r="AD38" s="2">
        <f t="shared" si="0"/>
        <v>2.25</v>
      </c>
      <c r="AE38" s="134">
        <f t="shared" si="1"/>
        <v>7.0016729661070976E-3</v>
      </c>
    </row>
    <row r="39" spans="1:31" x14ac:dyDescent="0.25">
      <c r="A39" s="197"/>
      <c r="B39" s="202">
        <v>42340</v>
      </c>
      <c r="C39" s="197">
        <v>10</v>
      </c>
      <c r="D39" s="198">
        <v>115.3</v>
      </c>
      <c r="E39" s="198">
        <v>0</v>
      </c>
      <c r="F39" s="198">
        <f t="shared" si="4"/>
        <v>1153</v>
      </c>
      <c r="G39" s="202">
        <v>42416</v>
      </c>
      <c r="H39" s="203">
        <v>25</v>
      </c>
      <c r="I39" s="198">
        <v>114.55</v>
      </c>
      <c r="J39" s="198">
        <v>0.06</v>
      </c>
      <c r="K39" s="197">
        <f>I39*H39-J39</f>
        <v>2863.69</v>
      </c>
      <c r="L39" s="197"/>
      <c r="M39" s="197"/>
      <c r="W39" s="130">
        <v>42779</v>
      </c>
      <c r="X39" s="10">
        <v>160.69</v>
      </c>
      <c r="Y39" s="10">
        <v>162.02000000000001</v>
      </c>
      <c r="Z39" s="10">
        <v>160.69</v>
      </c>
      <c r="AA39" s="10">
        <v>161.99</v>
      </c>
      <c r="AB39" s="93">
        <v>3275800</v>
      </c>
      <c r="AC39" s="10">
        <v>161.38999999999999</v>
      </c>
      <c r="AD39" s="2">
        <f t="shared" si="0"/>
        <v>1.3300000000000125</v>
      </c>
      <c r="AE39" s="134">
        <f t="shared" si="1"/>
        <v>7.7427411801433976E-3</v>
      </c>
    </row>
    <row r="40" spans="1:31" x14ac:dyDescent="0.25">
      <c r="A40" s="197"/>
      <c r="B40" s="202">
        <v>42376</v>
      </c>
      <c r="C40" s="197">
        <v>25</v>
      </c>
      <c r="D40" s="198">
        <v>111.7</v>
      </c>
      <c r="E40" s="198">
        <v>0</v>
      </c>
      <c r="F40" s="198">
        <f t="shared" si="4"/>
        <v>2792.5</v>
      </c>
      <c r="G40" s="197"/>
      <c r="H40" s="203"/>
      <c r="I40" s="197"/>
      <c r="J40" s="197"/>
      <c r="K40" s="197"/>
      <c r="L40" s="197"/>
      <c r="M40" s="197"/>
      <c r="O40" s="33"/>
      <c r="W40" s="130">
        <v>42776</v>
      </c>
      <c r="X40" s="10">
        <v>160.12</v>
      </c>
      <c r="Y40" s="10">
        <v>161.59</v>
      </c>
      <c r="Z40" s="10">
        <v>160.1</v>
      </c>
      <c r="AA40" s="10">
        <v>160.75</v>
      </c>
      <c r="AB40" s="93">
        <v>1905900</v>
      </c>
      <c r="AC40" s="10">
        <v>160.15</v>
      </c>
      <c r="AD40" s="2">
        <f t="shared" si="0"/>
        <v>1.4900000000000091</v>
      </c>
      <c r="AE40" s="134">
        <f t="shared" si="1"/>
        <v>1.9394394394394165E-3</v>
      </c>
    </row>
    <row r="41" spans="1:31" ht="20.25" thickBot="1" x14ac:dyDescent="0.35">
      <c r="A41" s="197"/>
      <c r="B41" s="197"/>
      <c r="C41" s="197"/>
      <c r="D41" s="198"/>
      <c r="E41" s="198"/>
      <c r="F41" s="198"/>
      <c r="G41" s="197"/>
      <c r="H41" s="197"/>
      <c r="I41" s="197"/>
      <c r="J41" s="197"/>
      <c r="K41" s="197"/>
      <c r="L41" s="197"/>
      <c r="M41" s="197"/>
      <c r="O41" s="884" t="s">
        <v>78</v>
      </c>
      <c r="P41" s="884"/>
      <c r="Q41" s="33"/>
      <c r="W41" s="130">
        <v>42775</v>
      </c>
      <c r="X41" s="10">
        <v>160.31</v>
      </c>
      <c r="Y41" s="10">
        <v>161.30000000000001</v>
      </c>
      <c r="Z41" s="10">
        <v>159.56</v>
      </c>
      <c r="AA41" s="10">
        <v>160.44</v>
      </c>
      <c r="AB41" s="93">
        <v>3056800</v>
      </c>
      <c r="AC41" s="10">
        <v>159.84</v>
      </c>
      <c r="AD41" s="2">
        <f t="shared" si="0"/>
        <v>1.7400000000000091</v>
      </c>
      <c r="AE41" s="134">
        <f t="shared" si="1"/>
        <v>8.1397533028604308E-4</v>
      </c>
    </row>
    <row r="42" spans="1:31" ht="21" thickTop="1" thickBot="1" x14ac:dyDescent="0.35">
      <c r="A42" s="197"/>
      <c r="B42" s="197"/>
      <c r="C42" s="197"/>
      <c r="D42" s="198"/>
      <c r="E42" s="198"/>
      <c r="F42" s="198"/>
      <c r="G42" s="197"/>
      <c r="H42" s="197"/>
      <c r="I42" s="197"/>
      <c r="J42" s="197"/>
      <c r="K42" s="197"/>
      <c r="L42" s="197"/>
      <c r="M42" s="197"/>
      <c r="O42" s="81">
        <v>1.1000000000000001</v>
      </c>
      <c r="P42" s="81">
        <f>O42*$Q$4</f>
        <v>297.40700000000004</v>
      </c>
      <c r="Q42" s="33"/>
      <c r="T42" s="89" t="s">
        <v>112</v>
      </c>
      <c r="W42" s="130">
        <v>42774</v>
      </c>
      <c r="X42" s="10">
        <v>160</v>
      </c>
      <c r="Y42" s="10">
        <v>160.63</v>
      </c>
      <c r="Z42" s="10">
        <v>159.41</v>
      </c>
      <c r="AA42" s="10">
        <v>160.31</v>
      </c>
      <c r="AB42" s="93">
        <v>2339700</v>
      </c>
      <c r="AC42" s="10">
        <v>159.71</v>
      </c>
      <c r="AD42" s="2">
        <f t="shared" si="0"/>
        <v>1.2199999999999989</v>
      </c>
      <c r="AE42" s="134">
        <f t="shared" si="1"/>
        <v>-1.3756018257987668E-3</v>
      </c>
    </row>
    <row r="43" spans="1:31" ht="15.75" thickTop="1" x14ac:dyDescent="0.25">
      <c r="A43" s="197"/>
      <c r="B43" s="197"/>
      <c r="C43" s="197"/>
      <c r="D43" s="198"/>
      <c r="E43" s="198"/>
      <c r="F43" s="198"/>
      <c r="G43" s="197"/>
      <c r="H43" s="197"/>
      <c r="I43" s="197"/>
      <c r="J43" s="197"/>
      <c r="K43" s="197"/>
      <c r="L43" s="197"/>
      <c r="M43" s="197"/>
      <c r="O43" s="81">
        <v>1.0900000000000001</v>
      </c>
      <c r="P43" s="81">
        <f t="shared" ref="P43:P62" si="5">O43*$Q$4</f>
        <v>294.70330000000001</v>
      </c>
      <c r="Q43" s="33"/>
      <c r="T43" s="125" t="s">
        <v>97</v>
      </c>
      <c r="U43" s="96">
        <v>164.97</v>
      </c>
      <c r="W43" s="130">
        <v>42773</v>
      </c>
      <c r="X43" s="10">
        <v>161.05000000000001</v>
      </c>
      <c r="Y43" s="10">
        <v>161.68</v>
      </c>
      <c r="Z43" s="10">
        <v>159.54</v>
      </c>
      <c r="AA43" s="10">
        <v>160.53</v>
      </c>
      <c r="AB43" s="93">
        <v>2942700</v>
      </c>
      <c r="AC43" s="10">
        <v>159.93</v>
      </c>
      <c r="AD43" s="2">
        <f t="shared" si="0"/>
        <v>2.1400000000000148</v>
      </c>
      <c r="AE43" s="134">
        <f t="shared" si="1"/>
        <v>1.2507035207320882E-4</v>
      </c>
    </row>
    <row r="44" spans="1:31" x14ac:dyDescent="0.25">
      <c r="A44" s="336" t="s">
        <v>81</v>
      </c>
      <c r="B44" s="337"/>
      <c r="C44" s="337">
        <f>SUM(C35:C40)</f>
        <v>70</v>
      </c>
      <c r="D44" s="338"/>
      <c r="E44" s="338"/>
      <c r="F44" s="338">
        <f>SUM(F35:F40)</f>
        <v>8027.9</v>
      </c>
      <c r="G44" s="338"/>
      <c r="H44" s="339">
        <f>SUM(H35:H39)</f>
        <v>70</v>
      </c>
      <c r="I44" s="338"/>
      <c r="J44" s="338"/>
      <c r="K44" s="338">
        <f>SUM(K35:K39)</f>
        <v>8192.1</v>
      </c>
      <c r="L44" s="338"/>
      <c r="M44" s="338">
        <f>SUM(M35:M38)</f>
        <v>12.5</v>
      </c>
      <c r="O44" s="81">
        <v>1.08</v>
      </c>
      <c r="P44" s="81">
        <f t="shared" si="5"/>
        <v>291.99960000000004</v>
      </c>
      <c r="Q44" s="33"/>
      <c r="T44" s="91" t="s">
        <v>98</v>
      </c>
      <c r="U44" s="86">
        <v>165.76</v>
      </c>
      <c r="W44" s="130">
        <v>42772</v>
      </c>
      <c r="X44" s="10">
        <v>161.51</v>
      </c>
      <c r="Y44" s="10">
        <v>162.53</v>
      </c>
      <c r="Z44" s="10">
        <v>160.22</v>
      </c>
      <c r="AA44" s="10">
        <v>160.51</v>
      </c>
      <c r="AB44" s="93">
        <v>3479400</v>
      </c>
      <c r="AC44" s="10">
        <v>159.91</v>
      </c>
      <c r="AD44" s="2">
        <f t="shared" si="0"/>
        <v>2.3100000000000023</v>
      </c>
      <c r="AE44" s="134">
        <f t="shared" si="1"/>
        <v>-8.4330625658833869E-3</v>
      </c>
    </row>
    <row r="45" spans="1:31" x14ac:dyDescent="0.25">
      <c r="A45" s="197"/>
      <c r="B45" s="197"/>
      <c r="C45" s="197"/>
      <c r="D45" s="198"/>
      <c r="E45" s="198"/>
      <c r="F45" s="198"/>
      <c r="G45" s="197"/>
      <c r="H45" s="197"/>
      <c r="I45" s="197"/>
      <c r="J45" s="197"/>
      <c r="K45" s="197"/>
      <c r="L45" s="197"/>
      <c r="M45" s="197"/>
      <c r="O45" s="81">
        <v>1.07</v>
      </c>
      <c r="P45" s="81">
        <f t="shared" si="5"/>
        <v>289.29590000000002</v>
      </c>
      <c r="Q45" s="81"/>
      <c r="T45" s="91" t="s">
        <v>99</v>
      </c>
      <c r="U45" s="86" t="s">
        <v>128</v>
      </c>
      <c r="W45" s="130">
        <v>42769</v>
      </c>
      <c r="X45" s="10">
        <v>161.13</v>
      </c>
      <c r="Y45" s="10">
        <v>162</v>
      </c>
      <c r="Z45" s="10">
        <v>160.21</v>
      </c>
      <c r="AA45" s="10">
        <v>161.87</v>
      </c>
      <c r="AB45" s="93">
        <v>2762300</v>
      </c>
      <c r="AC45" s="10">
        <v>161.27000000000001</v>
      </c>
      <c r="AD45" s="2">
        <f t="shared" si="0"/>
        <v>1.789999999999992</v>
      </c>
      <c r="AE45" s="134">
        <f t="shared" si="1"/>
        <v>6.9305694305694665E-3</v>
      </c>
    </row>
    <row r="46" spans="1:31" x14ac:dyDescent="0.25">
      <c r="O46" s="81">
        <v>1.06</v>
      </c>
      <c r="P46" s="81">
        <f t="shared" si="5"/>
        <v>286.59219999999999</v>
      </c>
      <c r="Q46" s="81"/>
      <c r="T46" s="91" t="s">
        <v>100</v>
      </c>
      <c r="U46" s="86" t="s">
        <v>128</v>
      </c>
      <c r="W46" s="130">
        <v>42768</v>
      </c>
      <c r="X46" s="10">
        <v>162.52000000000001</v>
      </c>
      <c r="Y46" s="10">
        <v>163.25</v>
      </c>
      <c r="Z46" s="10">
        <v>160.26</v>
      </c>
      <c r="AA46" s="10">
        <v>160.76</v>
      </c>
      <c r="AB46" s="93">
        <v>4714000</v>
      </c>
      <c r="AC46" s="10">
        <v>160.16</v>
      </c>
      <c r="AD46" s="2">
        <f t="shared" si="0"/>
        <v>2.9900000000000091</v>
      </c>
      <c r="AE46" s="134">
        <f t="shared" si="1"/>
        <v>-1.2028869286287214E-2</v>
      </c>
    </row>
    <row r="47" spans="1:31" x14ac:dyDescent="0.25">
      <c r="O47" s="81">
        <v>1.05</v>
      </c>
      <c r="P47" s="81">
        <f t="shared" si="5"/>
        <v>283.88850000000002</v>
      </c>
      <c r="Q47" s="81"/>
      <c r="T47" s="91" t="s">
        <v>101</v>
      </c>
      <c r="U47" s="86">
        <v>185.05</v>
      </c>
      <c r="W47" s="130">
        <v>42767</v>
      </c>
      <c r="X47" s="10">
        <v>162.75</v>
      </c>
      <c r="Y47" s="10">
        <v>163.9</v>
      </c>
      <c r="Z47" s="10">
        <v>162.03</v>
      </c>
      <c r="AA47" s="10">
        <v>162.71</v>
      </c>
      <c r="AB47" s="93">
        <v>3718500</v>
      </c>
      <c r="AC47" s="10">
        <v>162.11000000000001</v>
      </c>
      <c r="AD47" s="2">
        <f t="shared" si="0"/>
        <v>1.8700000000000045</v>
      </c>
      <c r="AE47" s="134">
        <f t="shared" si="1"/>
        <v>3.7770897832818395E-3</v>
      </c>
    </row>
    <row r="48" spans="1:31" x14ac:dyDescent="0.25">
      <c r="O48" s="81">
        <v>1.04</v>
      </c>
      <c r="P48" s="81">
        <f t="shared" si="5"/>
        <v>281.1848</v>
      </c>
      <c r="Q48" s="81"/>
      <c r="T48" s="91" t="s">
        <v>102</v>
      </c>
      <c r="U48" s="86">
        <v>0.60878900000000002</v>
      </c>
      <c r="W48" s="130">
        <v>42766</v>
      </c>
      <c r="X48" s="10">
        <v>161.62</v>
      </c>
      <c r="Y48" s="10">
        <v>162.19</v>
      </c>
      <c r="Z48" s="10">
        <v>160.01</v>
      </c>
      <c r="AA48" s="10">
        <v>162.1</v>
      </c>
      <c r="AB48" s="93">
        <v>3037000</v>
      </c>
      <c r="AC48" s="10">
        <v>161.5</v>
      </c>
      <c r="AD48" s="2">
        <f t="shared" si="0"/>
        <v>2.1800000000000068</v>
      </c>
      <c r="AE48" s="134">
        <f t="shared" si="1"/>
        <v>6.1923338906311187E-5</v>
      </c>
    </row>
    <row r="49" spans="15:31" x14ac:dyDescent="0.25">
      <c r="O49" s="81">
        <v>1.03</v>
      </c>
      <c r="P49" s="81">
        <f t="shared" si="5"/>
        <v>278.48110000000003</v>
      </c>
      <c r="Q49" s="81"/>
      <c r="T49" s="91" t="s">
        <v>103</v>
      </c>
      <c r="U49" s="86" t="s">
        <v>505</v>
      </c>
      <c r="W49" s="130">
        <v>42765</v>
      </c>
      <c r="X49" s="10">
        <v>162.94</v>
      </c>
      <c r="Y49" s="10">
        <v>163.46</v>
      </c>
      <c r="Z49" s="10">
        <v>161.31</v>
      </c>
      <c r="AA49" s="10">
        <v>162.09</v>
      </c>
      <c r="AB49" s="93">
        <v>2784600</v>
      </c>
      <c r="AC49" s="10">
        <v>161.49</v>
      </c>
      <c r="AD49" s="2">
        <f t="shared" si="0"/>
        <v>2.1500000000000057</v>
      </c>
      <c r="AE49" s="134">
        <f t="shared" si="1"/>
        <v>-5.4809705628771077E-3</v>
      </c>
    </row>
    <row r="50" spans="15:31" x14ac:dyDescent="0.25">
      <c r="O50" s="81">
        <v>1.02</v>
      </c>
      <c r="P50" s="81">
        <f t="shared" si="5"/>
        <v>275.7774</v>
      </c>
      <c r="Q50" s="81"/>
      <c r="T50" s="91"/>
      <c r="U50" s="86"/>
      <c r="W50" s="130">
        <v>42762</v>
      </c>
      <c r="X50" s="10">
        <v>163.5</v>
      </c>
      <c r="Y50" s="10">
        <v>163.80000000000001</v>
      </c>
      <c r="Z50" s="10">
        <v>162.62</v>
      </c>
      <c r="AA50" s="10">
        <v>162.99</v>
      </c>
      <c r="AB50" s="93">
        <v>3110400</v>
      </c>
      <c r="AC50" s="10">
        <v>162.38</v>
      </c>
      <c r="AD50" s="2">
        <f t="shared" si="0"/>
        <v>1.1800000000000068</v>
      </c>
      <c r="AE50" s="134">
        <f t="shared" si="1"/>
        <v>1.4184397163119478E-3</v>
      </c>
    </row>
    <row r="51" spans="15:31" x14ac:dyDescent="0.25">
      <c r="O51" s="81">
        <v>1.01</v>
      </c>
      <c r="P51" s="81">
        <f t="shared" si="5"/>
        <v>273.07370000000003</v>
      </c>
      <c r="Q51" s="81"/>
      <c r="T51" s="91" t="s">
        <v>104</v>
      </c>
      <c r="U51" s="86" t="s">
        <v>642</v>
      </c>
      <c r="W51" s="130">
        <v>42761</v>
      </c>
      <c r="X51" s="10">
        <v>161.86000000000001</v>
      </c>
      <c r="Y51" s="10">
        <v>163.58000000000001</v>
      </c>
      <c r="Z51" s="10">
        <v>161.25</v>
      </c>
      <c r="AA51" s="10">
        <v>162.75</v>
      </c>
      <c r="AB51" s="93">
        <v>4202400</v>
      </c>
      <c r="AC51" s="10">
        <v>162.15</v>
      </c>
      <c r="AD51" s="2">
        <f t="shared" si="0"/>
        <v>2.3300000000000125</v>
      </c>
      <c r="AE51" s="134">
        <f t="shared" si="1"/>
        <v>9.3999003984064355E-3</v>
      </c>
    </row>
    <row r="52" spans="15:31" x14ac:dyDescent="0.25">
      <c r="O52" s="81">
        <v>1</v>
      </c>
      <c r="P52" s="81">
        <f t="shared" si="5"/>
        <v>270.37</v>
      </c>
      <c r="Q52" s="81"/>
      <c r="T52" s="91" t="s">
        <v>105</v>
      </c>
      <c r="U52" s="86" t="s">
        <v>500</v>
      </c>
      <c r="W52" s="130">
        <v>42760</v>
      </c>
      <c r="X52" s="10">
        <v>160.82</v>
      </c>
      <c r="Y52" s="10">
        <v>161.97999999999999</v>
      </c>
      <c r="Z52" s="10">
        <v>160.35</v>
      </c>
      <c r="AA52" s="10">
        <v>161.24</v>
      </c>
      <c r="AB52" s="93">
        <v>3605800</v>
      </c>
      <c r="AC52" s="10">
        <v>160.63999999999999</v>
      </c>
      <c r="AD52" s="2">
        <f t="shared" si="0"/>
        <v>1.6299999999999955</v>
      </c>
      <c r="AE52" s="134">
        <f t="shared" si="1"/>
        <v>5.0678846274163636E-3</v>
      </c>
    </row>
    <row r="53" spans="15:31" x14ac:dyDescent="0.25">
      <c r="O53" s="81">
        <v>0.99</v>
      </c>
      <c r="P53" s="81">
        <f t="shared" si="5"/>
        <v>267.66629999999998</v>
      </c>
      <c r="Q53" s="81"/>
      <c r="T53" s="91" t="s">
        <v>106</v>
      </c>
      <c r="U53" s="88">
        <v>3541623</v>
      </c>
      <c r="W53" s="130">
        <v>42759</v>
      </c>
      <c r="X53" s="10">
        <v>159.36000000000001</v>
      </c>
      <c r="Y53" s="10">
        <v>161.31</v>
      </c>
      <c r="Z53" s="10">
        <v>159.1</v>
      </c>
      <c r="AA53" s="10">
        <v>160.43</v>
      </c>
      <c r="AB53" s="93">
        <v>3514100</v>
      </c>
      <c r="AC53" s="10">
        <v>159.83000000000001</v>
      </c>
      <c r="AD53" s="2">
        <f t="shared" si="0"/>
        <v>2.210000000000008</v>
      </c>
      <c r="AE53" s="134">
        <f t="shared" si="1"/>
        <v>8.5184250378598225E-3</v>
      </c>
    </row>
    <row r="54" spans="15:31" x14ac:dyDescent="0.25">
      <c r="O54" s="81">
        <v>0.98</v>
      </c>
      <c r="P54" s="81">
        <f t="shared" si="5"/>
        <v>264.96260000000001</v>
      </c>
      <c r="Q54" s="81"/>
      <c r="T54" s="91" t="s">
        <v>109</v>
      </c>
      <c r="U54" s="88">
        <v>3724090</v>
      </c>
      <c r="W54" s="130">
        <v>42758</v>
      </c>
      <c r="X54" s="10">
        <v>158.62</v>
      </c>
      <c r="Y54" s="10">
        <v>159.52000000000001</v>
      </c>
      <c r="Z54" s="10">
        <v>156.56</v>
      </c>
      <c r="AA54" s="10">
        <v>159.07</v>
      </c>
      <c r="AB54" s="93">
        <v>4062600</v>
      </c>
      <c r="AC54" s="10">
        <v>158.47999999999999</v>
      </c>
      <c r="AD54" s="2">
        <f t="shared" si="0"/>
        <v>2.960000000000008</v>
      </c>
      <c r="AE54" s="134">
        <f t="shared" si="1"/>
        <v>2.593787562472194E-3</v>
      </c>
    </row>
    <row r="55" spans="15:31" x14ac:dyDescent="0.25">
      <c r="O55" s="81">
        <v>0.97</v>
      </c>
      <c r="P55" s="81">
        <f t="shared" si="5"/>
        <v>262.25889999999998</v>
      </c>
      <c r="Q55" s="81"/>
      <c r="T55" s="91" t="s">
        <v>107</v>
      </c>
      <c r="U55" s="86" t="s">
        <v>643</v>
      </c>
      <c r="W55" s="130">
        <v>42755</v>
      </c>
      <c r="X55" s="10">
        <v>159.02000000000001</v>
      </c>
      <c r="Y55" s="10">
        <v>159.80000000000001</v>
      </c>
      <c r="Z55" s="10">
        <v>157.81</v>
      </c>
      <c r="AA55" s="10">
        <v>158.66</v>
      </c>
      <c r="AB55" s="93">
        <v>3579100</v>
      </c>
      <c r="AC55" s="10">
        <v>158.07</v>
      </c>
      <c r="AD55" s="2">
        <f t="shared" si="0"/>
        <v>1.9900000000000091</v>
      </c>
      <c r="AE55" s="134">
        <f t="shared" si="1"/>
        <v>-2.5298842577969882E-4</v>
      </c>
    </row>
    <row r="56" spans="15:31" x14ac:dyDescent="0.25">
      <c r="O56" s="81">
        <v>0.96</v>
      </c>
      <c r="P56" s="81">
        <f t="shared" si="5"/>
        <v>259.55520000000001</v>
      </c>
      <c r="Q56" s="81"/>
      <c r="T56" s="91" t="s">
        <v>110</v>
      </c>
      <c r="U56" s="86">
        <v>22.81</v>
      </c>
      <c r="W56" s="130">
        <v>42754</v>
      </c>
      <c r="X56" s="10">
        <v>157.74</v>
      </c>
      <c r="Y56" s="10">
        <v>160.55000000000001</v>
      </c>
      <c r="Z56" s="10">
        <v>157.24</v>
      </c>
      <c r="AA56" s="10">
        <v>158.69999999999999</v>
      </c>
      <c r="AB56" s="93">
        <v>4976900</v>
      </c>
      <c r="AC56" s="10">
        <v>158.11000000000001</v>
      </c>
      <c r="AD56" s="2">
        <f t="shared" si="0"/>
        <v>3.3100000000000023</v>
      </c>
      <c r="AE56" s="134">
        <f t="shared" si="1"/>
        <v>6.1088132357620673E-3</v>
      </c>
    </row>
    <row r="57" spans="15:31" x14ac:dyDescent="0.25">
      <c r="O57" s="81">
        <v>0.95</v>
      </c>
      <c r="P57" s="81">
        <f t="shared" si="5"/>
        <v>256.85149999999999</v>
      </c>
      <c r="Q57" s="81"/>
      <c r="T57" s="91" t="s">
        <v>111</v>
      </c>
      <c r="U57" s="86">
        <v>7.25</v>
      </c>
      <c r="W57" s="130">
        <v>42753</v>
      </c>
      <c r="X57" s="10">
        <v>161.06</v>
      </c>
      <c r="Y57" s="10">
        <v>161.19999999999999</v>
      </c>
      <c r="Z57" s="10">
        <v>156.09</v>
      </c>
      <c r="AA57" s="10">
        <v>157.74</v>
      </c>
      <c r="AB57" s="93">
        <v>6591600</v>
      </c>
      <c r="AC57" s="10">
        <v>157.15</v>
      </c>
      <c r="AD57" s="2">
        <f t="shared" si="0"/>
        <v>5.1099999999999852</v>
      </c>
      <c r="AE57" s="134">
        <f t="shared" si="1"/>
        <v>-1.8180682244158364E-2</v>
      </c>
    </row>
    <row r="58" spans="15:31" x14ac:dyDescent="0.25">
      <c r="O58" s="81">
        <v>0.94</v>
      </c>
      <c r="P58" s="81">
        <f t="shared" si="5"/>
        <v>254.14779999999999</v>
      </c>
      <c r="Q58" s="81"/>
      <c r="T58" s="91" t="s">
        <v>108</v>
      </c>
      <c r="U58" s="86" t="s">
        <v>544</v>
      </c>
      <c r="W58" s="130">
        <v>42752</v>
      </c>
      <c r="X58" s="10">
        <v>162.61000000000001</v>
      </c>
      <c r="Y58" s="10">
        <v>162.97</v>
      </c>
      <c r="Z58" s="10">
        <v>157.51</v>
      </c>
      <c r="AA58" s="10">
        <v>160.66</v>
      </c>
      <c r="AB58" s="93">
        <v>5475800</v>
      </c>
      <c r="AC58" s="10">
        <v>160.06</v>
      </c>
      <c r="AD58" s="2">
        <f t="shared" si="0"/>
        <v>5.460000000000008</v>
      </c>
      <c r="AE58" s="134">
        <f t="shared" si="1"/>
        <v>-7.0719602977666884E-3</v>
      </c>
    </row>
    <row r="59" spans="15:31" x14ac:dyDescent="0.25">
      <c r="O59" s="81">
        <v>0.93</v>
      </c>
      <c r="P59" s="81">
        <f t="shared" si="5"/>
        <v>251.44410000000002</v>
      </c>
      <c r="Q59" s="81"/>
      <c r="W59" s="130">
        <v>42748</v>
      </c>
      <c r="X59" s="10">
        <v>162.16</v>
      </c>
      <c r="Y59" s="10">
        <v>162.74</v>
      </c>
      <c r="Z59" s="10">
        <v>161.41</v>
      </c>
      <c r="AA59" s="10">
        <v>161.80000000000001</v>
      </c>
      <c r="AB59" s="93">
        <v>3183300</v>
      </c>
      <c r="AC59" s="10">
        <v>161.19999999999999</v>
      </c>
      <c r="AD59" s="2">
        <f t="shared" si="0"/>
        <v>1.3300000000000125</v>
      </c>
      <c r="AE59" s="134">
        <f t="shared" si="1"/>
        <v>-3.4619188921859445E-3</v>
      </c>
    </row>
    <row r="60" spans="15:31" x14ac:dyDescent="0.25">
      <c r="O60" s="81">
        <v>0.92</v>
      </c>
      <c r="P60" s="81">
        <f t="shared" si="5"/>
        <v>248.74040000000002</v>
      </c>
      <c r="Q60" s="81"/>
      <c r="W60" s="130">
        <v>42747</v>
      </c>
      <c r="X60" s="10">
        <v>161.69</v>
      </c>
      <c r="Y60" s="10">
        <v>162.94</v>
      </c>
      <c r="Z60" s="10">
        <v>160.88999999999999</v>
      </c>
      <c r="AA60" s="10">
        <v>162.36000000000001</v>
      </c>
      <c r="AB60" s="93">
        <v>2555900</v>
      </c>
      <c r="AC60" s="10">
        <v>161.76</v>
      </c>
      <c r="AD60" s="2">
        <f t="shared" si="0"/>
        <v>2.0500000000000114</v>
      </c>
      <c r="AE60" s="134">
        <f t="shared" si="1"/>
        <v>2.914005828011712E-3</v>
      </c>
    </row>
    <row r="61" spans="15:31" x14ac:dyDescent="0.25">
      <c r="O61" s="81">
        <v>0.91</v>
      </c>
      <c r="P61" s="81">
        <f t="shared" si="5"/>
        <v>246.03670000000002</v>
      </c>
      <c r="Q61" s="81"/>
      <c r="W61" s="130">
        <v>42746</v>
      </c>
      <c r="X61" s="10">
        <v>161.30000000000001</v>
      </c>
      <c r="Y61" s="10">
        <v>162.94</v>
      </c>
      <c r="Z61" s="10">
        <v>160.61000000000001</v>
      </c>
      <c r="AA61" s="10">
        <v>161.88999999999999</v>
      </c>
      <c r="AB61" s="93">
        <v>3330600</v>
      </c>
      <c r="AC61" s="10">
        <v>161.29</v>
      </c>
      <c r="AD61" s="2">
        <f t="shared" si="0"/>
        <v>2.3299999999999841</v>
      </c>
      <c r="AE61" s="134">
        <f t="shared" si="1"/>
        <v>1.9257050565286704E-3</v>
      </c>
    </row>
    <row r="62" spans="15:31" x14ac:dyDescent="0.25">
      <c r="O62" s="81">
        <v>0.9</v>
      </c>
      <c r="P62" s="81">
        <f t="shared" si="5"/>
        <v>243.333</v>
      </c>
      <c r="Q62" s="81"/>
      <c r="W62" s="130">
        <v>42745</v>
      </c>
      <c r="X62" s="10">
        <v>161.27000000000001</v>
      </c>
      <c r="Y62" s="10">
        <v>162.97999999999999</v>
      </c>
      <c r="Z62" s="10">
        <v>160.5</v>
      </c>
      <c r="AA62" s="10">
        <v>161.58000000000001</v>
      </c>
      <c r="AB62" s="93">
        <v>3500700</v>
      </c>
      <c r="AC62" s="10">
        <v>160.97999999999999</v>
      </c>
      <c r="AD62" s="2">
        <f t="shared" si="0"/>
        <v>2.4799999999999898</v>
      </c>
      <c r="AE62" s="134">
        <f t="shared" si="1"/>
        <v>-2.2931515339325026E-3</v>
      </c>
    </row>
    <row r="63" spans="15:31" x14ac:dyDescent="0.25">
      <c r="O63" s="33"/>
      <c r="W63" s="130">
        <v>42744</v>
      </c>
      <c r="X63" s="10">
        <v>162</v>
      </c>
      <c r="Y63" s="10">
        <v>162.43</v>
      </c>
      <c r="Z63" s="10">
        <v>160.78</v>
      </c>
      <c r="AA63" s="10">
        <v>161.94999999999999</v>
      </c>
      <c r="AB63" s="93">
        <v>3040800</v>
      </c>
      <c r="AC63" s="10">
        <v>161.35</v>
      </c>
      <c r="AD63" s="2">
        <f t="shared" si="0"/>
        <v>1.6500000000000057</v>
      </c>
      <c r="AE63" s="134">
        <f t="shared" si="1"/>
        <v>-2.8428403683332659E-3</v>
      </c>
    </row>
    <row r="64" spans="15:31" x14ac:dyDescent="0.25">
      <c r="O64" s="33"/>
      <c r="W64" s="130">
        <v>42741</v>
      </c>
      <c r="X64" s="10">
        <v>161.75</v>
      </c>
      <c r="Y64" s="10">
        <v>162.94</v>
      </c>
      <c r="Z64" s="10">
        <v>161.11000000000001</v>
      </c>
      <c r="AA64" s="10">
        <v>162.41</v>
      </c>
      <c r="AB64" s="93">
        <v>3081300</v>
      </c>
      <c r="AC64" s="10">
        <v>161.81</v>
      </c>
      <c r="AD64" s="2">
        <f t="shared" si="0"/>
        <v>1.8299999999999841</v>
      </c>
      <c r="AE64" s="134">
        <f t="shared" si="1"/>
        <v>1.4234434954820685E-3</v>
      </c>
    </row>
    <row r="65" spans="23:31" x14ac:dyDescent="0.25">
      <c r="W65" s="130">
        <v>42740</v>
      </c>
      <c r="X65" s="10">
        <v>161.75</v>
      </c>
      <c r="Y65" s="10">
        <v>162.63</v>
      </c>
      <c r="Z65" s="10">
        <v>161.51</v>
      </c>
      <c r="AA65" s="10">
        <v>162.18</v>
      </c>
      <c r="AB65" s="93">
        <v>2961100</v>
      </c>
      <c r="AC65" s="10">
        <v>161.58000000000001</v>
      </c>
      <c r="AD65" s="2">
        <f t="shared" si="0"/>
        <v>1.1200000000000045</v>
      </c>
      <c r="AE65" s="134">
        <f t="shared" si="1"/>
        <v>1.673795796912847E-3</v>
      </c>
    </row>
    <row r="66" spans="23:31" x14ac:dyDescent="0.25">
      <c r="W66" s="130">
        <v>42739</v>
      </c>
      <c r="X66" s="10">
        <v>162.35</v>
      </c>
      <c r="Y66" s="10">
        <v>162.58000000000001</v>
      </c>
      <c r="Z66" s="10">
        <v>159.74</v>
      </c>
      <c r="AA66" s="10">
        <v>161.91</v>
      </c>
      <c r="AB66" s="93">
        <v>2695200</v>
      </c>
      <c r="AC66" s="10">
        <v>161.31</v>
      </c>
      <c r="AD66" s="2">
        <f t="shared" si="0"/>
        <v>2.8400000000000034</v>
      </c>
      <c r="AE66" s="134">
        <f t="shared" si="1"/>
        <v>2.8598072738577063E-3</v>
      </c>
    </row>
    <row r="67" spans="23:31" x14ac:dyDescent="0.25">
      <c r="W67" s="130">
        <v>42738</v>
      </c>
      <c r="X67" s="10">
        <v>161.13</v>
      </c>
      <c r="Y67" s="10">
        <v>162.27000000000001</v>
      </c>
      <c r="Z67" s="10">
        <v>159.15</v>
      </c>
      <c r="AA67" s="10">
        <v>161.44999999999999</v>
      </c>
      <c r="AB67" s="93">
        <v>3539700</v>
      </c>
      <c r="AC67" s="10">
        <v>160.85</v>
      </c>
      <c r="AD67" s="2">
        <f>Y67-Z67</f>
        <v>3.1200000000000045</v>
      </c>
      <c r="AE67" s="134" t="e">
        <f>AC67/#REF!-1</f>
        <v>#REF!</v>
      </c>
    </row>
    <row r="68" spans="23:31" x14ac:dyDescent="0.25">
      <c r="W68" s="130">
        <v>42734</v>
      </c>
      <c r="X68" s="10">
        <v>161.37</v>
      </c>
      <c r="Y68" s="10">
        <v>161.47999999999999</v>
      </c>
      <c r="Z68" s="10">
        <v>159.85</v>
      </c>
      <c r="AA68" s="10">
        <v>160.04</v>
      </c>
      <c r="AB68" s="93">
        <v>2855600</v>
      </c>
      <c r="AC68" s="10">
        <v>159.44999999999999</v>
      </c>
      <c r="AD68" s="2" t="e">
        <f>#REF!-#REF!</f>
        <v>#REF!</v>
      </c>
      <c r="AE68" s="134" t="e">
        <f>#REF!/AC69-1</f>
        <v>#REF!</v>
      </c>
    </row>
    <row r="69" spans="23:31" x14ac:dyDescent="0.25">
      <c r="W69" s="130" t="s">
        <v>120</v>
      </c>
      <c r="X69" s="10"/>
      <c r="Y69" s="10"/>
      <c r="Z69" s="10"/>
      <c r="AA69" s="10"/>
      <c r="AB69" s="93"/>
      <c r="AC69" s="10"/>
      <c r="AD69" s="2">
        <f>Y69-Z69</f>
        <v>0</v>
      </c>
      <c r="AE69" s="134"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13" priority="13">
      <formula>F21&gt;0</formula>
    </cfRule>
    <cfRule type="expression" dxfId="12" priority="14">
      <formula>F21&lt;0</formula>
    </cfRule>
  </conditionalFormatting>
  <conditionalFormatting sqref="F22">
    <cfRule type="expression" dxfId="11" priority="11">
      <formula>F22&gt;0</formula>
    </cfRule>
    <cfRule type="expression" dxfId="10" priority="12">
      <formula>F22&lt;0</formula>
    </cfRule>
  </conditionalFormatting>
  <conditionalFormatting sqref="F23:F30">
    <cfRule type="expression" dxfId="9" priority="9">
      <formula>F23&gt;0</formula>
    </cfRule>
    <cfRule type="expression" dxfId="8" priority="10">
      <formula>F23&lt;0</formula>
    </cfRule>
  </conditionalFormatting>
  <conditionalFormatting sqref="H21:H31">
    <cfRule type="expression" dxfId="7" priority="7">
      <formula>H21&gt;0</formula>
    </cfRule>
    <cfRule type="expression" dxfId="6" priority="8">
      <formula>H21&lt;0</formula>
    </cfRule>
  </conditionalFormatting>
  <conditionalFormatting sqref="F24">
    <cfRule type="expression" dxfId="5" priority="5">
      <formula>F24&gt;0</formula>
    </cfRule>
    <cfRule type="expression" dxfId="4" priority="6">
      <formula>F24&lt;0</formula>
    </cfRule>
  </conditionalFormatting>
  <conditionalFormatting sqref="Q8">
    <cfRule type="expression" dxfId="3" priority="1">
      <formula>Q8&gt;0</formula>
    </cfRule>
    <cfRule type="expression" dxfId="2" priority="2">
      <formula>Q8&lt;0</formula>
    </cfRule>
  </conditionalFormatting>
  <conditionalFormatting sqref="Q7">
    <cfRule type="expression" dxfId="1" priority="3">
      <formula>Q7&gt;0</formula>
    </cfRule>
    <cfRule type="expression" dxfId="0"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111</vt:i4>
      </vt:variant>
      <vt:variant>
        <vt:lpstr>Named Ranges</vt:lpstr>
      </vt:variant>
      <vt:variant>
        <vt:i4>70</vt:i4>
      </vt:variant>
    </vt:vector>
  </HeadingPairs>
  <TitlesOfParts>
    <vt:vector size="181" baseType="lpstr">
      <vt:lpstr>ACTIVE</vt:lpstr>
      <vt:lpstr>Balance</vt:lpstr>
      <vt:lpstr>CLOSED</vt:lpstr>
      <vt:lpstr>BIIB</vt:lpstr>
      <vt:lpstr>MYL</vt:lpstr>
      <vt:lpstr>SIG</vt:lpstr>
      <vt:lpstr>ABC</vt:lpstr>
      <vt:lpstr>NVR</vt:lpstr>
      <vt:lpstr>AAPL</vt:lpstr>
      <vt:lpstr>AXP</vt:lpstr>
      <vt:lpstr>DG</vt:lpstr>
      <vt:lpstr>PINC</vt:lpstr>
      <vt:lpstr>FOXA</vt:lpstr>
      <vt:lpstr>AOBC</vt:lpstr>
      <vt:lpstr>LUV</vt:lpstr>
      <vt:lpstr>CCEP</vt:lpstr>
      <vt:lpstr>BMY</vt:lpstr>
      <vt:lpstr>TIF</vt:lpstr>
      <vt:lpstr>DWDP</vt:lpstr>
      <vt:lpstr>GPS</vt:lpstr>
      <vt:lpstr>AKAM</vt:lpstr>
      <vt:lpstr>ARNC</vt:lpstr>
      <vt:lpstr>IEMG</vt:lpstr>
      <vt:lpstr>CVS</vt:lpstr>
      <vt:lpstr>ADBE</vt:lpstr>
      <vt:lpstr>FDX</vt:lpstr>
      <vt:lpstr>PPC</vt:lpstr>
      <vt:lpstr>SKX</vt:lpstr>
      <vt:lpstr>DOW</vt:lpstr>
      <vt:lpstr>XLB</vt:lpstr>
      <vt:lpstr>EOG</vt:lpstr>
      <vt:lpstr>TCEHY</vt:lpstr>
      <vt:lpstr>CCL</vt:lpstr>
      <vt:lpstr>DVN</vt:lpstr>
      <vt:lpstr>ET</vt:lpstr>
      <vt:lpstr>KWEB</vt:lpstr>
      <vt:lpstr>MRO</vt:lpstr>
      <vt:lpstr>GE</vt:lpstr>
      <vt:lpstr>XRAY</vt:lpstr>
      <vt:lpstr>ATVI</vt:lpstr>
      <vt:lpstr>CRI</vt:lpstr>
      <vt:lpstr>AOS</vt:lpstr>
      <vt:lpstr>IWM</vt:lpstr>
      <vt:lpstr>PXD</vt:lpstr>
      <vt:lpstr>IPGP</vt:lpstr>
      <vt:lpstr>SLCA</vt:lpstr>
      <vt:lpstr>XLP</vt:lpstr>
      <vt:lpstr>KR</vt:lpstr>
      <vt:lpstr>F</vt:lpstr>
      <vt:lpstr>JNJ</vt:lpstr>
      <vt:lpstr>ULTA</vt:lpstr>
      <vt:lpstr>FRC</vt:lpstr>
      <vt:lpstr>AAP</vt:lpstr>
      <vt:lpstr>CMCSA</vt:lpstr>
      <vt:lpstr>XEC</vt:lpstr>
      <vt:lpstr>WRK</vt:lpstr>
      <vt:lpstr>MO</vt:lpstr>
      <vt:lpstr>T</vt:lpstr>
      <vt:lpstr>COST</vt:lpstr>
      <vt:lpstr>CPN</vt:lpstr>
      <vt:lpstr>EW</vt:lpstr>
      <vt:lpstr>TJX</vt:lpstr>
      <vt:lpstr>QQQ</vt:lpstr>
      <vt:lpstr>WBA</vt:lpstr>
      <vt:lpstr>AZO</vt:lpstr>
      <vt:lpstr>FL</vt:lpstr>
      <vt:lpstr>MLM</vt:lpstr>
      <vt:lpstr>KHC</vt:lpstr>
      <vt:lpstr>KBWY</vt:lpstr>
      <vt:lpstr>AYI</vt:lpstr>
      <vt:lpstr>DIA</vt:lpstr>
      <vt:lpstr>ICE</vt:lpstr>
      <vt:lpstr>NKE</vt:lpstr>
      <vt:lpstr>MOS</vt:lpstr>
      <vt:lpstr>VGK</vt:lpstr>
      <vt:lpstr>CMG</vt:lpstr>
      <vt:lpstr>HAS</vt:lpstr>
      <vt:lpstr>HSIC</vt:lpstr>
      <vt:lpstr>PDCO</vt:lpstr>
      <vt:lpstr>MU</vt:lpstr>
      <vt:lpstr>IP</vt:lpstr>
      <vt:lpstr>INTC</vt:lpstr>
      <vt:lpstr>HES</vt:lpstr>
      <vt:lpstr>UNP</vt:lpstr>
      <vt:lpstr>NCLH</vt:lpstr>
      <vt:lpstr>SPY</vt:lpstr>
      <vt:lpstr>SWKS</vt:lpstr>
      <vt:lpstr>CNI</vt:lpstr>
      <vt:lpstr>WFC</vt:lpstr>
      <vt:lpstr>AA</vt:lpstr>
      <vt:lpstr>CF</vt:lpstr>
      <vt:lpstr>TGT</vt:lpstr>
      <vt:lpstr>NWL</vt:lpstr>
      <vt:lpstr>CPRI</vt:lpstr>
      <vt:lpstr>ALL</vt:lpstr>
      <vt:lpstr>NSC</vt:lpstr>
      <vt:lpstr>AVGO</vt:lpstr>
      <vt:lpstr>UAL</vt:lpstr>
      <vt:lpstr>CAH</vt:lpstr>
      <vt:lpstr>DAL</vt:lpstr>
      <vt:lpstr>TEVA</vt:lpstr>
      <vt:lpstr>DIS</vt:lpstr>
      <vt:lpstr>FTR</vt:lpstr>
      <vt:lpstr>GILD</vt:lpstr>
      <vt:lpstr>WWD</vt:lpstr>
      <vt:lpstr>GIS</vt:lpstr>
      <vt:lpstr>GM</vt:lpstr>
      <vt:lpstr>TMO</vt:lpstr>
      <vt:lpstr>TKR</vt:lpstr>
      <vt:lpstr>UTX</vt:lpstr>
      <vt:lpstr>UNH</vt:lpstr>
      <vt:lpstr>AA!hp?s_AA_Historical_Prices_1</vt:lpstr>
      <vt:lpstr>BMY!hp?s_AKAM_Historical_Prices</vt:lpstr>
      <vt:lpstr>ALL!hp?s_ALL_Historical_Prices</vt:lpstr>
      <vt:lpstr>AVGO!hp?s_AVGO</vt:lpstr>
      <vt:lpstr>AXP!hp?s_AXP_Historical_Prices</vt:lpstr>
      <vt:lpstr>CNI!hp?s_CNI</vt:lpstr>
      <vt:lpstr>CPN!hp?s_CPN_Historical_Prices</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CPN!q?s_CPN</vt:lpstr>
      <vt:lpstr>DG!q?s_dg</vt:lpstr>
      <vt:lpstr>DIS!q?s_DIS</vt:lpstr>
      <vt:lpstr>EW!q?s_ew</vt:lpstr>
      <vt:lpstr>F!q?s_F</vt:lpstr>
      <vt:lpstr>FOXA!q?s_foxa</vt:lpstr>
      <vt:lpstr>FTR!q?s_FTR</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2019-04-08T04:04:44Z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